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activeTab="2"/>
  </bookViews>
  <sheets>
    <sheet name="1" sheetId="4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new_sample (2)" sheetId="34" r:id="rId30"/>
    <sheet name="new_sample" sheetId="5" r:id="rId31"/>
    <sheet name="Sheet1" sheetId="1" r:id="rId32"/>
    <sheet name="Sheet2" sheetId="2" r:id="rId33"/>
    <sheet name="Sheet3" sheetId="3" r:id="rId34"/>
    <sheet name="new_sample (3)" sheetId="35" r:id="rId35"/>
  </sheets>
  <externalReferences>
    <externalReference r:id="rId36"/>
    <externalReference r:id="rId37"/>
  </externalReferences>
  <definedNames>
    <definedName name="IPP" localSheetId="0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 localSheetId="29">#REF!</definedName>
    <definedName name="IPP" localSheetId="34">#REF!</definedName>
    <definedName name="IPP">#REF!</definedName>
    <definedName name="ippp" localSheetId="0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 localSheetId="29">#REF!</definedName>
    <definedName name="ippp" localSheetId="34">#REF!</definedName>
    <definedName name="ippp">#REF!</definedName>
    <definedName name="sdasdf" localSheetId="0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 localSheetId="29">#REF!</definedName>
    <definedName name="sdasdf" localSheetId="34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238" i="35" l="1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P235" i="35"/>
  <c r="O235" i="35"/>
  <c r="N235" i="35"/>
  <c r="M235" i="35"/>
  <c r="L235" i="35"/>
  <c r="K235" i="35"/>
  <c r="J235" i="35"/>
  <c r="I235" i="35"/>
  <c r="H235" i="35"/>
  <c r="G235" i="35"/>
  <c r="F235" i="35"/>
  <c r="E235" i="35"/>
  <c r="D235" i="35"/>
  <c r="C235" i="35"/>
  <c r="B235" i="35"/>
  <c r="A235" i="35"/>
  <c r="C234" i="35"/>
  <c r="B234" i="35"/>
  <c r="S209" i="35"/>
  <c r="AG199" i="35"/>
  <c r="C199" i="35"/>
  <c r="E198" i="35"/>
  <c r="F198" i="35" s="1"/>
  <c r="D198" i="35"/>
  <c r="D197" i="35"/>
  <c r="E197" i="35" s="1"/>
  <c r="F197" i="35" s="1"/>
  <c r="G197" i="35" s="1"/>
  <c r="H197" i="35" s="1"/>
  <c r="I197" i="35" s="1"/>
  <c r="J197" i="35" s="1"/>
  <c r="K197" i="35" s="1"/>
  <c r="L197" i="35" s="1"/>
  <c r="M197" i="35" s="1"/>
  <c r="N197" i="35" s="1"/>
  <c r="O197" i="35" s="1"/>
  <c r="P197" i="35" s="1"/>
  <c r="Q197" i="35" s="1"/>
  <c r="R197" i="35" s="1"/>
  <c r="S197" i="35" s="1"/>
  <c r="T197" i="35" s="1"/>
  <c r="U197" i="35" s="1"/>
  <c r="V197" i="35" s="1"/>
  <c r="W197" i="35" s="1"/>
  <c r="X197" i="35" s="1"/>
  <c r="Y197" i="35" s="1"/>
  <c r="Z197" i="35" s="1"/>
  <c r="AA197" i="35" s="1"/>
  <c r="AB197" i="35" s="1"/>
  <c r="AC197" i="35" s="1"/>
  <c r="AD197" i="35" s="1"/>
  <c r="AE197" i="35" s="1"/>
  <c r="AF197" i="35" s="1"/>
  <c r="B197" i="35" s="1"/>
  <c r="D196" i="35"/>
  <c r="E196" i="35" s="1"/>
  <c r="F196" i="35" s="1"/>
  <c r="G196" i="35" s="1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G195" i="35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B195" i="35" s="1"/>
  <c r="E195" i="35"/>
  <c r="F195" i="35" s="1"/>
  <c r="D195" i="35"/>
  <c r="Z194" i="35"/>
  <c r="AA194" i="35" s="1"/>
  <c r="AB194" i="35" s="1"/>
  <c r="AC194" i="35" s="1"/>
  <c r="AD194" i="35" s="1"/>
  <c r="AE194" i="35" s="1"/>
  <c r="AF194" i="35" s="1"/>
  <c r="B194" i="35" s="1"/>
  <c r="E194" i="35"/>
  <c r="F194" i="35" s="1"/>
  <c r="G194" i="35" s="1"/>
  <c r="H194" i="35" s="1"/>
  <c r="I194" i="35" s="1"/>
  <c r="J194" i="35" s="1"/>
  <c r="K194" i="35" s="1"/>
  <c r="L194" i="35" s="1"/>
  <c r="M194" i="35" s="1"/>
  <c r="N194" i="35" s="1"/>
  <c r="O194" i="35" s="1"/>
  <c r="P194" i="35" s="1"/>
  <c r="Q194" i="35" s="1"/>
  <c r="R194" i="35" s="1"/>
  <c r="S194" i="35" s="1"/>
  <c r="T194" i="35" s="1"/>
  <c r="U194" i="35" s="1"/>
  <c r="V194" i="35" s="1"/>
  <c r="W194" i="35" s="1"/>
  <c r="X194" i="35" s="1"/>
  <c r="Y194" i="35" s="1"/>
  <c r="D194" i="35"/>
  <c r="D193" i="35"/>
  <c r="AG191" i="35"/>
  <c r="C191" i="35"/>
  <c r="F190" i="35"/>
  <c r="G190" i="35" s="1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B190" i="35" s="1"/>
  <c r="D190" i="35"/>
  <c r="E190" i="35" s="1"/>
  <c r="W189" i="35"/>
  <c r="X189" i="35" s="1"/>
  <c r="Y189" i="35" s="1"/>
  <c r="Z189" i="35" s="1"/>
  <c r="AA189" i="35" s="1"/>
  <c r="AB189" i="35" s="1"/>
  <c r="AC189" i="35" s="1"/>
  <c r="AD189" i="35" s="1"/>
  <c r="AE189" i="35" s="1"/>
  <c r="AF189" i="35" s="1"/>
  <c r="B189" i="35" s="1"/>
  <c r="D189" i="35"/>
  <c r="E189" i="35" s="1"/>
  <c r="F189" i="35" s="1"/>
  <c r="G189" i="35" s="1"/>
  <c r="H189" i="35" s="1"/>
  <c r="I189" i="35" s="1"/>
  <c r="J189" i="35" s="1"/>
  <c r="K189" i="35" s="1"/>
  <c r="L189" i="35" s="1"/>
  <c r="M189" i="35" s="1"/>
  <c r="N189" i="35" s="1"/>
  <c r="O189" i="35" s="1"/>
  <c r="P189" i="35" s="1"/>
  <c r="Q189" i="35" s="1"/>
  <c r="R189" i="35" s="1"/>
  <c r="S189" i="35" s="1"/>
  <c r="T189" i="35" s="1"/>
  <c r="U189" i="35" s="1"/>
  <c r="V189" i="35" s="1"/>
  <c r="D188" i="35"/>
  <c r="E188" i="35" s="1"/>
  <c r="F188" i="35" s="1"/>
  <c r="G188" i="35" s="1"/>
  <c r="H188" i="35" s="1"/>
  <c r="I188" i="35" s="1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B188" i="35" s="1"/>
  <c r="F187" i="35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B187" i="35" s="1"/>
  <c r="E187" i="35"/>
  <c r="D187" i="35"/>
  <c r="D186" i="35"/>
  <c r="E186" i="35" s="1"/>
  <c r="F186" i="35" s="1"/>
  <c r="G186" i="35" s="1"/>
  <c r="H186" i="35" s="1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B186" i="35" s="1"/>
  <c r="E185" i="35"/>
  <c r="F185" i="35" s="1"/>
  <c r="G185" i="35" s="1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D185" i="35"/>
  <c r="N184" i="35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B184" i="35" s="1"/>
  <c r="H184" i="35"/>
  <c r="I184" i="35" s="1"/>
  <c r="J184" i="35" s="1"/>
  <c r="K184" i="35" s="1"/>
  <c r="L184" i="35" s="1"/>
  <c r="M184" i="35" s="1"/>
  <c r="G184" i="35"/>
  <c r="E184" i="35"/>
  <c r="F184" i="35" s="1"/>
  <c r="D184" i="35"/>
  <c r="D183" i="35"/>
  <c r="E183" i="35" s="1"/>
  <c r="F183" i="35" s="1"/>
  <c r="G183" i="35" s="1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AE182" i="35"/>
  <c r="AF182" i="35" s="1"/>
  <c r="B182" i="35" s="1"/>
  <c r="AB182" i="35"/>
  <c r="AC182" i="35" s="1"/>
  <c r="AD182" i="35" s="1"/>
  <c r="D182" i="35"/>
  <c r="E182" i="35" s="1"/>
  <c r="F182" i="35" s="1"/>
  <c r="G182" i="35" s="1"/>
  <c r="H182" i="35" s="1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M181" i="35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B181" i="35" s="1"/>
  <c r="G181" i="35"/>
  <c r="H181" i="35" s="1"/>
  <c r="I181" i="35" s="1"/>
  <c r="J181" i="35" s="1"/>
  <c r="K181" i="35" s="1"/>
  <c r="L181" i="35" s="1"/>
  <c r="F181" i="35"/>
  <c r="D181" i="35"/>
  <c r="E181" i="35" s="1"/>
  <c r="R180" i="35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O180" i="35"/>
  <c r="P180" i="35" s="1"/>
  <c r="Q180" i="35" s="1"/>
  <c r="F180" i="35"/>
  <c r="G180" i="35" s="1"/>
  <c r="H180" i="35" s="1"/>
  <c r="I180" i="35" s="1"/>
  <c r="J180" i="35" s="1"/>
  <c r="K180" i="35" s="1"/>
  <c r="L180" i="35" s="1"/>
  <c r="M180" i="35" s="1"/>
  <c r="N180" i="35" s="1"/>
  <c r="E180" i="35"/>
  <c r="D180" i="35"/>
  <c r="D179" i="35"/>
  <c r="E179" i="35" s="1"/>
  <c r="F179" i="35" s="1"/>
  <c r="G179" i="35" s="1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B179" i="35" s="1"/>
  <c r="D178" i="35"/>
  <c r="E178" i="35" s="1"/>
  <c r="F178" i="35" s="1"/>
  <c r="G178" i="35" s="1"/>
  <c r="H178" i="35" s="1"/>
  <c r="I178" i="35" s="1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T178" i="35" s="1"/>
  <c r="U178" i="35" s="1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B178" i="35" s="1"/>
  <c r="E176" i="35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B176" i="35" s="1"/>
  <c r="D176" i="35"/>
  <c r="J175" i="35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D175" i="35"/>
  <c r="E175" i="35" s="1"/>
  <c r="F175" i="35" s="1"/>
  <c r="G175" i="35" s="1"/>
  <c r="H175" i="35" s="1"/>
  <c r="I175" i="35" s="1"/>
  <c r="D174" i="35"/>
  <c r="E174" i="35" s="1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D173" i="35"/>
  <c r="E173" i="35" s="1"/>
  <c r="F173" i="35" s="1"/>
  <c r="G173" i="35" s="1"/>
  <c r="H173" i="35" s="1"/>
  <c r="I173" i="35" s="1"/>
  <c r="J173" i="35" s="1"/>
  <c r="K173" i="35" s="1"/>
  <c r="L173" i="35" s="1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B173" i="35" s="1"/>
  <c r="H172" i="35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B172" i="35" s="1"/>
  <c r="E172" i="35"/>
  <c r="F172" i="35" s="1"/>
  <c r="G172" i="35" s="1"/>
  <c r="D172" i="35"/>
  <c r="O171" i="35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E171" i="35"/>
  <c r="F171" i="35" s="1"/>
  <c r="G171" i="35" s="1"/>
  <c r="H171" i="35" s="1"/>
  <c r="I171" i="35" s="1"/>
  <c r="J171" i="35" s="1"/>
  <c r="K171" i="35" s="1"/>
  <c r="L171" i="35" s="1"/>
  <c r="M171" i="35" s="1"/>
  <c r="N171" i="35" s="1"/>
  <c r="D171" i="35"/>
  <c r="Z170" i="35"/>
  <c r="AA170" i="35" s="1"/>
  <c r="AB170" i="35" s="1"/>
  <c r="AC170" i="35" s="1"/>
  <c r="AD170" i="35" s="1"/>
  <c r="AE170" i="35" s="1"/>
  <c r="AF170" i="35" s="1"/>
  <c r="B170" i="35" s="1"/>
  <c r="E170" i="35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D170" i="35"/>
  <c r="P169" i="35"/>
  <c r="Q169" i="35" s="1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AE169" i="35" s="1"/>
  <c r="AF169" i="35" s="1"/>
  <c r="B169" i="35" s="1"/>
  <c r="E169" i="35"/>
  <c r="F169" i="35" s="1"/>
  <c r="G169" i="35" s="1"/>
  <c r="H169" i="35" s="1"/>
  <c r="I169" i="35" s="1"/>
  <c r="J169" i="35" s="1"/>
  <c r="K169" i="35" s="1"/>
  <c r="L169" i="35" s="1"/>
  <c r="M169" i="35" s="1"/>
  <c r="N169" i="35" s="1"/>
  <c r="O169" i="35" s="1"/>
  <c r="D169" i="35"/>
  <c r="AD167" i="35"/>
  <c r="AE167" i="35" s="1"/>
  <c r="AF167" i="35" s="1"/>
  <c r="B167" i="35" s="1"/>
  <c r="I167" i="35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G167" i="35"/>
  <c r="H167" i="35" s="1"/>
  <c r="F167" i="35"/>
  <c r="D167" i="35"/>
  <c r="E167" i="35" s="1"/>
  <c r="F166" i="35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E166" i="35"/>
  <c r="D166" i="35"/>
  <c r="D165" i="35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S164" i="35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I164" i="35"/>
  <c r="J164" i="35" s="1"/>
  <c r="K164" i="35" s="1"/>
  <c r="L164" i="35" s="1"/>
  <c r="M164" i="35" s="1"/>
  <c r="N164" i="35" s="1"/>
  <c r="O164" i="35" s="1"/>
  <c r="P164" i="35" s="1"/>
  <c r="Q164" i="35" s="1"/>
  <c r="R164" i="35" s="1"/>
  <c r="H164" i="35"/>
  <c r="E164" i="35"/>
  <c r="F164" i="35" s="1"/>
  <c r="G164" i="35" s="1"/>
  <c r="D164" i="35"/>
  <c r="R163" i="35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J163" i="35"/>
  <c r="K163" i="35" s="1"/>
  <c r="L163" i="35" s="1"/>
  <c r="M163" i="35" s="1"/>
  <c r="N163" i="35" s="1"/>
  <c r="O163" i="35" s="1"/>
  <c r="P163" i="35" s="1"/>
  <c r="Q163" i="35" s="1"/>
  <c r="I163" i="35"/>
  <c r="F163" i="35"/>
  <c r="G163" i="35" s="1"/>
  <c r="H163" i="35" s="1"/>
  <c r="D163" i="35"/>
  <c r="E163" i="35" s="1"/>
  <c r="U162" i="35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M162" i="35"/>
  <c r="N162" i="35" s="1"/>
  <c r="O162" i="35" s="1"/>
  <c r="P162" i="35" s="1"/>
  <c r="Q162" i="35" s="1"/>
  <c r="R162" i="35" s="1"/>
  <c r="S162" i="35" s="1"/>
  <c r="T162" i="35" s="1"/>
  <c r="L162" i="35"/>
  <c r="D162" i="35"/>
  <c r="E162" i="35" s="1"/>
  <c r="F162" i="35" s="1"/>
  <c r="G162" i="35" s="1"/>
  <c r="H162" i="35" s="1"/>
  <c r="I162" i="35" s="1"/>
  <c r="J162" i="35" s="1"/>
  <c r="K162" i="35" s="1"/>
  <c r="N161" i="35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B161" i="35" s="1"/>
  <c r="F161" i="35"/>
  <c r="G161" i="35" s="1"/>
  <c r="H161" i="35" s="1"/>
  <c r="I161" i="35" s="1"/>
  <c r="J161" i="35" s="1"/>
  <c r="K161" i="35" s="1"/>
  <c r="L161" i="35" s="1"/>
  <c r="M161" i="35" s="1"/>
  <c r="E161" i="35"/>
  <c r="D161" i="35"/>
  <c r="I160" i="35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B160" i="35" s="1"/>
  <c r="H160" i="35"/>
  <c r="D160" i="35"/>
  <c r="E160" i="35" s="1"/>
  <c r="F160" i="35" s="1"/>
  <c r="G160" i="35" s="1"/>
  <c r="J159" i="35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D159" i="35"/>
  <c r="E159" i="35" s="1"/>
  <c r="F159" i="35" s="1"/>
  <c r="G159" i="35" s="1"/>
  <c r="H159" i="35" s="1"/>
  <c r="I159" i="35" s="1"/>
  <c r="E158" i="35"/>
  <c r="F158" i="35" s="1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D158" i="35"/>
  <c r="H157" i="35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E157" i="35"/>
  <c r="F157" i="35" s="1"/>
  <c r="G157" i="35" s="1"/>
  <c r="D157" i="35"/>
  <c r="G156" i="35"/>
  <c r="H156" i="35" s="1"/>
  <c r="I156" i="35" s="1"/>
  <c r="J156" i="35" s="1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F156" i="35"/>
  <c r="E156" i="35"/>
  <c r="D156" i="35"/>
  <c r="L155" i="35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B155" i="35" s="1"/>
  <c r="I155" i="35"/>
  <c r="J155" i="35" s="1"/>
  <c r="K155" i="35" s="1"/>
  <c r="E155" i="35"/>
  <c r="F155" i="35" s="1"/>
  <c r="G155" i="35" s="1"/>
  <c r="H155" i="35" s="1"/>
  <c r="D155" i="35"/>
  <c r="S153" i="35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E153" i="35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D153" i="35"/>
  <c r="M152" i="35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I152" i="35"/>
  <c r="J152" i="35" s="1"/>
  <c r="K152" i="35" s="1"/>
  <c r="L152" i="35" s="1"/>
  <c r="H152" i="35"/>
  <c r="E152" i="35"/>
  <c r="F152" i="35" s="1"/>
  <c r="G152" i="35" s="1"/>
  <c r="D152" i="35"/>
  <c r="W151" i="35"/>
  <c r="X151" i="35" s="1"/>
  <c r="Y151" i="35" s="1"/>
  <c r="Z151" i="35" s="1"/>
  <c r="AA151" i="35" s="1"/>
  <c r="AB151" i="35" s="1"/>
  <c r="AC151" i="35" s="1"/>
  <c r="AD151" i="35" s="1"/>
  <c r="AE151" i="35" s="1"/>
  <c r="AF151" i="35" s="1"/>
  <c r="B151" i="35" s="1"/>
  <c r="G151" i="35"/>
  <c r="H151" i="35" s="1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F151" i="35"/>
  <c r="E151" i="35"/>
  <c r="D151" i="35"/>
  <c r="E150" i="35"/>
  <c r="F150" i="35" s="1"/>
  <c r="G150" i="35" s="1"/>
  <c r="H150" i="35" s="1"/>
  <c r="I150" i="35" s="1"/>
  <c r="J150" i="35" s="1"/>
  <c r="K150" i="35" s="1"/>
  <c r="L150" i="35" s="1"/>
  <c r="M150" i="35" s="1"/>
  <c r="N150" i="35" s="1"/>
  <c r="O150" i="35" s="1"/>
  <c r="P150" i="35" s="1"/>
  <c r="Q150" i="35" s="1"/>
  <c r="R150" i="35" s="1"/>
  <c r="S150" i="35" s="1"/>
  <c r="T150" i="35" s="1"/>
  <c r="U150" i="35" s="1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B150" i="35" s="1"/>
  <c r="D150" i="35"/>
  <c r="Z148" i="35"/>
  <c r="AA148" i="35" s="1"/>
  <c r="AB148" i="35" s="1"/>
  <c r="AC148" i="35" s="1"/>
  <c r="AD148" i="35" s="1"/>
  <c r="AE148" i="35" s="1"/>
  <c r="AF148" i="35" s="1"/>
  <c r="B148" i="35" s="1"/>
  <c r="G148" i="35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E148" i="35"/>
  <c r="F148" i="35" s="1"/>
  <c r="D148" i="35"/>
  <c r="X147" i="35"/>
  <c r="Y147" i="35" s="1"/>
  <c r="Z147" i="35" s="1"/>
  <c r="AA147" i="35" s="1"/>
  <c r="AB147" i="35" s="1"/>
  <c r="AC147" i="35" s="1"/>
  <c r="AD147" i="35" s="1"/>
  <c r="AE147" i="35" s="1"/>
  <c r="AF147" i="35" s="1"/>
  <c r="B147" i="35" s="1"/>
  <c r="H147" i="35"/>
  <c r="I147" i="35" s="1"/>
  <c r="J147" i="35" s="1"/>
  <c r="K147" i="35" s="1"/>
  <c r="L147" i="35" s="1"/>
  <c r="M147" i="35" s="1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E147" i="35"/>
  <c r="F147" i="35" s="1"/>
  <c r="G147" i="35" s="1"/>
  <c r="D147" i="35"/>
  <c r="G145" i="35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T145" i="35" s="1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F145" i="35"/>
  <c r="E145" i="35"/>
  <c r="D145" i="35"/>
  <c r="I144" i="35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B144" i="35" s="1"/>
  <c r="G144" i="35"/>
  <c r="H144" i="35" s="1"/>
  <c r="E144" i="35"/>
  <c r="F144" i="35" s="1"/>
  <c r="D144" i="35"/>
  <c r="G143" i="35"/>
  <c r="H143" i="35" s="1"/>
  <c r="I143" i="35" s="1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E143" i="35"/>
  <c r="F143" i="35" s="1"/>
  <c r="D143" i="35"/>
  <c r="E142" i="35"/>
  <c r="F142" i="35" s="1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D142" i="35"/>
  <c r="K141" i="35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I141" i="35"/>
  <c r="J141" i="35" s="1"/>
  <c r="H141" i="35"/>
  <c r="G141" i="35"/>
  <c r="F141" i="35"/>
  <c r="E141" i="35"/>
  <c r="D141" i="35"/>
  <c r="I140" i="35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E140" i="35"/>
  <c r="F140" i="35" s="1"/>
  <c r="G140" i="35" s="1"/>
  <c r="H140" i="35" s="1"/>
  <c r="D140" i="35"/>
  <c r="G139" i="35"/>
  <c r="H139" i="35" s="1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B139" i="35" s="1"/>
  <c r="F139" i="35"/>
  <c r="E139" i="35"/>
  <c r="D139" i="35"/>
  <c r="AC137" i="35"/>
  <c r="AD137" i="35" s="1"/>
  <c r="AE137" i="35" s="1"/>
  <c r="AF137" i="35" s="1"/>
  <c r="B137" i="35" s="1"/>
  <c r="I137" i="35"/>
  <c r="J137" i="35" s="1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E137" i="35"/>
  <c r="F137" i="35" s="1"/>
  <c r="G137" i="35" s="1"/>
  <c r="H137" i="35" s="1"/>
  <c r="D137" i="35"/>
  <c r="Y136" i="35"/>
  <c r="Z136" i="35" s="1"/>
  <c r="AA136" i="35" s="1"/>
  <c r="AB136" i="35" s="1"/>
  <c r="AC136" i="35" s="1"/>
  <c r="AD136" i="35" s="1"/>
  <c r="AE136" i="35" s="1"/>
  <c r="AF136" i="35" s="1"/>
  <c r="B136" i="35" s="1"/>
  <c r="G136" i="35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F136" i="35"/>
  <c r="E136" i="35"/>
  <c r="D136" i="35"/>
  <c r="E135" i="35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D135" i="35"/>
  <c r="G134" i="35"/>
  <c r="H134" i="35" s="1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E134" i="35"/>
  <c r="F134" i="35" s="1"/>
  <c r="D134" i="35"/>
  <c r="E133" i="35"/>
  <c r="F133" i="35" s="1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D133" i="35"/>
  <c r="I132" i="35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H132" i="35"/>
  <c r="G132" i="35"/>
  <c r="F132" i="35"/>
  <c r="E132" i="35"/>
  <c r="D132" i="35"/>
  <c r="I131" i="35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B131" i="35" s="1"/>
  <c r="E131" i="35"/>
  <c r="F131" i="35" s="1"/>
  <c r="G131" i="35" s="1"/>
  <c r="H131" i="35" s="1"/>
  <c r="D131" i="35"/>
  <c r="F130" i="35"/>
  <c r="G130" i="35" s="1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B130" i="35" s="1"/>
  <c r="E130" i="35"/>
  <c r="D130" i="35"/>
  <c r="D128" i="35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D127" i="35"/>
  <c r="E127" i="35" s="1"/>
  <c r="F127" i="35" s="1"/>
  <c r="G127" i="35" s="1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B127" i="35" s="1"/>
  <c r="AB126" i="35"/>
  <c r="AC126" i="35" s="1"/>
  <c r="AD126" i="35" s="1"/>
  <c r="AE126" i="35" s="1"/>
  <c r="AF126" i="35" s="1"/>
  <c r="B126" i="35" s="1"/>
  <c r="F126" i="35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D126" i="35"/>
  <c r="E126" i="35" s="1"/>
  <c r="D125" i="35"/>
  <c r="E125" i="35" s="1"/>
  <c r="F125" i="35" s="1"/>
  <c r="G125" i="35" s="1"/>
  <c r="H125" i="35" s="1"/>
  <c r="I125" i="35" s="1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B125" i="35" s="1"/>
  <c r="H124" i="35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D124" i="35"/>
  <c r="E124" i="35" s="1"/>
  <c r="F124" i="35" s="1"/>
  <c r="G124" i="35" s="1"/>
  <c r="AA123" i="35"/>
  <c r="AB123" i="35" s="1"/>
  <c r="AC123" i="35" s="1"/>
  <c r="AD123" i="35" s="1"/>
  <c r="AE123" i="35" s="1"/>
  <c r="AF123" i="35" s="1"/>
  <c r="B123" i="35" s="1"/>
  <c r="H123" i="35"/>
  <c r="I123" i="35" s="1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F123" i="35"/>
  <c r="G123" i="35" s="1"/>
  <c r="D123" i="35"/>
  <c r="E123" i="35" s="1"/>
  <c r="D122" i="35"/>
  <c r="E122" i="35" s="1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D121" i="35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J120" i="35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I120" i="35"/>
  <c r="E120" i="35"/>
  <c r="F120" i="35" s="1"/>
  <c r="G120" i="35" s="1"/>
  <c r="H120" i="35" s="1"/>
  <c r="D120" i="35"/>
  <c r="H119" i="35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B119" i="35" s="1"/>
  <c r="D119" i="35"/>
  <c r="E119" i="35" s="1"/>
  <c r="F119" i="35" s="1"/>
  <c r="G119" i="35" s="1"/>
  <c r="F118" i="35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B118" i="35" s="1"/>
  <c r="E118" i="35"/>
  <c r="D118" i="35"/>
  <c r="F117" i="35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E117" i="35"/>
  <c r="D117" i="35"/>
  <c r="L116" i="35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E116" i="35"/>
  <c r="F116" i="35" s="1"/>
  <c r="G116" i="35" s="1"/>
  <c r="H116" i="35" s="1"/>
  <c r="I116" i="35" s="1"/>
  <c r="J116" i="35" s="1"/>
  <c r="K116" i="35" s="1"/>
  <c r="D116" i="35"/>
  <c r="I115" i="35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D115" i="35"/>
  <c r="E115" i="35" s="1"/>
  <c r="F115" i="35" s="1"/>
  <c r="G115" i="35" s="1"/>
  <c r="H115" i="35" s="1"/>
  <c r="D114" i="35"/>
  <c r="N113" i="35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M113" i="35"/>
  <c r="K113" i="35"/>
  <c r="L113" i="35" s="1"/>
  <c r="F113" i="35"/>
  <c r="G113" i="35" s="1"/>
  <c r="H113" i="35" s="1"/>
  <c r="I113" i="35" s="1"/>
  <c r="E113" i="35"/>
  <c r="D113" i="35"/>
  <c r="J112" i="35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E112" i="35" s="1"/>
  <c r="F112" i="35" s="1"/>
  <c r="G112" i="35" s="1"/>
  <c r="H112" i="35" s="1"/>
  <c r="I112" i="35" s="1"/>
  <c r="I111" i="35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B111" i="35" s="1"/>
  <c r="H111" i="35"/>
  <c r="F111" i="35"/>
  <c r="G111" i="35" s="1"/>
  <c r="E111" i="35"/>
  <c r="D111" i="35"/>
  <c r="D109" i="35"/>
  <c r="E109" i="35" s="1"/>
  <c r="F109" i="35" s="1"/>
  <c r="G109" i="35" s="1"/>
  <c r="H109" i="35" s="1"/>
  <c r="I109" i="35" s="1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B109" i="35" s="1"/>
  <c r="D108" i="35"/>
  <c r="E108" i="35" s="1"/>
  <c r="P106" i="35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K106" i="35"/>
  <c r="L106" i="35" s="1"/>
  <c r="M106" i="35" s="1"/>
  <c r="N106" i="35" s="1"/>
  <c r="O106" i="35" s="1"/>
  <c r="D106" i="35"/>
  <c r="E106" i="35" s="1"/>
  <c r="F106" i="35" s="1"/>
  <c r="G106" i="35" s="1"/>
  <c r="H106" i="35" s="1"/>
  <c r="I106" i="35" s="1"/>
  <c r="J106" i="35" s="1"/>
  <c r="I105" i="35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H105" i="35"/>
  <c r="E105" i="35"/>
  <c r="F105" i="35" s="1"/>
  <c r="G105" i="35" s="1"/>
  <c r="D105" i="35"/>
  <c r="D104" i="35"/>
  <c r="E104" i="35" s="1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I103" i="35"/>
  <c r="J103" i="35" s="1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B103" i="35" s="1"/>
  <c r="E103" i="35"/>
  <c r="F103" i="35" s="1"/>
  <c r="G103" i="35" s="1"/>
  <c r="H103" i="35" s="1"/>
  <c r="D103" i="35"/>
  <c r="H102" i="35"/>
  <c r="E102" i="35"/>
  <c r="F102" i="35" s="1"/>
  <c r="G102" i="35" s="1"/>
  <c r="D102" i="35"/>
  <c r="E101" i="35"/>
  <c r="D101" i="35"/>
  <c r="AI98" i="35"/>
  <c r="AH98" i="35"/>
  <c r="AI97" i="35"/>
  <c r="AH97" i="35"/>
  <c r="AH96" i="35"/>
  <c r="AI96" i="35" s="1"/>
  <c r="AH95" i="35"/>
  <c r="AI95" i="35" s="1"/>
  <c r="AH94" i="35"/>
  <c r="AI94" i="35" s="1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G82" i="35"/>
  <c r="B82" i="35"/>
  <c r="AI81" i="35"/>
  <c r="AH81" i="35"/>
  <c r="AI80" i="35"/>
  <c r="AF80" i="35"/>
  <c r="AE80" i="35"/>
  <c r="AD80" i="35"/>
  <c r="AC80" i="35"/>
  <c r="AB80" i="35"/>
  <c r="AA80" i="35"/>
  <c r="Z80" i="35"/>
  <c r="Z82" i="35" s="1"/>
  <c r="Y80" i="35"/>
  <c r="X80" i="35"/>
  <c r="W80" i="35"/>
  <c r="V80" i="35"/>
  <c r="U80" i="35"/>
  <c r="T80" i="35"/>
  <c r="S80" i="35"/>
  <c r="R80" i="35"/>
  <c r="R82" i="35" s="1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B80" i="35"/>
  <c r="AH80" i="35" s="1"/>
  <c r="AF79" i="35"/>
  <c r="AE79" i="35"/>
  <c r="AD79" i="35"/>
  <c r="AC79" i="35"/>
  <c r="AB79" i="35"/>
  <c r="AA79" i="35"/>
  <c r="AA82" i="35" s="1"/>
  <c r="Z79" i="35"/>
  <c r="Y79" i="35"/>
  <c r="X79" i="35"/>
  <c r="W79" i="35"/>
  <c r="V79" i="35"/>
  <c r="U79" i="35"/>
  <c r="T79" i="35"/>
  <c r="S79" i="35"/>
  <c r="S82" i="35" s="1"/>
  <c r="R79" i="35"/>
  <c r="Q79" i="35"/>
  <c r="P79" i="35"/>
  <c r="O79" i="35"/>
  <c r="N79" i="35"/>
  <c r="M79" i="35"/>
  <c r="L79" i="35"/>
  <c r="K79" i="35"/>
  <c r="K82" i="35" s="1"/>
  <c r="J79" i="35"/>
  <c r="I79" i="35"/>
  <c r="H79" i="35"/>
  <c r="G79" i="35"/>
  <c r="F79" i="35"/>
  <c r="E79" i="35"/>
  <c r="D79" i="35"/>
  <c r="C79" i="35"/>
  <c r="C82" i="35" s="1"/>
  <c r="B79" i="35"/>
  <c r="AF78" i="35"/>
  <c r="AE78" i="35"/>
  <c r="AE82" i="35" s="1"/>
  <c r="AD78" i="35"/>
  <c r="AC78" i="35"/>
  <c r="AB78" i="35"/>
  <c r="AA78" i="35"/>
  <c r="Z78" i="35"/>
  <c r="Y78" i="35"/>
  <c r="X78" i="35"/>
  <c r="W78" i="35"/>
  <c r="W82" i="35" s="1"/>
  <c r="V78" i="35"/>
  <c r="U78" i="35"/>
  <c r="T78" i="35"/>
  <c r="S78" i="35"/>
  <c r="R78" i="35"/>
  <c r="Q78" i="35"/>
  <c r="P78" i="35"/>
  <c r="O78" i="35"/>
  <c r="O82" i="35" s="1"/>
  <c r="N78" i="35"/>
  <c r="M78" i="35"/>
  <c r="L78" i="35"/>
  <c r="K78" i="35"/>
  <c r="J78" i="35"/>
  <c r="I78" i="35"/>
  <c r="H78" i="35"/>
  <c r="G78" i="35"/>
  <c r="G82" i="35" s="1"/>
  <c r="F78" i="35"/>
  <c r="E78" i="35"/>
  <c r="D78" i="35"/>
  <c r="C78" i="35"/>
  <c r="B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AH77" i="35" s="1"/>
  <c r="G77" i="35"/>
  <c r="F77" i="35"/>
  <c r="E77" i="35"/>
  <c r="D77" i="35"/>
  <c r="C77" i="35"/>
  <c r="B77" i="35"/>
  <c r="AI77" i="35" s="1"/>
  <c r="AF76" i="35"/>
  <c r="AF82" i="35" s="1"/>
  <c r="AE76" i="35"/>
  <c r="AD76" i="35"/>
  <c r="AC76" i="35"/>
  <c r="AB76" i="35"/>
  <c r="AB82" i="35" s="1"/>
  <c r="AA76" i="35"/>
  <c r="Z76" i="35"/>
  <c r="Y76" i="35"/>
  <c r="Y82" i="35" s="1"/>
  <c r="X76" i="35"/>
  <c r="X82" i="35" s="1"/>
  <c r="W76" i="35"/>
  <c r="V76" i="35"/>
  <c r="U76" i="35"/>
  <c r="T76" i="35"/>
  <c r="T82" i="35" s="1"/>
  <c r="S76" i="35"/>
  <c r="R76" i="35"/>
  <c r="Q76" i="35"/>
  <c r="Q82" i="35" s="1"/>
  <c r="P76" i="35"/>
  <c r="P82" i="35" s="1"/>
  <c r="O76" i="35"/>
  <c r="N76" i="35"/>
  <c r="M76" i="35"/>
  <c r="L76" i="35"/>
  <c r="L82" i="35" s="1"/>
  <c r="K76" i="35"/>
  <c r="J76" i="35"/>
  <c r="J82" i="35" s="1"/>
  <c r="I76" i="35"/>
  <c r="I82" i="35" s="1"/>
  <c r="H76" i="35"/>
  <c r="H82" i="35" s="1"/>
  <c r="G76" i="35"/>
  <c r="F76" i="35"/>
  <c r="E76" i="35"/>
  <c r="D76" i="35"/>
  <c r="D82" i="35" s="1"/>
  <c r="C76" i="35"/>
  <c r="B76" i="35"/>
  <c r="AI76" i="35" s="1"/>
  <c r="S75" i="35"/>
  <c r="P75" i="35"/>
  <c r="AH213" i="35" s="1"/>
  <c r="H75" i="35"/>
  <c r="Z213" i="35" s="1"/>
  <c r="AI74" i="35"/>
  <c r="AH74" i="35"/>
  <c r="P73" i="35"/>
  <c r="P83" i="35" s="1"/>
  <c r="O73" i="35"/>
  <c r="H73" i="35"/>
  <c r="H83" i="35" s="1"/>
  <c r="G73" i="35"/>
  <c r="AG72" i="35"/>
  <c r="AG75" i="35" s="1"/>
  <c r="AF72" i="35"/>
  <c r="AE72" i="35"/>
  <c r="AD72" i="35"/>
  <c r="AC72" i="35"/>
  <c r="AB72" i="35"/>
  <c r="AA72" i="35"/>
  <c r="Z72" i="35"/>
  <c r="Y72" i="35"/>
  <c r="X72" i="35"/>
  <c r="W72" i="35"/>
  <c r="V72" i="35"/>
  <c r="U72" i="35"/>
  <c r="T72" i="35"/>
  <c r="T75" i="35" s="1"/>
  <c r="S72" i="35"/>
  <c r="R72" i="35"/>
  <c r="Q72" i="35"/>
  <c r="Q75" i="35" s="1"/>
  <c r="AI213" i="35" s="1"/>
  <c r="P72" i="35"/>
  <c r="O72" i="35"/>
  <c r="N72" i="35"/>
  <c r="M72" i="35"/>
  <c r="L72" i="35"/>
  <c r="L75" i="35" s="1"/>
  <c r="K72" i="35"/>
  <c r="J72" i="35"/>
  <c r="I72" i="35"/>
  <c r="I75" i="35" s="1"/>
  <c r="AA213" i="35" s="1"/>
  <c r="H72" i="35"/>
  <c r="G72" i="35"/>
  <c r="F72" i="35"/>
  <c r="E72" i="35"/>
  <c r="D72" i="35"/>
  <c r="D75" i="35" s="1"/>
  <c r="C72" i="35"/>
  <c r="B72" i="35"/>
  <c r="AI71" i="35"/>
  <c r="AH71" i="35"/>
  <c r="AI70" i="35"/>
  <c r="AH70" i="35"/>
  <c r="AI69" i="35"/>
  <c r="AH69" i="35"/>
  <c r="AG68" i="35"/>
  <c r="AF68" i="35"/>
  <c r="AE68" i="35"/>
  <c r="AD68" i="35"/>
  <c r="AC68" i="35"/>
  <c r="AB68" i="35"/>
  <c r="AA5" i="35" s="1"/>
  <c r="AA68" i="35"/>
  <c r="Z68" i="35"/>
  <c r="Y68" i="35"/>
  <c r="X68" i="35"/>
  <c r="W68" i="35"/>
  <c r="V68" i="35"/>
  <c r="U68" i="35"/>
  <c r="T68" i="35"/>
  <c r="T73" i="35" s="1"/>
  <c r="S68" i="35"/>
  <c r="R68" i="35"/>
  <c r="R73" i="35" s="1"/>
  <c r="Q68" i="35"/>
  <c r="P68" i="35"/>
  <c r="O68" i="35"/>
  <c r="N68" i="35"/>
  <c r="M68" i="35"/>
  <c r="L68" i="35"/>
  <c r="K5" i="35" s="1"/>
  <c r="K68" i="35"/>
  <c r="J68" i="35"/>
  <c r="I68" i="35"/>
  <c r="H68" i="35"/>
  <c r="G68" i="35"/>
  <c r="F68" i="35"/>
  <c r="E68" i="35"/>
  <c r="D68" i="35"/>
  <c r="D73" i="35" s="1"/>
  <c r="C68" i="35"/>
  <c r="B68" i="35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Z56" i="35"/>
  <c r="Z73" i="35" s="1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J73" i="35" s="1"/>
  <c r="I56" i="35"/>
  <c r="H56" i="35"/>
  <c r="G56" i="35"/>
  <c r="F56" i="35"/>
  <c r="E56" i="35"/>
  <c r="D56" i="35"/>
  <c r="C56" i="35"/>
  <c r="B56" i="35"/>
  <c r="AI55" i="35"/>
  <c r="AH55" i="35"/>
  <c r="AI54" i="35"/>
  <c r="AH54" i="35"/>
  <c r="AI53" i="35"/>
  <c r="AH53" i="35"/>
  <c r="AG52" i="35"/>
  <c r="Z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AG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K75" i="35" s="1"/>
  <c r="J38" i="35"/>
  <c r="I38" i="35"/>
  <c r="H38" i="35"/>
  <c r="G38" i="35"/>
  <c r="F38" i="35"/>
  <c r="E38" i="35"/>
  <c r="D38" i="35"/>
  <c r="C38" i="35"/>
  <c r="B38" i="35"/>
  <c r="AI38" i="35" s="1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I7" i="35"/>
  <c r="H7" i="35"/>
  <c r="AE5" i="35"/>
  <c r="AD5" i="35"/>
  <c r="AB5" i="35"/>
  <c r="Z5" i="35"/>
  <c r="Y5" i="35"/>
  <c r="W5" i="35"/>
  <c r="V5" i="35"/>
  <c r="U5" i="35"/>
  <c r="T5" i="35"/>
  <c r="R5" i="35"/>
  <c r="Q5" i="35"/>
  <c r="O5" i="35"/>
  <c r="N5" i="35"/>
  <c r="M5" i="35"/>
  <c r="L5" i="35"/>
  <c r="J5" i="35"/>
  <c r="I5" i="35"/>
  <c r="G5" i="35"/>
  <c r="F5" i="35"/>
  <c r="E5" i="35"/>
  <c r="D5" i="35"/>
  <c r="C5" i="35"/>
  <c r="B5" i="35"/>
  <c r="AG4" i="35"/>
  <c r="K4" i="35"/>
  <c r="B4" i="35"/>
  <c r="AG3" i="35"/>
  <c r="AG2" i="35"/>
  <c r="AG6" i="35" s="1"/>
  <c r="E4" i="35"/>
  <c r="H4" i="35" l="1"/>
  <c r="AL213" i="35"/>
  <c r="T7" i="35"/>
  <c r="AC213" i="35"/>
  <c r="K7" i="35"/>
  <c r="AD213" i="35"/>
  <c r="L7" i="35"/>
  <c r="V213" i="35"/>
  <c r="D7" i="35"/>
  <c r="AH76" i="35"/>
  <c r="AK213" i="35"/>
  <c r="S7" i="35"/>
  <c r="D210" i="35"/>
  <c r="S210" i="35"/>
  <c r="F73" i="35"/>
  <c r="F83" i="35" s="1"/>
  <c r="N73" i="35"/>
  <c r="AC5" i="35"/>
  <c r="AI79" i="35"/>
  <c r="E191" i="35"/>
  <c r="E73" i="35"/>
  <c r="I83" i="35"/>
  <c r="F101" i="35"/>
  <c r="M73" i="35"/>
  <c r="F75" i="35"/>
  <c r="AI78" i="35"/>
  <c r="AH38" i="35"/>
  <c r="H5" i="35"/>
  <c r="I73" i="35"/>
  <c r="P5" i="35"/>
  <c r="Q73" i="35"/>
  <c r="X5" i="35"/>
  <c r="AG73" i="35"/>
  <c r="AG83" i="35" s="1"/>
  <c r="AI72" i="35"/>
  <c r="J75" i="35"/>
  <c r="J83" i="35"/>
  <c r="R75" i="35"/>
  <c r="R83" i="35" s="1"/>
  <c r="Z75" i="35"/>
  <c r="Z83" i="35"/>
  <c r="AH72" i="35"/>
  <c r="L73" i="35"/>
  <c r="L83" i="35" s="1"/>
  <c r="P7" i="35"/>
  <c r="Q7" i="35"/>
  <c r="S5" i="35"/>
  <c r="AF5" i="35"/>
  <c r="AI68" i="35"/>
  <c r="AH68" i="35"/>
  <c r="F82" i="35"/>
  <c r="N82" i="35"/>
  <c r="V82" i="35"/>
  <c r="AD82" i="35"/>
  <c r="E82" i="35"/>
  <c r="AH82" i="35" s="1"/>
  <c r="M82" i="35"/>
  <c r="U82" i="35"/>
  <c r="AC82" i="35"/>
  <c r="F108" i="35"/>
  <c r="I102" i="35"/>
  <c r="D93" i="35"/>
  <c r="E114" i="35"/>
  <c r="F114" i="35" s="1"/>
  <c r="G114" i="35" s="1"/>
  <c r="H114" i="35" s="1"/>
  <c r="I114" i="35" s="1"/>
  <c r="J114" i="35" s="1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AH79" i="35"/>
  <c r="AI56" i="35"/>
  <c r="AH56" i="35"/>
  <c r="C73" i="35"/>
  <c r="C75" i="35" s="1"/>
  <c r="K73" i="35"/>
  <c r="K83" i="35" s="1"/>
  <c r="S73" i="35"/>
  <c r="S83" i="35" s="1"/>
  <c r="D83" i="35"/>
  <c r="T83" i="35"/>
  <c r="N75" i="35"/>
  <c r="Q83" i="35"/>
  <c r="E75" i="35"/>
  <c r="M75" i="35"/>
  <c r="AH78" i="35"/>
  <c r="G75" i="35"/>
  <c r="G83" i="35" s="1"/>
  <c r="O75" i="35"/>
  <c r="D191" i="35"/>
  <c r="G198" i="35"/>
  <c r="E234" i="35"/>
  <c r="D199" i="35"/>
  <c r="E193" i="35"/>
  <c r="E93" i="35" s="1"/>
  <c r="D234" i="35"/>
  <c r="AR213" i="35" l="1"/>
  <c r="Z7" i="35"/>
  <c r="AG213" i="35"/>
  <c r="O7" i="35"/>
  <c r="U213" i="35"/>
  <c r="C7" i="35"/>
  <c r="J102" i="35"/>
  <c r="C83" i="35"/>
  <c r="X213" i="35"/>
  <c r="F7" i="35"/>
  <c r="AJ213" i="35"/>
  <c r="R7" i="35"/>
  <c r="M83" i="35"/>
  <c r="AF213" i="35"/>
  <c r="N7" i="35"/>
  <c r="G108" i="35"/>
  <c r="F191" i="35"/>
  <c r="G101" i="35"/>
  <c r="O83" i="35"/>
  <c r="F234" i="35"/>
  <c r="H198" i="35"/>
  <c r="AB213" i="35"/>
  <c r="J7" i="35"/>
  <c r="Y213" i="35"/>
  <c r="C208" i="35"/>
  <c r="B208" i="35"/>
  <c r="K6" i="35" s="1"/>
  <c r="G7" i="35"/>
  <c r="AE213" i="35"/>
  <c r="M7" i="35"/>
  <c r="AI82" i="35"/>
  <c r="E199" i="35"/>
  <c r="F193" i="35"/>
  <c r="F93" i="35" s="1"/>
  <c r="W213" i="35"/>
  <c r="E7" i="35"/>
  <c r="E83" i="35"/>
  <c r="N83" i="35"/>
  <c r="G191" i="35" l="1"/>
  <c r="H101" i="35"/>
  <c r="K102" i="35"/>
  <c r="H108" i="35"/>
  <c r="G93" i="35"/>
  <c r="G193" i="35"/>
  <c r="F199" i="35"/>
  <c r="G234" i="35"/>
  <c r="I198" i="35"/>
  <c r="I108" i="35" l="1"/>
  <c r="H93" i="35"/>
  <c r="L102" i="35"/>
  <c r="H191" i="35"/>
  <c r="I101" i="35"/>
  <c r="H234" i="35"/>
  <c r="J198" i="35"/>
  <c r="G199" i="35"/>
  <c r="H193" i="35"/>
  <c r="I191" i="35" l="1"/>
  <c r="J101" i="35"/>
  <c r="H199" i="35"/>
  <c r="I193" i="35"/>
  <c r="M102" i="35"/>
  <c r="J108" i="35"/>
  <c r="I234" i="35"/>
  <c r="K198" i="35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B235" i="34"/>
  <c r="A235" i="34"/>
  <c r="B234" i="34"/>
  <c r="S209" i="34"/>
  <c r="AG199" i="34"/>
  <c r="D199" i="34"/>
  <c r="C199" i="34"/>
  <c r="E198" i="34"/>
  <c r="D198" i="34"/>
  <c r="C234" i="34" s="1"/>
  <c r="S197" i="34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K197" i="34"/>
  <c r="L197" i="34" s="1"/>
  <c r="M197" i="34" s="1"/>
  <c r="N197" i="34" s="1"/>
  <c r="O197" i="34" s="1"/>
  <c r="P197" i="34" s="1"/>
  <c r="Q197" i="34" s="1"/>
  <c r="R197" i="34" s="1"/>
  <c r="E197" i="34"/>
  <c r="F197" i="34" s="1"/>
  <c r="G197" i="34" s="1"/>
  <c r="H197" i="34" s="1"/>
  <c r="I197" i="34" s="1"/>
  <c r="J197" i="34" s="1"/>
  <c r="D197" i="34"/>
  <c r="D196" i="34"/>
  <c r="E196" i="34" s="1"/>
  <c r="F196" i="34" s="1"/>
  <c r="G196" i="34" s="1"/>
  <c r="H196" i="34" s="1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E195" i="34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D195" i="34"/>
  <c r="U194" i="34"/>
  <c r="V194" i="34" s="1"/>
  <c r="W194" i="34" s="1"/>
  <c r="X194" i="34" s="1"/>
  <c r="Y194" i="34" s="1"/>
  <c r="Z194" i="34" s="1"/>
  <c r="AA194" i="34" s="1"/>
  <c r="AB194" i="34" s="1"/>
  <c r="AC194" i="34" s="1"/>
  <c r="AD194" i="34" s="1"/>
  <c r="AE194" i="34" s="1"/>
  <c r="AF194" i="34" s="1"/>
  <c r="B194" i="34" s="1"/>
  <c r="M194" i="34"/>
  <c r="N194" i="34" s="1"/>
  <c r="O194" i="34" s="1"/>
  <c r="P194" i="34" s="1"/>
  <c r="Q194" i="34" s="1"/>
  <c r="R194" i="34" s="1"/>
  <c r="S194" i="34" s="1"/>
  <c r="T194" i="34" s="1"/>
  <c r="E194" i="34"/>
  <c r="F194" i="34" s="1"/>
  <c r="G194" i="34" s="1"/>
  <c r="H194" i="34" s="1"/>
  <c r="I194" i="34" s="1"/>
  <c r="J194" i="34" s="1"/>
  <c r="K194" i="34" s="1"/>
  <c r="L194" i="34" s="1"/>
  <c r="D194" i="34"/>
  <c r="E193" i="34"/>
  <c r="F193" i="34" s="1"/>
  <c r="G193" i="34" s="1"/>
  <c r="D193" i="34"/>
  <c r="AG191" i="34"/>
  <c r="C191" i="34"/>
  <c r="Y190" i="34"/>
  <c r="Z190" i="34" s="1"/>
  <c r="AA190" i="34" s="1"/>
  <c r="AB190" i="34" s="1"/>
  <c r="AC190" i="34" s="1"/>
  <c r="AD190" i="34" s="1"/>
  <c r="AE190" i="34" s="1"/>
  <c r="AF190" i="34" s="1"/>
  <c r="B190" i="34" s="1"/>
  <c r="D190" i="34"/>
  <c r="E190" i="34" s="1"/>
  <c r="F190" i="34" s="1"/>
  <c r="G190" i="34" s="1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E189" i="34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D189" i="34"/>
  <c r="E188" i="34"/>
  <c r="F188" i="34" s="1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B188" i="34" s="1"/>
  <c r="D188" i="34"/>
  <c r="F187" i="34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E187" i="34"/>
  <c r="D187" i="34"/>
  <c r="I186" i="34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G186" i="34"/>
  <c r="H186" i="34" s="1"/>
  <c r="D186" i="34"/>
  <c r="E186" i="34" s="1"/>
  <c r="F186" i="34" s="1"/>
  <c r="M185" i="34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G185" i="34"/>
  <c r="H185" i="34" s="1"/>
  <c r="I185" i="34" s="1"/>
  <c r="J185" i="34" s="1"/>
  <c r="K185" i="34" s="1"/>
  <c r="L185" i="34" s="1"/>
  <c r="E185" i="34"/>
  <c r="F185" i="34" s="1"/>
  <c r="D185" i="34"/>
  <c r="M184" i="34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B184" i="34" s="1"/>
  <c r="K184" i="34"/>
  <c r="L184" i="34" s="1"/>
  <c r="E184" i="34"/>
  <c r="F184" i="34" s="1"/>
  <c r="G184" i="34" s="1"/>
  <c r="H184" i="34" s="1"/>
  <c r="I184" i="34" s="1"/>
  <c r="J184" i="34" s="1"/>
  <c r="D184" i="34"/>
  <c r="V183" i="34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F183" i="34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E183" i="34"/>
  <c r="D183" i="34"/>
  <c r="G182" i="34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D182" i="34"/>
  <c r="E182" i="34" s="1"/>
  <c r="F182" i="34" s="1"/>
  <c r="K181" i="34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B181" i="34" s="1"/>
  <c r="G181" i="34"/>
  <c r="H181" i="34" s="1"/>
  <c r="I181" i="34" s="1"/>
  <c r="J181" i="34" s="1"/>
  <c r="E181" i="34"/>
  <c r="F181" i="34" s="1"/>
  <c r="D181" i="34"/>
  <c r="Q180" i="34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E180" i="34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D180" i="34"/>
  <c r="F179" i="34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B179" i="34" s="1"/>
  <c r="E179" i="34"/>
  <c r="D179" i="34"/>
  <c r="F178" i="34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B178" i="34" s="1"/>
  <c r="E178" i="34"/>
  <c r="D178" i="34"/>
  <c r="Z176" i="34"/>
  <c r="AA176" i="34" s="1"/>
  <c r="AB176" i="34" s="1"/>
  <c r="AC176" i="34" s="1"/>
  <c r="AD176" i="34" s="1"/>
  <c r="AE176" i="34" s="1"/>
  <c r="AF176" i="34" s="1"/>
  <c r="B176" i="34" s="1"/>
  <c r="O176" i="34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E176" i="34"/>
  <c r="F176" i="34" s="1"/>
  <c r="G176" i="34" s="1"/>
  <c r="H176" i="34" s="1"/>
  <c r="I176" i="34" s="1"/>
  <c r="J176" i="34" s="1"/>
  <c r="K176" i="34" s="1"/>
  <c r="L176" i="34" s="1"/>
  <c r="M176" i="34" s="1"/>
  <c r="N176" i="34" s="1"/>
  <c r="D176" i="34"/>
  <c r="K175" i="34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B175" i="34" s="1"/>
  <c r="E175" i="34"/>
  <c r="F175" i="34" s="1"/>
  <c r="G175" i="34" s="1"/>
  <c r="H175" i="34" s="1"/>
  <c r="I175" i="34" s="1"/>
  <c r="J175" i="34" s="1"/>
  <c r="D175" i="34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O173" i="34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G173" i="34"/>
  <c r="H173" i="34" s="1"/>
  <c r="I173" i="34" s="1"/>
  <c r="J173" i="34" s="1"/>
  <c r="K173" i="34" s="1"/>
  <c r="L173" i="34" s="1"/>
  <c r="M173" i="34" s="1"/>
  <c r="N173" i="34" s="1"/>
  <c r="D173" i="34"/>
  <c r="E173" i="34" s="1"/>
  <c r="F173" i="34" s="1"/>
  <c r="E172" i="34"/>
  <c r="F172" i="34" s="1"/>
  <c r="G172" i="34" s="1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B172" i="34" s="1"/>
  <c r="D172" i="34"/>
  <c r="F171" i="34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B171" i="34" s="1"/>
  <c r="E171" i="34"/>
  <c r="D171" i="34"/>
  <c r="Q170" i="34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I170" i="34"/>
  <c r="J170" i="34" s="1"/>
  <c r="K170" i="34" s="1"/>
  <c r="L170" i="34" s="1"/>
  <c r="M170" i="34" s="1"/>
  <c r="N170" i="34" s="1"/>
  <c r="O170" i="34" s="1"/>
  <c r="P170" i="34" s="1"/>
  <c r="D170" i="34"/>
  <c r="E170" i="34" s="1"/>
  <c r="F170" i="34" s="1"/>
  <c r="G170" i="34" s="1"/>
  <c r="H170" i="34" s="1"/>
  <c r="G169" i="34"/>
  <c r="H169" i="34" s="1"/>
  <c r="I169" i="34" s="1"/>
  <c r="J169" i="34" s="1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B169" i="34" s="1"/>
  <c r="F169" i="34"/>
  <c r="E169" i="34"/>
  <c r="D169" i="34"/>
  <c r="E167" i="34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D167" i="34"/>
  <c r="F166" i="34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E166" i="34"/>
  <c r="D166" i="34"/>
  <c r="L165" i="34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B165" i="34" s="1"/>
  <c r="I165" i="34"/>
  <c r="J165" i="34" s="1"/>
  <c r="K165" i="34" s="1"/>
  <c r="D165" i="34"/>
  <c r="E165" i="34" s="1"/>
  <c r="F165" i="34" s="1"/>
  <c r="G165" i="34" s="1"/>
  <c r="H165" i="34" s="1"/>
  <c r="G164" i="34"/>
  <c r="H164" i="34" s="1"/>
  <c r="I164" i="34" s="1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E164" i="34"/>
  <c r="F164" i="34" s="1"/>
  <c r="D164" i="34"/>
  <c r="G163" i="34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E163" i="34"/>
  <c r="F163" i="34" s="1"/>
  <c r="D163" i="34"/>
  <c r="E162" i="34"/>
  <c r="F162" i="34" s="1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D162" i="34"/>
  <c r="I161" i="34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B161" i="34" s="1"/>
  <c r="D161" i="34"/>
  <c r="E161" i="34" s="1"/>
  <c r="F161" i="34" s="1"/>
  <c r="G161" i="34" s="1"/>
  <c r="H161" i="34" s="1"/>
  <c r="E160" i="34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60" i="34"/>
  <c r="AE159" i="34"/>
  <c r="AF159" i="34" s="1"/>
  <c r="B159" i="34" s="1"/>
  <c r="I159" i="34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E159" i="34"/>
  <c r="F159" i="34" s="1"/>
  <c r="G159" i="34" s="1"/>
  <c r="H159" i="34" s="1"/>
  <c r="D159" i="34"/>
  <c r="E158" i="34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D158" i="34"/>
  <c r="B158" i="34"/>
  <c r="E157" i="34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B157" i="34" s="1"/>
  <c r="D157" i="34"/>
  <c r="D156" i="34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E155" i="34"/>
  <c r="F155" i="34" s="1"/>
  <c r="G155" i="34" s="1"/>
  <c r="H155" i="34" s="1"/>
  <c r="I155" i="34" s="1"/>
  <c r="J155" i="34" s="1"/>
  <c r="K155" i="34" s="1"/>
  <c r="L155" i="34" s="1"/>
  <c r="M155" i="34" s="1"/>
  <c r="N155" i="34" s="1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B155" i="34" s="1"/>
  <c r="D155" i="34"/>
  <c r="K153" i="34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E153" i="34"/>
  <c r="F153" i="34" s="1"/>
  <c r="G153" i="34" s="1"/>
  <c r="H153" i="34" s="1"/>
  <c r="I153" i="34" s="1"/>
  <c r="J153" i="34" s="1"/>
  <c r="D153" i="34"/>
  <c r="K152" i="34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I152" i="34"/>
  <c r="J152" i="34" s="1"/>
  <c r="D152" i="34"/>
  <c r="E152" i="34" s="1"/>
  <c r="F152" i="34" s="1"/>
  <c r="G152" i="34" s="1"/>
  <c r="H152" i="34" s="1"/>
  <c r="O151" i="34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D151" i="34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X150" i="34"/>
  <c r="Y150" i="34" s="1"/>
  <c r="Z150" i="34" s="1"/>
  <c r="AA150" i="34" s="1"/>
  <c r="AB150" i="34" s="1"/>
  <c r="AC150" i="34" s="1"/>
  <c r="AD150" i="34" s="1"/>
  <c r="AE150" i="34" s="1"/>
  <c r="AF150" i="34" s="1"/>
  <c r="B150" i="34" s="1"/>
  <c r="E150" i="34"/>
  <c r="F150" i="34" s="1"/>
  <c r="G150" i="34" s="1"/>
  <c r="H150" i="34" s="1"/>
  <c r="I150" i="34" s="1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D150" i="34"/>
  <c r="N148" i="34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E148" i="34"/>
  <c r="F148" i="34" s="1"/>
  <c r="G148" i="34" s="1"/>
  <c r="H148" i="34" s="1"/>
  <c r="I148" i="34" s="1"/>
  <c r="J148" i="34" s="1"/>
  <c r="K148" i="34" s="1"/>
  <c r="L148" i="34" s="1"/>
  <c r="M148" i="34" s="1"/>
  <c r="D148" i="34"/>
  <c r="D147" i="34"/>
  <c r="E147" i="34" s="1"/>
  <c r="F147" i="34" s="1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B147" i="34" s="1"/>
  <c r="O145" i="34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B145" i="34" s="1"/>
  <c r="D145" i="34"/>
  <c r="E145" i="34" s="1"/>
  <c r="F145" i="34" s="1"/>
  <c r="G145" i="34" s="1"/>
  <c r="H145" i="34" s="1"/>
  <c r="I145" i="34" s="1"/>
  <c r="J145" i="34" s="1"/>
  <c r="K145" i="34" s="1"/>
  <c r="L145" i="34" s="1"/>
  <c r="M145" i="34" s="1"/>
  <c r="N145" i="34" s="1"/>
  <c r="X144" i="34"/>
  <c r="Y144" i="34" s="1"/>
  <c r="Z144" i="34" s="1"/>
  <c r="AA144" i="34" s="1"/>
  <c r="AB144" i="34" s="1"/>
  <c r="AC144" i="34" s="1"/>
  <c r="AD144" i="34" s="1"/>
  <c r="AE144" i="34" s="1"/>
  <c r="AF144" i="34" s="1"/>
  <c r="B144" i="34" s="1"/>
  <c r="E144" i="34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D144" i="34"/>
  <c r="E143" i="34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D143" i="34"/>
  <c r="D142" i="34"/>
  <c r="E142" i="34" s="1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D141" i="34"/>
  <c r="E141" i="34" s="1"/>
  <c r="F141" i="34" s="1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E140" i="34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B140" i="34" s="1"/>
  <c r="D140" i="34"/>
  <c r="AC139" i="34"/>
  <c r="AD139" i="34" s="1"/>
  <c r="AE139" i="34" s="1"/>
  <c r="AF139" i="34" s="1"/>
  <c r="B139" i="34" s="1"/>
  <c r="O139" i="34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E139" i="34"/>
  <c r="F139" i="34" s="1"/>
  <c r="G139" i="34" s="1"/>
  <c r="H139" i="34" s="1"/>
  <c r="I139" i="34" s="1"/>
  <c r="J139" i="34" s="1"/>
  <c r="K139" i="34" s="1"/>
  <c r="L139" i="34" s="1"/>
  <c r="M139" i="34" s="1"/>
  <c r="N139" i="34" s="1"/>
  <c r="D139" i="34"/>
  <c r="D137" i="34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N136" i="34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B136" i="34" s="1"/>
  <c r="E136" i="34"/>
  <c r="F136" i="34" s="1"/>
  <c r="G136" i="34" s="1"/>
  <c r="H136" i="34" s="1"/>
  <c r="I136" i="34" s="1"/>
  <c r="J136" i="34" s="1"/>
  <c r="K136" i="34" s="1"/>
  <c r="L136" i="34" s="1"/>
  <c r="M136" i="34" s="1"/>
  <c r="D136" i="34"/>
  <c r="D135" i="34"/>
  <c r="E135" i="34" s="1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T134" i="34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L134" i="34"/>
  <c r="M134" i="34" s="1"/>
  <c r="N134" i="34" s="1"/>
  <c r="O134" i="34" s="1"/>
  <c r="P134" i="34" s="1"/>
  <c r="Q134" i="34" s="1"/>
  <c r="R134" i="34" s="1"/>
  <c r="S134" i="34" s="1"/>
  <c r="D134" i="34"/>
  <c r="E134" i="34" s="1"/>
  <c r="F134" i="34" s="1"/>
  <c r="G134" i="34" s="1"/>
  <c r="H134" i="34" s="1"/>
  <c r="I134" i="34" s="1"/>
  <c r="J134" i="34" s="1"/>
  <c r="K134" i="34" s="1"/>
  <c r="E133" i="34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D133" i="34"/>
  <c r="D132" i="34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I131" i="34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B131" i="34" s="1"/>
  <c r="F131" i="34"/>
  <c r="G131" i="34" s="1"/>
  <c r="H131" i="34" s="1"/>
  <c r="E131" i="34"/>
  <c r="D131" i="34"/>
  <c r="D130" i="34"/>
  <c r="E130" i="34" s="1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B130" i="34" s="1"/>
  <c r="D128" i="34"/>
  <c r="E128" i="34" s="1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K127" i="34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D127" i="34"/>
  <c r="E127" i="34" s="1"/>
  <c r="F127" i="34" s="1"/>
  <c r="G127" i="34" s="1"/>
  <c r="H127" i="34" s="1"/>
  <c r="I127" i="34" s="1"/>
  <c r="J127" i="34" s="1"/>
  <c r="I126" i="34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H126" i="34"/>
  <c r="F126" i="34"/>
  <c r="G126" i="34" s="1"/>
  <c r="E126" i="34"/>
  <c r="D126" i="34"/>
  <c r="AB125" i="34"/>
  <c r="AC125" i="34" s="1"/>
  <c r="AD125" i="34" s="1"/>
  <c r="AE125" i="34" s="1"/>
  <c r="AF125" i="34" s="1"/>
  <c r="B125" i="34" s="1"/>
  <c r="L125" i="34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D125" i="34"/>
  <c r="E125" i="34" s="1"/>
  <c r="F125" i="34" s="1"/>
  <c r="G125" i="34" s="1"/>
  <c r="H125" i="34" s="1"/>
  <c r="I125" i="34" s="1"/>
  <c r="J125" i="34" s="1"/>
  <c r="K125" i="34" s="1"/>
  <c r="D124" i="34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H123" i="34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E123" i="34" s="1"/>
  <c r="F123" i="34" s="1"/>
  <c r="G123" i="34" s="1"/>
  <c r="V122" i="34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F122" i="34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E122" i="34"/>
  <c r="D122" i="34"/>
  <c r="F121" i="34"/>
  <c r="G121" i="34" s="1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D121" i="34"/>
  <c r="E121" i="34" s="1"/>
  <c r="D120" i="34"/>
  <c r="E120" i="34" s="1"/>
  <c r="F120" i="34" s="1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D119" i="34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D118" i="34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I117" i="34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G117" i="34"/>
  <c r="H117" i="34" s="1"/>
  <c r="D117" i="34"/>
  <c r="E117" i="34" s="1"/>
  <c r="F117" i="34" s="1"/>
  <c r="M116" i="34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G116" i="34"/>
  <c r="H116" i="34" s="1"/>
  <c r="I116" i="34" s="1"/>
  <c r="J116" i="34" s="1"/>
  <c r="K116" i="34" s="1"/>
  <c r="L116" i="34" s="1"/>
  <c r="E116" i="34"/>
  <c r="F116" i="34" s="1"/>
  <c r="D116" i="34"/>
  <c r="M115" i="34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K115" i="34"/>
  <c r="L115" i="34" s="1"/>
  <c r="E115" i="34"/>
  <c r="F115" i="34" s="1"/>
  <c r="G115" i="34" s="1"/>
  <c r="H115" i="34" s="1"/>
  <c r="I115" i="34" s="1"/>
  <c r="J115" i="34" s="1"/>
  <c r="D115" i="34"/>
  <c r="Q114" i="34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K114" i="34"/>
  <c r="L114" i="34" s="1"/>
  <c r="M114" i="34" s="1"/>
  <c r="N114" i="34" s="1"/>
  <c r="O114" i="34" s="1"/>
  <c r="P114" i="34" s="1"/>
  <c r="I114" i="34"/>
  <c r="J114" i="34" s="1"/>
  <c r="D114" i="34"/>
  <c r="E114" i="34" s="1"/>
  <c r="F114" i="34" s="1"/>
  <c r="G114" i="34" s="1"/>
  <c r="H114" i="34" s="1"/>
  <c r="Q113" i="34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O113" i="34"/>
  <c r="P113" i="34" s="1"/>
  <c r="K113" i="34"/>
  <c r="L113" i="34" s="1"/>
  <c r="M113" i="34" s="1"/>
  <c r="N113" i="34" s="1"/>
  <c r="F113" i="34"/>
  <c r="G113" i="34" s="1"/>
  <c r="H113" i="34" s="1"/>
  <c r="I113" i="34" s="1"/>
  <c r="E113" i="34"/>
  <c r="D113" i="34"/>
  <c r="F112" i="34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D112" i="34"/>
  <c r="E112" i="34" s="1"/>
  <c r="D111" i="34"/>
  <c r="E111" i="34" s="1"/>
  <c r="F111" i="34" s="1"/>
  <c r="G111" i="34" s="1"/>
  <c r="H111" i="34" s="1"/>
  <c r="I111" i="34" s="1"/>
  <c r="J111" i="34" s="1"/>
  <c r="K111" i="34" s="1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B111" i="34" s="1"/>
  <c r="H109" i="34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D109" i="34"/>
  <c r="E109" i="34" s="1"/>
  <c r="F109" i="34" s="1"/>
  <c r="G109" i="34" s="1"/>
  <c r="I108" i="34"/>
  <c r="J108" i="34" s="1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B108" i="34" s="1"/>
  <c r="H108" i="34"/>
  <c r="F108" i="34"/>
  <c r="G108" i="34" s="1"/>
  <c r="E108" i="34"/>
  <c r="D108" i="34"/>
  <c r="D106" i="34"/>
  <c r="E106" i="34" s="1"/>
  <c r="F106" i="34" s="1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L105" i="34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J105" i="34"/>
  <c r="K105" i="34" s="1"/>
  <c r="E105" i="34"/>
  <c r="F105" i="34" s="1"/>
  <c r="G105" i="34" s="1"/>
  <c r="H105" i="34" s="1"/>
  <c r="I105" i="34" s="1"/>
  <c r="D105" i="34"/>
  <c r="H104" i="34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D104" i="34"/>
  <c r="E104" i="34" s="1"/>
  <c r="F104" i="34" s="1"/>
  <c r="G104" i="34" s="1"/>
  <c r="I103" i="34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B103" i="34" s="1"/>
  <c r="H103" i="34"/>
  <c r="F103" i="34"/>
  <c r="G103" i="34" s="1"/>
  <c r="D103" i="34"/>
  <c r="E103" i="34" s="1"/>
  <c r="D102" i="34"/>
  <c r="E102" i="34" s="1"/>
  <c r="E93" i="34" s="1"/>
  <c r="E101" i="34"/>
  <c r="D101" i="34"/>
  <c r="AI98" i="34"/>
  <c r="AH98" i="34"/>
  <c r="AH97" i="34"/>
  <c r="AI97" i="34" s="1"/>
  <c r="AH96" i="34"/>
  <c r="AI96" i="34" s="1"/>
  <c r="AI95" i="34"/>
  <c r="AH95" i="34"/>
  <c r="AI94" i="34"/>
  <c r="AH94" i="34"/>
  <c r="D93" i="34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2" i="34"/>
  <c r="AB82" i="34"/>
  <c r="T82" i="34"/>
  <c r="L82" i="34"/>
  <c r="D82" i="34"/>
  <c r="AI81" i="34"/>
  <c r="AH81" i="34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K80" i="34"/>
  <c r="J80" i="34"/>
  <c r="I80" i="34"/>
  <c r="H80" i="34"/>
  <c r="G80" i="34"/>
  <c r="F80" i="34"/>
  <c r="E80" i="34"/>
  <c r="D80" i="34"/>
  <c r="C80" i="34"/>
  <c r="B80" i="34"/>
  <c r="AI80" i="34" s="1"/>
  <c r="AF79" i="34"/>
  <c r="AE79" i="34"/>
  <c r="AD79" i="34"/>
  <c r="AC79" i="34"/>
  <c r="AB79" i="34"/>
  <c r="AA79" i="34"/>
  <c r="Z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AH79" i="34" s="1"/>
  <c r="B79" i="34"/>
  <c r="AI79" i="34" s="1"/>
  <c r="AH78" i="34"/>
  <c r="AF78" i="34"/>
  <c r="AF82" i="34" s="1"/>
  <c r="AE78" i="34"/>
  <c r="AD78" i="34"/>
  <c r="AC78" i="34"/>
  <c r="AB78" i="34"/>
  <c r="AA78" i="34"/>
  <c r="Z78" i="34"/>
  <c r="Y78" i="34"/>
  <c r="X78" i="34"/>
  <c r="X82" i="34" s="1"/>
  <c r="W78" i="34"/>
  <c r="V78" i="34"/>
  <c r="U78" i="34"/>
  <c r="T78" i="34"/>
  <c r="S78" i="34"/>
  <c r="R78" i="34"/>
  <c r="Q78" i="34"/>
  <c r="P78" i="34"/>
  <c r="P82" i="34" s="1"/>
  <c r="O78" i="34"/>
  <c r="N78" i="34"/>
  <c r="M78" i="34"/>
  <c r="L78" i="34"/>
  <c r="K78" i="34"/>
  <c r="J78" i="34"/>
  <c r="I78" i="34"/>
  <c r="H78" i="34"/>
  <c r="H82" i="34" s="1"/>
  <c r="G78" i="34"/>
  <c r="F78" i="34"/>
  <c r="E78" i="34"/>
  <c r="D78" i="34"/>
  <c r="C78" i="34"/>
  <c r="B78" i="34"/>
  <c r="AI78" i="34" s="1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AI77" i="34" s="1"/>
  <c r="AF76" i="34"/>
  <c r="AE76" i="34"/>
  <c r="AE82" i="34" s="1"/>
  <c r="AD76" i="34"/>
  <c r="AD82" i="34" s="1"/>
  <c r="AC76" i="34"/>
  <c r="AC82" i="34" s="1"/>
  <c r="AB76" i="34"/>
  <c r="AA76" i="34"/>
  <c r="AA82" i="34" s="1"/>
  <c r="Z76" i="34"/>
  <c r="Z82" i="34" s="1"/>
  <c r="Y76" i="34"/>
  <c r="Y82" i="34" s="1"/>
  <c r="X76" i="34"/>
  <c r="W76" i="34"/>
  <c r="W82" i="34" s="1"/>
  <c r="V76" i="34"/>
  <c r="V82" i="34" s="1"/>
  <c r="U76" i="34"/>
  <c r="U82" i="34" s="1"/>
  <c r="T76" i="34"/>
  <c r="S76" i="34"/>
  <c r="S82" i="34" s="1"/>
  <c r="R76" i="34"/>
  <c r="R82" i="34" s="1"/>
  <c r="Q76" i="34"/>
  <c r="Q82" i="34" s="1"/>
  <c r="P76" i="34"/>
  <c r="O76" i="34"/>
  <c r="O82" i="34" s="1"/>
  <c r="N76" i="34"/>
  <c r="N82" i="34" s="1"/>
  <c r="M76" i="34"/>
  <c r="M82" i="34" s="1"/>
  <c r="L76" i="34"/>
  <c r="K76" i="34"/>
  <c r="K82" i="34" s="1"/>
  <c r="J76" i="34"/>
  <c r="J82" i="34" s="1"/>
  <c r="I76" i="34"/>
  <c r="I82" i="34" s="1"/>
  <c r="H76" i="34"/>
  <c r="G76" i="34"/>
  <c r="G82" i="34" s="1"/>
  <c r="F76" i="34"/>
  <c r="F82" i="34" s="1"/>
  <c r="E76" i="34"/>
  <c r="E82" i="34" s="1"/>
  <c r="D76" i="34"/>
  <c r="C76" i="34"/>
  <c r="C82" i="34" s="1"/>
  <c r="B76" i="34"/>
  <c r="B82" i="34" s="1"/>
  <c r="Q75" i="34"/>
  <c r="AI213" i="34" s="1"/>
  <c r="M75" i="34"/>
  <c r="AE213" i="34" s="1"/>
  <c r="I75" i="34"/>
  <c r="AA213" i="34" s="1"/>
  <c r="E75" i="34"/>
  <c r="W213" i="34" s="1"/>
  <c r="AI74" i="34"/>
  <c r="AH74" i="34"/>
  <c r="Q73" i="34"/>
  <c r="Q83" i="34" s="1"/>
  <c r="M73" i="34"/>
  <c r="I73" i="34"/>
  <c r="E73" i="34"/>
  <c r="AI72" i="34"/>
  <c r="AG72" i="34"/>
  <c r="AF72" i="34"/>
  <c r="AE72" i="34"/>
  <c r="AD72" i="34"/>
  <c r="AC72" i="34"/>
  <c r="AB72" i="34"/>
  <c r="AA72" i="34"/>
  <c r="Z72" i="34"/>
  <c r="Z75" i="34" s="1"/>
  <c r="Y72" i="34"/>
  <c r="X72" i="34"/>
  <c r="W72" i="34"/>
  <c r="V72" i="34"/>
  <c r="U72" i="34"/>
  <c r="T72" i="34"/>
  <c r="S72" i="34"/>
  <c r="R72" i="34"/>
  <c r="R75" i="34" s="1"/>
  <c r="Q72" i="34"/>
  <c r="P72" i="34"/>
  <c r="O72" i="34"/>
  <c r="O75" i="34" s="1"/>
  <c r="N72" i="34"/>
  <c r="M72" i="34"/>
  <c r="L72" i="34"/>
  <c r="K72" i="34"/>
  <c r="J72" i="34"/>
  <c r="I72" i="34"/>
  <c r="I83" i="34" s="1"/>
  <c r="H72" i="34"/>
  <c r="G72" i="34"/>
  <c r="G75" i="34" s="1"/>
  <c r="F72" i="34"/>
  <c r="E72" i="34"/>
  <c r="D72" i="34"/>
  <c r="C72" i="34"/>
  <c r="B72" i="34"/>
  <c r="AI71" i="34"/>
  <c r="AH71" i="34"/>
  <c r="AI70" i="34"/>
  <c r="AH70" i="34"/>
  <c r="AI69" i="34"/>
  <c r="AH69" i="34"/>
  <c r="AG68" i="34"/>
  <c r="AF68" i="34"/>
  <c r="AE68" i="34"/>
  <c r="AD68" i="34"/>
  <c r="AC68" i="34"/>
  <c r="AB68" i="34"/>
  <c r="AA68" i="34"/>
  <c r="Z68" i="34"/>
  <c r="Y5" i="34" s="1"/>
  <c r="Y68" i="34"/>
  <c r="X68" i="34"/>
  <c r="W68" i="34"/>
  <c r="V68" i="34"/>
  <c r="U68" i="34"/>
  <c r="T68" i="34"/>
  <c r="S68" i="34"/>
  <c r="S73" i="34" s="1"/>
  <c r="R68" i="34"/>
  <c r="Q5" i="34" s="1"/>
  <c r="Q68" i="34"/>
  <c r="P68" i="34"/>
  <c r="O68" i="34"/>
  <c r="O73" i="34" s="1"/>
  <c r="N68" i="34"/>
  <c r="N73" i="34" s="1"/>
  <c r="M68" i="34"/>
  <c r="L68" i="34"/>
  <c r="K68" i="34"/>
  <c r="K73" i="34" s="1"/>
  <c r="J68" i="34"/>
  <c r="I5" i="34" s="1"/>
  <c r="I68" i="34"/>
  <c r="H68" i="34"/>
  <c r="G68" i="34"/>
  <c r="G73" i="34" s="1"/>
  <c r="F68" i="34"/>
  <c r="F73" i="34" s="1"/>
  <c r="E68" i="34"/>
  <c r="D68" i="34"/>
  <c r="C68" i="34"/>
  <c r="C73" i="34" s="1"/>
  <c r="C75" i="34" s="1"/>
  <c r="B68" i="34"/>
  <c r="AF5" i="34" s="1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AI56" i="34" s="1"/>
  <c r="B56" i="34"/>
  <c r="AH56" i="34" s="1"/>
  <c r="AI55" i="34"/>
  <c r="AH55" i="34"/>
  <c r="AI54" i="34"/>
  <c r="AH54" i="34"/>
  <c r="AI53" i="34"/>
  <c r="AH53" i="34"/>
  <c r="Z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G51" i="34"/>
  <c r="AG52" i="34" s="1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T73" i="34" s="1"/>
  <c r="S38" i="34"/>
  <c r="R38" i="34"/>
  <c r="Q38" i="34"/>
  <c r="P38" i="34"/>
  <c r="P75" i="34" s="1"/>
  <c r="O38" i="34"/>
  <c r="N38" i="34"/>
  <c r="M38" i="34"/>
  <c r="L38" i="34"/>
  <c r="L73" i="34" s="1"/>
  <c r="K38" i="34"/>
  <c r="J38" i="34"/>
  <c r="I38" i="34"/>
  <c r="H38" i="34"/>
  <c r="H75" i="34" s="1"/>
  <c r="G38" i="34"/>
  <c r="F38" i="34"/>
  <c r="E38" i="34"/>
  <c r="D38" i="34"/>
  <c r="D73" i="34" s="1"/>
  <c r="C38" i="34"/>
  <c r="AI38" i="34" s="1"/>
  <c r="B38" i="34"/>
  <c r="AH38" i="34" s="1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Q7" i="34"/>
  <c r="I7" i="34"/>
  <c r="AE5" i="34"/>
  <c r="AD5" i="34"/>
  <c r="AB5" i="34"/>
  <c r="AA5" i="34"/>
  <c r="X5" i="34"/>
  <c r="W5" i="34"/>
  <c r="V5" i="34"/>
  <c r="T5" i="34"/>
  <c r="S5" i="34"/>
  <c r="P5" i="34"/>
  <c r="O5" i="34"/>
  <c r="N5" i="34"/>
  <c r="L5" i="34"/>
  <c r="K5" i="34"/>
  <c r="H5" i="34"/>
  <c r="G5" i="34"/>
  <c r="F5" i="34"/>
  <c r="D5" i="34"/>
  <c r="C5" i="34"/>
  <c r="AG4" i="34"/>
  <c r="K4" i="34"/>
  <c r="B4" i="34"/>
  <c r="AG2" i="34"/>
  <c r="AF37" i="33"/>
  <c r="AE37" i="33"/>
  <c r="AC37" i="33"/>
  <c r="AA37" i="33"/>
  <c r="Z37" i="33"/>
  <c r="X37" i="33"/>
  <c r="W37" i="33"/>
  <c r="V37" i="33"/>
  <c r="U37" i="33"/>
  <c r="T37" i="33"/>
  <c r="S37" i="33"/>
  <c r="T10" i="1"/>
  <c r="T9" i="1"/>
  <c r="U9" i="1" s="1"/>
  <c r="V9" i="1" s="1"/>
  <c r="AH99" i="33"/>
  <c r="AI99" i="33" s="1"/>
  <c r="C95" i="33"/>
  <c r="C37" i="33"/>
  <c r="B95" i="33"/>
  <c r="B80" i="33"/>
  <c r="B79" i="33"/>
  <c r="B78" i="33"/>
  <c r="B77" i="33"/>
  <c r="B76" i="33"/>
  <c r="B72" i="33"/>
  <c r="B68" i="33"/>
  <c r="B56" i="33"/>
  <c r="B52" i="33"/>
  <c r="B51" i="33"/>
  <c r="B38" i="33"/>
  <c r="B37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P235" i="33"/>
  <c r="O235" i="33"/>
  <c r="N235" i="33"/>
  <c r="M235" i="33"/>
  <c r="L235" i="33"/>
  <c r="K235" i="33"/>
  <c r="J235" i="33"/>
  <c r="I235" i="33"/>
  <c r="H235" i="33"/>
  <c r="G235" i="33"/>
  <c r="F235" i="33"/>
  <c r="E235" i="33"/>
  <c r="D235" i="33"/>
  <c r="C235" i="33"/>
  <c r="B235" i="33"/>
  <c r="A235" i="33"/>
  <c r="D234" i="33"/>
  <c r="C234" i="33"/>
  <c r="B234" i="33"/>
  <c r="S209" i="33"/>
  <c r="AG199" i="33"/>
  <c r="C199" i="33"/>
  <c r="G198" i="33"/>
  <c r="F234" i="33" s="1"/>
  <c r="F198" i="33"/>
  <c r="E234" i="33" s="1"/>
  <c r="E198" i="33"/>
  <c r="D198" i="33"/>
  <c r="D197" i="33"/>
  <c r="E197" i="33" s="1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D196" i="33"/>
  <c r="E195" i="33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195" i="33"/>
  <c r="O194" i="33"/>
  <c r="P194" i="33" s="1"/>
  <c r="Q194" i="33" s="1"/>
  <c r="R194" i="33" s="1"/>
  <c r="S194" i="33" s="1"/>
  <c r="T194" i="33" s="1"/>
  <c r="U194" i="33" s="1"/>
  <c r="V194" i="33" s="1"/>
  <c r="W194" i="33" s="1"/>
  <c r="X194" i="33" s="1"/>
  <c r="Y194" i="33" s="1"/>
  <c r="Z194" i="33" s="1"/>
  <c r="AA194" i="33" s="1"/>
  <c r="AB194" i="33" s="1"/>
  <c r="AC194" i="33" s="1"/>
  <c r="AD194" i="33" s="1"/>
  <c r="AE194" i="33" s="1"/>
  <c r="AF194" i="33" s="1"/>
  <c r="B194" i="33" s="1"/>
  <c r="E194" i="33"/>
  <c r="F194" i="33" s="1"/>
  <c r="G194" i="33" s="1"/>
  <c r="H194" i="33" s="1"/>
  <c r="I194" i="33" s="1"/>
  <c r="J194" i="33" s="1"/>
  <c r="K194" i="33" s="1"/>
  <c r="L194" i="33" s="1"/>
  <c r="M194" i="33" s="1"/>
  <c r="N194" i="33" s="1"/>
  <c r="D194" i="33"/>
  <c r="D193" i="33"/>
  <c r="E193" i="33" s="1"/>
  <c r="AG191" i="33"/>
  <c r="C191" i="33"/>
  <c r="L190" i="33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D190" i="33"/>
  <c r="E190" i="33" s="1"/>
  <c r="F190" i="33" s="1"/>
  <c r="G190" i="33" s="1"/>
  <c r="H190" i="33" s="1"/>
  <c r="I190" i="33" s="1"/>
  <c r="J190" i="33" s="1"/>
  <c r="K190" i="33" s="1"/>
  <c r="E189" i="33"/>
  <c r="F189" i="33" s="1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D189" i="33"/>
  <c r="F188" i="33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D188" i="33"/>
  <c r="E187" i="33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D187" i="33"/>
  <c r="D186" i="33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O185" i="33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E185" i="33"/>
  <c r="F185" i="33" s="1"/>
  <c r="G185" i="33" s="1"/>
  <c r="H185" i="33" s="1"/>
  <c r="I185" i="33" s="1"/>
  <c r="J185" i="33" s="1"/>
  <c r="K185" i="33" s="1"/>
  <c r="L185" i="33" s="1"/>
  <c r="M185" i="33" s="1"/>
  <c r="N185" i="33" s="1"/>
  <c r="D185" i="33"/>
  <c r="L184" i="33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G184" i="33"/>
  <c r="H184" i="33" s="1"/>
  <c r="I184" i="33" s="1"/>
  <c r="J184" i="33" s="1"/>
  <c r="K184" i="33" s="1"/>
  <c r="D184" i="33"/>
  <c r="E184" i="33" s="1"/>
  <c r="F184" i="33" s="1"/>
  <c r="E183" i="33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D183" i="33"/>
  <c r="AE182" i="33"/>
  <c r="AF182" i="33" s="1"/>
  <c r="B182" i="33" s="1"/>
  <c r="D182" i="33"/>
  <c r="E182" i="33" s="1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G181" i="33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F181" i="33"/>
  <c r="E181" i="33"/>
  <c r="D181" i="33"/>
  <c r="P180" i="33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F180" i="33"/>
  <c r="G180" i="33" s="1"/>
  <c r="H180" i="33" s="1"/>
  <c r="I180" i="33" s="1"/>
  <c r="J180" i="33" s="1"/>
  <c r="K180" i="33" s="1"/>
  <c r="L180" i="33" s="1"/>
  <c r="M180" i="33" s="1"/>
  <c r="N180" i="33" s="1"/>
  <c r="O180" i="33" s="1"/>
  <c r="E180" i="33"/>
  <c r="D180" i="33"/>
  <c r="M179" i="33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J179" i="33"/>
  <c r="K179" i="33" s="1"/>
  <c r="L179" i="33" s="1"/>
  <c r="D179" i="33"/>
  <c r="E179" i="33" s="1"/>
  <c r="F179" i="33" s="1"/>
  <c r="G179" i="33" s="1"/>
  <c r="H179" i="33" s="1"/>
  <c r="I179" i="33" s="1"/>
  <c r="Y178" i="33"/>
  <c r="Z178" i="33" s="1"/>
  <c r="AA178" i="33" s="1"/>
  <c r="AB178" i="33" s="1"/>
  <c r="AC178" i="33" s="1"/>
  <c r="AD178" i="33" s="1"/>
  <c r="AE178" i="33" s="1"/>
  <c r="AF178" i="33" s="1"/>
  <c r="B178" i="33" s="1"/>
  <c r="E178" i="33"/>
  <c r="F178" i="33" s="1"/>
  <c r="G178" i="33" s="1"/>
  <c r="H178" i="33" s="1"/>
  <c r="I178" i="33" s="1"/>
  <c r="J178" i="33" s="1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D178" i="33"/>
  <c r="G176" i="33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F176" i="33"/>
  <c r="D176" i="33"/>
  <c r="E176" i="33" s="1"/>
  <c r="E175" i="33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D175" i="33"/>
  <c r="O174" i="33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G174" i="33"/>
  <c r="H174" i="33" s="1"/>
  <c r="I174" i="33" s="1"/>
  <c r="J174" i="33" s="1"/>
  <c r="K174" i="33" s="1"/>
  <c r="L174" i="33" s="1"/>
  <c r="M174" i="33" s="1"/>
  <c r="N174" i="33" s="1"/>
  <c r="E174" i="33"/>
  <c r="F174" i="33" s="1"/>
  <c r="D174" i="33"/>
  <c r="H173" i="33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 s="1"/>
  <c r="E173" i="33"/>
  <c r="F173" i="33" s="1"/>
  <c r="G173" i="33" s="1"/>
  <c r="D173" i="33"/>
  <c r="S172" i="33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B172" i="33" s="1"/>
  <c r="D172" i="33"/>
  <c r="E172" i="33" s="1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L171" i="33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E171" i="33"/>
  <c r="F171" i="33" s="1"/>
  <c r="G171" i="33" s="1"/>
  <c r="H171" i="33" s="1"/>
  <c r="I171" i="33" s="1"/>
  <c r="J171" i="33" s="1"/>
  <c r="K171" i="33" s="1"/>
  <c r="D171" i="33"/>
  <c r="D170" i="33"/>
  <c r="E170" i="33" s="1"/>
  <c r="F170" i="33" s="1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E169" i="33"/>
  <c r="F169" i="33" s="1"/>
  <c r="G169" i="33" s="1"/>
  <c r="H169" i="33" s="1"/>
  <c r="I169" i="33" s="1"/>
  <c r="J169" i="33" s="1"/>
  <c r="K169" i="33" s="1"/>
  <c r="L169" i="33" s="1"/>
  <c r="M169" i="33" s="1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B169" i="33" s="1"/>
  <c r="D169" i="33"/>
  <c r="K167" i="33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7" i="33"/>
  <c r="E167" i="33" s="1"/>
  <c r="F167" i="33" s="1"/>
  <c r="G167" i="33" s="1"/>
  <c r="H167" i="33" s="1"/>
  <c r="I167" i="33" s="1"/>
  <c r="J167" i="33" s="1"/>
  <c r="AF166" i="33"/>
  <c r="B166" i="33" s="1"/>
  <c r="H166" i="33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E166" i="33"/>
  <c r="F166" i="33" s="1"/>
  <c r="G166" i="33" s="1"/>
  <c r="D166" i="33"/>
  <c r="N165" i="33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D165" i="33"/>
  <c r="E165" i="33" s="1"/>
  <c r="F165" i="33" s="1"/>
  <c r="G165" i="33" s="1"/>
  <c r="H165" i="33" s="1"/>
  <c r="I165" i="33" s="1"/>
  <c r="J165" i="33" s="1"/>
  <c r="K165" i="33" s="1"/>
  <c r="L165" i="33" s="1"/>
  <c r="M165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D163" i="33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H162" i="33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D162" i="33"/>
  <c r="E162" i="33" s="1"/>
  <c r="F162" i="33" s="1"/>
  <c r="G162" i="33" s="1"/>
  <c r="K161" i="33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D161" i="33"/>
  <c r="E161" i="33" s="1"/>
  <c r="F161" i="33" s="1"/>
  <c r="G161" i="33" s="1"/>
  <c r="H161" i="33" s="1"/>
  <c r="I161" i="33" s="1"/>
  <c r="J161" i="33" s="1"/>
  <c r="D160" i="33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D159" i="33"/>
  <c r="E159" i="33" s="1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X158" i="33"/>
  <c r="Y158" i="33" s="1"/>
  <c r="Z158" i="33" s="1"/>
  <c r="AA158" i="33" s="1"/>
  <c r="AB158" i="33" s="1"/>
  <c r="AC158" i="33" s="1"/>
  <c r="AD158" i="33" s="1"/>
  <c r="AE158" i="33" s="1"/>
  <c r="AF158" i="33" s="1"/>
  <c r="B158" i="33" s="1"/>
  <c r="H158" i="33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D158" i="33"/>
  <c r="E158" i="33" s="1"/>
  <c r="F158" i="33" s="1"/>
  <c r="G158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B157" i="33" s="1"/>
  <c r="E156" i="33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D156" i="33"/>
  <c r="D155" i="33"/>
  <c r="E155" i="33" s="1"/>
  <c r="F155" i="33" s="1"/>
  <c r="G155" i="33" s="1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B155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F152" i="33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D152" i="33"/>
  <c r="E152" i="33" s="1"/>
  <c r="D151" i="33"/>
  <c r="E151" i="33" s="1"/>
  <c r="F151" i="33" s="1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D150" i="33"/>
  <c r="E150" i="33" s="1"/>
  <c r="F150" i="33" s="1"/>
  <c r="G150" i="33" s="1"/>
  <c r="H150" i="33" s="1"/>
  <c r="I150" i="33" s="1"/>
  <c r="J150" i="33" s="1"/>
  <c r="K150" i="33" s="1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B150" i="33" s="1"/>
  <c r="E148" i="33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D148" i="33"/>
  <c r="AF147" i="33"/>
  <c r="B147" i="33" s="1"/>
  <c r="D147" i="33"/>
  <c r="E147" i="33" s="1"/>
  <c r="F147" i="33" s="1"/>
  <c r="G147" i="33" s="1"/>
  <c r="H147" i="33" s="1"/>
  <c r="I147" i="33" s="1"/>
  <c r="J147" i="33" s="1"/>
  <c r="K147" i="33" s="1"/>
  <c r="L147" i="33" s="1"/>
  <c r="M147" i="33" s="1"/>
  <c r="N147" i="33" s="1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D145" i="33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D144" i="33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AF143" i="33"/>
  <c r="B143" i="33" s="1"/>
  <c r="E143" i="33"/>
  <c r="F143" i="33" s="1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D143" i="33"/>
  <c r="H142" i="33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F142" i="33"/>
  <c r="G142" i="33" s="1"/>
  <c r="D142" i="33"/>
  <c r="E142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AB140" i="33"/>
  <c r="AC140" i="33" s="1"/>
  <c r="AD140" i="33" s="1"/>
  <c r="AE140" i="33" s="1"/>
  <c r="AF140" i="33" s="1"/>
  <c r="B140" i="33" s="1"/>
  <c r="G140" i="33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D140" i="33"/>
  <c r="E140" i="33" s="1"/>
  <c r="F140" i="33" s="1"/>
  <c r="D139" i="33"/>
  <c r="E139" i="33" s="1"/>
  <c r="F139" i="33" s="1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B139" i="33" s="1"/>
  <c r="F137" i="33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D137" i="33"/>
  <c r="E137" i="33" s="1"/>
  <c r="F136" i="33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D136" i="33"/>
  <c r="E136" i="33" s="1"/>
  <c r="D135" i="33"/>
  <c r="E135" i="33" s="1"/>
  <c r="F135" i="33" s="1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T134" i="33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H134" i="33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S134" i="33" s="1"/>
  <c r="E134" i="33"/>
  <c r="F134" i="33" s="1"/>
  <c r="G134" i="33" s="1"/>
  <c r="D134" i="33"/>
  <c r="D133" i="33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V132" i="33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L132" i="33"/>
  <c r="M132" i="33" s="1"/>
  <c r="N132" i="33" s="1"/>
  <c r="O132" i="33" s="1"/>
  <c r="P132" i="33" s="1"/>
  <c r="Q132" i="33" s="1"/>
  <c r="R132" i="33" s="1"/>
  <c r="S132" i="33" s="1"/>
  <c r="T132" i="33" s="1"/>
  <c r="U132" i="33" s="1"/>
  <c r="D132" i="33"/>
  <c r="E132" i="33" s="1"/>
  <c r="F132" i="33" s="1"/>
  <c r="G132" i="33" s="1"/>
  <c r="H132" i="33" s="1"/>
  <c r="I132" i="33" s="1"/>
  <c r="J132" i="33" s="1"/>
  <c r="K132" i="33" s="1"/>
  <c r="D131" i="33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U130" i="33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B130" i="33" s="1"/>
  <c r="M130" i="33"/>
  <c r="N130" i="33" s="1"/>
  <c r="O130" i="33" s="1"/>
  <c r="P130" i="33" s="1"/>
  <c r="Q130" i="33" s="1"/>
  <c r="R130" i="33" s="1"/>
  <c r="S130" i="33" s="1"/>
  <c r="T130" i="33" s="1"/>
  <c r="E130" i="33"/>
  <c r="F130" i="33" s="1"/>
  <c r="G130" i="33" s="1"/>
  <c r="H130" i="33" s="1"/>
  <c r="I130" i="33" s="1"/>
  <c r="J130" i="33" s="1"/>
  <c r="K130" i="33" s="1"/>
  <c r="L130" i="33" s="1"/>
  <c r="D130" i="33"/>
  <c r="D128" i="33"/>
  <c r="E128" i="33" s="1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E127" i="33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D127" i="33"/>
  <c r="O126" i="33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G126" i="33"/>
  <c r="H126" i="33" s="1"/>
  <c r="I126" i="33" s="1"/>
  <c r="J126" i="33" s="1"/>
  <c r="K126" i="33" s="1"/>
  <c r="L126" i="33" s="1"/>
  <c r="M126" i="33" s="1"/>
  <c r="N126" i="33" s="1"/>
  <c r="D126" i="33"/>
  <c r="E126" i="33" s="1"/>
  <c r="F126" i="33" s="1"/>
  <c r="E125" i="33"/>
  <c r="F125" i="33" s="1"/>
  <c r="G125" i="33" s="1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D125" i="33"/>
  <c r="K124" i="33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D124" i="33"/>
  <c r="E124" i="33" s="1"/>
  <c r="F124" i="33" s="1"/>
  <c r="G124" i="33" s="1"/>
  <c r="H124" i="33" s="1"/>
  <c r="I124" i="33" s="1"/>
  <c r="J124" i="33" s="1"/>
  <c r="E123" i="33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D123" i="33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E121" i="33"/>
  <c r="F121" i="33" s="1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D121" i="33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Y119" i="33"/>
  <c r="Z119" i="33" s="1"/>
  <c r="AA119" i="33" s="1"/>
  <c r="AB119" i="33" s="1"/>
  <c r="AC119" i="33" s="1"/>
  <c r="AD119" i="33" s="1"/>
  <c r="AE119" i="33" s="1"/>
  <c r="AF119" i="33" s="1"/>
  <c r="B119" i="33" s="1"/>
  <c r="E119" i="33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D119" i="33"/>
  <c r="D118" i="33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E117" i="33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7" i="33"/>
  <c r="K116" i="33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D116" i="33"/>
  <c r="E116" i="33" s="1"/>
  <c r="F116" i="33" s="1"/>
  <c r="G116" i="33" s="1"/>
  <c r="H116" i="33" s="1"/>
  <c r="I116" i="33" s="1"/>
  <c r="J116" i="33" s="1"/>
  <c r="I115" i="33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D115" i="33"/>
  <c r="E115" i="33" s="1"/>
  <c r="F115" i="33" s="1"/>
  <c r="G115" i="33" s="1"/>
  <c r="H115" i="33" s="1"/>
  <c r="L114" i="33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G114" i="33"/>
  <c r="H114" i="33" s="1"/>
  <c r="I114" i="33" s="1"/>
  <c r="J114" i="33" s="1"/>
  <c r="K114" i="33" s="1"/>
  <c r="D114" i="33"/>
  <c r="E114" i="33" s="1"/>
  <c r="F114" i="33" s="1"/>
  <c r="K113" i="33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D113" i="33"/>
  <c r="E113" i="33" s="1"/>
  <c r="F113" i="33" s="1"/>
  <c r="G113" i="33" s="1"/>
  <c r="H113" i="33" s="1"/>
  <c r="I113" i="33" s="1"/>
  <c r="N112" i="33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F112" i="33"/>
  <c r="G112" i="33" s="1"/>
  <c r="H112" i="33" s="1"/>
  <c r="I112" i="33" s="1"/>
  <c r="J112" i="33" s="1"/>
  <c r="K112" i="33" s="1"/>
  <c r="L112" i="33" s="1"/>
  <c r="M112" i="33" s="1"/>
  <c r="E112" i="33"/>
  <c r="D112" i="33"/>
  <c r="L111" i="33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B111" i="33" s="1"/>
  <c r="D111" i="33"/>
  <c r="E111" i="33" s="1"/>
  <c r="F111" i="33" s="1"/>
  <c r="G111" i="33" s="1"/>
  <c r="H111" i="33" s="1"/>
  <c r="I111" i="33" s="1"/>
  <c r="J111" i="33" s="1"/>
  <c r="K111" i="33" s="1"/>
  <c r="D109" i="33"/>
  <c r="E109" i="33" s="1"/>
  <c r="F109" i="33" s="1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D108" i="33"/>
  <c r="E108" i="33" s="1"/>
  <c r="N106" i="33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F106" i="33"/>
  <c r="G106" i="33" s="1"/>
  <c r="H106" i="33" s="1"/>
  <c r="I106" i="33" s="1"/>
  <c r="J106" i="33" s="1"/>
  <c r="K106" i="33" s="1"/>
  <c r="L106" i="33" s="1"/>
  <c r="M106" i="33" s="1"/>
  <c r="E106" i="33"/>
  <c r="D106" i="33"/>
  <c r="D105" i="33"/>
  <c r="E105" i="33" s="1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D104" i="33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3" i="33"/>
  <c r="E103" i="33" s="1"/>
  <c r="F103" i="33" s="1"/>
  <c r="G103" i="33" s="1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B103" i="33" s="1"/>
  <c r="F102" i="33"/>
  <c r="G102" i="33" s="1"/>
  <c r="E102" i="33"/>
  <c r="D102" i="33"/>
  <c r="D101" i="33"/>
  <c r="AH98" i="33"/>
  <c r="AI98" i="33" s="1"/>
  <c r="AH97" i="33"/>
  <c r="AI97" i="33" s="1"/>
  <c r="AH96" i="33"/>
  <c r="AI96" i="33" s="1"/>
  <c r="AH95" i="33"/>
  <c r="AI95" i="33" s="1"/>
  <c r="AH94" i="33"/>
  <c r="AI94" i="33" s="1"/>
  <c r="D93" i="33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AF79" i="33"/>
  <c r="AE79" i="33"/>
  <c r="AD79" i="33"/>
  <c r="AC79" i="33"/>
  <c r="AB79" i="33"/>
  <c r="AA79" i="33"/>
  <c r="Z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J82" i="33" s="1"/>
  <c r="I79" i="33"/>
  <c r="H79" i="33"/>
  <c r="G79" i="33"/>
  <c r="F79" i="33"/>
  <c r="E79" i="33"/>
  <c r="D79" i="33"/>
  <c r="C79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AF76" i="33"/>
  <c r="AF82" i="33" s="1"/>
  <c r="AE76" i="33"/>
  <c r="AD76" i="33"/>
  <c r="AC76" i="33"/>
  <c r="AB76" i="33"/>
  <c r="AB82" i="33" s="1"/>
  <c r="AA76" i="33"/>
  <c r="Z76" i="33"/>
  <c r="Z82" i="33" s="1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AI74" i="33"/>
  <c r="AH74" i="33"/>
  <c r="AG72" i="33"/>
  <c r="AF72" i="33"/>
  <c r="AE72" i="33"/>
  <c r="AD72" i="33"/>
  <c r="AC72" i="33"/>
  <c r="AB72" i="33"/>
  <c r="AA72" i="33"/>
  <c r="Z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AI71" i="33"/>
  <c r="AH71" i="33"/>
  <c r="AI70" i="33"/>
  <c r="AH70" i="33"/>
  <c r="AI69" i="33"/>
  <c r="AH69" i="33"/>
  <c r="AG68" i="33"/>
  <c r="AF68" i="33"/>
  <c r="AE5" i="33" s="1"/>
  <c r="AE68" i="33"/>
  <c r="AD68" i="33"/>
  <c r="AC5" i="33" s="1"/>
  <c r="AC68" i="33"/>
  <c r="AB5" i="33" s="1"/>
  <c r="AB68" i="33"/>
  <c r="AA68" i="33"/>
  <c r="Z5" i="33" s="1"/>
  <c r="Z68" i="33"/>
  <c r="Y5" i="33" s="1"/>
  <c r="Y68" i="33"/>
  <c r="X68" i="33"/>
  <c r="W68" i="33"/>
  <c r="V68" i="33"/>
  <c r="U68" i="33"/>
  <c r="T5" i="33" s="1"/>
  <c r="T68" i="33"/>
  <c r="S5" i="33" s="1"/>
  <c r="S68" i="33"/>
  <c r="R5" i="33" s="1"/>
  <c r="R68" i="33"/>
  <c r="Q5" i="33" s="1"/>
  <c r="Q68" i="33"/>
  <c r="P5" i="33" s="1"/>
  <c r="P68" i="33"/>
  <c r="O5" i="33" s="1"/>
  <c r="O68" i="33"/>
  <c r="N5" i="33" s="1"/>
  <c r="N68" i="33"/>
  <c r="M5" i="33" s="1"/>
  <c r="M68" i="33"/>
  <c r="L68" i="33"/>
  <c r="K5" i="33" s="1"/>
  <c r="K68" i="33"/>
  <c r="J5" i="33" s="1"/>
  <c r="J68" i="33"/>
  <c r="I5" i="33" s="1"/>
  <c r="I68" i="33"/>
  <c r="H5" i="33" s="1"/>
  <c r="H68" i="33"/>
  <c r="G5" i="33" s="1"/>
  <c r="G68" i="33"/>
  <c r="F5" i="33" s="1"/>
  <c r="F68" i="33"/>
  <c r="E5" i="33" s="1"/>
  <c r="E68" i="33"/>
  <c r="D5" i="33" s="1"/>
  <c r="D68" i="33"/>
  <c r="C5" i="33" s="1"/>
  <c r="C68" i="33"/>
  <c r="B5" i="33" s="1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G4" i="33" s="1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AI55" i="33"/>
  <c r="AH55" i="33"/>
  <c r="AI54" i="33"/>
  <c r="AH54" i="33"/>
  <c r="AI53" i="33"/>
  <c r="AH53" i="33"/>
  <c r="AG52" i="33"/>
  <c r="Z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G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F5" i="33"/>
  <c r="AD5" i="33"/>
  <c r="AA5" i="33"/>
  <c r="X5" i="33"/>
  <c r="W5" i="33"/>
  <c r="V5" i="33"/>
  <c r="U5" i="33"/>
  <c r="L5" i="33"/>
  <c r="K4" i="33"/>
  <c r="B4" i="33"/>
  <c r="AG3" i="33"/>
  <c r="AG2" i="33"/>
  <c r="AF95" i="32"/>
  <c r="AF37" i="32"/>
  <c r="AI37" i="32" s="1"/>
  <c r="AE95" i="32"/>
  <c r="AD95" i="32"/>
  <c r="AC95" i="32"/>
  <c r="AE37" i="32"/>
  <c r="AD37" i="32"/>
  <c r="AC37" i="32"/>
  <c r="AB95" i="32"/>
  <c r="AB37" i="32"/>
  <c r="AA37" i="32"/>
  <c r="Z37" i="32"/>
  <c r="X37" i="32"/>
  <c r="W37" i="32"/>
  <c r="V37" i="32"/>
  <c r="U37" i="32"/>
  <c r="T37" i="32"/>
  <c r="S37" i="32"/>
  <c r="R37" i="32"/>
  <c r="Q37" i="32"/>
  <c r="P37" i="32"/>
  <c r="O37" i="32"/>
  <c r="M38" i="32"/>
  <c r="N37" i="32"/>
  <c r="AH12" i="32"/>
  <c r="AI12" i="32"/>
  <c r="M37" i="32"/>
  <c r="L95" i="32"/>
  <c r="L37" i="32"/>
  <c r="K37" i="32"/>
  <c r="J95" i="32"/>
  <c r="J37" i="32"/>
  <c r="I95" i="32"/>
  <c r="I37" i="32"/>
  <c r="H95" i="32"/>
  <c r="H37" i="32"/>
  <c r="G95" i="32"/>
  <c r="G37" i="32"/>
  <c r="F95" i="32"/>
  <c r="F37" i="32"/>
  <c r="B93" i="32"/>
  <c r="B80" i="32"/>
  <c r="B79" i="32"/>
  <c r="B78" i="32"/>
  <c r="B77" i="32"/>
  <c r="B76" i="32"/>
  <c r="B82" i="32" s="1"/>
  <c r="B72" i="32"/>
  <c r="B68" i="32"/>
  <c r="B73" i="32" s="1"/>
  <c r="B56" i="32"/>
  <c r="B51" i="32"/>
  <c r="B52" i="32" s="1"/>
  <c r="B38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P235" i="32"/>
  <c r="O235" i="32"/>
  <c r="N235" i="32"/>
  <c r="M235" i="32"/>
  <c r="L235" i="32"/>
  <c r="K235" i="32"/>
  <c r="J235" i="32"/>
  <c r="I235" i="32"/>
  <c r="H235" i="32"/>
  <c r="G235" i="32"/>
  <c r="F235" i="32"/>
  <c r="E235" i="32"/>
  <c r="D235" i="32"/>
  <c r="C235" i="32"/>
  <c r="B235" i="32"/>
  <c r="A235" i="32"/>
  <c r="C234" i="32"/>
  <c r="B234" i="32"/>
  <c r="S209" i="32"/>
  <c r="AG199" i="32"/>
  <c r="C199" i="32"/>
  <c r="G198" i="32"/>
  <c r="F198" i="32"/>
  <c r="E234" i="32" s="1"/>
  <c r="E198" i="32"/>
  <c r="D234" i="32" s="1"/>
  <c r="D198" i="32"/>
  <c r="D197" i="32"/>
  <c r="E197" i="32" s="1"/>
  <c r="F197" i="32" s="1"/>
  <c r="G197" i="32" s="1"/>
  <c r="H197" i="32" s="1"/>
  <c r="I197" i="32" s="1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D196" i="32"/>
  <c r="H195" i="32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G195" i="32"/>
  <c r="E195" i="32"/>
  <c r="F195" i="32" s="1"/>
  <c r="D195" i="32"/>
  <c r="O194" i="32"/>
  <c r="P194" i="32" s="1"/>
  <c r="Q194" i="32" s="1"/>
  <c r="R194" i="32" s="1"/>
  <c r="S194" i="32" s="1"/>
  <c r="T194" i="32" s="1"/>
  <c r="U194" i="32" s="1"/>
  <c r="V194" i="32" s="1"/>
  <c r="W194" i="32" s="1"/>
  <c r="X194" i="32" s="1"/>
  <c r="Y194" i="32" s="1"/>
  <c r="Z194" i="32" s="1"/>
  <c r="AA194" i="32" s="1"/>
  <c r="AB194" i="32" s="1"/>
  <c r="AC194" i="32" s="1"/>
  <c r="AD194" i="32" s="1"/>
  <c r="AE194" i="32" s="1"/>
  <c r="AF194" i="32" s="1"/>
  <c r="B194" i="32" s="1"/>
  <c r="F194" i="32"/>
  <c r="G194" i="32" s="1"/>
  <c r="H194" i="32" s="1"/>
  <c r="I194" i="32" s="1"/>
  <c r="J194" i="32" s="1"/>
  <c r="K194" i="32" s="1"/>
  <c r="L194" i="32" s="1"/>
  <c r="M194" i="32" s="1"/>
  <c r="N194" i="32" s="1"/>
  <c r="E194" i="32"/>
  <c r="D194" i="32"/>
  <c r="F193" i="32"/>
  <c r="E193" i="32"/>
  <c r="D193" i="32"/>
  <c r="AG191" i="32"/>
  <c r="C191" i="32"/>
  <c r="L190" i="32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G190" i="32"/>
  <c r="H190" i="32" s="1"/>
  <c r="I190" i="32" s="1"/>
  <c r="J190" i="32" s="1"/>
  <c r="K190" i="32" s="1"/>
  <c r="D190" i="32"/>
  <c r="E190" i="32" s="1"/>
  <c r="F190" i="32" s="1"/>
  <c r="B190" i="32"/>
  <c r="O189" i="32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J189" i="32"/>
  <c r="K189" i="32" s="1"/>
  <c r="L189" i="32" s="1"/>
  <c r="M189" i="32" s="1"/>
  <c r="N189" i="32" s="1"/>
  <c r="E189" i="32"/>
  <c r="F189" i="32" s="1"/>
  <c r="G189" i="32" s="1"/>
  <c r="H189" i="32" s="1"/>
  <c r="I189" i="32" s="1"/>
  <c r="D189" i="32"/>
  <c r="L188" i="32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K188" i="32"/>
  <c r="D188" i="32"/>
  <c r="E188" i="32" s="1"/>
  <c r="F188" i="32" s="1"/>
  <c r="G188" i="32" s="1"/>
  <c r="H188" i="32" s="1"/>
  <c r="I188" i="32" s="1"/>
  <c r="J188" i="32" s="1"/>
  <c r="D187" i="32"/>
  <c r="E187" i="32" s="1"/>
  <c r="F187" i="32" s="1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R186" i="32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H186" i="32"/>
  <c r="I186" i="32" s="1"/>
  <c r="J186" i="32" s="1"/>
  <c r="K186" i="32" s="1"/>
  <c r="L186" i="32" s="1"/>
  <c r="M186" i="32" s="1"/>
  <c r="N186" i="32" s="1"/>
  <c r="O186" i="32" s="1"/>
  <c r="P186" i="32" s="1"/>
  <c r="Q186" i="32" s="1"/>
  <c r="G186" i="32"/>
  <c r="D186" i="32"/>
  <c r="E186" i="32" s="1"/>
  <c r="F186" i="32" s="1"/>
  <c r="Y185" i="32"/>
  <c r="Z185" i="32" s="1"/>
  <c r="AA185" i="32" s="1"/>
  <c r="AB185" i="32" s="1"/>
  <c r="AC185" i="32" s="1"/>
  <c r="AD185" i="32" s="1"/>
  <c r="AE185" i="32" s="1"/>
  <c r="AF185" i="32" s="1"/>
  <c r="B185" i="32" s="1"/>
  <c r="F185" i="32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E185" i="32"/>
  <c r="D185" i="32"/>
  <c r="AC184" i="32"/>
  <c r="AD184" i="32" s="1"/>
  <c r="AE184" i="32" s="1"/>
  <c r="AF184" i="32" s="1"/>
  <c r="B184" i="32" s="1"/>
  <c r="N184" i="32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F184" i="32"/>
  <c r="G184" i="32" s="1"/>
  <c r="H184" i="32" s="1"/>
  <c r="I184" i="32" s="1"/>
  <c r="J184" i="32" s="1"/>
  <c r="K184" i="32" s="1"/>
  <c r="L184" i="32" s="1"/>
  <c r="M184" i="32" s="1"/>
  <c r="E184" i="32"/>
  <c r="D184" i="32"/>
  <c r="D183" i="32"/>
  <c r="E183" i="32" s="1"/>
  <c r="F183" i="32" s="1"/>
  <c r="G183" i="32" s="1"/>
  <c r="H183" i="32" s="1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D182" i="32"/>
  <c r="E182" i="32" s="1"/>
  <c r="F182" i="32" s="1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M181" i="32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E181" i="32"/>
  <c r="F181" i="32" s="1"/>
  <c r="G181" i="32" s="1"/>
  <c r="H181" i="32" s="1"/>
  <c r="I181" i="32" s="1"/>
  <c r="J181" i="32" s="1"/>
  <c r="K181" i="32" s="1"/>
  <c r="L181" i="32" s="1"/>
  <c r="D181" i="32"/>
  <c r="G180" i="32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F180" i="32"/>
  <c r="E180" i="32"/>
  <c r="D180" i="32"/>
  <c r="AB179" i="32"/>
  <c r="AC179" i="32" s="1"/>
  <c r="AD179" i="32" s="1"/>
  <c r="AE179" i="32" s="1"/>
  <c r="AF179" i="32" s="1"/>
  <c r="B179" i="32" s="1"/>
  <c r="U179" i="32"/>
  <c r="V179" i="32" s="1"/>
  <c r="W179" i="32" s="1"/>
  <c r="X179" i="32" s="1"/>
  <c r="Y179" i="32" s="1"/>
  <c r="Z179" i="32" s="1"/>
  <c r="AA179" i="32" s="1"/>
  <c r="S179" i="32"/>
  <c r="T179" i="32" s="1"/>
  <c r="D179" i="32"/>
  <c r="E179" i="32" s="1"/>
  <c r="F179" i="32" s="1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F178" i="32"/>
  <c r="G178" i="32" s="1"/>
  <c r="H178" i="32" s="1"/>
  <c r="I178" i="32" s="1"/>
  <c r="J178" i="32" s="1"/>
  <c r="K178" i="32" s="1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AA178" i="32" s="1"/>
  <c r="AB178" i="32" s="1"/>
  <c r="AC178" i="32" s="1"/>
  <c r="AD178" i="32" s="1"/>
  <c r="AE178" i="32" s="1"/>
  <c r="AF178" i="32" s="1"/>
  <c r="B178" i="32" s="1"/>
  <c r="E178" i="32"/>
  <c r="D178" i="32"/>
  <c r="T176" i="32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S176" i="32"/>
  <c r="D176" i="32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Z175" i="32"/>
  <c r="AA175" i="32" s="1"/>
  <c r="AB175" i="32" s="1"/>
  <c r="AC175" i="32" s="1"/>
  <c r="AD175" i="32" s="1"/>
  <c r="AE175" i="32" s="1"/>
  <c r="AF175" i="32" s="1"/>
  <c r="B175" i="32" s="1"/>
  <c r="L175" i="32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I175" i="32"/>
  <c r="J175" i="32" s="1"/>
  <c r="K175" i="32" s="1"/>
  <c r="D175" i="32"/>
  <c r="E175" i="32" s="1"/>
  <c r="F175" i="32" s="1"/>
  <c r="G175" i="32" s="1"/>
  <c r="H175" i="32" s="1"/>
  <c r="G174" i="32"/>
  <c r="H174" i="32" s="1"/>
  <c r="I174" i="32" s="1"/>
  <c r="J174" i="32" s="1"/>
  <c r="K174" i="32" s="1"/>
  <c r="L174" i="32" s="1"/>
  <c r="M174" i="32" s="1"/>
  <c r="N174" i="32" s="1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D174" i="32"/>
  <c r="E174" i="32" s="1"/>
  <c r="F174" i="32" s="1"/>
  <c r="G173" i="32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E173" i="32"/>
  <c r="F173" i="32" s="1"/>
  <c r="D173" i="32"/>
  <c r="M172" i="32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F172" i="32"/>
  <c r="G172" i="32" s="1"/>
  <c r="H172" i="32" s="1"/>
  <c r="I172" i="32" s="1"/>
  <c r="J172" i="32" s="1"/>
  <c r="K172" i="32" s="1"/>
  <c r="L172" i="32" s="1"/>
  <c r="D172" i="32"/>
  <c r="E172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I170" i="32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E170" i="32"/>
  <c r="F170" i="32" s="1"/>
  <c r="G170" i="32" s="1"/>
  <c r="H170" i="32" s="1"/>
  <c r="D170" i="32"/>
  <c r="E169" i="32"/>
  <c r="F169" i="32" s="1"/>
  <c r="G169" i="32" s="1"/>
  <c r="H169" i="32" s="1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B169" i="32" s="1"/>
  <c r="D169" i="32"/>
  <c r="K167" i="32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E167" i="32"/>
  <c r="F167" i="32" s="1"/>
  <c r="G167" i="32" s="1"/>
  <c r="H167" i="32" s="1"/>
  <c r="I167" i="32" s="1"/>
  <c r="J167" i="32" s="1"/>
  <c r="D167" i="32"/>
  <c r="E166" i="32"/>
  <c r="F166" i="32" s="1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6" i="32"/>
  <c r="F165" i="32"/>
  <c r="G165" i="32" s="1"/>
  <c r="H165" i="32" s="1"/>
  <c r="I165" i="32" s="1"/>
  <c r="J165" i="32" s="1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D165" i="32"/>
  <c r="E165" i="32" s="1"/>
  <c r="G164" i="32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E164" i="32"/>
  <c r="F164" i="32" s="1"/>
  <c r="D164" i="32"/>
  <c r="S163" i="32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E163" i="32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D163" i="32"/>
  <c r="S162" i="32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E162" i="32"/>
  <c r="F162" i="32" s="1"/>
  <c r="G162" i="32" s="1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D162" i="32"/>
  <c r="D161" i="32"/>
  <c r="E161" i="32" s="1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E160" i="32"/>
  <c r="F160" i="32" s="1"/>
  <c r="G160" i="32" s="1"/>
  <c r="H160" i="32" s="1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D160" i="32"/>
  <c r="R159" i="32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P159" i="32"/>
  <c r="Q159" i="32" s="1"/>
  <c r="E159" i="32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D159" i="32"/>
  <c r="X158" i="32"/>
  <c r="Y158" i="32" s="1"/>
  <c r="Z158" i="32" s="1"/>
  <c r="AA158" i="32" s="1"/>
  <c r="AB158" i="32" s="1"/>
  <c r="AC158" i="32" s="1"/>
  <c r="AD158" i="32" s="1"/>
  <c r="AE158" i="32" s="1"/>
  <c r="AF158" i="32" s="1"/>
  <c r="B158" i="32" s="1"/>
  <c r="E158" i="32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D158" i="32"/>
  <c r="AD157" i="32"/>
  <c r="AE157" i="32" s="1"/>
  <c r="AF157" i="32" s="1"/>
  <c r="B157" i="32" s="1"/>
  <c r="T157" i="32"/>
  <c r="U157" i="32" s="1"/>
  <c r="V157" i="32" s="1"/>
  <c r="W157" i="32" s="1"/>
  <c r="X157" i="32" s="1"/>
  <c r="Y157" i="32" s="1"/>
  <c r="Z157" i="32" s="1"/>
  <c r="AA157" i="32" s="1"/>
  <c r="AB157" i="32" s="1"/>
  <c r="AC157" i="32" s="1"/>
  <c r="F157" i="32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D157" i="32"/>
  <c r="E157" i="32" s="1"/>
  <c r="R156" i="32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D156" i="32"/>
  <c r="E156" i="32" s="1"/>
  <c r="F156" i="32" s="1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P155" i="32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AF155" i="32" s="1"/>
  <c r="B155" i="32" s="1"/>
  <c r="O155" i="32"/>
  <c r="F155" i="32"/>
  <c r="G155" i="32" s="1"/>
  <c r="H155" i="32" s="1"/>
  <c r="I155" i="32" s="1"/>
  <c r="J155" i="32" s="1"/>
  <c r="K155" i="32" s="1"/>
  <c r="L155" i="32" s="1"/>
  <c r="M155" i="32" s="1"/>
  <c r="N155" i="32" s="1"/>
  <c r="E155" i="32"/>
  <c r="D155" i="32"/>
  <c r="I153" i="32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D153" i="32"/>
  <c r="E153" i="32" s="1"/>
  <c r="F153" i="32" s="1"/>
  <c r="G153" i="32" s="1"/>
  <c r="H153" i="32" s="1"/>
  <c r="G152" i="32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E152" i="32"/>
  <c r="F152" i="32" s="1"/>
  <c r="D152" i="32"/>
  <c r="H151" i="32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G151" i="32"/>
  <c r="E151" i="32"/>
  <c r="F151" i="32" s="1"/>
  <c r="D151" i="32"/>
  <c r="AD150" i="32"/>
  <c r="AE150" i="32" s="1"/>
  <c r="AF150" i="32" s="1"/>
  <c r="B150" i="32" s="1"/>
  <c r="U150" i="32"/>
  <c r="V150" i="32" s="1"/>
  <c r="W150" i="32" s="1"/>
  <c r="X150" i="32" s="1"/>
  <c r="Y150" i="32" s="1"/>
  <c r="Z150" i="32" s="1"/>
  <c r="AA150" i="32" s="1"/>
  <c r="AB150" i="32" s="1"/>
  <c r="AC150" i="32" s="1"/>
  <c r="M150" i="32"/>
  <c r="N150" i="32" s="1"/>
  <c r="O150" i="32" s="1"/>
  <c r="P150" i="32" s="1"/>
  <c r="Q150" i="32" s="1"/>
  <c r="R150" i="32" s="1"/>
  <c r="S150" i="32" s="1"/>
  <c r="T150" i="32" s="1"/>
  <c r="K150" i="32"/>
  <c r="L150" i="32" s="1"/>
  <c r="F150" i="32"/>
  <c r="G150" i="32" s="1"/>
  <c r="H150" i="32" s="1"/>
  <c r="I150" i="32" s="1"/>
  <c r="J150" i="32" s="1"/>
  <c r="E150" i="32"/>
  <c r="D150" i="32"/>
  <c r="Y148" i="32"/>
  <c r="Z148" i="32" s="1"/>
  <c r="AA148" i="32" s="1"/>
  <c r="AB148" i="32" s="1"/>
  <c r="AC148" i="32" s="1"/>
  <c r="AD148" i="32" s="1"/>
  <c r="AE148" i="32" s="1"/>
  <c r="AF148" i="32" s="1"/>
  <c r="B148" i="32" s="1"/>
  <c r="T148" i="32"/>
  <c r="U148" i="32" s="1"/>
  <c r="V148" i="32" s="1"/>
  <c r="W148" i="32" s="1"/>
  <c r="X148" i="32" s="1"/>
  <c r="K148" i="32"/>
  <c r="L148" i="32" s="1"/>
  <c r="M148" i="32" s="1"/>
  <c r="N148" i="32" s="1"/>
  <c r="O148" i="32" s="1"/>
  <c r="P148" i="32" s="1"/>
  <c r="Q148" i="32" s="1"/>
  <c r="R148" i="32" s="1"/>
  <c r="S148" i="32" s="1"/>
  <c r="D148" i="32"/>
  <c r="E148" i="32" s="1"/>
  <c r="F148" i="32" s="1"/>
  <c r="G148" i="32" s="1"/>
  <c r="H148" i="32" s="1"/>
  <c r="I148" i="32" s="1"/>
  <c r="J148" i="32" s="1"/>
  <c r="I147" i="32"/>
  <c r="J147" i="32" s="1"/>
  <c r="K147" i="32" s="1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W147" i="32" s="1"/>
  <c r="X147" i="32" s="1"/>
  <c r="Y147" i="32" s="1"/>
  <c r="Z147" i="32" s="1"/>
  <c r="AA147" i="32" s="1"/>
  <c r="AB147" i="32" s="1"/>
  <c r="AC147" i="32" s="1"/>
  <c r="AD147" i="32" s="1"/>
  <c r="AE147" i="32" s="1"/>
  <c r="AF147" i="32" s="1"/>
  <c r="B147" i="32" s="1"/>
  <c r="G147" i="32"/>
  <c r="H147" i="32" s="1"/>
  <c r="E147" i="32"/>
  <c r="F147" i="32" s="1"/>
  <c r="D147" i="32"/>
  <c r="E145" i="32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D145" i="32"/>
  <c r="V144" i="32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E144" i="32"/>
  <c r="F144" i="32" s="1"/>
  <c r="G144" i="32" s="1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D144" i="32"/>
  <c r="D143" i="32"/>
  <c r="E143" i="32" s="1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M142" i="32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B142" i="32" s="1"/>
  <c r="J142" i="32"/>
  <c r="K142" i="32" s="1"/>
  <c r="L142" i="32" s="1"/>
  <c r="E142" i="32"/>
  <c r="F142" i="32" s="1"/>
  <c r="G142" i="32" s="1"/>
  <c r="H142" i="32" s="1"/>
  <c r="I142" i="32" s="1"/>
  <c r="D142" i="32"/>
  <c r="G141" i="32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E141" i="32"/>
  <c r="F141" i="32" s="1"/>
  <c r="D141" i="32"/>
  <c r="E140" i="32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D140" i="32"/>
  <c r="S139" i="32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B139" i="32" s="1"/>
  <c r="O139" i="32"/>
  <c r="P139" i="32" s="1"/>
  <c r="Q139" i="32" s="1"/>
  <c r="R139" i="32" s="1"/>
  <c r="D139" i="32"/>
  <c r="E139" i="32" s="1"/>
  <c r="F139" i="32" s="1"/>
  <c r="G139" i="32" s="1"/>
  <c r="H139" i="32" s="1"/>
  <c r="I139" i="32" s="1"/>
  <c r="J139" i="32" s="1"/>
  <c r="K139" i="32" s="1"/>
  <c r="L139" i="32" s="1"/>
  <c r="M139" i="32" s="1"/>
  <c r="N139" i="32" s="1"/>
  <c r="D137" i="32"/>
  <c r="E137" i="32" s="1"/>
  <c r="F137" i="32" s="1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Z136" i="32"/>
  <c r="AA136" i="32" s="1"/>
  <c r="AB136" i="32" s="1"/>
  <c r="AC136" i="32" s="1"/>
  <c r="AD136" i="32" s="1"/>
  <c r="AE136" i="32" s="1"/>
  <c r="AF136" i="32" s="1"/>
  <c r="B136" i="32" s="1"/>
  <c r="V136" i="32"/>
  <c r="W136" i="32" s="1"/>
  <c r="X136" i="32" s="1"/>
  <c r="Y136" i="32" s="1"/>
  <c r="F136" i="32"/>
  <c r="G136" i="32" s="1"/>
  <c r="H136" i="32" s="1"/>
  <c r="I136" i="32" s="1"/>
  <c r="J136" i="32" s="1"/>
  <c r="K136" i="32" s="1"/>
  <c r="L136" i="32" s="1"/>
  <c r="M136" i="32" s="1"/>
  <c r="N136" i="32" s="1"/>
  <c r="O136" i="32" s="1"/>
  <c r="P136" i="32" s="1"/>
  <c r="Q136" i="32" s="1"/>
  <c r="R136" i="32" s="1"/>
  <c r="S136" i="32" s="1"/>
  <c r="T136" i="32" s="1"/>
  <c r="U136" i="32" s="1"/>
  <c r="E136" i="32"/>
  <c r="D136" i="32"/>
  <c r="D135" i="32"/>
  <c r="E135" i="32" s="1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E134" i="32"/>
  <c r="F134" i="32" s="1"/>
  <c r="G134" i="32" s="1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D134" i="32"/>
  <c r="O133" i="32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K133" i="32"/>
  <c r="L133" i="32" s="1"/>
  <c r="M133" i="32" s="1"/>
  <c r="N133" i="32" s="1"/>
  <c r="D133" i="32"/>
  <c r="E133" i="32" s="1"/>
  <c r="F133" i="32" s="1"/>
  <c r="G133" i="32" s="1"/>
  <c r="H133" i="32" s="1"/>
  <c r="I133" i="32" s="1"/>
  <c r="J133" i="32" s="1"/>
  <c r="E132" i="32"/>
  <c r="F132" i="32" s="1"/>
  <c r="G132" i="32" s="1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D132" i="32"/>
  <c r="D131" i="32"/>
  <c r="E131" i="32" s="1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E130" i="32"/>
  <c r="F130" i="32" s="1"/>
  <c r="G130" i="32" s="1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B130" i="32" s="1"/>
  <c r="D130" i="32"/>
  <c r="D128" i="32"/>
  <c r="E128" i="32" s="1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E127" i="32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D127" i="32"/>
  <c r="D126" i="32"/>
  <c r="E126" i="32" s="1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F125" i="32"/>
  <c r="G125" i="32" s="1"/>
  <c r="H125" i="32" s="1"/>
  <c r="I125" i="32" s="1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E125" i="32"/>
  <c r="D125" i="32"/>
  <c r="G124" i="32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D124" i="32"/>
  <c r="E124" i="32" s="1"/>
  <c r="F124" i="32" s="1"/>
  <c r="F123" i="32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E123" i="32"/>
  <c r="D123" i="32"/>
  <c r="D122" i="32"/>
  <c r="E122" i="32" s="1"/>
  <c r="F122" i="32" s="1"/>
  <c r="G122" i="32" s="1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F121" i="32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E121" i="32"/>
  <c r="D121" i="32"/>
  <c r="G120" i="32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D120" i="32"/>
  <c r="E120" i="32" s="1"/>
  <c r="F120" i="32" s="1"/>
  <c r="F119" i="32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E119" i="32"/>
  <c r="D119" i="32"/>
  <c r="O118" i="32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N118" i="32"/>
  <c r="L118" i="32"/>
  <c r="M118" i="32" s="1"/>
  <c r="F118" i="32"/>
  <c r="G118" i="32" s="1"/>
  <c r="H118" i="32" s="1"/>
  <c r="I118" i="32" s="1"/>
  <c r="J118" i="32" s="1"/>
  <c r="K118" i="32" s="1"/>
  <c r="D118" i="32"/>
  <c r="E118" i="32" s="1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G116" i="32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D116" i="32"/>
  <c r="E116" i="32" s="1"/>
  <c r="F116" i="32" s="1"/>
  <c r="F115" i="32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E115" i="32"/>
  <c r="D115" i="32"/>
  <c r="D114" i="32"/>
  <c r="E114" i="32" s="1"/>
  <c r="L113" i="32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K113" i="32"/>
  <c r="H113" i="32"/>
  <c r="I113" i="32" s="1"/>
  <c r="E113" i="32"/>
  <c r="F113" i="32" s="1"/>
  <c r="G113" i="32" s="1"/>
  <c r="D113" i="32"/>
  <c r="F112" i="32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D112" i="32"/>
  <c r="E112" i="32" s="1"/>
  <c r="D111" i="32"/>
  <c r="E111" i="32" s="1"/>
  <c r="F111" i="32" s="1"/>
  <c r="G111" i="32" s="1"/>
  <c r="H111" i="32" s="1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B111" i="32" s="1"/>
  <c r="D109" i="32"/>
  <c r="E109" i="32" s="1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108" i="32"/>
  <c r="E108" i="32" s="1"/>
  <c r="F108" i="32" s="1"/>
  <c r="G108" i="32" s="1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V108" i="32" s="1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B108" i="32" s="1"/>
  <c r="F106" i="32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6" i="32"/>
  <c r="E106" i="32" s="1"/>
  <c r="D105" i="32"/>
  <c r="E105" i="32" s="1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D104" i="32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H103" i="32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B103" i="32" s="1"/>
  <c r="E103" i="32"/>
  <c r="F103" i="32" s="1"/>
  <c r="G103" i="32" s="1"/>
  <c r="D103" i="32"/>
  <c r="D102" i="32"/>
  <c r="E102" i="32" s="1"/>
  <c r="F102" i="32" s="1"/>
  <c r="E101" i="32"/>
  <c r="F101" i="32" s="1"/>
  <c r="D101" i="32"/>
  <c r="AH99" i="32"/>
  <c r="AI99" i="32" s="1"/>
  <c r="AH98" i="32"/>
  <c r="AI98" i="32" s="1"/>
  <c r="AH97" i="32"/>
  <c r="AI97" i="32" s="1"/>
  <c r="AH96" i="32"/>
  <c r="AI96" i="32" s="1"/>
  <c r="AH95" i="32"/>
  <c r="AI95" i="32" s="1"/>
  <c r="AH94" i="32"/>
  <c r="AI94" i="32" s="1"/>
  <c r="D93" i="32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AI81" i="32"/>
  <c r="AH81" i="32"/>
  <c r="AF80" i="32"/>
  <c r="AE80" i="32"/>
  <c r="AD80" i="32"/>
  <c r="AC80" i="32"/>
  <c r="AB80" i="32"/>
  <c r="AA80" i="32"/>
  <c r="Z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AF79" i="32"/>
  <c r="AE79" i="32"/>
  <c r="AD79" i="32"/>
  <c r="AC79" i="32"/>
  <c r="AB79" i="32"/>
  <c r="AA79" i="32"/>
  <c r="Z79" i="32"/>
  <c r="Y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C79" i="32"/>
  <c r="AF78" i="32"/>
  <c r="AE78" i="32"/>
  <c r="AD78" i="32"/>
  <c r="AC78" i="32"/>
  <c r="AB78" i="32"/>
  <c r="AA78" i="32"/>
  <c r="Z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AF77" i="32"/>
  <c r="AE77" i="32"/>
  <c r="AD77" i="32"/>
  <c r="AC77" i="32"/>
  <c r="AB77" i="32"/>
  <c r="AA77" i="32"/>
  <c r="Z77" i="32"/>
  <c r="Z82" i="32" s="1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AF76" i="32"/>
  <c r="AE76" i="32"/>
  <c r="AD76" i="32"/>
  <c r="AC76" i="32"/>
  <c r="AB76" i="32"/>
  <c r="AA76" i="32"/>
  <c r="Z76" i="32"/>
  <c r="Y76" i="32"/>
  <c r="X76" i="32"/>
  <c r="W76" i="32"/>
  <c r="V76" i="32"/>
  <c r="U76" i="32"/>
  <c r="T76" i="32"/>
  <c r="S76" i="32"/>
  <c r="R76" i="32"/>
  <c r="Q76" i="32"/>
  <c r="P76" i="32"/>
  <c r="O76" i="32"/>
  <c r="O82" i="32" s="1"/>
  <c r="N76" i="32"/>
  <c r="M76" i="32"/>
  <c r="L76" i="32"/>
  <c r="L82" i="32" s="1"/>
  <c r="K76" i="32"/>
  <c r="J76" i="32"/>
  <c r="I76" i="32"/>
  <c r="H76" i="32"/>
  <c r="G76" i="32"/>
  <c r="F76" i="32"/>
  <c r="E76" i="32"/>
  <c r="D76" i="32"/>
  <c r="C76" i="32"/>
  <c r="AI74" i="32"/>
  <c r="AH74" i="32"/>
  <c r="AG72" i="32"/>
  <c r="AF72" i="32"/>
  <c r="AE72" i="32"/>
  <c r="AD72" i="32"/>
  <c r="AC72" i="32"/>
  <c r="AB72" i="32"/>
  <c r="AA72" i="32"/>
  <c r="Z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AH72" i="32"/>
  <c r="AI71" i="32"/>
  <c r="AH71" i="32"/>
  <c r="AI70" i="32"/>
  <c r="AH70" i="32"/>
  <c r="AI69" i="32"/>
  <c r="AH69" i="32"/>
  <c r="AG68" i="32"/>
  <c r="AF68" i="32"/>
  <c r="AE5" i="32" s="1"/>
  <c r="AE68" i="32"/>
  <c r="AD5" i="32" s="1"/>
  <c r="AD68" i="32"/>
  <c r="AC5" i="32" s="1"/>
  <c r="AC68" i="32"/>
  <c r="AB5" i="32" s="1"/>
  <c r="AB68" i="32"/>
  <c r="AA5" i="32" s="1"/>
  <c r="AA68" i="32"/>
  <c r="Z5" i="32" s="1"/>
  <c r="Z68" i="32"/>
  <c r="Y5" i="32" s="1"/>
  <c r="Y68" i="32"/>
  <c r="X5" i="32" s="1"/>
  <c r="X68" i="32"/>
  <c r="W68" i="32"/>
  <c r="V5" i="32" s="1"/>
  <c r="V68" i="32"/>
  <c r="U68" i="32"/>
  <c r="T68" i="32"/>
  <c r="S68" i="32"/>
  <c r="R5" i="32" s="1"/>
  <c r="R68" i="32"/>
  <c r="Q5" i="32" s="1"/>
  <c r="Q68" i="32"/>
  <c r="P5" i="32" s="1"/>
  <c r="P68" i="32"/>
  <c r="O68" i="32"/>
  <c r="N5" i="32" s="1"/>
  <c r="N68" i="32"/>
  <c r="M5" i="32" s="1"/>
  <c r="M68" i="32"/>
  <c r="L5" i="32" s="1"/>
  <c r="L68" i="32"/>
  <c r="K68" i="32"/>
  <c r="J5" i="32" s="1"/>
  <c r="J68" i="32"/>
  <c r="I5" i="32" s="1"/>
  <c r="I68" i="32"/>
  <c r="H5" i="32" s="1"/>
  <c r="H68" i="32"/>
  <c r="G5" i="32" s="1"/>
  <c r="G68" i="32"/>
  <c r="F68" i="32"/>
  <c r="E68" i="32"/>
  <c r="D5" i="32" s="1"/>
  <c r="D68" i="32"/>
  <c r="C5" i="32" s="1"/>
  <c r="C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G4" i="32" s="1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I55" i="32"/>
  <c r="AH55" i="32"/>
  <c r="AI54" i="32"/>
  <c r="AH54" i="32"/>
  <c r="AI53" i="32"/>
  <c r="AH53" i="32"/>
  <c r="Z52" i="32"/>
  <c r="Y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G52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L38" i="32"/>
  <c r="K38" i="32"/>
  <c r="K75" i="32" s="1"/>
  <c r="AC213" i="32" s="1"/>
  <c r="J38" i="32"/>
  <c r="J75" i="32" s="1"/>
  <c r="AB213" i="32" s="1"/>
  <c r="I38" i="32"/>
  <c r="H38" i="32"/>
  <c r="G38" i="32"/>
  <c r="F38" i="32"/>
  <c r="E38" i="32"/>
  <c r="D38" i="32"/>
  <c r="C38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1" i="32"/>
  <c r="AH11" i="32"/>
  <c r="U5" i="32"/>
  <c r="T5" i="32"/>
  <c r="S5" i="32"/>
  <c r="K5" i="32"/>
  <c r="E5" i="32"/>
  <c r="K4" i="32"/>
  <c r="B4" i="32"/>
  <c r="AG2" i="32"/>
  <c r="AD95" i="31"/>
  <c r="AC95" i="31"/>
  <c r="AA37" i="31"/>
  <c r="Z37" i="31"/>
  <c r="X37" i="31"/>
  <c r="W37" i="31"/>
  <c r="V37" i="31"/>
  <c r="U37" i="31"/>
  <c r="T37" i="31"/>
  <c r="S95" i="31"/>
  <c r="S37" i="31"/>
  <c r="R95" i="31"/>
  <c r="R37" i="31"/>
  <c r="Q95" i="31"/>
  <c r="Q37" i="31"/>
  <c r="P95" i="31"/>
  <c r="P37" i="31"/>
  <c r="O95" i="31"/>
  <c r="O37" i="31"/>
  <c r="N95" i="31"/>
  <c r="I56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235" i="31"/>
  <c r="C234" i="31"/>
  <c r="B234" i="31"/>
  <c r="S209" i="31"/>
  <c r="AG199" i="31"/>
  <c r="C199" i="31"/>
  <c r="E198" i="31"/>
  <c r="D198" i="31"/>
  <c r="F197" i="3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E197" i="31"/>
  <c r="D197" i="31"/>
  <c r="D196" i="31"/>
  <c r="M195" i="3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E195" i="31"/>
  <c r="F195" i="31" s="1"/>
  <c r="G195" i="31" s="1"/>
  <c r="H195" i="31" s="1"/>
  <c r="I195" i="31" s="1"/>
  <c r="J195" i="31" s="1"/>
  <c r="K195" i="31" s="1"/>
  <c r="L195" i="31" s="1"/>
  <c r="D195" i="31"/>
  <c r="E194" i="31"/>
  <c r="F194" i="31" s="1"/>
  <c r="G194" i="31" s="1"/>
  <c r="H194" i="31" s="1"/>
  <c r="I194" i="31" s="1"/>
  <c r="J194" i="31" s="1"/>
  <c r="K194" i="31" s="1"/>
  <c r="L194" i="31" s="1"/>
  <c r="M194" i="31" s="1"/>
  <c r="N194" i="31" s="1"/>
  <c r="O194" i="31" s="1"/>
  <c r="P194" i="31" s="1"/>
  <c r="Q194" i="31" s="1"/>
  <c r="R194" i="31" s="1"/>
  <c r="S194" i="31" s="1"/>
  <c r="T194" i="31" s="1"/>
  <c r="U194" i="31" s="1"/>
  <c r="V194" i="31" s="1"/>
  <c r="W194" i="31" s="1"/>
  <c r="X194" i="31" s="1"/>
  <c r="Y194" i="31" s="1"/>
  <c r="Z194" i="31" s="1"/>
  <c r="AA194" i="31" s="1"/>
  <c r="AB194" i="31" s="1"/>
  <c r="AC194" i="31" s="1"/>
  <c r="AD194" i="31" s="1"/>
  <c r="AE194" i="31" s="1"/>
  <c r="AF194" i="31" s="1"/>
  <c r="B194" i="31" s="1"/>
  <c r="D194" i="31"/>
  <c r="F193" i="31"/>
  <c r="G193" i="31" s="1"/>
  <c r="E193" i="31"/>
  <c r="D193" i="31"/>
  <c r="AG191" i="31"/>
  <c r="C191" i="31"/>
  <c r="D190" i="31"/>
  <c r="E190" i="31" s="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E189" i="3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D189" i="31"/>
  <c r="H188" i="3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F188" i="31"/>
  <c r="G188" i="31" s="1"/>
  <c r="E188" i="31"/>
  <c r="D188" i="31"/>
  <c r="L187" i="3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E187" i="31"/>
  <c r="F187" i="31" s="1"/>
  <c r="G187" i="31" s="1"/>
  <c r="H187" i="31" s="1"/>
  <c r="I187" i="31" s="1"/>
  <c r="J187" i="31" s="1"/>
  <c r="K187" i="31" s="1"/>
  <c r="D187" i="31"/>
  <c r="Q186" i="3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D186" i="3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E185" i="3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D185" i="3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4" i="3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D182" i="31"/>
  <c r="E182" i="31" s="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G181" i="3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E181" i="31"/>
  <c r="F181" i="31" s="1"/>
  <c r="D181" i="31"/>
  <c r="T180" i="3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O180" i="31"/>
  <c r="P180" i="31" s="1"/>
  <c r="Q180" i="31" s="1"/>
  <c r="R180" i="31" s="1"/>
  <c r="S180" i="31" s="1"/>
  <c r="D180" i="3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P178" i="3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B178" i="31" s="1"/>
  <c r="G178" i="31"/>
  <c r="H178" i="31" s="1"/>
  <c r="I178" i="31" s="1"/>
  <c r="J178" i="31" s="1"/>
  <c r="K178" i="31" s="1"/>
  <c r="L178" i="31" s="1"/>
  <c r="M178" i="31" s="1"/>
  <c r="N178" i="31" s="1"/>
  <c r="O178" i="31" s="1"/>
  <c r="D178" i="31"/>
  <c r="E178" i="31" s="1"/>
  <c r="F178" i="31" s="1"/>
  <c r="D176" i="31"/>
  <c r="E176" i="31" s="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/>
  <c r="L175" i="3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D175" i="31"/>
  <c r="E175" i="31" s="1"/>
  <c r="F175" i="31" s="1"/>
  <c r="G175" i="31" s="1"/>
  <c r="H175" i="31" s="1"/>
  <c r="I175" i="31" s="1"/>
  <c r="J175" i="31" s="1"/>
  <c r="K175" i="31" s="1"/>
  <c r="T174" i="3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R174" i="31"/>
  <c r="S174" i="31" s="1"/>
  <c r="D174" i="3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E173" i="3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3" i="31"/>
  <c r="F172" i="3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E172" i="31"/>
  <c r="D172" i="31"/>
  <c r="F171" i="3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D171" i="31"/>
  <c r="E171" i="31" s="1"/>
  <c r="T170" i="3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O170" i="31"/>
  <c r="P170" i="31" s="1"/>
  <c r="Q170" i="31" s="1"/>
  <c r="R170" i="31" s="1"/>
  <c r="S170" i="31" s="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L169" i="3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B169" i="31" s="1"/>
  <c r="D169" i="31"/>
  <c r="E169" i="31" s="1"/>
  <c r="F169" i="31" s="1"/>
  <c r="G169" i="31" s="1"/>
  <c r="H169" i="31" s="1"/>
  <c r="I169" i="31" s="1"/>
  <c r="J169" i="31" s="1"/>
  <c r="K169" i="31" s="1"/>
  <c r="O167" i="3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G167" i="31"/>
  <c r="H167" i="31" s="1"/>
  <c r="I167" i="31" s="1"/>
  <c r="J167" i="31" s="1"/>
  <c r="K167" i="31" s="1"/>
  <c r="L167" i="31" s="1"/>
  <c r="M167" i="31" s="1"/>
  <c r="N167" i="31" s="1"/>
  <c r="E167" i="31"/>
  <c r="F167" i="31" s="1"/>
  <c r="D167" i="31"/>
  <c r="Q166" i="3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M166" i="31"/>
  <c r="N166" i="31" s="1"/>
  <c r="O166" i="31" s="1"/>
  <c r="P166" i="31" s="1"/>
  <c r="F166" i="31"/>
  <c r="G166" i="31" s="1"/>
  <c r="H166" i="31" s="1"/>
  <c r="I166" i="31" s="1"/>
  <c r="J166" i="31" s="1"/>
  <c r="K166" i="31" s="1"/>
  <c r="L166" i="31" s="1"/>
  <c r="D166" i="31"/>
  <c r="E166" i="31" s="1"/>
  <c r="D165" i="31"/>
  <c r="E165" i="31" s="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D164" i="3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AD163" i="31"/>
  <c r="AE163" i="31" s="1"/>
  <c r="AF163" i="31" s="1"/>
  <c r="B163" i="31" s="1"/>
  <c r="I163" i="3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G163" i="31"/>
  <c r="H163" i="31" s="1"/>
  <c r="F163" i="31"/>
  <c r="E163" i="31"/>
  <c r="D163" i="31"/>
  <c r="D162" i="31"/>
  <c r="E162" i="31" s="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S161" i="3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J161" i="31"/>
  <c r="K161" i="31" s="1"/>
  <c r="L161" i="31" s="1"/>
  <c r="M161" i="31" s="1"/>
  <c r="N161" i="31" s="1"/>
  <c r="O161" i="31" s="1"/>
  <c r="P161" i="31" s="1"/>
  <c r="Q161" i="31" s="1"/>
  <c r="R161" i="31" s="1"/>
  <c r="E161" i="31"/>
  <c r="F161" i="31" s="1"/>
  <c r="G161" i="31" s="1"/>
  <c r="H161" i="31" s="1"/>
  <c r="I161" i="31" s="1"/>
  <c r="D161" i="31"/>
  <c r="H160" i="3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E160" i="31"/>
  <c r="F160" i="31" s="1"/>
  <c r="G160" i="31" s="1"/>
  <c r="D160" i="31"/>
  <c r="G159" i="3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F159" i="31"/>
  <c r="E159" i="31"/>
  <c r="D159" i="31"/>
  <c r="AB158" i="31"/>
  <c r="AC158" i="31" s="1"/>
  <c r="AD158" i="31" s="1"/>
  <c r="AE158" i="31" s="1"/>
  <c r="AF158" i="31" s="1"/>
  <c r="B158" i="31" s="1"/>
  <c r="L158" i="3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K158" i="31"/>
  <c r="D158" i="31"/>
  <c r="E158" i="31" s="1"/>
  <c r="F158" i="31" s="1"/>
  <c r="G158" i="31" s="1"/>
  <c r="H158" i="31" s="1"/>
  <c r="I158" i="31" s="1"/>
  <c r="J158" i="31" s="1"/>
  <c r="J157" i="3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F157" i="31"/>
  <c r="G157" i="31" s="1"/>
  <c r="H157" i="31" s="1"/>
  <c r="I157" i="31" s="1"/>
  <c r="E157" i="31"/>
  <c r="D157" i="31"/>
  <c r="E156" i="3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D156" i="31"/>
  <c r="I155" i="3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B155" i="31" s="1"/>
  <c r="G155" i="31"/>
  <c r="H155" i="31" s="1"/>
  <c r="E155" i="31"/>
  <c r="F155" i="31" s="1"/>
  <c r="D155" i="31"/>
  <c r="AC153" i="31"/>
  <c r="AD153" i="31" s="1"/>
  <c r="AE153" i="31" s="1"/>
  <c r="AF153" i="31" s="1"/>
  <c r="B153" i="31" s="1"/>
  <c r="E153" i="3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D153" i="31"/>
  <c r="AD152" i="31"/>
  <c r="AE152" i="31" s="1"/>
  <c r="AF152" i="31" s="1"/>
  <c r="Y152" i="31"/>
  <c r="Z152" i="31" s="1"/>
  <c r="AA152" i="31" s="1"/>
  <c r="AB152" i="31" s="1"/>
  <c r="AC152" i="31" s="1"/>
  <c r="E152" i="3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D152" i="31"/>
  <c r="B152" i="31"/>
  <c r="AD151" i="31"/>
  <c r="AE151" i="31" s="1"/>
  <c r="AF151" i="31" s="1"/>
  <c r="B151" i="31" s="1"/>
  <c r="E151" i="3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D151" i="31"/>
  <c r="AE150" i="31"/>
  <c r="AF150" i="31" s="1"/>
  <c r="B150" i="31" s="1"/>
  <c r="Z150" i="31"/>
  <c r="AA150" i="31" s="1"/>
  <c r="AB150" i="31" s="1"/>
  <c r="AC150" i="31" s="1"/>
  <c r="AD150" i="31" s="1"/>
  <c r="G150" i="3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E150" i="31"/>
  <c r="F150" i="31" s="1"/>
  <c r="D150" i="31"/>
  <c r="J148" i="3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G148" i="31"/>
  <c r="H148" i="31" s="1"/>
  <c r="I148" i="31" s="1"/>
  <c r="D148" i="31"/>
  <c r="E148" i="31" s="1"/>
  <c r="F148" i="31" s="1"/>
  <c r="L147" i="3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B147" i="31" s="1"/>
  <c r="H147" i="31"/>
  <c r="I147" i="31" s="1"/>
  <c r="J147" i="31" s="1"/>
  <c r="K147" i="31" s="1"/>
  <c r="E147" i="31"/>
  <c r="F147" i="31" s="1"/>
  <c r="G147" i="31" s="1"/>
  <c r="D147" i="31"/>
  <c r="E145" i="3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D145" i="31"/>
  <c r="R144" i="3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P144" i="31"/>
  <c r="Q144" i="31" s="1"/>
  <c r="D144" i="31"/>
  <c r="E144" i="31" s="1"/>
  <c r="F144" i="31" s="1"/>
  <c r="G144" i="31" s="1"/>
  <c r="H144" i="31" s="1"/>
  <c r="I144" i="31" s="1"/>
  <c r="J144" i="31" s="1"/>
  <c r="K144" i="31" s="1"/>
  <c r="L144" i="31" s="1"/>
  <c r="M144" i="31" s="1"/>
  <c r="N144" i="31" s="1"/>
  <c r="O144" i="31" s="1"/>
  <c r="X143" i="3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F143" i="3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D143" i="31"/>
  <c r="E143" i="31" s="1"/>
  <c r="N142" i="3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E142" i="31" s="1"/>
  <c r="F142" i="31" s="1"/>
  <c r="G142" i="31" s="1"/>
  <c r="H142" i="31" s="1"/>
  <c r="I142" i="31" s="1"/>
  <c r="J142" i="31" s="1"/>
  <c r="K142" i="31" s="1"/>
  <c r="L142" i="31" s="1"/>
  <c r="M142" i="31" s="1"/>
  <c r="F141" i="3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1" i="31"/>
  <c r="E141" i="31" s="1"/>
  <c r="D140" i="3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F139" i="31"/>
  <c r="G139" i="31" s="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B139" i="31" s="1"/>
  <c r="D139" i="31"/>
  <c r="E139" i="31" s="1"/>
  <c r="AB137" i="31"/>
  <c r="AC137" i="31" s="1"/>
  <c r="AD137" i="31" s="1"/>
  <c r="AE137" i="31" s="1"/>
  <c r="AF137" i="31" s="1"/>
  <c r="B137" i="31" s="1"/>
  <c r="M137" i="3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L137" i="31"/>
  <c r="D137" i="31"/>
  <c r="E137" i="31" s="1"/>
  <c r="F137" i="31" s="1"/>
  <c r="G137" i="31" s="1"/>
  <c r="H137" i="31" s="1"/>
  <c r="I137" i="31" s="1"/>
  <c r="J137" i="31" s="1"/>
  <c r="K137" i="31" s="1"/>
  <c r="E136" i="3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6" i="31"/>
  <c r="N135" i="3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H135" i="31"/>
  <c r="I135" i="31" s="1"/>
  <c r="J135" i="31" s="1"/>
  <c r="K135" i="31" s="1"/>
  <c r="L135" i="31" s="1"/>
  <c r="M135" i="31" s="1"/>
  <c r="D135" i="31"/>
  <c r="E135" i="31" s="1"/>
  <c r="F135" i="31" s="1"/>
  <c r="G135" i="31" s="1"/>
  <c r="H134" i="3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D134" i="31"/>
  <c r="E134" i="31" s="1"/>
  <c r="F134" i="31" s="1"/>
  <c r="G134" i="31" s="1"/>
  <c r="F133" i="3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D133" i="31"/>
  <c r="E133" i="31" s="1"/>
  <c r="P132" i="3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N132" i="31"/>
  <c r="O132" i="31" s="1"/>
  <c r="E132" i="31"/>
  <c r="F132" i="31" s="1"/>
  <c r="G132" i="31" s="1"/>
  <c r="H132" i="31" s="1"/>
  <c r="I132" i="31" s="1"/>
  <c r="J132" i="31" s="1"/>
  <c r="K132" i="31" s="1"/>
  <c r="L132" i="31" s="1"/>
  <c r="M132" i="31" s="1"/>
  <c r="D132" i="31"/>
  <c r="G131" i="3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F131" i="31"/>
  <c r="D131" i="31"/>
  <c r="E131" i="31" s="1"/>
  <c r="J130" i="3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B130" i="31" s="1"/>
  <c r="E130" i="31"/>
  <c r="F130" i="31" s="1"/>
  <c r="G130" i="31" s="1"/>
  <c r="H130" i="31" s="1"/>
  <c r="I130" i="31" s="1"/>
  <c r="D130" i="31"/>
  <c r="H128" i="3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8" i="31"/>
  <c r="E128" i="31" s="1"/>
  <c r="F128" i="31" s="1"/>
  <c r="G128" i="31" s="1"/>
  <c r="F127" i="3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E127" i="31"/>
  <c r="D127" i="31"/>
  <c r="D126" i="3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D125" i="3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K124" i="3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F124" i="31"/>
  <c r="G124" i="31" s="1"/>
  <c r="H124" i="31" s="1"/>
  <c r="I124" i="31" s="1"/>
  <c r="J124" i="31" s="1"/>
  <c r="E124" i="31"/>
  <c r="D124" i="31"/>
  <c r="H123" i="3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3" i="31"/>
  <c r="E123" i="31" s="1"/>
  <c r="F123" i="31" s="1"/>
  <c r="G123" i="31" s="1"/>
  <c r="G122" i="3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F122" i="31"/>
  <c r="E122" i="31"/>
  <c r="D122" i="31"/>
  <c r="D121" i="3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K120" i="3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J120" i="31"/>
  <c r="F120" i="31"/>
  <c r="G120" i="31" s="1"/>
  <c r="H120" i="31" s="1"/>
  <c r="I120" i="31" s="1"/>
  <c r="E120" i="31"/>
  <c r="D120" i="31"/>
  <c r="D119" i="3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G118" i="3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F118" i="31"/>
  <c r="E118" i="31"/>
  <c r="D118" i="31"/>
  <c r="L117" i="3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D117" i="31"/>
  <c r="E117" i="31" s="1"/>
  <c r="F117" i="31" s="1"/>
  <c r="G117" i="31" s="1"/>
  <c r="H117" i="31" s="1"/>
  <c r="I117" i="31" s="1"/>
  <c r="J117" i="31" s="1"/>
  <c r="K117" i="31" s="1"/>
  <c r="J116" i="3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F116" i="31"/>
  <c r="G116" i="31" s="1"/>
  <c r="H116" i="31" s="1"/>
  <c r="I116" i="31" s="1"/>
  <c r="E116" i="31"/>
  <c r="D116" i="31"/>
  <c r="Q115" i="3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H115" i="31"/>
  <c r="I115" i="31" s="1"/>
  <c r="J115" i="31" s="1"/>
  <c r="K115" i="31" s="1"/>
  <c r="L115" i="31" s="1"/>
  <c r="M115" i="31" s="1"/>
  <c r="N115" i="31" s="1"/>
  <c r="O115" i="31" s="1"/>
  <c r="P115" i="31" s="1"/>
  <c r="D115" i="31"/>
  <c r="E115" i="31" s="1"/>
  <c r="F115" i="31" s="1"/>
  <c r="G115" i="31" s="1"/>
  <c r="W114" i="3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V114" i="31"/>
  <c r="G114" i="3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F114" i="31"/>
  <c r="E114" i="31"/>
  <c r="D114" i="31"/>
  <c r="M113" i="3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L113" i="31"/>
  <c r="K113" i="31"/>
  <c r="D113" i="31"/>
  <c r="E113" i="31" s="1"/>
  <c r="F113" i="31" s="1"/>
  <c r="G113" i="31" s="1"/>
  <c r="H113" i="31" s="1"/>
  <c r="I113" i="31" s="1"/>
  <c r="Z112" i="31"/>
  <c r="AA112" i="31" s="1"/>
  <c r="AB112" i="31" s="1"/>
  <c r="AC112" i="31" s="1"/>
  <c r="AD112" i="31" s="1"/>
  <c r="AE112" i="31" s="1"/>
  <c r="AF112" i="31" s="1"/>
  <c r="B112" i="31" s="1"/>
  <c r="E112" i="3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D112" i="31"/>
  <c r="AF111" i="31"/>
  <c r="B111" i="31" s="1"/>
  <c r="G111" i="3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D111" i="31"/>
  <c r="E111" i="31" s="1"/>
  <c r="F111" i="31" s="1"/>
  <c r="E109" i="3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D109" i="31"/>
  <c r="T108" i="3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B108" i="31" s="1"/>
  <c r="D108" i="3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I106" i="3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E106" i="31"/>
  <c r="F106" i="31" s="1"/>
  <c r="G106" i="31" s="1"/>
  <c r="H106" i="31" s="1"/>
  <c r="D106" i="31"/>
  <c r="W105" i="3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S105" i="31"/>
  <c r="T105" i="31" s="1"/>
  <c r="U105" i="31" s="1"/>
  <c r="V105" i="31" s="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E104" i="3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4" i="31"/>
  <c r="D103" i="31"/>
  <c r="E103" i="31" s="1"/>
  <c r="F103" i="31" s="1"/>
  <c r="G103" i="31" s="1"/>
  <c r="H103" i="31" s="1"/>
  <c r="I103" i="31" s="1"/>
  <c r="J103" i="31" s="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B103" i="31" s="1"/>
  <c r="E102" i="31"/>
  <c r="D102" i="31"/>
  <c r="D101" i="31"/>
  <c r="AH99" i="31"/>
  <c r="AI99" i="31" s="1"/>
  <c r="AH98" i="31"/>
  <c r="AI98" i="31" s="1"/>
  <c r="AH97" i="31"/>
  <c r="AI97" i="31" s="1"/>
  <c r="AH96" i="31"/>
  <c r="AI96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2" i="31"/>
  <c r="AI81" i="31"/>
  <c r="AH81" i="31"/>
  <c r="AF80" i="31"/>
  <c r="AE80" i="31"/>
  <c r="AD80" i="3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AF79" i="31"/>
  <c r="AE79" i="31"/>
  <c r="AD79" i="31"/>
  <c r="AC79" i="31"/>
  <c r="AB79" i="31"/>
  <c r="AA79" i="31"/>
  <c r="Z79" i="31"/>
  <c r="Y79" i="31"/>
  <c r="X79" i="31"/>
  <c r="W79" i="31"/>
  <c r="W82" i="31" s="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AF76" i="31"/>
  <c r="AE76" i="31"/>
  <c r="AD76" i="31"/>
  <c r="AC76" i="31"/>
  <c r="AB76" i="31"/>
  <c r="AB82" i="31" s="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K82" i="31" s="1"/>
  <c r="J76" i="31"/>
  <c r="I76" i="31"/>
  <c r="H76" i="31"/>
  <c r="G76" i="31"/>
  <c r="F76" i="31"/>
  <c r="E76" i="31"/>
  <c r="D76" i="31"/>
  <c r="C76" i="31"/>
  <c r="C82" i="31" s="1"/>
  <c r="B76" i="31"/>
  <c r="AG75" i="31"/>
  <c r="AI74" i="31"/>
  <c r="AH74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AI72" i="31" s="1"/>
  <c r="AI71" i="31"/>
  <c r="AH71" i="31"/>
  <c r="AI70" i="31"/>
  <c r="AH70" i="31"/>
  <c r="AI69" i="31"/>
  <c r="AH69" i="31"/>
  <c r="AG68" i="31"/>
  <c r="AF68" i="31"/>
  <c r="AE5" i="31" s="1"/>
  <c r="AE68" i="31"/>
  <c r="AD5" i="31" s="1"/>
  <c r="AD68" i="31"/>
  <c r="AC68" i="31"/>
  <c r="AB5" i="31" s="1"/>
  <c r="AB68" i="31"/>
  <c r="AA5" i="31" s="1"/>
  <c r="AA68" i="31"/>
  <c r="Z5" i="31" s="1"/>
  <c r="Z68" i="31"/>
  <c r="Y68" i="31"/>
  <c r="X68" i="31"/>
  <c r="W5" i="31" s="1"/>
  <c r="W68" i="31"/>
  <c r="V68" i="31"/>
  <c r="U68" i="31"/>
  <c r="T5" i="31" s="1"/>
  <c r="T68" i="31"/>
  <c r="S5" i="31" s="1"/>
  <c r="S68" i="31"/>
  <c r="R5" i="31" s="1"/>
  <c r="R68" i="31"/>
  <c r="Q68" i="31"/>
  <c r="P68" i="31"/>
  <c r="O5" i="31" s="1"/>
  <c r="O68" i="31"/>
  <c r="N5" i="31" s="1"/>
  <c r="N68" i="31"/>
  <c r="M68" i="31"/>
  <c r="L5" i="31" s="1"/>
  <c r="L68" i="31"/>
  <c r="K5" i="31" s="1"/>
  <c r="K68" i="31"/>
  <c r="J5" i="31" s="1"/>
  <c r="J68" i="31"/>
  <c r="I68" i="31"/>
  <c r="H5" i="31" s="1"/>
  <c r="H68" i="31"/>
  <c r="G5" i="31" s="1"/>
  <c r="G68" i="31"/>
  <c r="F5" i="31" s="1"/>
  <c r="F68" i="31"/>
  <c r="E68" i="31"/>
  <c r="D5" i="31" s="1"/>
  <c r="D68" i="31"/>
  <c r="C5" i="31" s="1"/>
  <c r="C68" i="31"/>
  <c r="B5" i="31" s="1"/>
  <c r="B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H56" i="31"/>
  <c r="G56" i="31"/>
  <c r="F56" i="31"/>
  <c r="E56" i="31"/>
  <c r="D56" i="31"/>
  <c r="C56" i="31"/>
  <c r="B56" i="31"/>
  <c r="AI55" i="31"/>
  <c r="AH55" i="31"/>
  <c r="AI54" i="31"/>
  <c r="AH54" i="31"/>
  <c r="AI53" i="31"/>
  <c r="AH53" i="31"/>
  <c r="Z52" i="31"/>
  <c r="Y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G52" i="31" s="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X5" i="31"/>
  <c r="P5" i="31"/>
  <c r="AG4" i="31"/>
  <c r="K4" i="31"/>
  <c r="B4" i="31"/>
  <c r="AG2" i="31"/>
  <c r="S37" i="30"/>
  <c r="R95" i="30"/>
  <c r="E4" i="32"/>
  <c r="E4" i="31"/>
  <c r="E4" i="33"/>
  <c r="E4" i="34"/>
  <c r="K108" i="35" l="1"/>
  <c r="N102" i="35"/>
  <c r="J193" i="35"/>
  <c r="I199" i="35"/>
  <c r="L198" i="35"/>
  <c r="J234" i="35"/>
  <c r="J191" i="35"/>
  <c r="K101" i="35"/>
  <c r="I93" i="35"/>
  <c r="H4" i="34"/>
  <c r="Z213" i="34"/>
  <c r="H7" i="34"/>
  <c r="AH213" i="34"/>
  <c r="P7" i="34"/>
  <c r="AJ213" i="34"/>
  <c r="R7" i="34"/>
  <c r="AR213" i="34"/>
  <c r="Z7" i="34"/>
  <c r="AG83" i="34"/>
  <c r="AG75" i="34"/>
  <c r="AG73" i="34"/>
  <c r="AG3" i="34"/>
  <c r="D83" i="34"/>
  <c r="L83" i="34"/>
  <c r="T83" i="34"/>
  <c r="AG6" i="34"/>
  <c r="U213" i="34"/>
  <c r="C7" i="34"/>
  <c r="E83" i="34"/>
  <c r="AH82" i="34"/>
  <c r="AI82" i="34"/>
  <c r="F83" i="34"/>
  <c r="Y213" i="34"/>
  <c r="G7" i="34"/>
  <c r="AG213" i="34"/>
  <c r="O7" i="34"/>
  <c r="B5" i="34"/>
  <c r="J5" i="34"/>
  <c r="R5" i="34"/>
  <c r="Z5" i="34"/>
  <c r="AH68" i="34"/>
  <c r="AH72" i="34"/>
  <c r="H73" i="34"/>
  <c r="H83" i="34" s="1"/>
  <c r="P73" i="34"/>
  <c r="P83" i="34" s="1"/>
  <c r="D75" i="34"/>
  <c r="L75" i="34"/>
  <c r="T75" i="34"/>
  <c r="AI76" i="34"/>
  <c r="AH77" i="34"/>
  <c r="E191" i="34"/>
  <c r="F101" i="34"/>
  <c r="AI68" i="34"/>
  <c r="J73" i="34"/>
  <c r="J83" i="34" s="1"/>
  <c r="R73" i="34"/>
  <c r="Z73" i="34"/>
  <c r="Z83" i="34" s="1"/>
  <c r="F75" i="34"/>
  <c r="N75" i="34"/>
  <c r="B208" i="34" s="1"/>
  <c r="K6" i="34" s="1"/>
  <c r="C83" i="34"/>
  <c r="M83" i="34"/>
  <c r="D210" i="34"/>
  <c r="S210" i="34"/>
  <c r="E5" i="34"/>
  <c r="M5" i="34"/>
  <c r="U5" i="34"/>
  <c r="AC5" i="34"/>
  <c r="AH80" i="34"/>
  <c r="F102" i="34"/>
  <c r="K83" i="34"/>
  <c r="E7" i="34"/>
  <c r="M7" i="34"/>
  <c r="G83" i="34"/>
  <c r="O83" i="34"/>
  <c r="R83" i="34"/>
  <c r="S83" i="34"/>
  <c r="J75" i="34"/>
  <c r="C208" i="34" s="1"/>
  <c r="K75" i="34"/>
  <c r="S75" i="34"/>
  <c r="AH76" i="34"/>
  <c r="D191" i="34"/>
  <c r="H193" i="34"/>
  <c r="D234" i="34"/>
  <c r="F198" i="34"/>
  <c r="F199" i="34" s="1"/>
  <c r="E199" i="34"/>
  <c r="AD82" i="33"/>
  <c r="AA82" i="33"/>
  <c r="Z75" i="33"/>
  <c r="AR213" i="33" s="1"/>
  <c r="Y82" i="33"/>
  <c r="X82" i="33"/>
  <c r="V82" i="33"/>
  <c r="T82" i="33"/>
  <c r="S75" i="33"/>
  <c r="R82" i="33"/>
  <c r="Q82" i="33"/>
  <c r="P82" i="33"/>
  <c r="P75" i="33"/>
  <c r="AH213" i="33" s="1"/>
  <c r="P73" i="33"/>
  <c r="N82" i="33"/>
  <c r="O75" i="33"/>
  <c r="AG213" i="33" s="1"/>
  <c r="O73" i="33"/>
  <c r="L82" i="33"/>
  <c r="K75" i="33"/>
  <c r="AC213" i="33" s="1"/>
  <c r="AH80" i="33"/>
  <c r="I82" i="33"/>
  <c r="AI80" i="33"/>
  <c r="H82" i="33"/>
  <c r="AI77" i="33"/>
  <c r="G75" i="33"/>
  <c r="G7" i="33" s="1"/>
  <c r="F82" i="33"/>
  <c r="H73" i="33"/>
  <c r="AI78" i="33"/>
  <c r="AH77" i="33"/>
  <c r="D82" i="33"/>
  <c r="H75" i="33"/>
  <c r="Z213" i="33" s="1"/>
  <c r="AI38" i="33"/>
  <c r="AI79" i="33"/>
  <c r="C73" i="33"/>
  <c r="C75" i="33" s="1"/>
  <c r="U213" i="33" s="1"/>
  <c r="B82" i="33"/>
  <c r="B73" i="33"/>
  <c r="B75" i="33"/>
  <c r="H4" i="33"/>
  <c r="AG6" i="33"/>
  <c r="AK213" i="33"/>
  <c r="S7" i="33"/>
  <c r="J75" i="33"/>
  <c r="R75" i="33"/>
  <c r="AH38" i="33"/>
  <c r="I73" i="33"/>
  <c r="Q73" i="33"/>
  <c r="AG73" i="33"/>
  <c r="G73" i="33"/>
  <c r="G82" i="33"/>
  <c r="O82" i="33"/>
  <c r="W82" i="33"/>
  <c r="AE82" i="33"/>
  <c r="D191" i="33"/>
  <c r="E101" i="33"/>
  <c r="J73" i="33"/>
  <c r="R73" i="33"/>
  <c r="Z73" i="33"/>
  <c r="Z83" i="33" s="1"/>
  <c r="K73" i="33"/>
  <c r="E75" i="33"/>
  <c r="AH76" i="33"/>
  <c r="Z7" i="33"/>
  <c r="AI56" i="33"/>
  <c r="AH56" i="33"/>
  <c r="S73" i="33"/>
  <c r="AI76" i="33"/>
  <c r="M75" i="33"/>
  <c r="S210" i="33"/>
  <c r="D210" i="33"/>
  <c r="E73" i="33"/>
  <c r="M73" i="33"/>
  <c r="C82" i="33"/>
  <c r="K82" i="33"/>
  <c r="S82" i="33"/>
  <c r="D73" i="33"/>
  <c r="L73" i="33"/>
  <c r="T73" i="33"/>
  <c r="F73" i="33"/>
  <c r="N73" i="33"/>
  <c r="E93" i="33"/>
  <c r="F108" i="33"/>
  <c r="I75" i="33"/>
  <c r="Q75" i="33"/>
  <c r="AG75" i="33"/>
  <c r="AG83" i="33"/>
  <c r="E82" i="33"/>
  <c r="M82" i="33"/>
  <c r="U82" i="33"/>
  <c r="AC82" i="33"/>
  <c r="H102" i="33"/>
  <c r="AH68" i="33"/>
  <c r="AH72" i="33"/>
  <c r="D75" i="33"/>
  <c r="L75" i="33"/>
  <c r="T75" i="33"/>
  <c r="AI68" i="33"/>
  <c r="AI72" i="33"/>
  <c r="AH78" i="33"/>
  <c r="F75" i="33"/>
  <c r="N75" i="33"/>
  <c r="AH79" i="33"/>
  <c r="E199" i="33"/>
  <c r="F193" i="33"/>
  <c r="E196" i="33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D199" i="33"/>
  <c r="H198" i="33"/>
  <c r="AE82" i="32"/>
  <c r="AB82" i="32"/>
  <c r="AA82" i="32"/>
  <c r="Z75" i="32"/>
  <c r="AR213" i="32" s="1"/>
  <c r="Y82" i="32"/>
  <c r="W82" i="32"/>
  <c r="T82" i="32"/>
  <c r="S82" i="32"/>
  <c r="S75" i="32"/>
  <c r="AK213" i="32" s="1"/>
  <c r="R82" i="32"/>
  <c r="R75" i="32"/>
  <c r="AJ213" i="32" s="1"/>
  <c r="Q82" i="32"/>
  <c r="N73" i="32"/>
  <c r="L75" i="32"/>
  <c r="AD213" i="32" s="1"/>
  <c r="K82" i="32"/>
  <c r="AI79" i="32"/>
  <c r="J82" i="32"/>
  <c r="I82" i="32"/>
  <c r="AI77" i="32"/>
  <c r="G82" i="32"/>
  <c r="AI76" i="32"/>
  <c r="F73" i="32"/>
  <c r="AI78" i="32"/>
  <c r="AH56" i="32"/>
  <c r="AH68" i="32"/>
  <c r="D82" i="32"/>
  <c r="C82" i="32"/>
  <c r="B75" i="32"/>
  <c r="B83" i="32"/>
  <c r="E82" i="32"/>
  <c r="M82" i="32"/>
  <c r="U82" i="32"/>
  <c r="AC82" i="32"/>
  <c r="AH77" i="32"/>
  <c r="B5" i="32"/>
  <c r="D75" i="32"/>
  <c r="V213" i="32" s="1"/>
  <c r="T75" i="32"/>
  <c r="AL213" i="32" s="1"/>
  <c r="F82" i="32"/>
  <c r="N82" i="32"/>
  <c r="V82" i="32"/>
  <c r="AD82" i="32"/>
  <c r="AI80" i="32"/>
  <c r="H82" i="32"/>
  <c r="P82" i="32"/>
  <c r="X82" i="32"/>
  <c r="AF82" i="32"/>
  <c r="AH79" i="32"/>
  <c r="I75" i="32"/>
  <c r="I7" i="32" s="1"/>
  <c r="Q75" i="32"/>
  <c r="AI213" i="32" s="1"/>
  <c r="Y75" i="32"/>
  <c r="AQ213" i="32" s="1"/>
  <c r="E73" i="32"/>
  <c r="M73" i="32"/>
  <c r="D73" i="32"/>
  <c r="L73" i="32"/>
  <c r="L83" i="32" s="1"/>
  <c r="T73" i="32"/>
  <c r="H75" i="32"/>
  <c r="Z213" i="32" s="1"/>
  <c r="P75" i="32"/>
  <c r="AH213" i="32" s="1"/>
  <c r="F75" i="32"/>
  <c r="F7" i="32" s="1"/>
  <c r="N75" i="32"/>
  <c r="O75" i="32"/>
  <c r="AG213" i="32" s="1"/>
  <c r="G73" i="32"/>
  <c r="P73" i="32"/>
  <c r="AI38" i="32"/>
  <c r="C73" i="32"/>
  <c r="C75" i="32" s="1"/>
  <c r="C7" i="32" s="1"/>
  <c r="K73" i="32"/>
  <c r="K83" i="32" s="1"/>
  <c r="S73" i="32"/>
  <c r="S83" i="32" s="1"/>
  <c r="E75" i="32"/>
  <c r="W213" i="32" s="1"/>
  <c r="M75" i="32"/>
  <c r="AE213" i="32" s="1"/>
  <c r="H4" i="32"/>
  <c r="E93" i="32"/>
  <c r="F114" i="32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AG83" i="32"/>
  <c r="F191" i="32"/>
  <c r="G101" i="32"/>
  <c r="AG3" i="32"/>
  <c r="AG6" i="32" s="1"/>
  <c r="AG75" i="32"/>
  <c r="AG73" i="32"/>
  <c r="F93" i="32"/>
  <c r="G102" i="32"/>
  <c r="D191" i="32"/>
  <c r="E191" i="32"/>
  <c r="AH38" i="32"/>
  <c r="AH37" i="32"/>
  <c r="J7" i="32"/>
  <c r="Z7" i="32"/>
  <c r="O73" i="32"/>
  <c r="AH76" i="32"/>
  <c r="K7" i="32"/>
  <c r="H73" i="32"/>
  <c r="F5" i="32"/>
  <c r="L7" i="32"/>
  <c r="AI56" i="32"/>
  <c r="AI68" i="32"/>
  <c r="AI72" i="32"/>
  <c r="I73" i="32"/>
  <c r="Q73" i="32"/>
  <c r="Y73" i="32"/>
  <c r="AH78" i="32"/>
  <c r="D210" i="32"/>
  <c r="S210" i="32"/>
  <c r="S7" i="32"/>
  <c r="O5" i="32"/>
  <c r="W5" i="32"/>
  <c r="J73" i="32"/>
  <c r="R73" i="32"/>
  <c r="R83" i="32" s="1"/>
  <c r="Z73" i="32"/>
  <c r="Z83" i="32" s="1"/>
  <c r="AF5" i="32"/>
  <c r="G75" i="32"/>
  <c r="AH80" i="32"/>
  <c r="R7" i="32"/>
  <c r="F234" i="32"/>
  <c r="H198" i="32"/>
  <c r="G193" i="32"/>
  <c r="E196" i="32"/>
  <c r="F196" i="32" s="1"/>
  <c r="G196" i="32" s="1"/>
  <c r="H196" i="32" s="1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9" i="32"/>
  <c r="AE82" i="31"/>
  <c r="AA82" i="31"/>
  <c r="T82" i="31"/>
  <c r="S82" i="31"/>
  <c r="Q73" i="31"/>
  <c r="P73" i="31"/>
  <c r="P75" i="31"/>
  <c r="AH213" i="31" s="1"/>
  <c r="O82" i="31"/>
  <c r="L82" i="31"/>
  <c r="H75" i="31"/>
  <c r="I73" i="31"/>
  <c r="D82" i="31"/>
  <c r="H73" i="31"/>
  <c r="H83" i="31" s="1"/>
  <c r="E82" i="31"/>
  <c r="M82" i="31"/>
  <c r="U82" i="31"/>
  <c r="AC82" i="31"/>
  <c r="V82" i="31"/>
  <c r="AI80" i="31"/>
  <c r="F82" i="31"/>
  <c r="N82" i="31"/>
  <c r="AD82" i="31"/>
  <c r="G82" i="31"/>
  <c r="AH78" i="31"/>
  <c r="AH79" i="31"/>
  <c r="H82" i="31"/>
  <c r="P82" i="31"/>
  <c r="X82" i="31"/>
  <c r="AF82" i="31"/>
  <c r="AI77" i="31"/>
  <c r="D73" i="31"/>
  <c r="L75" i="31"/>
  <c r="L7" i="31" s="1"/>
  <c r="T73" i="31"/>
  <c r="J82" i="31"/>
  <c r="R82" i="31"/>
  <c r="Z82" i="31"/>
  <c r="E73" i="31"/>
  <c r="M75" i="31"/>
  <c r="AE213" i="31" s="1"/>
  <c r="AH80" i="31"/>
  <c r="AH68" i="31"/>
  <c r="AI79" i="31"/>
  <c r="I75" i="31"/>
  <c r="Q75" i="31"/>
  <c r="AI213" i="31" s="1"/>
  <c r="Y73" i="31"/>
  <c r="J73" i="31"/>
  <c r="R73" i="31"/>
  <c r="Z73" i="31"/>
  <c r="Z213" i="31"/>
  <c r="H7" i="31"/>
  <c r="L73" i="31"/>
  <c r="D75" i="31"/>
  <c r="T75" i="31"/>
  <c r="C73" i="31"/>
  <c r="C75" i="31" s="1"/>
  <c r="U213" i="31" s="1"/>
  <c r="K73" i="31"/>
  <c r="S73" i="31"/>
  <c r="P7" i="31"/>
  <c r="M73" i="31"/>
  <c r="E75" i="31"/>
  <c r="Y75" i="31"/>
  <c r="S75" i="31"/>
  <c r="AK213" i="31" s="1"/>
  <c r="H4" i="31"/>
  <c r="AI38" i="31"/>
  <c r="G73" i="31"/>
  <c r="V5" i="31"/>
  <c r="AI37" i="31"/>
  <c r="AG3" i="31"/>
  <c r="AG6" i="31" s="1"/>
  <c r="AG73" i="31"/>
  <c r="AG83" i="31" s="1"/>
  <c r="F75" i="31"/>
  <c r="N75" i="31"/>
  <c r="O73" i="31"/>
  <c r="AI56" i="31"/>
  <c r="E5" i="31"/>
  <c r="F73" i="31"/>
  <c r="M5" i="31"/>
  <c r="N73" i="31"/>
  <c r="U5" i="31"/>
  <c r="AC5" i="31"/>
  <c r="G75" i="31"/>
  <c r="O75" i="31"/>
  <c r="AH38" i="31"/>
  <c r="AH56" i="31"/>
  <c r="B82" i="31"/>
  <c r="AH76" i="31"/>
  <c r="AI68" i="31"/>
  <c r="AH95" i="31"/>
  <c r="AI95" i="31" s="1"/>
  <c r="I5" i="31"/>
  <c r="Q5" i="31"/>
  <c r="Y5" i="31"/>
  <c r="E93" i="31"/>
  <c r="F102" i="31"/>
  <c r="AH37" i="31"/>
  <c r="P83" i="31"/>
  <c r="R75" i="31"/>
  <c r="Z75" i="31"/>
  <c r="J75" i="31"/>
  <c r="D210" i="31"/>
  <c r="S210" i="31"/>
  <c r="K75" i="31"/>
  <c r="I82" i="31"/>
  <c r="Q82" i="31"/>
  <c r="Y82" i="31"/>
  <c r="AI76" i="31"/>
  <c r="AH77" i="31"/>
  <c r="AH72" i="31"/>
  <c r="AI78" i="31"/>
  <c r="AF5" i="31"/>
  <c r="D93" i="31"/>
  <c r="D191" i="31"/>
  <c r="E101" i="31"/>
  <c r="D199" i="31"/>
  <c r="E196" i="3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D234" i="31"/>
  <c r="F198" i="31"/>
  <c r="H193" i="31"/>
  <c r="P95" i="30"/>
  <c r="P37" i="30"/>
  <c r="O95" i="30"/>
  <c r="O37" i="30"/>
  <c r="N95" i="30"/>
  <c r="N37" i="30"/>
  <c r="K234" i="35" l="1"/>
  <c r="M198" i="35"/>
  <c r="J199" i="35"/>
  <c r="K193" i="35"/>
  <c r="O102" i="35"/>
  <c r="K191" i="35"/>
  <c r="L101" i="35"/>
  <c r="J93" i="35"/>
  <c r="L108" i="35"/>
  <c r="K93" i="35"/>
  <c r="O83" i="33"/>
  <c r="O7" i="33"/>
  <c r="F93" i="34"/>
  <c r="G102" i="34"/>
  <c r="X213" i="34"/>
  <c r="F7" i="34"/>
  <c r="N83" i="34"/>
  <c r="AK213" i="34"/>
  <c r="S7" i="34"/>
  <c r="AL213" i="34"/>
  <c r="T7" i="34"/>
  <c r="AC213" i="34"/>
  <c r="K7" i="34"/>
  <c r="AD213" i="34"/>
  <c r="L7" i="34"/>
  <c r="E234" i="34"/>
  <c r="G198" i="34"/>
  <c r="I193" i="34"/>
  <c r="V213" i="34"/>
  <c r="D7" i="34"/>
  <c r="AB213" i="34"/>
  <c r="J7" i="34"/>
  <c r="AF213" i="34"/>
  <c r="N7" i="34"/>
  <c r="F191" i="34"/>
  <c r="G101" i="34"/>
  <c r="T83" i="33"/>
  <c r="P7" i="33"/>
  <c r="S83" i="33"/>
  <c r="R83" i="33"/>
  <c r="Q83" i="33"/>
  <c r="P83" i="33"/>
  <c r="N83" i="33"/>
  <c r="M83" i="33"/>
  <c r="L83" i="33"/>
  <c r="D83" i="33"/>
  <c r="B83" i="33"/>
  <c r="K7" i="33"/>
  <c r="K83" i="33"/>
  <c r="J83" i="33"/>
  <c r="I83" i="33"/>
  <c r="H7" i="33"/>
  <c r="H83" i="33"/>
  <c r="Y213" i="33"/>
  <c r="G83" i="33"/>
  <c r="F83" i="33"/>
  <c r="AI82" i="33"/>
  <c r="C83" i="33"/>
  <c r="C7" i="33"/>
  <c r="W213" i="33"/>
  <c r="E7" i="33"/>
  <c r="G234" i="33"/>
  <c r="I198" i="33"/>
  <c r="AF213" i="33"/>
  <c r="N7" i="33"/>
  <c r="I102" i="33"/>
  <c r="E83" i="33"/>
  <c r="G108" i="33"/>
  <c r="F93" i="33"/>
  <c r="AB213" i="33"/>
  <c r="J7" i="33"/>
  <c r="X213" i="33"/>
  <c r="F7" i="33"/>
  <c r="AH82" i="33"/>
  <c r="AL213" i="33"/>
  <c r="T7" i="33"/>
  <c r="B208" i="33"/>
  <c r="G193" i="33"/>
  <c r="F199" i="33"/>
  <c r="AD213" i="33"/>
  <c r="L7" i="33"/>
  <c r="AI213" i="33"/>
  <c r="Q7" i="33"/>
  <c r="C208" i="33"/>
  <c r="V213" i="33"/>
  <c r="D7" i="33"/>
  <c r="E191" i="33"/>
  <c r="F101" i="33"/>
  <c r="AE213" i="33"/>
  <c r="M7" i="33"/>
  <c r="AA213" i="33"/>
  <c r="I7" i="33"/>
  <c r="AJ213" i="33"/>
  <c r="R7" i="33"/>
  <c r="Q7" i="32"/>
  <c r="P83" i="32"/>
  <c r="O83" i="32"/>
  <c r="O7" i="32"/>
  <c r="N83" i="32"/>
  <c r="N7" i="32"/>
  <c r="J83" i="32"/>
  <c r="AA213" i="32"/>
  <c r="I83" i="32"/>
  <c r="H83" i="32"/>
  <c r="AH82" i="32"/>
  <c r="X213" i="32"/>
  <c r="F83" i="32"/>
  <c r="E83" i="32"/>
  <c r="U213" i="32"/>
  <c r="C83" i="32"/>
  <c r="D83" i="32"/>
  <c r="T7" i="32"/>
  <c r="AF213" i="32"/>
  <c r="Y83" i="32"/>
  <c r="D7" i="32"/>
  <c r="AI82" i="32"/>
  <c r="P7" i="32"/>
  <c r="T83" i="32"/>
  <c r="Y7" i="32"/>
  <c r="Q83" i="32"/>
  <c r="H7" i="32"/>
  <c r="M83" i="32"/>
  <c r="M7" i="32"/>
  <c r="E7" i="32"/>
  <c r="G191" i="32"/>
  <c r="H101" i="32"/>
  <c r="Y213" i="32"/>
  <c r="C208" i="32"/>
  <c r="B208" i="32"/>
  <c r="G7" i="32"/>
  <c r="H193" i="32"/>
  <c r="G199" i="32"/>
  <c r="G83" i="32"/>
  <c r="G234" i="32"/>
  <c r="I198" i="32"/>
  <c r="H102" i="32"/>
  <c r="G93" i="32"/>
  <c r="F199" i="32"/>
  <c r="E199" i="32"/>
  <c r="T83" i="31"/>
  <c r="S83" i="31"/>
  <c r="Q7" i="31"/>
  <c r="M83" i="31"/>
  <c r="M7" i="31"/>
  <c r="I83" i="31"/>
  <c r="AD213" i="31"/>
  <c r="D83" i="31"/>
  <c r="K83" i="31"/>
  <c r="C7" i="31"/>
  <c r="C83" i="31"/>
  <c r="O83" i="31"/>
  <c r="N83" i="31"/>
  <c r="Y83" i="31"/>
  <c r="Q83" i="31"/>
  <c r="L83" i="31"/>
  <c r="Z83" i="31"/>
  <c r="G83" i="31"/>
  <c r="S7" i="31"/>
  <c r="F83" i="31"/>
  <c r="AA213" i="31"/>
  <c r="I7" i="31"/>
  <c r="AL213" i="31"/>
  <c r="T7" i="31"/>
  <c r="AQ213" i="31"/>
  <c r="Y7" i="31"/>
  <c r="V213" i="31"/>
  <c r="D7" i="31"/>
  <c r="W213" i="31"/>
  <c r="E7" i="31"/>
  <c r="E83" i="31"/>
  <c r="E191" i="31"/>
  <c r="F101" i="31"/>
  <c r="Y213" i="31"/>
  <c r="C208" i="31"/>
  <c r="B208" i="31"/>
  <c r="G7" i="31"/>
  <c r="AG213" i="31"/>
  <c r="O7" i="31"/>
  <c r="AJ213" i="31"/>
  <c r="R7" i="31"/>
  <c r="I193" i="31"/>
  <c r="E199" i="31"/>
  <c r="AB213" i="31"/>
  <c r="J7" i="31"/>
  <c r="AF213" i="31"/>
  <c r="N7" i="31"/>
  <c r="F199" i="31"/>
  <c r="J83" i="31"/>
  <c r="AR213" i="31"/>
  <c r="Z7" i="31"/>
  <c r="AH82" i="31"/>
  <c r="AI82" i="31"/>
  <c r="AC213" i="31"/>
  <c r="K7" i="31"/>
  <c r="E234" i="31"/>
  <c r="G198" i="31"/>
  <c r="F93" i="31"/>
  <c r="G102" i="31"/>
  <c r="X213" i="31"/>
  <c r="F7" i="31"/>
  <c r="R83" i="31"/>
  <c r="L191" i="35" l="1"/>
  <c r="M101" i="35"/>
  <c r="P102" i="35"/>
  <c r="K199" i="35"/>
  <c r="L193" i="35"/>
  <c r="M108" i="35"/>
  <c r="L93" i="35"/>
  <c r="L234" i="35"/>
  <c r="N198" i="35"/>
  <c r="J193" i="34"/>
  <c r="F234" i="34"/>
  <c r="H198" i="34"/>
  <c r="G199" i="34"/>
  <c r="H102" i="34"/>
  <c r="G93" i="34"/>
  <c r="G191" i="34"/>
  <c r="H101" i="34"/>
  <c r="K6" i="33"/>
  <c r="F191" i="33"/>
  <c r="G101" i="33"/>
  <c r="J102" i="33"/>
  <c r="H193" i="33"/>
  <c r="G199" i="33"/>
  <c r="H234" i="33"/>
  <c r="J198" i="33"/>
  <c r="H108" i="33"/>
  <c r="G93" i="33"/>
  <c r="K6" i="32"/>
  <c r="H199" i="32"/>
  <c r="I193" i="32"/>
  <c r="I102" i="32"/>
  <c r="H93" i="32"/>
  <c r="H234" i="32"/>
  <c r="J198" i="32"/>
  <c r="H191" i="32"/>
  <c r="I101" i="32"/>
  <c r="K6" i="31"/>
  <c r="J193" i="31"/>
  <c r="F234" i="31"/>
  <c r="H198" i="31"/>
  <c r="F191" i="31"/>
  <c r="G101" i="31"/>
  <c r="H102" i="31"/>
  <c r="G93" i="31"/>
  <c r="G199" i="31"/>
  <c r="N108" i="35" l="1"/>
  <c r="Q102" i="35"/>
  <c r="L199" i="35"/>
  <c r="M193" i="35"/>
  <c r="M234" i="35"/>
  <c r="O198" i="35"/>
  <c r="M191" i="35"/>
  <c r="N101" i="35"/>
  <c r="I102" i="34"/>
  <c r="H93" i="34"/>
  <c r="G234" i="34"/>
  <c r="I198" i="34"/>
  <c r="H199" i="34"/>
  <c r="K193" i="34"/>
  <c r="H191" i="34"/>
  <c r="I101" i="34"/>
  <c r="H199" i="33"/>
  <c r="I193" i="33"/>
  <c r="K102" i="33"/>
  <c r="G191" i="33"/>
  <c r="H101" i="33"/>
  <c r="I108" i="33"/>
  <c r="H93" i="33"/>
  <c r="I234" i="33"/>
  <c r="K198" i="33"/>
  <c r="I93" i="32"/>
  <c r="J102" i="32"/>
  <c r="J193" i="32"/>
  <c r="I199" i="32"/>
  <c r="I234" i="32"/>
  <c r="K198" i="32"/>
  <c r="I191" i="32"/>
  <c r="J101" i="32"/>
  <c r="H93" i="31"/>
  <c r="I102" i="31"/>
  <c r="G234" i="31"/>
  <c r="I198" i="31"/>
  <c r="H199" i="31"/>
  <c r="K193" i="31"/>
  <c r="G191" i="31"/>
  <c r="H101" i="31"/>
  <c r="M199" i="35" l="1"/>
  <c r="N193" i="35"/>
  <c r="R102" i="35"/>
  <c r="N234" i="35"/>
  <c r="P198" i="35"/>
  <c r="M93" i="35"/>
  <c r="N191" i="35"/>
  <c r="O101" i="35"/>
  <c r="O108" i="35"/>
  <c r="N93" i="35"/>
  <c r="H234" i="34"/>
  <c r="J198" i="34"/>
  <c r="I199" i="34"/>
  <c r="I191" i="34"/>
  <c r="J101" i="34"/>
  <c r="J102" i="34"/>
  <c r="I93" i="34"/>
  <c r="L193" i="34"/>
  <c r="H191" i="33"/>
  <c r="I101" i="33"/>
  <c r="L102" i="33"/>
  <c r="J234" i="33"/>
  <c r="L198" i="33"/>
  <c r="J193" i="33"/>
  <c r="I199" i="33"/>
  <c r="J108" i="33"/>
  <c r="I93" i="33"/>
  <c r="L198" i="32"/>
  <c r="J234" i="32"/>
  <c r="J199" i="32"/>
  <c r="K193" i="32"/>
  <c r="K102" i="32"/>
  <c r="J93" i="32"/>
  <c r="J191" i="32"/>
  <c r="K101" i="32"/>
  <c r="L193" i="31"/>
  <c r="H234" i="31"/>
  <c r="J198" i="31"/>
  <c r="I199" i="31"/>
  <c r="I93" i="31"/>
  <c r="J102" i="31"/>
  <c r="H191" i="31"/>
  <c r="I101" i="31"/>
  <c r="O234" i="35" l="1"/>
  <c r="Q198" i="35"/>
  <c r="S102" i="35"/>
  <c r="P108" i="35"/>
  <c r="O93" i="35"/>
  <c r="O193" i="35"/>
  <c r="N199" i="35"/>
  <c r="O191" i="35"/>
  <c r="P101" i="35"/>
  <c r="J93" i="34"/>
  <c r="K102" i="34"/>
  <c r="J191" i="34"/>
  <c r="K101" i="34"/>
  <c r="K198" i="34"/>
  <c r="I234" i="34"/>
  <c r="J199" i="34"/>
  <c r="M193" i="34"/>
  <c r="J199" i="33"/>
  <c r="K193" i="33"/>
  <c r="K234" i="33"/>
  <c r="M198" i="33"/>
  <c r="M102" i="33"/>
  <c r="I191" i="33"/>
  <c r="J101" i="33"/>
  <c r="K108" i="33"/>
  <c r="J93" i="33"/>
  <c r="L102" i="32"/>
  <c r="K93" i="32"/>
  <c r="K199" i="32"/>
  <c r="L193" i="32"/>
  <c r="K191" i="32"/>
  <c r="L101" i="32"/>
  <c r="K234" i="32"/>
  <c r="M198" i="32"/>
  <c r="K102" i="31"/>
  <c r="J93" i="31"/>
  <c r="K198" i="31"/>
  <c r="I234" i="31"/>
  <c r="J199" i="31"/>
  <c r="M193" i="31"/>
  <c r="I191" i="31"/>
  <c r="J101" i="31"/>
  <c r="Q108" i="35" l="1"/>
  <c r="P93" i="35"/>
  <c r="O199" i="35"/>
  <c r="P193" i="35"/>
  <c r="T102" i="35"/>
  <c r="P191" i="35"/>
  <c r="Q101" i="35"/>
  <c r="P234" i="35"/>
  <c r="R198" i="35"/>
  <c r="L198" i="34"/>
  <c r="J234" i="34"/>
  <c r="K199" i="34"/>
  <c r="K191" i="34"/>
  <c r="L101" i="34"/>
  <c r="K93" i="34"/>
  <c r="L102" i="34"/>
  <c r="N193" i="34"/>
  <c r="J191" i="33"/>
  <c r="K101" i="33"/>
  <c r="N102" i="33"/>
  <c r="N198" i="33"/>
  <c r="L234" i="33"/>
  <c r="K199" i="33"/>
  <c r="L193" i="33"/>
  <c r="L108" i="33"/>
  <c r="K93" i="33"/>
  <c r="L234" i="32"/>
  <c r="N198" i="32"/>
  <c r="L191" i="32"/>
  <c r="M101" i="32"/>
  <c r="M193" i="32"/>
  <c r="L199" i="32"/>
  <c r="M102" i="32"/>
  <c r="L93" i="32"/>
  <c r="N193" i="31"/>
  <c r="L198" i="31"/>
  <c r="J234" i="31"/>
  <c r="K199" i="31"/>
  <c r="J191" i="31"/>
  <c r="K101" i="31"/>
  <c r="L102" i="31"/>
  <c r="K93" i="31"/>
  <c r="Q191" i="35" l="1"/>
  <c r="R101" i="35"/>
  <c r="U102" i="35"/>
  <c r="P199" i="35"/>
  <c r="Q193" i="35"/>
  <c r="Q234" i="35"/>
  <c r="S198" i="35"/>
  <c r="R108" i="35"/>
  <c r="Q93" i="35"/>
  <c r="O193" i="34"/>
  <c r="M102" i="34"/>
  <c r="L93" i="34"/>
  <c r="L191" i="34"/>
  <c r="M101" i="34"/>
  <c r="K234" i="34"/>
  <c r="M198" i="34"/>
  <c r="L199" i="34"/>
  <c r="L199" i="33"/>
  <c r="M193" i="33"/>
  <c r="O198" i="33"/>
  <c r="M234" i="33"/>
  <c r="O102" i="33"/>
  <c r="K191" i="33"/>
  <c r="L101" i="33"/>
  <c r="M108" i="33"/>
  <c r="L93" i="33"/>
  <c r="M199" i="32"/>
  <c r="N193" i="32"/>
  <c r="M191" i="32"/>
  <c r="N101" i="32"/>
  <c r="M93" i="32"/>
  <c r="N102" i="32"/>
  <c r="O198" i="32"/>
  <c r="M234" i="32"/>
  <c r="L93" i="31"/>
  <c r="M102" i="31"/>
  <c r="K191" i="31"/>
  <c r="L101" i="31"/>
  <c r="K234" i="31"/>
  <c r="M198" i="31"/>
  <c r="L199" i="31"/>
  <c r="O193" i="31"/>
  <c r="V102" i="35" l="1"/>
  <c r="R191" i="35"/>
  <c r="S101" i="35"/>
  <c r="T198" i="35"/>
  <c r="R234" i="35"/>
  <c r="R193" i="35"/>
  <c r="Q199" i="35"/>
  <c r="S108" i="35"/>
  <c r="L234" i="34"/>
  <c r="N198" i="34"/>
  <c r="M199" i="34"/>
  <c r="M191" i="34"/>
  <c r="N101" i="34"/>
  <c r="M93" i="34"/>
  <c r="N102" i="34"/>
  <c r="P193" i="34"/>
  <c r="L191" i="33"/>
  <c r="M101" i="33"/>
  <c r="P102" i="33"/>
  <c r="N234" i="33"/>
  <c r="P198" i="33"/>
  <c r="M199" i="33"/>
  <c r="N193" i="33"/>
  <c r="N108" i="33"/>
  <c r="M93" i="33"/>
  <c r="O102" i="32"/>
  <c r="N93" i="32"/>
  <c r="N191" i="32"/>
  <c r="O101" i="32"/>
  <c r="N234" i="32"/>
  <c r="P198" i="32"/>
  <c r="O193" i="32"/>
  <c r="N199" i="32"/>
  <c r="L234" i="31"/>
  <c r="N198" i="31"/>
  <c r="M199" i="31"/>
  <c r="L191" i="31"/>
  <c r="M101" i="31"/>
  <c r="P193" i="31"/>
  <c r="M93" i="31"/>
  <c r="N102" i="31"/>
  <c r="R199" i="35" l="1"/>
  <c r="S193" i="35"/>
  <c r="U198" i="35"/>
  <c r="S234" i="35"/>
  <c r="S191" i="35"/>
  <c r="T101" i="35"/>
  <c r="R93" i="35"/>
  <c r="T108" i="35"/>
  <c r="S93" i="35"/>
  <c r="W102" i="35"/>
  <c r="Q193" i="34"/>
  <c r="O102" i="34"/>
  <c r="N93" i="34"/>
  <c r="N191" i="34"/>
  <c r="O101" i="34"/>
  <c r="M234" i="34"/>
  <c r="O198" i="34"/>
  <c r="N199" i="34"/>
  <c r="O193" i="33"/>
  <c r="N199" i="33"/>
  <c r="O234" i="33"/>
  <c r="Q198" i="33"/>
  <c r="Q102" i="33"/>
  <c r="M191" i="33"/>
  <c r="N101" i="33"/>
  <c r="O108" i="33"/>
  <c r="N93" i="33"/>
  <c r="O234" i="32"/>
  <c r="Q198" i="32"/>
  <c r="O191" i="32"/>
  <c r="P101" i="32"/>
  <c r="P193" i="32"/>
  <c r="O199" i="32"/>
  <c r="P102" i="32"/>
  <c r="O93" i="32"/>
  <c r="Q193" i="31"/>
  <c r="M191" i="31"/>
  <c r="N101" i="31"/>
  <c r="M234" i="31"/>
  <c r="O198" i="31"/>
  <c r="N199" i="31"/>
  <c r="N93" i="31"/>
  <c r="O102" i="31"/>
  <c r="U108" i="35" l="1"/>
  <c r="T93" i="35"/>
  <c r="T191" i="35"/>
  <c r="U101" i="35"/>
  <c r="T234" i="35"/>
  <c r="V198" i="35"/>
  <c r="X102" i="35"/>
  <c r="S199" i="35"/>
  <c r="T193" i="35"/>
  <c r="N234" i="34"/>
  <c r="P198" i="34"/>
  <c r="O199" i="34"/>
  <c r="O191" i="34"/>
  <c r="P101" i="34"/>
  <c r="P102" i="34"/>
  <c r="O93" i="34"/>
  <c r="R193" i="34"/>
  <c r="P234" i="33"/>
  <c r="R198" i="33"/>
  <c r="R102" i="33"/>
  <c r="N191" i="33"/>
  <c r="O101" i="33"/>
  <c r="P108" i="33"/>
  <c r="O93" i="33"/>
  <c r="P193" i="33"/>
  <c r="O199" i="33"/>
  <c r="Q193" i="32"/>
  <c r="P199" i="32"/>
  <c r="P191" i="32"/>
  <c r="Q101" i="32"/>
  <c r="Q102" i="32"/>
  <c r="P93" i="32"/>
  <c r="P234" i="32"/>
  <c r="R198" i="32"/>
  <c r="N234" i="31"/>
  <c r="P198" i="31"/>
  <c r="O199" i="31"/>
  <c r="N191" i="31"/>
  <c r="O101" i="31"/>
  <c r="R193" i="31"/>
  <c r="P102" i="31"/>
  <c r="O93" i="31"/>
  <c r="U234" i="35" l="1"/>
  <c r="W198" i="35"/>
  <c r="U191" i="35"/>
  <c r="V101" i="35"/>
  <c r="Y102" i="35"/>
  <c r="U193" i="35"/>
  <c r="T199" i="35"/>
  <c r="V108" i="35"/>
  <c r="Q102" i="34"/>
  <c r="P93" i="34"/>
  <c r="P191" i="34"/>
  <c r="Q101" i="34"/>
  <c r="O234" i="34"/>
  <c r="Q198" i="34"/>
  <c r="P199" i="34"/>
  <c r="S193" i="34"/>
  <c r="Q108" i="33"/>
  <c r="P93" i="33"/>
  <c r="O191" i="33"/>
  <c r="P101" i="33"/>
  <c r="S102" i="33"/>
  <c r="Q234" i="33"/>
  <c r="S198" i="33"/>
  <c r="P199" i="33"/>
  <c r="Q193" i="33"/>
  <c r="Q234" i="32"/>
  <c r="S198" i="32"/>
  <c r="R102" i="32"/>
  <c r="Q93" i="32"/>
  <c r="Q191" i="32"/>
  <c r="R101" i="32"/>
  <c r="R193" i="32"/>
  <c r="Q199" i="32"/>
  <c r="S193" i="31"/>
  <c r="O191" i="31"/>
  <c r="P101" i="31"/>
  <c r="Q102" i="31"/>
  <c r="P93" i="31"/>
  <c r="O234" i="31"/>
  <c r="Q198" i="31"/>
  <c r="P199" i="31"/>
  <c r="U199" i="35" l="1"/>
  <c r="U51" i="35" s="1"/>
  <c r="U52" i="35" s="1"/>
  <c r="V193" i="35"/>
  <c r="V191" i="35"/>
  <c r="W101" i="35"/>
  <c r="Z102" i="35"/>
  <c r="V234" i="35"/>
  <c r="X198" i="35"/>
  <c r="U93" i="35"/>
  <c r="W108" i="35"/>
  <c r="V93" i="35"/>
  <c r="P234" i="34"/>
  <c r="R198" i="34"/>
  <c r="Q199" i="34"/>
  <c r="Q191" i="34"/>
  <c r="R101" i="34"/>
  <c r="T193" i="34"/>
  <c r="R102" i="34"/>
  <c r="Q93" i="34"/>
  <c r="T102" i="33"/>
  <c r="P191" i="33"/>
  <c r="Q101" i="33"/>
  <c r="R234" i="33"/>
  <c r="T198" i="33"/>
  <c r="R193" i="33"/>
  <c r="Q199" i="33"/>
  <c r="R108" i="33"/>
  <c r="Q93" i="33"/>
  <c r="R199" i="32"/>
  <c r="S193" i="32"/>
  <c r="S102" i="32"/>
  <c r="R93" i="32"/>
  <c r="R191" i="32"/>
  <c r="S101" i="32"/>
  <c r="T198" i="32"/>
  <c r="R234" i="32"/>
  <c r="P234" i="31"/>
  <c r="R198" i="31"/>
  <c r="Q199" i="31"/>
  <c r="P191" i="31"/>
  <c r="Q101" i="31"/>
  <c r="Q93" i="31"/>
  <c r="R102" i="31"/>
  <c r="T193" i="31"/>
  <c r="W234" i="35" l="1"/>
  <c r="Y198" i="35"/>
  <c r="AA102" i="35"/>
  <c r="W191" i="35"/>
  <c r="X101" i="35"/>
  <c r="X108" i="35"/>
  <c r="W93" i="35"/>
  <c r="W193" i="35"/>
  <c r="V199" i="35"/>
  <c r="V51" i="35" s="1"/>
  <c r="V52" i="35" s="1"/>
  <c r="U73" i="35"/>
  <c r="U75" i="35"/>
  <c r="R93" i="34"/>
  <c r="S102" i="34"/>
  <c r="U193" i="34"/>
  <c r="R191" i="34"/>
  <c r="S101" i="34"/>
  <c r="S198" i="34"/>
  <c r="Q234" i="34"/>
  <c r="R199" i="34"/>
  <c r="R199" i="33"/>
  <c r="S193" i="33"/>
  <c r="S234" i="33"/>
  <c r="U198" i="33"/>
  <c r="Q191" i="33"/>
  <c r="R101" i="33"/>
  <c r="S108" i="33"/>
  <c r="R93" i="33"/>
  <c r="U102" i="33"/>
  <c r="S191" i="32"/>
  <c r="T101" i="32"/>
  <c r="S234" i="32"/>
  <c r="U198" i="32"/>
  <c r="T102" i="32"/>
  <c r="S93" i="32"/>
  <c r="S199" i="32"/>
  <c r="T193" i="32"/>
  <c r="Q191" i="31"/>
  <c r="R101" i="31"/>
  <c r="S102" i="31"/>
  <c r="R93" i="31"/>
  <c r="S198" i="31"/>
  <c r="Q234" i="31"/>
  <c r="R199" i="31"/>
  <c r="U193" i="31"/>
  <c r="X191" i="35" l="1"/>
  <c r="Y101" i="35"/>
  <c r="Y108" i="35"/>
  <c r="AM213" i="35"/>
  <c r="U7" i="35"/>
  <c r="V73" i="35"/>
  <c r="V75" i="35"/>
  <c r="X234" i="35"/>
  <c r="Z198" i="35"/>
  <c r="U83" i="35"/>
  <c r="AB102" i="35"/>
  <c r="W199" i="35"/>
  <c r="W51" i="35" s="1"/>
  <c r="W52" i="35" s="1"/>
  <c r="X193" i="35"/>
  <c r="T198" i="34"/>
  <c r="R234" i="34"/>
  <c r="S199" i="34"/>
  <c r="S191" i="34"/>
  <c r="T101" i="34"/>
  <c r="V193" i="34"/>
  <c r="S93" i="34"/>
  <c r="T102" i="34"/>
  <c r="T234" i="33"/>
  <c r="V198" i="33"/>
  <c r="R191" i="33"/>
  <c r="S101" i="33"/>
  <c r="S199" i="33"/>
  <c r="T193" i="33"/>
  <c r="T108" i="33"/>
  <c r="S93" i="33"/>
  <c r="V102" i="33"/>
  <c r="U102" i="32"/>
  <c r="T93" i="32"/>
  <c r="T234" i="32"/>
  <c r="V198" i="32"/>
  <c r="T191" i="32"/>
  <c r="U101" i="32"/>
  <c r="T199" i="32"/>
  <c r="U193" i="32"/>
  <c r="T198" i="31"/>
  <c r="R234" i="31"/>
  <c r="S199" i="31"/>
  <c r="T102" i="31"/>
  <c r="S93" i="31"/>
  <c r="R191" i="31"/>
  <c r="S101" i="31"/>
  <c r="V193" i="31"/>
  <c r="X199" i="35" l="1"/>
  <c r="X51" i="35" s="1"/>
  <c r="X52" i="35" s="1"/>
  <c r="Y193" i="35"/>
  <c r="V83" i="35"/>
  <c r="AC102" i="35"/>
  <c r="AN213" i="35"/>
  <c r="V7" i="35"/>
  <c r="W73" i="35"/>
  <c r="W83" i="35" s="1"/>
  <c r="W75" i="35"/>
  <c r="Z108" i="35"/>
  <c r="Y93" i="35"/>
  <c r="Y234" i="35"/>
  <c r="AA198" i="35"/>
  <c r="Y191" i="35"/>
  <c r="Z101" i="35"/>
  <c r="X93" i="35"/>
  <c r="W193" i="34"/>
  <c r="T191" i="34"/>
  <c r="U101" i="34"/>
  <c r="U102" i="34"/>
  <c r="T93" i="34"/>
  <c r="S234" i="34"/>
  <c r="U198" i="34"/>
  <c r="T199" i="34"/>
  <c r="T199" i="33"/>
  <c r="U193" i="33"/>
  <c r="S191" i="33"/>
  <c r="T101" i="33"/>
  <c r="U108" i="33"/>
  <c r="T93" i="33"/>
  <c r="W102" i="33"/>
  <c r="U234" i="33"/>
  <c r="W198" i="33"/>
  <c r="U199" i="32"/>
  <c r="U51" i="32" s="1"/>
  <c r="U52" i="32" s="1"/>
  <c r="V193" i="32"/>
  <c r="U191" i="32"/>
  <c r="V101" i="32"/>
  <c r="U234" i="32"/>
  <c r="W198" i="32"/>
  <c r="V102" i="32"/>
  <c r="U93" i="32"/>
  <c r="S191" i="31"/>
  <c r="T101" i="31"/>
  <c r="T93" i="31"/>
  <c r="U102" i="31"/>
  <c r="W193" i="31"/>
  <c r="S234" i="31"/>
  <c r="U198" i="31"/>
  <c r="T199" i="31"/>
  <c r="AD102" i="35" l="1"/>
  <c r="Z191" i="35"/>
  <c r="AA101" i="35"/>
  <c r="AB198" i="35"/>
  <c r="Z234" i="35"/>
  <c r="AA108" i="35"/>
  <c r="Z93" i="35"/>
  <c r="Z193" i="35"/>
  <c r="Y199" i="35"/>
  <c r="Y51" i="35" s="1"/>
  <c r="Y52" i="35" s="1"/>
  <c r="AO213" i="35"/>
  <c r="W7" i="35"/>
  <c r="X75" i="35"/>
  <c r="X73" i="35"/>
  <c r="X83" i="35" s="1"/>
  <c r="U93" i="34"/>
  <c r="V102" i="34"/>
  <c r="U191" i="34"/>
  <c r="V101" i="34"/>
  <c r="T234" i="34"/>
  <c r="V198" i="34"/>
  <c r="U199" i="34"/>
  <c r="U51" i="34" s="1"/>
  <c r="U52" i="34" s="1"/>
  <c r="X193" i="34"/>
  <c r="X102" i="33"/>
  <c r="V234" i="33"/>
  <c r="X198" i="33"/>
  <c r="U199" i="33"/>
  <c r="U51" i="33" s="1"/>
  <c r="U52" i="33" s="1"/>
  <c r="V193" i="33"/>
  <c r="V108" i="33"/>
  <c r="U93" i="33"/>
  <c r="T191" i="33"/>
  <c r="U101" i="33"/>
  <c r="V234" i="32"/>
  <c r="X198" i="32"/>
  <c r="V191" i="32"/>
  <c r="W101" i="32"/>
  <c r="W193" i="32"/>
  <c r="V199" i="32"/>
  <c r="V51" i="32" s="1"/>
  <c r="V52" i="32" s="1"/>
  <c r="V93" i="32"/>
  <c r="W102" i="32"/>
  <c r="U73" i="32"/>
  <c r="U75" i="32"/>
  <c r="U93" i="31"/>
  <c r="V102" i="31"/>
  <c r="T191" i="31"/>
  <c r="U101" i="31"/>
  <c r="T234" i="31"/>
  <c r="V198" i="31"/>
  <c r="U199" i="31"/>
  <c r="U51" i="31" s="1"/>
  <c r="U52" i="31" s="1"/>
  <c r="X193" i="31"/>
  <c r="AA191" i="35" l="1"/>
  <c r="AB101" i="35"/>
  <c r="AC198" i="35"/>
  <c r="AA234" i="35"/>
  <c r="AB108" i="35"/>
  <c r="AA93" i="35"/>
  <c r="AP213" i="35"/>
  <c r="X7" i="35"/>
  <c r="Y75" i="35"/>
  <c r="Y73" i="35"/>
  <c r="Z199" i="35"/>
  <c r="AA193" i="35"/>
  <c r="AE102" i="35"/>
  <c r="U73" i="34"/>
  <c r="U83" i="34" s="1"/>
  <c r="U75" i="34"/>
  <c r="U234" i="34"/>
  <c r="W198" i="34"/>
  <c r="V199" i="34"/>
  <c r="V51" i="34" s="1"/>
  <c r="V52" i="34" s="1"/>
  <c r="V191" i="34"/>
  <c r="W101" i="34"/>
  <c r="Y193" i="34"/>
  <c r="V93" i="34"/>
  <c r="W102" i="34"/>
  <c r="W108" i="33"/>
  <c r="V93" i="33"/>
  <c r="W193" i="33"/>
  <c r="V199" i="33"/>
  <c r="V51" i="33" s="1"/>
  <c r="V52" i="33" s="1"/>
  <c r="U75" i="33"/>
  <c r="U73" i="33"/>
  <c r="W234" i="33"/>
  <c r="Y198" i="33"/>
  <c r="U191" i="33"/>
  <c r="V101" i="33"/>
  <c r="Y102" i="33"/>
  <c r="X102" i="32"/>
  <c r="W93" i="32"/>
  <c r="V73" i="32"/>
  <c r="V75" i="32"/>
  <c r="X193" i="32"/>
  <c r="W199" i="32"/>
  <c r="W51" i="32" s="1"/>
  <c r="W52" i="32" s="1"/>
  <c r="W191" i="32"/>
  <c r="X101" i="32"/>
  <c r="AM213" i="32"/>
  <c r="U7" i="32"/>
  <c r="W234" i="32"/>
  <c r="Y198" i="32"/>
  <c r="U83" i="32"/>
  <c r="Y193" i="31"/>
  <c r="U75" i="31"/>
  <c r="U73" i="31"/>
  <c r="U234" i="31"/>
  <c r="W198" i="31"/>
  <c r="V199" i="31"/>
  <c r="V51" i="31" s="1"/>
  <c r="V52" i="31" s="1"/>
  <c r="U191" i="31"/>
  <c r="V101" i="31"/>
  <c r="V93" i="31"/>
  <c r="W102" i="31"/>
  <c r="AC108" i="35" l="1"/>
  <c r="AF102" i="35"/>
  <c r="AA199" i="35"/>
  <c r="AA51" i="35" s="1"/>
  <c r="AA52" i="35" s="1"/>
  <c r="AB193" i="35"/>
  <c r="AD198" i="35"/>
  <c r="AB234" i="35"/>
  <c r="Y83" i="35"/>
  <c r="AB191" i="35"/>
  <c r="AC101" i="35"/>
  <c r="AQ213" i="35"/>
  <c r="Y7" i="35"/>
  <c r="V73" i="34"/>
  <c r="V83" i="34" s="1"/>
  <c r="V75" i="34"/>
  <c r="Z193" i="34"/>
  <c r="W191" i="34"/>
  <c r="X101" i="34"/>
  <c r="V234" i="34"/>
  <c r="X198" i="34"/>
  <c r="W199" i="34"/>
  <c r="W51" i="34" s="1"/>
  <c r="W52" i="34" s="1"/>
  <c r="X102" i="34"/>
  <c r="W93" i="34"/>
  <c r="AM213" i="34"/>
  <c r="U7" i="34"/>
  <c r="U83" i="33"/>
  <c r="AM213" i="33"/>
  <c r="U7" i="33"/>
  <c r="Z102" i="33"/>
  <c r="X193" i="33"/>
  <c r="W199" i="33"/>
  <c r="W51" i="33" s="1"/>
  <c r="W52" i="33" s="1"/>
  <c r="X234" i="33"/>
  <c r="Z198" i="33"/>
  <c r="V73" i="33"/>
  <c r="V75" i="33"/>
  <c r="V191" i="33"/>
  <c r="W101" i="33"/>
  <c r="X108" i="33"/>
  <c r="W93" i="33"/>
  <c r="X191" i="32"/>
  <c r="Y101" i="32"/>
  <c r="W73" i="32"/>
  <c r="W75" i="32"/>
  <c r="Y193" i="32"/>
  <c r="X199" i="32"/>
  <c r="X51" i="32" s="1"/>
  <c r="X52" i="32" s="1"/>
  <c r="X234" i="32"/>
  <c r="Z198" i="32"/>
  <c r="AN213" i="32"/>
  <c r="V7" i="32"/>
  <c r="V83" i="32"/>
  <c r="Y102" i="32"/>
  <c r="X93" i="32"/>
  <c r="U83" i="31"/>
  <c r="X102" i="31"/>
  <c r="W93" i="31"/>
  <c r="AM213" i="31"/>
  <c r="U7" i="31"/>
  <c r="V73" i="31"/>
  <c r="V75" i="31"/>
  <c r="V234" i="31"/>
  <c r="X198" i="31"/>
  <c r="W199" i="31"/>
  <c r="W51" i="31" s="1"/>
  <c r="W52" i="31" s="1"/>
  <c r="Z193" i="31"/>
  <c r="V191" i="31"/>
  <c r="W101" i="31"/>
  <c r="AB199" i="35" l="1"/>
  <c r="AB51" i="35" s="1"/>
  <c r="AB52" i="35" s="1"/>
  <c r="AC193" i="35"/>
  <c r="AA75" i="35"/>
  <c r="AA73" i="35"/>
  <c r="AA83" i="35" s="1"/>
  <c r="AC191" i="35"/>
  <c r="AD101" i="35"/>
  <c r="B102" i="35"/>
  <c r="AB93" i="35"/>
  <c r="AC234" i="35"/>
  <c r="AE198" i="35"/>
  <c r="AD108" i="35"/>
  <c r="AC93" i="35"/>
  <c r="W234" i="34"/>
  <c r="Y198" i="34"/>
  <c r="X199" i="34"/>
  <c r="X51" i="34" s="1"/>
  <c r="X52" i="34" s="1"/>
  <c r="AA193" i="34"/>
  <c r="X191" i="34"/>
  <c r="Y101" i="34"/>
  <c r="Y102" i="34"/>
  <c r="X93" i="34"/>
  <c r="AN213" i="34"/>
  <c r="V7" i="34"/>
  <c r="W75" i="34"/>
  <c r="W73" i="34"/>
  <c r="W83" i="34" s="1"/>
  <c r="Y234" i="33"/>
  <c r="AA198" i="33"/>
  <c r="Y193" i="33"/>
  <c r="X199" i="33"/>
  <c r="X51" i="33" s="1"/>
  <c r="X52" i="33" s="1"/>
  <c r="W73" i="33"/>
  <c r="W75" i="33"/>
  <c r="Y108" i="33"/>
  <c r="X93" i="33"/>
  <c r="AA102" i="33"/>
  <c r="W191" i="33"/>
  <c r="X101" i="33"/>
  <c r="AN213" i="33"/>
  <c r="V7" i="33"/>
  <c r="V83" i="33"/>
  <c r="Y234" i="32"/>
  <c r="AA198" i="32"/>
  <c r="X73" i="32"/>
  <c r="X75" i="32"/>
  <c r="AO213" i="32"/>
  <c r="W7" i="32"/>
  <c r="W83" i="32"/>
  <c r="Y191" i="32"/>
  <c r="Z101" i="32"/>
  <c r="Z193" i="32"/>
  <c r="Y199" i="32"/>
  <c r="Y93" i="32"/>
  <c r="Z102" i="32"/>
  <c r="W234" i="31"/>
  <c r="Y198" i="31"/>
  <c r="X199" i="31"/>
  <c r="X51" i="31" s="1"/>
  <c r="X52" i="31" s="1"/>
  <c r="W191" i="31"/>
  <c r="X101" i="31"/>
  <c r="AN213" i="31"/>
  <c r="V7" i="31"/>
  <c r="V83" i="31"/>
  <c r="AA193" i="31"/>
  <c r="W73" i="31"/>
  <c r="W75" i="31"/>
  <c r="Y102" i="31"/>
  <c r="X93" i="31"/>
  <c r="AD191" i="35" l="1"/>
  <c r="AE101" i="35"/>
  <c r="AE108" i="35"/>
  <c r="AD93" i="35"/>
  <c r="AS213" i="35"/>
  <c r="AA7" i="35"/>
  <c r="AD234" i="35"/>
  <c r="AF198" i="35"/>
  <c r="AC199" i="35"/>
  <c r="AC51" i="35" s="1"/>
  <c r="AC52" i="35" s="1"/>
  <c r="AD193" i="35"/>
  <c r="AB75" i="35"/>
  <c r="AB73" i="35"/>
  <c r="AB83" i="35" s="1"/>
  <c r="Z102" i="34"/>
  <c r="Y93" i="34"/>
  <c r="AB193" i="34"/>
  <c r="AO213" i="34"/>
  <c r="W7" i="34"/>
  <c r="X75" i="34"/>
  <c r="X73" i="34"/>
  <c r="X83" i="34" s="1"/>
  <c r="Y191" i="34"/>
  <c r="Z101" i="34"/>
  <c r="X234" i="34"/>
  <c r="Z198" i="34"/>
  <c r="Y199" i="34"/>
  <c r="Y51" i="34" s="1"/>
  <c r="Y52" i="34" s="1"/>
  <c r="Z108" i="33"/>
  <c r="Y93" i="33"/>
  <c r="AO213" i="33"/>
  <c r="W7" i="33"/>
  <c r="W83" i="33"/>
  <c r="X191" i="33"/>
  <c r="Y101" i="33"/>
  <c r="X75" i="33"/>
  <c r="X73" i="33"/>
  <c r="Z193" i="33"/>
  <c r="Y199" i="33"/>
  <c r="Y52" i="33" s="1"/>
  <c r="Z234" i="33"/>
  <c r="AB198" i="33"/>
  <c r="AB102" i="33"/>
  <c r="Z93" i="32"/>
  <c r="AA102" i="32"/>
  <c r="AP213" i="32"/>
  <c r="X7" i="32"/>
  <c r="X83" i="32"/>
  <c r="Z199" i="32"/>
  <c r="AA193" i="32"/>
  <c r="AB198" i="32"/>
  <c r="Z234" i="32"/>
  <c r="Z191" i="32"/>
  <c r="AA101" i="32"/>
  <c r="AO213" i="31"/>
  <c r="W7" i="31"/>
  <c r="Y93" i="31"/>
  <c r="Z102" i="31"/>
  <c r="X191" i="31"/>
  <c r="Y101" i="31"/>
  <c r="W83" i="31"/>
  <c r="X73" i="31"/>
  <c r="X75" i="31"/>
  <c r="AB193" i="31"/>
  <c r="X234" i="31"/>
  <c r="Z198" i="31"/>
  <c r="Y199" i="31"/>
  <c r="AE193" i="35" l="1"/>
  <c r="AD199" i="35"/>
  <c r="AD51" i="35" s="1"/>
  <c r="AD52" i="35" s="1"/>
  <c r="AF108" i="35"/>
  <c r="AE93" i="35"/>
  <c r="AC73" i="35"/>
  <c r="AC75" i="35"/>
  <c r="AE191" i="35"/>
  <c r="AF101" i="35"/>
  <c r="AT213" i="35"/>
  <c r="AB7" i="35"/>
  <c r="AE234" i="35"/>
  <c r="B198" i="35"/>
  <c r="AF234" i="35" s="1"/>
  <c r="AP213" i="34"/>
  <c r="X7" i="34"/>
  <c r="Y73" i="34"/>
  <c r="Y75" i="34"/>
  <c r="AA198" i="34"/>
  <c r="Y234" i="34"/>
  <c r="Z199" i="34"/>
  <c r="AC193" i="34"/>
  <c r="Z191" i="34"/>
  <c r="AA101" i="34"/>
  <c r="Z93" i="34"/>
  <c r="AA102" i="34"/>
  <c r="AP213" i="33"/>
  <c r="X7" i="33"/>
  <c r="AC102" i="33"/>
  <c r="Y191" i="33"/>
  <c r="Z101" i="33"/>
  <c r="AA234" i="33"/>
  <c r="AC198" i="33"/>
  <c r="Y75" i="33"/>
  <c r="Y73" i="33"/>
  <c r="Z199" i="33"/>
  <c r="AA193" i="33"/>
  <c r="X83" i="33"/>
  <c r="AA108" i="33"/>
  <c r="Z93" i="33"/>
  <c r="AA234" i="32"/>
  <c r="AC198" i="32"/>
  <c r="AA199" i="32"/>
  <c r="AA51" i="32" s="1"/>
  <c r="AA52" i="32" s="1"/>
  <c r="AB193" i="32"/>
  <c r="AA191" i="32"/>
  <c r="AB101" i="32"/>
  <c r="AB102" i="32"/>
  <c r="AA93" i="32"/>
  <c r="X83" i="31"/>
  <c r="Y191" i="31"/>
  <c r="Z101" i="31"/>
  <c r="AA198" i="31"/>
  <c r="Y234" i="31"/>
  <c r="Z199" i="31"/>
  <c r="AA102" i="31"/>
  <c r="Z93" i="31"/>
  <c r="AC193" i="31"/>
  <c r="AP213" i="31"/>
  <c r="X7" i="31"/>
  <c r="AU213" i="35" l="1"/>
  <c r="AC7" i="35"/>
  <c r="AF191" i="35"/>
  <c r="B101" i="35"/>
  <c r="AC83" i="35"/>
  <c r="AD73" i="35"/>
  <c r="AD83" i="35" s="1"/>
  <c r="AD75" i="35"/>
  <c r="B108" i="35"/>
  <c r="AF93" i="35"/>
  <c r="AF193" i="35"/>
  <c r="AE199" i="35"/>
  <c r="AE51" i="35" s="1"/>
  <c r="AE52" i="35" s="1"/>
  <c r="AA93" i="34"/>
  <c r="AB102" i="34"/>
  <c r="AB198" i="34"/>
  <c r="Z234" i="34"/>
  <c r="AA199" i="34"/>
  <c r="AA51" i="34" s="1"/>
  <c r="AA52" i="34" s="1"/>
  <c r="AQ213" i="34"/>
  <c r="Y7" i="34"/>
  <c r="AA191" i="34"/>
  <c r="AB101" i="34"/>
  <c r="Y83" i="34"/>
  <c r="AD193" i="34"/>
  <c r="Y83" i="33"/>
  <c r="AD198" i="33"/>
  <c r="AB234" i="33"/>
  <c r="AD102" i="33"/>
  <c r="Z191" i="33"/>
  <c r="AA101" i="33"/>
  <c r="AB108" i="33"/>
  <c r="AA93" i="33"/>
  <c r="AA199" i="33"/>
  <c r="AA51" i="33" s="1"/>
  <c r="AA52" i="33" s="1"/>
  <c r="AB193" i="33"/>
  <c r="AQ213" i="33"/>
  <c r="Y7" i="33"/>
  <c r="AC102" i="32"/>
  <c r="AB93" i="32"/>
  <c r="AC193" i="32"/>
  <c r="AB199" i="32"/>
  <c r="AB51" i="32" s="1"/>
  <c r="AB52" i="32" s="1"/>
  <c r="AA75" i="32"/>
  <c r="AA73" i="32"/>
  <c r="AB234" i="32"/>
  <c r="AD198" i="32"/>
  <c r="AB191" i="32"/>
  <c r="AC101" i="32"/>
  <c r="AB102" i="31"/>
  <c r="AA93" i="31"/>
  <c r="AB198" i="31"/>
  <c r="Z234" i="31"/>
  <c r="AA199" i="31"/>
  <c r="AA51" i="31" s="1"/>
  <c r="AA52" i="31" s="1"/>
  <c r="Z191" i="31"/>
  <c r="AA101" i="31"/>
  <c r="AD193" i="31"/>
  <c r="AV213" i="35" l="1"/>
  <c r="AD7" i="35"/>
  <c r="B191" i="35"/>
  <c r="B93" i="35"/>
  <c r="AE73" i="35"/>
  <c r="AE75" i="35"/>
  <c r="AF199" i="35"/>
  <c r="AF51" i="35" s="1"/>
  <c r="AF52" i="35" s="1"/>
  <c r="B193" i="35"/>
  <c r="B199" i="35" s="1"/>
  <c r="B51" i="35" s="1"/>
  <c r="AI93" i="35"/>
  <c r="AH93" i="35"/>
  <c r="AA73" i="34"/>
  <c r="AA83" i="34" s="1"/>
  <c r="AA75" i="34"/>
  <c r="AE193" i="34"/>
  <c r="AA234" i="34"/>
  <c r="AC198" i="34"/>
  <c r="AB199" i="34"/>
  <c r="AB51" i="34" s="1"/>
  <c r="AB52" i="34" s="1"/>
  <c r="AB191" i="34"/>
  <c r="AC101" i="34"/>
  <c r="AC102" i="34"/>
  <c r="AB93" i="34"/>
  <c r="AC108" i="33"/>
  <c r="AB93" i="33"/>
  <c r="AE102" i="33"/>
  <c r="AA191" i="33"/>
  <c r="AB101" i="33"/>
  <c r="AC193" i="33"/>
  <c r="AB199" i="33"/>
  <c r="AB51" i="33" s="1"/>
  <c r="AB52" i="33" s="1"/>
  <c r="AA73" i="33"/>
  <c r="AA75" i="33"/>
  <c r="AC234" i="33"/>
  <c r="AE198" i="33"/>
  <c r="AA83" i="32"/>
  <c r="AC234" i="32"/>
  <c r="AE198" i="32"/>
  <c r="AS213" i="32"/>
  <c r="AA7" i="32"/>
  <c r="AB75" i="32"/>
  <c r="AB73" i="32"/>
  <c r="AC199" i="32"/>
  <c r="AC51" i="32" s="1"/>
  <c r="AC52" i="32" s="1"/>
  <c r="AD193" i="32"/>
  <c r="AC191" i="32"/>
  <c r="AD101" i="32"/>
  <c r="AD102" i="32"/>
  <c r="AC93" i="32"/>
  <c r="AA191" i="31"/>
  <c r="AB101" i="31"/>
  <c r="AA73" i="31"/>
  <c r="AA75" i="31"/>
  <c r="AA234" i="31"/>
  <c r="AC198" i="31"/>
  <c r="AB199" i="31"/>
  <c r="AB51" i="31" s="1"/>
  <c r="AB52" i="31" s="1"/>
  <c r="AE193" i="31"/>
  <c r="AB93" i="31"/>
  <c r="AC102" i="31"/>
  <c r="AF75" i="35" l="1"/>
  <c r="AF73" i="35"/>
  <c r="AF83" i="35" s="1"/>
  <c r="AW213" i="35"/>
  <c r="AE7" i="35"/>
  <c r="AH51" i="35"/>
  <c r="B52" i="35"/>
  <c r="AI51" i="35"/>
  <c r="AE83" i="35"/>
  <c r="AB73" i="34"/>
  <c r="AB83" i="34" s="1"/>
  <c r="AB75" i="34"/>
  <c r="AB234" i="34"/>
  <c r="AD198" i="34"/>
  <c r="AC199" i="34"/>
  <c r="AC51" i="34" s="1"/>
  <c r="AC52" i="34" s="1"/>
  <c r="AF193" i="34"/>
  <c r="AC93" i="34"/>
  <c r="AD102" i="34"/>
  <c r="AS213" i="34"/>
  <c r="AA7" i="34"/>
  <c r="AC191" i="34"/>
  <c r="AD101" i="34"/>
  <c r="AB73" i="33"/>
  <c r="AB75" i="33"/>
  <c r="AD234" i="33"/>
  <c r="AF198" i="33"/>
  <c r="AF102" i="33"/>
  <c r="AC199" i="33"/>
  <c r="AC51" i="33" s="1"/>
  <c r="AC52" i="33" s="1"/>
  <c r="AD193" i="33"/>
  <c r="AB191" i="33"/>
  <c r="AC101" i="33"/>
  <c r="AS213" i="33"/>
  <c r="AA7" i="33"/>
  <c r="AA83" i="33"/>
  <c r="AD108" i="33"/>
  <c r="AC93" i="33"/>
  <c r="AB83" i="32"/>
  <c r="AE193" i="32"/>
  <c r="AD199" i="32"/>
  <c r="AD51" i="32" s="1"/>
  <c r="AD52" i="32" s="1"/>
  <c r="AT213" i="32"/>
  <c r="AB7" i="32"/>
  <c r="AE102" i="32"/>
  <c r="AD93" i="32"/>
  <c r="AD191" i="32"/>
  <c r="AE101" i="32"/>
  <c r="AD234" i="32"/>
  <c r="AF198" i="32"/>
  <c r="AC73" i="32"/>
  <c r="AC75" i="32"/>
  <c r="AB75" i="31"/>
  <c r="AB73" i="31"/>
  <c r="AB234" i="31"/>
  <c r="AD198" i="31"/>
  <c r="AC199" i="31"/>
  <c r="AC51" i="31" s="1"/>
  <c r="AC52" i="31" s="1"/>
  <c r="AS213" i="31"/>
  <c r="AA7" i="31"/>
  <c r="AF193" i="31"/>
  <c r="AA83" i="31"/>
  <c r="AB191" i="31"/>
  <c r="AC101" i="31"/>
  <c r="AC93" i="31"/>
  <c r="AD102" i="31"/>
  <c r="AI52" i="35" l="1"/>
  <c r="AH52" i="35"/>
  <c r="B73" i="35"/>
  <c r="B75" i="35"/>
  <c r="AX213" i="35"/>
  <c r="AF7" i="35"/>
  <c r="AC234" i="34"/>
  <c r="AE198" i="34"/>
  <c r="AD199" i="34"/>
  <c r="AD51" i="34" s="1"/>
  <c r="AD52" i="34" s="1"/>
  <c r="AC75" i="34"/>
  <c r="AC73" i="34"/>
  <c r="AC83" i="34" s="1"/>
  <c r="B193" i="34"/>
  <c r="AD191" i="34"/>
  <c r="AE101" i="34"/>
  <c r="AT213" i="34"/>
  <c r="AB7" i="34"/>
  <c r="AE102" i="34"/>
  <c r="AD93" i="34"/>
  <c r="AE193" i="33"/>
  <c r="AD199" i="33"/>
  <c r="AD51" i="33" s="1"/>
  <c r="AD52" i="33" s="1"/>
  <c r="B102" i="33"/>
  <c r="AE234" i="33"/>
  <c r="B198" i="33"/>
  <c r="AF234" i="33" s="1"/>
  <c r="AC191" i="33"/>
  <c r="AD101" i="33"/>
  <c r="AT213" i="33"/>
  <c r="AB7" i="33"/>
  <c r="AC75" i="33"/>
  <c r="AC73" i="33"/>
  <c r="AE108" i="33"/>
  <c r="AD93" i="33"/>
  <c r="AB83" i="33"/>
  <c r="AE191" i="32"/>
  <c r="AF101" i="32"/>
  <c r="AF102" i="32"/>
  <c r="AE93" i="32"/>
  <c r="AU213" i="32"/>
  <c r="AC7" i="32"/>
  <c r="AC83" i="32"/>
  <c r="AD73" i="32"/>
  <c r="AD75" i="32"/>
  <c r="AE234" i="32"/>
  <c r="B198" i="32"/>
  <c r="AF234" i="32" s="1"/>
  <c r="AF193" i="32"/>
  <c r="AE199" i="32"/>
  <c r="AE51" i="32" s="1"/>
  <c r="AE52" i="32" s="1"/>
  <c r="AB83" i="31"/>
  <c r="AD93" i="31"/>
  <c r="AE102" i="31"/>
  <c r="B193" i="31"/>
  <c r="AC191" i="31"/>
  <c r="AD101" i="31"/>
  <c r="AC234" i="31"/>
  <c r="AE198" i="31"/>
  <c r="AD199" i="31"/>
  <c r="AD51" i="31" s="1"/>
  <c r="AD52" i="31" s="1"/>
  <c r="AC75" i="31"/>
  <c r="AC73" i="31"/>
  <c r="AT213" i="31"/>
  <c r="AB7" i="31"/>
  <c r="AI73" i="35" l="1"/>
  <c r="AH73" i="35"/>
  <c r="B83" i="35"/>
  <c r="T213" i="35"/>
  <c r="AH75" i="35"/>
  <c r="B7" i="35"/>
  <c r="A7" i="35" s="1"/>
  <c r="AI75" i="35"/>
  <c r="AF102" i="34"/>
  <c r="AE93" i="34"/>
  <c r="AU213" i="34"/>
  <c r="AC7" i="34"/>
  <c r="AD73" i="34"/>
  <c r="AD75" i="34"/>
  <c r="AD234" i="34"/>
  <c r="AF198" i="34"/>
  <c r="AE199" i="34"/>
  <c r="AE51" i="34" s="1"/>
  <c r="AE52" i="34" s="1"/>
  <c r="AE191" i="34"/>
  <c r="AF101" i="34"/>
  <c r="AC83" i="33"/>
  <c r="AD191" i="33"/>
  <c r="AE101" i="33"/>
  <c r="AF108" i="33"/>
  <c r="AE93" i="33"/>
  <c r="AD73" i="33"/>
  <c r="AD75" i="33"/>
  <c r="AU213" i="33"/>
  <c r="AC7" i="33"/>
  <c r="AF193" i="33"/>
  <c r="AE199" i="33"/>
  <c r="AE51" i="33" s="1"/>
  <c r="AE52" i="33" s="1"/>
  <c r="AD83" i="32"/>
  <c r="AE75" i="32"/>
  <c r="AE73" i="32"/>
  <c r="AF199" i="32"/>
  <c r="AF51" i="32" s="1"/>
  <c r="AF52" i="32" s="1"/>
  <c r="B193" i="32"/>
  <c r="B199" i="32" s="1"/>
  <c r="B102" i="32"/>
  <c r="AF93" i="32"/>
  <c r="AF191" i="32"/>
  <c r="B101" i="32"/>
  <c r="B191" i="32" s="1"/>
  <c r="AV213" i="32"/>
  <c r="AD7" i="32"/>
  <c r="AC83" i="31"/>
  <c r="AD234" i="31"/>
  <c r="AF198" i="31"/>
  <c r="AE199" i="31"/>
  <c r="AE51" i="31" s="1"/>
  <c r="AE52" i="31" s="1"/>
  <c r="AD191" i="31"/>
  <c r="AE101" i="31"/>
  <c r="AU213" i="31"/>
  <c r="AC7" i="31"/>
  <c r="AF102" i="31"/>
  <c r="AE93" i="31"/>
  <c r="AD75" i="31"/>
  <c r="AD73" i="31"/>
  <c r="AD83" i="31" s="1"/>
  <c r="AI83" i="35" l="1"/>
  <c r="AH83" i="35"/>
  <c r="AD83" i="34"/>
  <c r="AF191" i="34"/>
  <c r="B101" i="34"/>
  <c r="AV213" i="34"/>
  <c r="AD7" i="34"/>
  <c r="AE75" i="34"/>
  <c r="AE73" i="34"/>
  <c r="AE83" i="34" s="1"/>
  <c r="B198" i="34"/>
  <c r="AE234" i="34"/>
  <c r="AF199" i="34"/>
  <c r="AF51" i="34" s="1"/>
  <c r="AF52" i="34" s="1"/>
  <c r="AF93" i="34"/>
  <c r="B102" i="34"/>
  <c r="B93" i="34" s="1"/>
  <c r="AV213" i="33"/>
  <c r="AD7" i="33"/>
  <c r="AD83" i="33"/>
  <c r="B108" i="33"/>
  <c r="AF93" i="33"/>
  <c r="AF199" i="33"/>
  <c r="AF51" i="33" s="1"/>
  <c r="AF52" i="33" s="1"/>
  <c r="B193" i="33"/>
  <c r="B199" i="33" s="1"/>
  <c r="AE191" i="33"/>
  <c r="AF101" i="33"/>
  <c r="AE73" i="33"/>
  <c r="AE75" i="33"/>
  <c r="AI93" i="32"/>
  <c r="AH93" i="32"/>
  <c r="AI51" i="32"/>
  <c r="AH51" i="32"/>
  <c r="AF75" i="32"/>
  <c r="AF73" i="32"/>
  <c r="AE83" i="32"/>
  <c r="AW213" i="32"/>
  <c r="AE7" i="32"/>
  <c r="B102" i="31"/>
  <c r="AF93" i="31"/>
  <c r="AE191" i="31"/>
  <c r="AF101" i="31"/>
  <c r="AE73" i="31"/>
  <c r="AE75" i="31"/>
  <c r="AV213" i="31"/>
  <c r="AD7" i="31"/>
  <c r="B198" i="31"/>
  <c r="AE234" i="31"/>
  <c r="AF199" i="31"/>
  <c r="AF51" i="31" s="1"/>
  <c r="AF52" i="31" s="1"/>
  <c r="AF234" i="34" l="1"/>
  <c r="B199" i="34"/>
  <c r="B51" i="34" s="1"/>
  <c r="AW213" i="34"/>
  <c r="AE7" i="34"/>
  <c r="AH93" i="34"/>
  <c r="AI93" i="34"/>
  <c r="B191" i="34"/>
  <c r="AF75" i="34"/>
  <c r="AF73" i="34"/>
  <c r="AH51" i="33"/>
  <c r="AI51" i="33"/>
  <c r="AF75" i="33"/>
  <c r="AF73" i="33"/>
  <c r="AI93" i="33"/>
  <c r="AH93" i="33"/>
  <c r="B93" i="33"/>
  <c r="AW213" i="33"/>
  <c r="AE7" i="33"/>
  <c r="AE83" i="33"/>
  <c r="AF191" i="33"/>
  <c r="B101" i="33"/>
  <c r="B191" i="33" s="1"/>
  <c r="AF83" i="32"/>
  <c r="AX213" i="32"/>
  <c r="AF7" i="32"/>
  <c r="AI52" i="32"/>
  <c r="AH52" i="32"/>
  <c r="AW213" i="31"/>
  <c r="AE7" i="31"/>
  <c r="AE83" i="31"/>
  <c r="AF191" i="31"/>
  <c r="B101" i="31"/>
  <c r="B191" i="31" s="1"/>
  <c r="AF73" i="31"/>
  <c r="AF75" i="31"/>
  <c r="AI93" i="31"/>
  <c r="AH93" i="31"/>
  <c r="AF234" i="31"/>
  <c r="B199" i="31"/>
  <c r="B51" i="31" s="1"/>
  <c r="B93" i="31"/>
  <c r="AX213" i="34" l="1"/>
  <c r="AF7" i="34"/>
  <c r="AI51" i="34"/>
  <c r="AH51" i="34"/>
  <c r="B52" i="34"/>
  <c r="AF83" i="34"/>
  <c r="AF83" i="33"/>
  <c r="AX213" i="33"/>
  <c r="AF7" i="33"/>
  <c r="AI52" i="33"/>
  <c r="AH52" i="33"/>
  <c r="AI73" i="32"/>
  <c r="AH73" i="32"/>
  <c r="T213" i="32"/>
  <c r="B7" i="32"/>
  <c r="A7" i="32" s="1"/>
  <c r="AH75" i="32"/>
  <c r="AI75" i="32"/>
  <c r="AF83" i="31"/>
  <c r="AX213" i="31"/>
  <c r="AF7" i="31"/>
  <c r="AI51" i="31"/>
  <c r="AH51" i="31"/>
  <c r="B52" i="31"/>
  <c r="AI52" i="34" l="1"/>
  <c r="AH52" i="34"/>
  <c r="B75" i="34"/>
  <c r="B73" i="34"/>
  <c r="T213" i="33"/>
  <c r="AH75" i="33"/>
  <c r="AI75" i="33"/>
  <c r="B7" i="33"/>
  <c r="A7" i="33" s="1"/>
  <c r="AH73" i="33"/>
  <c r="AI73" i="33"/>
  <c r="AI83" i="32"/>
  <c r="AH83" i="32"/>
  <c r="AI52" i="31"/>
  <c r="AH52" i="31"/>
  <c r="B73" i="31"/>
  <c r="B75" i="31"/>
  <c r="AI73" i="34" l="1"/>
  <c r="AH73" i="34"/>
  <c r="B83" i="34"/>
  <c r="T213" i="34"/>
  <c r="AI75" i="34"/>
  <c r="AH75" i="34"/>
  <c r="B7" i="34"/>
  <c r="A7" i="34" s="1"/>
  <c r="AI83" i="33"/>
  <c r="AH83" i="33"/>
  <c r="AH73" i="31"/>
  <c r="AI73" i="31"/>
  <c r="B83" i="31"/>
  <c r="T213" i="31"/>
  <c r="AI75" i="31"/>
  <c r="B7" i="31"/>
  <c r="A7" i="31" s="1"/>
  <c r="AH75" i="31"/>
  <c r="AI83" i="34" l="1"/>
  <c r="AH83" i="34"/>
  <c r="AI83" i="31"/>
  <c r="AH83" i="31"/>
  <c r="M37" i="30" l="1"/>
  <c r="L37" i="30"/>
  <c r="K37" i="30"/>
  <c r="J37" i="30"/>
  <c r="I37" i="30"/>
  <c r="H37" i="30"/>
  <c r="G37" i="30"/>
  <c r="F37" i="30"/>
  <c r="E37" i="30"/>
  <c r="AH99" i="30"/>
  <c r="AI99" i="30" s="1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A235" i="30"/>
  <c r="B234" i="30"/>
  <c r="S209" i="30"/>
  <c r="AG199" i="30"/>
  <c r="C199" i="30"/>
  <c r="D198" i="30"/>
  <c r="C234" i="30" s="1"/>
  <c r="D197" i="30"/>
  <c r="E197" i="30" s="1"/>
  <c r="F197" i="30" s="1"/>
  <c r="G197" i="30" s="1"/>
  <c r="H197" i="30" s="1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D196" i="30"/>
  <c r="E196" i="30" s="1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D195" i="30"/>
  <c r="E195" i="30" s="1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D194" i="30"/>
  <c r="E194" i="30" s="1"/>
  <c r="F194" i="30" s="1"/>
  <c r="G194" i="30" s="1"/>
  <c r="H194" i="30" s="1"/>
  <c r="I194" i="30" s="1"/>
  <c r="J194" i="30" s="1"/>
  <c r="K194" i="30" s="1"/>
  <c r="L194" i="30" s="1"/>
  <c r="M194" i="30" s="1"/>
  <c r="N194" i="30" s="1"/>
  <c r="O194" i="30" s="1"/>
  <c r="P194" i="30" s="1"/>
  <c r="Q194" i="30" s="1"/>
  <c r="R194" i="30" s="1"/>
  <c r="S194" i="30" s="1"/>
  <c r="T194" i="30" s="1"/>
  <c r="U194" i="30" s="1"/>
  <c r="V194" i="30" s="1"/>
  <c r="W194" i="30" s="1"/>
  <c r="X194" i="30" s="1"/>
  <c r="Y194" i="30" s="1"/>
  <c r="Z194" i="30" s="1"/>
  <c r="AA194" i="30" s="1"/>
  <c r="AB194" i="30" s="1"/>
  <c r="AC194" i="30" s="1"/>
  <c r="AD194" i="30" s="1"/>
  <c r="AE194" i="30" s="1"/>
  <c r="AF194" i="30" s="1"/>
  <c r="B194" i="30" s="1"/>
  <c r="D193" i="30"/>
  <c r="E193" i="30" s="1"/>
  <c r="AG191" i="30"/>
  <c r="C191" i="30"/>
  <c r="D190" i="30"/>
  <c r="E190" i="30" s="1"/>
  <c r="F190" i="30" s="1"/>
  <c r="G190" i="30" s="1"/>
  <c r="H190" i="30" s="1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B190" i="30" s="1"/>
  <c r="D189" i="30"/>
  <c r="E189" i="30" s="1"/>
  <c r="F189" i="30" s="1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D188" i="30"/>
  <c r="E188" i="30" s="1"/>
  <c r="F188" i="30" s="1"/>
  <c r="G188" i="30" s="1"/>
  <c r="H188" i="30" s="1"/>
  <c r="I188" i="30" s="1"/>
  <c r="J188" i="30" s="1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B188" i="30" s="1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D186" i="30"/>
  <c r="E186" i="30" s="1"/>
  <c r="F186" i="30" s="1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D185" i="30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B185" i="30" s="1"/>
  <c r="D184" i="30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B183" i="30" s="1"/>
  <c r="D182" i="30"/>
  <c r="E182" i="30" s="1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E181" i="30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D181" i="30"/>
  <c r="D180" i="30"/>
  <c r="E180" i="30" s="1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B180" i="30" s="1"/>
  <c r="D179" i="30"/>
  <c r="E179" i="30" s="1"/>
  <c r="F179" i="30" s="1"/>
  <c r="G179" i="30" s="1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D178" i="30"/>
  <c r="E178" i="30" s="1"/>
  <c r="F178" i="30" s="1"/>
  <c r="G178" i="30" s="1"/>
  <c r="H178" i="30" s="1"/>
  <c r="I178" i="30" s="1"/>
  <c r="J178" i="30" s="1"/>
  <c r="K178" i="30" s="1"/>
  <c r="L178" i="30" s="1"/>
  <c r="M178" i="30" s="1"/>
  <c r="N178" i="30" s="1"/>
  <c r="O178" i="30" s="1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AF178" i="30" s="1"/>
  <c r="B178" i="30" s="1"/>
  <c r="H176" i="30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D176" i="30"/>
  <c r="E176" i="30" s="1"/>
  <c r="F176" i="30" s="1"/>
  <c r="G176" i="30" s="1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B175" i="30" s="1"/>
  <c r="E174" i="30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B174" i="30" s="1"/>
  <c r="D174" i="30"/>
  <c r="E173" i="30"/>
  <c r="F173" i="30" s="1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D173" i="30"/>
  <c r="D172" i="30"/>
  <c r="E172" i="30" s="1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D171" i="30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D170" i="30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D169" i="30"/>
  <c r="E169" i="30" s="1"/>
  <c r="F169" i="30" s="1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B169" i="30" s="1"/>
  <c r="D167" i="30"/>
  <c r="E167" i="30" s="1"/>
  <c r="F167" i="30" s="1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B167" i="30" s="1"/>
  <c r="D166" i="30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D165" i="30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D163" i="30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B163" i="30" s="1"/>
  <c r="D162" i="30"/>
  <c r="E162" i="30" s="1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B162" i="30" s="1"/>
  <c r="D161" i="30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B161" i="30" s="1"/>
  <c r="G160" i="30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D160" i="30"/>
  <c r="E160" i="30" s="1"/>
  <c r="F160" i="30" s="1"/>
  <c r="D159" i="30"/>
  <c r="E159" i="30" s="1"/>
  <c r="F159" i="30" s="1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B159" i="30" s="1"/>
  <c r="D158" i="30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F157" i="30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D157" i="30"/>
  <c r="E157" i="30" s="1"/>
  <c r="U156" i="30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D156" i="30"/>
  <c r="E156" i="30" s="1"/>
  <c r="F156" i="30" s="1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D155" i="30"/>
  <c r="E155" i="30" s="1"/>
  <c r="F155" i="30" s="1"/>
  <c r="G155" i="30" s="1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B155" i="30" s="1"/>
  <c r="D153" i="30"/>
  <c r="E153" i="30" s="1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B153" i="30" s="1"/>
  <c r="D152" i="30"/>
  <c r="E152" i="30" s="1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B152" i="30" s="1"/>
  <c r="E151" i="30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D151" i="30"/>
  <c r="D150" i="30"/>
  <c r="E150" i="30" s="1"/>
  <c r="F150" i="30" s="1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B150" i="30" s="1"/>
  <c r="D148" i="30"/>
  <c r="E148" i="30" s="1"/>
  <c r="F148" i="30" s="1"/>
  <c r="G148" i="30" s="1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D147" i="30"/>
  <c r="E147" i="30" s="1"/>
  <c r="F147" i="30" s="1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B147" i="30" s="1"/>
  <c r="D145" i="30"/>
  <c r="E145" i="30" s="1"/>
  <c r="F145" i="30" s="1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D144" i="30"/>
  <c r="E144" i="30" s="1"/>
  <c r="F144" i="30" s="1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B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B142" i="30" s="1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B141" i="30" s="1"/>
  <c r="D140" i="30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D139" i="30"/>
  <c r="E139" i="30" s="1"/>
  <c r="F139" i="30" s="1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B139" i="30" s="1"/>
  <c r="D137" i="30"/>
  <c r="E137" i="30" s="1"/>
  <c r="F137" i="30" s="1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D136" i="30"/>
  <c r="E136" i="30" s="1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B136" i="30" s="1"/>
  <c r="D135" i="30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B135" i="30" s="1"/>
  <c r="D134" i="30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E132" i="30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D132" i="30"/>
  <c r="D131" i="30"/>
  <c r="E131" i="30" s="1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D130" i="30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B130" i="30" s="1"/>
  <c r="D128" i="30"/>
  <c r="E128" i="30" s="1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D127" i="30"/>
  <c r="E127" i="30" s="1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E126" i="30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D126" i="30"/>
  <c r="D125" i="30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D124" i="30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D123" i="30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E122" i="30"/>
  <c r="F122" i="30" s="1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D122" i="30"/>
  <c r="D121" i="30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D119" i="30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D118" i="30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D117" i="30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D115" i="30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D114" i="30"/>
  <c r="E114" i="30" s="1"/>
  <c r="F114" i="30" s="1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L113" i="30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K113" i="30"/>
  <c r="D113" i="30"/>
  <c r="E113" i="30" s="1"/>
  <c r="F113" i="30" s="1"/>
  <c r="G113" i="30" s="1"/>
  <c r="H113" i="30" s="1"/>
  <c r="I113" i="30" s="1"/>
  <c r="D112" i="30"/>
  <c r="E112" i="30" s="1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J111" i="30"/>
  <c r="K111" i="30" s="1"/>
  <c r="L111" i="30" s="1"/>
  <c r="M111" i="30" s="1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B111" i="30" s="1"/>
  <c r="D111" i="30"/>
  <c r="E111" i="30" s="1"/>
  <c r="F111" i="30" s="1"/>
  <c r="G111" i="30" s="1"/>
  <c r="H111" i="30" s="1"/>
  <c r="I111" i="30" s="1"/>
  <c r="J109" i="30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H109" i="30"/>
  <c r="I109" i="30" s="1"/>
  <c r="D109" i="30"/>
  <c r="E109" i="30" s="1"/>
  <c r="F109" i="30" s="1"/>
  <c r="G109" i="30" s="1"/>
  <c r="D108" i="30"/>
  <c r="E108" i="30" s="1"/>
  <c r="F108" i="30" s="1"/>
  <c r="G108" i="30" s="1"/>
  <c r="H108" i="30" s="1"/>
  <c r="I108" i="30" s="1"/>
  <c r="J108" i="30" s="1"/>
  <c r="K108" i="30" s="1"/>
  <c r="L108" i="30" s="1"/>
  <c r="M108" i="30" s="1"/>
  <c r="N108" i="30" s="1"/>
  <c r="O108" i="30" s="1"/>
  <c r="P108" i="30" s="1"/>
  <c r="Q108" i="30" s="1"/>
  <c r="R108" i="30" s="1"/>
  <c r="S108" i="30" s="1"/>
  <c r="T108" i="30" s="1"/>
  <c r="U108" i="30" s="1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B108" i="30" s="1"/>
  <c r="D106" i="30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E105" i="30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D105" i="30"/>
  <c r="D104" i="30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I103" i="30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B103" i="30" s="1"/>
  <c r="D103" i="30"/>
  <c r="E103" i="30" s="1"/>
  <c r="F103" i="30" s="1"/>
  <c r="G103" i="30" s="1"/>
  <c r="H103" i="30" s="1"/>
  <c r="D102" i="30"/>
  <c r="E102" i="30" s="1"/>
  <c r="F102" i="30" s="1"/>
  <c r="G102" i="30" s="1"/>
  <c r="H102" i="30" s="1"/>
  <c r="D101" i="30"/>
  <c r="E101" i="30" s="1"/>
  <c r="F101" i="30" s="1"/>
  <c r="G101" i="30" s="1"/>
  <c r="AH98" i="30"/>
  <c r="AI98" i="30" s="1"/>
  <c r="AH97" i="30"/>
  <c r="AI97" i="30" s="1"/>
  <c r="AH96" i="30"/>
  <c r="AI96" i="30" s="1"/>
  <c r="AH95" i="30"/>
  <c r="AI95" i="30" s="1"/>
  <c r="AH94" i="30"/>
  <c r="AI94" i="30" s="1"/>
  <c r="C93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B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AF76" i="30"/>
  <c r="AF82" i="30" s="1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AI74" i="30"/>
  <c r="AH74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AI71" i="30"/>
  <c r="AH71" i="30"/>
  <c r="AI70" i="30"/>
  <c r="AH70" i="30"/>
  <c r="AI69" i="30"/>
  <c r="AH69" i="30"/>
  <c r="AG68" i="30"/>
  <c r="AF68" i="30"/>
  <c r="AE5" i="30" s="1"/>
  <c r="AE68" i="30"/>
  <c r="AD68" i="30"/>
  <c r="AC68" i="30"/>
  <c r="AB5" i="30" s="1"/>
  <c r="AB68" i="30"/>
  <c r="AA5" i="30" s="1"/>
  <c r="AA68" i="30"/>
  <c r="Z5" i="30" s="1"/>
  <c r="Z68" i="30"/>
  <c r="Y5" i="30" s="1"/>
  <c r="Y68" i="30"/>
  <c r="X68" i="30"/>
  <c r="W5" i="30" s="1"/>
  <c r="W68" i="30"/>
  <c r="V5" i="30" s="1"/>
  <c r="V68" i="30"/>
  <c r="U68" i="30"/>
  <c r="T68" i="30"/>
  <c r="S68" i="30"/>
  <c r="R68" i="30"/>
  <c r="Q5" i="30" s="1"/>
  <c r="Q68" i="30"/>
  <c r="P68" i="30"/>
  <c r="O68" i="30"/>
  <c r="N5" i="30" s="1"/>
  <c r="N68" i="30"/>
  <c r="M68" i="30"/>
  <c r="L5" i="30" s="1"/>
  <c r="L68" i="30"/>
  <c r="K5" i="30" s="1"/>
  <c r="K68" i="30"/>
  <c r="J5" i="30" s="1"/>
  <c r="J68" i="30"/>
  <c r="I5" i="30" s="1"/>
  <c r="I68" i="30"/>
  <c r="H68" i="30"/>
  <c r="G68" i="30"/>
  <c r="F5" i="30" s="1"/>
  <c r="F68" i="30"/>
  <c r="E68" i="30"/>
  <c r="D68" i="30"/>
  <c r="C68" i="30"/>
  <c r="B5" i="30" s="1"/>
  <c r="B68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AI55" i="30"/>
  <c r="AH55" i="30"/>
  <c r="AI54" i="30"/>
  <c r="AH54" i="30"/>
  <c r="AI53" i="30"/>
  <c r="AH53" i="30"/>
  <c r="Z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G52" i="30" s="1"/>
  <c r="AG3" i="30" s="1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D5" i="30"/>
  <c r="T5" i="30"/>
  <c r="O5" i="30"/>
  <c r="D5" i="30"/>
  <c r="C5" i="30"/>
  <c r="AG4" i="30"/>
  <c r="K4" i="30"/>
  <c r="B4" i="30"/>
  <c r="AG2" i="30"/>
  <c r="AF37" i="29"/>
  <c r="AE37" i="29"/>
  <c r="AD37" i="29"/>
  <c r="AC37" i="29"/>
  <c r="AB37" i="29"/>
  <c r="E4" i="30"/>
  <c r="AE82" i="30" l="1"/>
  <c r="AD82" i="30"/>
  <c r="X82" i="30"/>
  <c r="W82" i="30"/>
  <c r="V82" i="30"/>
  <c r="T73" i="30"/>
  <c r="S75" i="30"/>
  <c r="AK213" i="30" s="1"/>
  <c r="S73" i="30"/>
  <c r="P82" i="30"/>
  <c r="P75" i="30"/>
  <c r="AH213" i="30" s="1"/>
  <c r="O82" i="30"/>
  <c r="N82" i="30"/>
  <c r="N75" i="30"/>
  <c r="AF213" i="30" s="1"/>
  <c r="Y82" i="30"/>
  <c r="AG6" i="30"/>
  <c r="K82" i="30"/>
  <c r="AA82" i="30"/>
  <c r="R5" i="30"/>
  <c r="T82" i="30"/>
  <c r="AB82" i="30"/>
  <c r="D93" i="30"/>
  <c r="O73" i="30"/>
  <c r="N73" i="30"/>
  <c r="S82" i="30"/>
  <c r="S5" i="30"/>
  <c r="P73" i="30"/>
  <c r="U82" i="30"/>
  <c r="AC82" i="30"/>
  <c r="E198" i="30"/>
  <c r="D234" i="30" s="1"/>
  <c r="Q73" i="30"/>
  <c r="AG73" i="30"/>
  <c r="R82" i="30"/>
  <c r="Z82" i="30"/>
  <c r="R73" i="30"/>
  <c r="Z73" i="30"/>
  <c r="T75" i="30"/>
  <c r="AL213" i="30" s="1"/>
  <c r="Q82" i="30"/>
  <c r="M82" i="30"/>
  <c r="M75" i="30"/>
  <c r="AE213" i="30" s="1"/>
  <c r="M73" i="30"/>
  <c r="L82" i="30"/>
  <c r="L73" i="30"/>
  <c r="L75" i="30"/>
  <c r="L7" i="30" s="1"/>
  <c r="K75" i="30"/>
  <c r="AC213" i="30" s="1"/>
  <c r="K73" i="30"/>
  <c r="J82" i="30"/>
  <c r="J73" i="30"/>
  <c r="I82" i="30"/>
  <c r="I73" i="30"/>
  <c r="H73" i="30"/>
  <c r="H82" i="30"/>
  <c r="G5" i="30"/>
  <c r="H75" i="30"/>
  <c r="Z213" i="30" s="1"/>
  <c r="AI80" i="30"/>
  <c r="AH76" i="30"/>
  <c r="AI76" i="30"/>
  <c r="G82" i="30"/>
  <c r="G73" i="30"/>
  <c r="F75" i="30"/>
  <c r="X213" i="30" s="1"/>
  <c r="E82" i="30"/>
  <c r="F73" i="30"/>
  <c r="E75" i="30"/>
  <c r="W213" i="30" s="1"/>
  <c r="E73" i="30"/>
  <c r="D82" i="30"/>
  <c r="D73" i="30"/>
  <c r="D75" i="30"/>
  <c r="AI78" i="30"/>
  <c r="AH79" i="30"/>
  <c r="AI77" i="30"/>
  <c r="C82" i="30"/>
  <c r="AH56" i="30"/>
  <c r="AH38" i="30"/>
  <c r="B82" i="30"/>
  <c r="AI68" i="30"/>
  <c r="AI56" i="30"/>
  <c r="H4" i="30"/>
  <c r="I102" i="30"/>
  <c r="D210" i="30"/>
  <c r="S210" i="30"/>
  <c r="E5" i="30"/>
  <c r="M5" i="30"/>
  <c r="U5" i="30"/>
  <c r="AC5" i="30"/>
  <c r="C73" i="30"/>
  <c r="C75" i="30" s="1"/>
  <c r="G75" i="30"/>
  <c r="G83" i="30" s="1"/>
  <c r="O75" i="30"/>
  <c r="AI79" i="30"/>
  <c r="AH80" i="30"/>
  <c r="F82" i="30"/>
  <c r="I75" i="30"/>
  <c r="Q75" i="30"/>
  <c r="AG75" i="30"/>
  <c r="AG83" i="30" s="1"/>
  <c r="F191" i="30"/>
  <c r="H5" i="30"/>
  <c r="P5" i="30"/>
  <c r="X5" i="30"/>
  <c r="J75" i="30"/>
  <c r="R75" i="30"/>
  <c r="Z75" i="30"/>
  <c r="E93" i="30"/>
  <c r="G191" i="30"/>
  <c r="H101" i="30"/>
  <c r="AI38" i="30"/>
  <c r="AH68" i="30"/>
  <c r="AH72" i="30"/>
  <c r="AH77" i="30"/>
  <c r="AI72" i="30"/>
  <c r="AH78" i="30"/>
  <c r="D191" i="30"/>
  <c r="E191" i="30"/>
  <c r="F193" i="30"/>
  <c r="D199" i="30"/>
  <c r="Z83" i="30" l="1"/>
  <c r="S83" i="30"/>
  <c r="S7" i="30"/>
  <c r="Q83" i="30"/>
  <c r="P83" i="30"/>
  <c r="P7" i="30"/>
  <c r="O83" i="30"/>
  <c r="N83" i="30"/>
  <c r="N7" i="30"/>
  <c r="E199" i="30"/>
  <c r="T83" i="30"/>
  <c r="F198" i="30"/>
  <c r="G198" i="30" s="1"/>
  <c r="T7" i="30"/>
  <c r="K83" i="30"/>
  <c r="M7" i="30"/>
  <c r="M83" i="30"/>
  <c r="K7" i="30"/>
  <c r="L83" i="30"/>
  <c r="AD213" i="30"/>
  <c r="I83" i="30"/>
  <c r="H83" i="30"/>
  <c r="H7" i="30"/>
  <c r="F7" i="30"/>
  <c r="E83" i="30"/>
  <c r="E7" i="30"/>
  <c r="F83" i="30"/>
  <c r="D83" i="30"/>
  <c r="AH82" i="30"/>
  <c r="D7" i="30"/>
  <c r="V213" i="30"/>
  <c r="C83" i="30"/>
  <c r="AA213" i="30"/>
  <c r="I7" i="30"/>
  <c r="AI82" i="30"/>
  <c r="E234" i="30"/>
  <c r="AJ213" i="30"/>
  <c r="R7" i="30"/>
  <c r="AG213" i="30"/>
  <c r="O7" i="30"/>
  <c r="J102" i="30"/>
  <c r="G193" i="30"/>
  <c r="F93" i="30"/>
  <c r="R83" i="30"/>
  <c r="AI213" i="30"/>
  <c r="Q7" i="30"/>
  <c r="AR213" i="30"/>
  <c r="Z7" i="30"/>
  <c r="AB213" i="30"/>
  <c r="J7" i="30"/>
  <c r="C208" i="30"/>
  <c r="Y213" i="30"/>
  <c r="B208" i="30"/>
  <c r="G7" i="30"/>
  <c r="H191" i="30"/>
  <c r="I101" i="30"/>
  <c r="U213" i="30"/>
  <c r="C7" i="30"/>
  <c r="J83" i="30"/>
  <c r="F199" i="30" l="1"/>
  <c r="K6" i="30"/>
  <c r="H193" i="30"/>
  <c r="G199" i="30"/>
  <c r="G93" i="30"/>
  <c r="H198" i="30"/>
  <c r="F234" i="30"/>
  <c r="I191" i="30"/>
  <c r="J101" i="30"/>
  <c r="K102" i="30"/>
  <c r="J191" i="30" l="1"/>
  <c r="K101" i="30"/>
  <c r="G234" i="30"/>
  <c r="I198" i="30"/>
  <c r="L102" i="30"/>
  <c r="H199" i="30"/>
  <c r="I193" i="30"/>
  <c r="H93" i="30"/>
  <c r="I199" i="30" l="1"/>
  <c r="J193" i="30"/>
  <c r="I93" i="30"/>
  <c r="M102" i="30"/>
  <c r="J198" i="30"/>
  <c r="H234" i="30"/>
  <c r="K191" i="30"/>
  <c r="L101" i="30"/>
  <c r="N102" i="30" l="1"/>
  <c r="I234" i="30"/>
  <c r="K198" i="30"/>
  <c r="K193" i="30"/>
  <c r="J199" i="30"/>
  <c r="J93" i="30"/>
  <c r="L191" i="30"/>
  <c r="M101" i="30"/>
  <c r="K199" i="30" l="1"/>
  <c r="L193" i="30"/>
  <c r="K93" i="30"/>
  <c r="L198" i="30"/>
  <c r="J234" i="30"/>
  <c r="O102" i="30"/>
  <c r="M191" i="30"/>
  <c r="N101" i="30"/>
  <c r="P102" i="30" l="1"/>
  <c r="M198" i="30"/>
  <c r="K234" i="30"/>
  <c r="L199" i="30"/>
  <c r="M193" i="30"/>
  <c r="L93" i="30"/>
  <c r="N191" i="30"/>
  <c r="O101" i="30"/>
  <c r="M199" i="30" l="1"/>
  <c r="N193" i="30"/>
  <c r="M93" i="30"/>
  <c r="L234" i="30"/>
  <c r="N198" i="30"/>
  <c r="O191" i="30"/>
  <c r="P101" i="30"/>
  <c r="Q102" i="30"/>
  <c r="P191" i="30" l="1"/>
  <c r="Q101" i="30"/>
  <c r="R102" i="30"/>
  <c r="O193" i="30"/>
  <c r="N199" i="30"/>
  <c r="N93" i="30"/>
  <c r="M234" i="30"/>
  <c r="O198" i="30"/>
  <c r="Q191" i="30" l="1"/>
  <c r="R101" i="30"/>
  <c r="P193" i="30"/>
  <c r="O199" i="30"/>
  <c r="O93" i="30"/>
  <c r="S102" i="30"/>
  <c r="P198" i="30"/>
  <c r="N234" i="30"/>
  <c r="O234" i="30" l="1"/>
  <c r="Q198" i="30"/>
  <c r="R191" i="30"/>
  <c r="S101" i="30"/>
  <c r="T102" i="30"/>
  <c r="P199" i="30"/>
  <c r="Q193" i="30"/>
  <c r="P93" i="30"/>
  <c r="Q199" i="30" l="1"/>
  <c r="R193" i="30"/>
  <c r="Q93" i="30"/>
  <c r="U102" i="30"/>
  <c r="S191" i="30"/>
  <c r="T101" i="30"/>
  <c r="R198" i="30"/>
  <c r="P234" i="30"/>
  <c r="Q234" i="30" l="1"/>
  <c r="S198" i="30"/>
  <c r="T191" i="30"/>
  <c r="U101" i="30"/>
  <c r="V102" i="30"/>
  <c r="R199" i="30"/>
  <c r="S193" i="30"/>
  <c r="R93" i="30"/>
  <c r="S199" i="30" l="1"/>
  <c r="T193" i="30"/>
  <c r="S93" i="30"/>
  <c r="W102" i="30"/>
  <c r="U191" i="30"/>
  <c r="V101" i="30"/>
  <c r="R234" i="30"/>
  <c r="T198" i="30"/>
  <c r="U193" i="30" l="1"/>
  <c r="T199" i="30"/>
  <c r="T93" i="30"/>
  <c r="V191" i="30"/>
  <c r="W101" i="30"/>
  <c r="X102" i="30"/>
  <c r="U198" i="30"/>
  <c r="S234" i="30"/>
  <c r="Y102" i="30" l="1"/>
  <c r="W191" i="30"/>
  <c r="X101" i="30"/>
  <c r="V198" i="30"/>
  <c r="T234" i="30"/>
  <c r="U199" i="30"/>
  <c r="U51" i="30" s="1"/>
  <c r="U52" i="30" s="1"/>
  <c r="V193" i="30"/>
  <c r="U93" i="30"/>
  <c r="V199" i="30" l="1"/>
  <c r="V51" i="30" s="1"/>
  <c r="V52" i="30" s="1"/>
  <c r="W193" i="30"/>
  <c r="V93" i="30"/>
  <c r="U73" i="30"/>
  <c r="U75" i="30"/>
  <c r="U234" i="30"/>
  <c r="W198" i="30"/>
  <c r="X191" i="30"/>
  <c r="Y101" i="30"/>
  <c r="Z102" i="30"/>
  <c r="V234" i="30" l="1"/>
  <c r="X198" i="30"/>
  <c r="U83" i="30"/>
  <c r="AA102" i="30"/>
  <c r="X193" i="30"/>
  <c r="W199" i="30"/>
  <c r="W51" i="30" s="1"/>
  <c r="W52" i="30" s="1"/>
  <c r="W93" i="30"/>
  <c r="AM213" i="30"/>
  <c r="U7" i="30"/>
  <c r="Y191" i="30"/>
  <c r="Z101" i="30"/>
  <c r="V73" i="30"/>
  <c r="V75" i="30"/>
  <c r="W73" i="30" l="1"/>
  <c r="W75" i="30"/>
  <c r="AN213" i="30"/>
  <c r="V7" i="30"/>
  <c r="X199" i="30"/>
  <c r="X51" i="30" s="1"/>
  <c r="X52" i="30" s="1"/>
  <c r="Y193" i="30"/>
  <c r="X93" i="30"/>
  <c r="V83" i="30"/>
  <c r="Z191" i="30"/>
  <c r="AA101" i="30"/>
  <c r="W234" i="30"/>
  <c r="Y198" i="30"/>
  <c r="AB102" i="30"/>
  <c r="X75" i="30" l="1"/>
  <c r="X73" i="30"/>
  <c r="Z198" i="30"/>
  <c r="X234" i="30"/>
  <c r="Y199" i="30"/>
  <c r="Y52" i="30" s="1"/>
  <c r="Z193" i="30"/>
  <c r="Y93" i="30"/>
  <c r="AC102" i="30"/>
  <c r="AA191" i="30"/>
  <c r="AB101" i="30"/>
  <c r="AO213" i="30"/>
  <c r="W7" i="30"/>
  <c r="W83" i="30"/>
  <c r="X83" i="30" l="1"/>
  <c r="AD102" i="30"/>
  <c r="Y75" i="30"/>
  <c r="Y73" i="30"/>
  <c r="Y83" i="30" s="1"/>
  <c r="AB191" i="30"/>
  <c r="AC101" i="30"/>
  <c r="Y234" i="30"/>
  <c r="AA198" i="30"/>
  <c r="Z199" i="30"/>
  <c r="AA193" i="30"/>
  <c r="Z93" i="30"/>
  <c r="AP213" i="30"/>
  <c r="X7" i="30"/>
  <c r="Z234" i="30" l="1"/>
  <c r="AB198" i="30"/>
  <c r="AC191" i="30"/>
  <c r="AD101" i="30"/>
  <c r="AQ213" i="30"/>
  <c r="Y7" i="30"/>
  <c r="AA199" i="30"/>
  <c r="AA51" i="30" s="1"/>
  <c r="AA52" i="30" s="1"/>
  <c r="AB193" i="30"/>
  <c r="AA93" i="30"/>
  <c r="AE102" i="30"/>
  <c r="AB199" i="30" l="1"/>
  <c r="AB51" i="30" s="1"/>
  <c r="AB52" i="30" s="1"/>
  <c r="AC193" i="30"/>
  <c r="AB93" i="30"/>
  <c r="AA75" i="30"/>
  <c r="AA73" i="30"/>
  <c r="AD191" i="30"/>
  <c r="AE101" i="30"/>
  <c r="AF102" i="30"/>
  <c r="AC198" i="30"/>
  <c r="AA234" i="30"/>
  <c r="AA83" i="30" l="1"/>
  <c r="AE191" i="30"/>
  <c r="AF101" i="30"/>
  <c r="AS213" i="30"/>
  <c r="AA7" i="30"/>
  <c r="AD198" i="30"/>
  <c r="AB234" i="30"/>
  <c r="AD193" i="30"/>
  <c r="AC199" i="30"/>
  <c r="AC51" i="30" s="1"/>
  <c r="AC52" i="30" s="1"/>
  <c r="AC93" i="30"/>
  <c r="B102" i="30"/>
  <c r="AB73" i="30"/>
  <c r="AB75" i="30"/>
  <c r="AD199" i="30" l="1"/>
  <c r="AD51" i="30" s="1"/>
  <c r="AD52" i="30" s="1"/>
  <c r="AE193" i="30"/>
  <c r="AD93" i="30"/>
  <c r="AC73" i="30"/>
  <c r="AC75" i="30"/>
  <c r="AE198" i="30"/>
  <c r="AC234" i="30"/>
  <c r="AB83" i="30"/>
  <c r="AF191" i="30"/>
  <c r="B101" i="30"/>
  <c r="B191" i="30" s="1"/>
  <c r="AT213" i="30"/>
  <c r="AB7" i="30"/>
  <c r="AU213" i="30" l="1"/>
  <c r="AC7" i="30"/>
  <c r="AC83" i="30"/>
  <c r="AF193" i="30"/>
  <c r="AE199" i="30"/>
  <c r="AE51" i="30" s="1"/>
  <c r="AE52" i="30" s="1"/>
  <c r="AE93" i="30"/>
  <c r="AD234" i="30"/>
  <c r="AF198" i="30"/>
  <c r="AD73" i="30"/>
  <c r="AD75" i="30"/>
  <c r="AE234" i="30" l="1"/>
  <c r="B198" i="30"/>
  <c r="AF234" i="30" s="1"/>
  <c r="AV213" i="30"/>
  <c r="AD7" i="30"/>
  <c r="AE73" i="30"/>
  <c r="AE75" i="30"/>
  <c r="B193" i="30"/>
  <c r="AF199" i="30"/>
  <c r="AF51" i="30" s="1"/>
  <c r="AF52" i="30" s="1"/>
  <c r="AF93" i="30"/>
  <c r="AD83" i="30"/>
  <c r="B199" i="30" l="1"/>
  <c r="B51" i="30" s="1"/>
  <c r="B93" i="30"/>
  <c r="AW213" i="30"/>
  <c r="AE7" i="30"/>
  <c r="AE83" i="30"/>
  <c r="AF75" i="30"/>
  <c r="AF73" i="30"/>
  <c r="AI93" i="30"/>
  <c r="AH93" i="30"/>
  <c r="AF83" i="30" l="1"/>
  <c r="AX213" i="30"/>
  <c r="AF7" i="30"/>
  <c r="AI51" i="30"/>
  <c r="B52" i="30"/>
  <c r="AH51" i="30"/>
  <c r="AI52" i="30" l="1"/>
  <c r="AH52" i="30"/>
  <c r="B75" i="30"/>
  <c r="B73" i="30"/>
  <c r="AH73" i="30" l="1"/>
  <c r="AI73" i="30"/>
  <c r="B83" i="30"/>
  <c r="T213" i="30"/>
  <c r="B7" i="30"/>
  <c r="A7" i="30" s="1"/>
  <c r="AI75" i="30"/>
  <c r="AH75" i="30"/>
  <c r="AI83" i="30" l="1"/>
  <c r="AH83" i="30"/>
  <c r="T37" i="29" l="1"/>
  <c r="Q37" i="29" l="1"/>
  <c r="R37" i="29"/>
  <c r="P37" i="29"/>
  <c r="M56" i="29"/>
  <c r="L37" i="29"/>
  <c r="AI12" i="29"/>
  <c r="J37" i="29"/>
  <c r="I37" i="29"/>
  <c r="H37" i="29"/>
  <c r="G37" i="29"/>
  <c r="F37" i="29"/>
  <c r="E37" i="29"/>
  <c r="D37" i="29"/>
  <c r="AH99" i="29"/>
  <c r="AI99" i="29" s="1"/>
  <c r="C37" i="29"/>
  <c r="B37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235" i="29"/>
  <c r="C234" i="29"/>
  <c r="B234" i="29"/>
  <c r="S209" i="29"/>
  <c r="AG199" i="29"/>
  <c r="C199" i="29"/>
  <c r="E198" i="29"/>
  <c r="D234" i="29" s="1"/>
  <c r="D198" i="29"/>
  <c r="E197" i="29"/>
  <c r="F197" i="29" s="1"/>
  <c r="G197" i="29" s="1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7" i="29"/>
  <c r="D196" i="29"/>
  <c r="E196" i="29" s="1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D195" i="29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E194" i="29"/>
  <c r="F194" i="29" s="1"/>
  <c r="G194" i="29" s="1"/>
  <c r="H194" i="29" s="1"/>
  <c r="I194" i="29" s="1"/>
  <c r="J194" i="29" s="1"/>
  <c r="K194" i="29" s="1"/>
  <c r="L194" i="29" s="1"/>
  <c r="M194" i="29" s="1"/>
  <c r="N194" i="29" s="1"/>
  <c r="O194" i="29" s="1"/>
  <c r="P194" i="29" s="1"/>
  <c r="Q194" i="29" s="1"/>
  <c r="R194" i="29" s="1"/>
  <c r="S194" i="29" s="1"/>
  <c r="T194" i="29" s="1"/>
  <c r="U194" i="29" s="1"/>
  <c r="V194" i="29" s="1"/>
  <c r="W194" i="29" s="1"/>
  <c r="X194" i="29" s="1"/>
  <c r="Y194" i="29" s="1"/>
  <c r="Z194" i="29" s="1"/>
  <c r="AA194" i="29" s="1"/>
  <c r="AB194" i="29" s="1"/>
  <c r="AC194" i="29" s="1"/>
  <c r="AD194" i="29" s="1"/>
  <c r="AE194" i="29" s="1"/>
  <c r="AF194" i="29" s="1"/>
  <c r="B194" i="29" s="1"/>
  <c r="D194" i="29"/>
  <c r="E193" i="29"/>
  <c r="F193" i="29" s="1"/>
  <c r="D193" i="29"/>
  <c r="D199" i="29" s="1"/>
  <c r="AG191" i="29"/>
  <c r="C191" i="29"/>
  <c r="J190" i="29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D190" i="29"/>
  <c r="E190" i="29" s="1"/>
  <c r="F190" i="29" s="1"/>
  <c r="G190" i="29" s="1"/>
  <c r="H190" i="29" s="1"/>
  <c r="I190" i="29" s="1"/>
  <c r="D189" i="29"/>
  <c r="E189" i="29" s="1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R188" i="29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E188" i="29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D188" i="29"/>
  <c r="D187" i="29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I186" i="29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F186" i="29"/>
  <c r="G186" i="29" s="1"/>
  <c r="H186" i="29" s="1"/>
  <c r="E186" i="29"/>
  <c r="D186" i="29"/>
  <c r="D185" i="29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I184" i="29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E184" i="29"/>
  <c r="F184" i="29" s="1"/>
  <c r="G184" i="29" s="1"/>
  <c r="H184" i="29" s="1"/>
  <c r="D184" i="29"/>
  <c r="D183" i="29"/>
  <c r="E183" i="29" s="1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R182" i="29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F182" i="29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D182" i="29"/>
  <c r="E182" i="29" s="1"/>
  <c r="D181" i="29"/>
  <c r="E181" i="29" s="1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R180" i="29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I180" i="29"/>
  <c r="J180" i="29" s="1"/>
  <c r="K180" i="29" s="1"/>
  <c r="L180" i="29" s="1"/>
  <c r="M180" i="29" s="1"/>
  <c r="N180" i="29" s="1"/>
  <c r="O180" i="29" s="1"/>
  <c r="P180" i="29" s="1"/>
  <c r="Q180" i="29" s="1"/>
  <c r="E180" i="29"/>
  <c r="F180" i="29" s="1"/>
  <c r="G180" i="29" s="1"/>
  <c r="H180" i="29" s="1"/>
  <c r="D180" i="29"/>
  <c r="D179" i="29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Y178" i="29"/>
  <c r="Z178" i="29" s="1"/>
  <c r="AA178" i="29" s="1"/>
  <c r="AB178" i="29" s="1"/>
  <c r="AC178" i="29" s="1"/>
  <c r="AD178" i="29" s="1"/>
  <c r="AE178" i="29" s="1"/>
  <c r="AF178" i="29" s="1"/>
  <c r="B178" i="29" s="1"/>
  <c r="O178" i="29"/>
  <c r="P178" i="29" s="1"/>
  <c r="Q178" i="29" s="1"/>
  <c r="R178" i="29" s="1"/>
  <c r="S178" i="29" s="1"/>
  <c r="T178" i="29" s="1"/>
  <c r="U178" i="29" s="1"/>
  <c r="V178" i="29" s="1"/>
  <c r="W178" i="29" s="1"/>
  <c r="X178" i="29" s="1"/>
  <c r="F178" i="29"/>
  <c r="G178" i="29" s="1"/>
  <c r="H178" i="29" s="1"/>
  <c r="I178" i="29" s="1"/>
  <c r="J178" i="29" s="1"/>
  <c r="K178" i="29" s="1"/>
  <c r="L178" i="29" s="1"/>
  <c r="M178" i="29" s="1"/>
  <c r="N178" i="29" s="1"/>
  <c r="D178" i="29"/>
  <c r="E178" i="29" s="1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F173" i="29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E173" i="29"/>
  <c r="D173" i="29"/>
  <c r="X172" i="29"/>
  <c r="Y172" i="29" s="1"/>
  <c r="Z172" i="29" s="1"/>
  <c r="AA172" i="29" s="1"/>
  <c r="AB172" i="29" s="1"/>
  <c r="AC172" i="29" s="1"/>
  <c r="AD172" i="29" s="1"/>
  <c r="AE172" i="29" s="1"/>
  <c r="AF172" i="29" s="1"/>
  <c r="B172" i="29" s="1"/>
  <c r="P172" i="29"/>
  <c r="Q172" i="29" s="1"/>
  <c r="R172" i="29" s="1"/>
  <c r="S172" i="29" s="1"/>
  <c r="T172" i="29" s="1"/>
  <c r="U172" i="29" s="1"/>
  <c r="V172" i="29" s="1"/>
  <c r="W172" i="29" s="1"/>
  <c r="H172" i="29"/>
  <c r="I172" i="29" s="1"/>
  <c r="J172" i="29" s="1"/>
  <c r="K172" i="29" s="1"/>
  <c r="L172" i="29" s="1"/>
  <c r="M172" i="29" s="1"/>
  <c r="N172" i="29" s="1"/>
  <c r="O172" i="29" s="1"/>
  <c r="D172" i="29"/>
  <c r="E172" i="29" s="1"/>
  <c r="F172" i="29" s="1"/>
  <c r="G172" i="29" s="1"/>
  <c r="N171" i="29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D171" i="29"/>
  <c r="E171" i="29" s="1"/>
  <c r="F171" i="29" s="1"/>
  <c r="G171" i="29" s="1"/>
  <c r="H171" i="29" s="1"/>
  <c r="I171" i="29" s="1"/>
  <c r="J171" i="29" s="1"/>
  <c r="K171" i="29" s="1"/>
  <c r="L171" i="29" s="1"/>
  <c r="M171" i="29" s="1"/>
  <c r="D170" i="29"/>
  <c r="E170" i="29" s="1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AF169" i="29"/>
  <c r="B169" i="29" s="1"/>
  <c r="J169" i="29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H169" i="29"/>
  <c r="I169" i="29" s="1"/>
  <c r="F169" i="29"/>
  <c r="G169" i="29" s="1"/>
  <c r="E169" i="29"/>
  <c r="D169" i="29"/>
  <c r="D167" i="29"/>
  <c r="E167" i="29" s="1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L166" i="29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J166" i="29"/>
  <c r="K166" i="29" s="1"/>
  <c r="F166" i="29"/>
  <c r="G166" i="29" s="1"/>
  <c r="H166" i="29" s="1"/>
  <c r="I166" i="29" s="1"/>
  <c r="D166" i="29"/>
  <c r="E166" i="29" s="1"/>
  <c r="W165" i="29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G165" i="29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D165" i="29"/>
  <c r="E165" i="29" s="1"/>
  <c r="F165" i="29" s="1"/>
  <c r="E164" i="29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D164" i="29"/>
  <c r="D163" i="29"/>
  <c r="E163" i="29" s="1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T162" i="29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G162" i="29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F162" i="29"/>
  <c r="D162" i="29"/>
  <c r="E162" i="29" s="1"/>
  <c r="D161" i="29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D160" i="29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F159" i="29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E159" i="29"/>
  <c r="D159" i="29"/>
  <c r="L158" i="29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E158" i="29" s="1"/>
  <c r="F158" i="29" s="1"/>
  <c r="G158" i="29" s="1"/>
  <c r="H158" i="29" s="1"/>
  <c r="I158" i="29" s="1"/>
  <c r="J158" i="29" s="1"/>
  <c r="K158" i="29" s="1"/>
  <c r="J157" i="29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F157" i="29"/>
  <c r="G157" i="29" s="1"/>
  <c r="H157" i="29" s="1"/>
  <c r="I157" i="29" s="1"/>
  <c r="E157" i="29"/>
  <c r="D157" i="29"/>
  <c r="AF156" i="29"/>
  <c r="B156" i="29" s="1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F155" i="29"/>
  <c r="G155" i="29" s="1"/>
  <c r="H155" i="29" s="1"/>
  <c r="I155" i="29" s="1"/>
  <c r="J155" i="29" s="1"/>
  <c r="K155" i="29" s="1"/>
  <c r="L155" i="29" s="1"/>
  <c r="M155" i="29" s="1"/>
  <c r="N155" i="29" s="1"/>
  <c r="O155" i="29" s="1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B155" i="29" s="1"/>
  <c r="E155" i="29"/>
  <c r="D155" i="29"/>
  <c r="T153" i="29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L153" i="29"/>
  <c r="M153" i="29" s="1"/>
  <c r="N153" i="29" s="1"/>
  <c r="O153" i="29" s="1"/>
  <c r="P153" i="29" s="1"/>
  <c r="Q153" i="29" s="1"/>
  <c r="R153" i="29" s="1"/>
  <c r="S153" i="29" s="1"/>
  <c r="D153" i="29"/>
  <c r="E153" i="29" s="1"/>
  <c r="F153" i="29" s="1"/>
  <c r="G153" i="29" s="1"/>
  <c r="H153" i="29" s="1"/>
  <c r="I153" i="29" s="1"/>
  <c r="J153" i="29" s="1"/>
  <c r="K153" i="29" s="1"/>
  <c r="R152" i="29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F152" i="29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E152" i="29"/>
  <c r="D152" i="29"/>
  <c r="H151" i="29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D151" i="29"/>
  <c r="E151" i="29" s="1"/>
  <c r="F151" i="29" s="1"/>
  <c r="G151" i="29" s="1"/>
  <c r="F150" i="29"/>
  <c r="G150" i="29" s="1"/>
  <c r="H150" i="29" s="1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S150" i="29" s="1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B150" i="29" s="1"/>
  <c r="E150" i="29"/>
  <c r="D150" i="29"/>
  <c r="X148" i="29"/>
  <c r="Y148" i="29" s="1"/>
  <c r="Z148" i="29" s="1"/>
  <c r="AA148" i="29" s="1"/>
  <c r="AB148" i="29" s="1"/>
  <c r="AC148" i="29" s="1"/>
  <c r="AD148" i="29" s="1"/>
  <c r="AE148" i="29" s="1"/>
  <c r="AF148" i="29" s="1"/>
  <c r="B148" i="29" s="1"/>
  <c r="H148" i="29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D148" i="29"/>
  <c r="E148" i="29" s="1"/>
  <c r="F148" i="29" s="1"/>
  <c r="G148" i="29" s="1"/>
  <c r="V147" i="29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B147" i="29" s="1"/>
  <c r="F147" i="29"/>
  <c r="G147" i="29" s="1"/>
  <c r="H147" i="29" s="1"/>
  <c r="I147" i="29" s="1"/>
  <c r="J147" i="29" s="1"/>
  <c r="K147" i="29" s="1"/>
  <c r="L147" i="29" s="1"/>
  <c r="M147" i="29" s="1"/>
  <c r="N147" i="29" s="1"/>
  <c r="O147" i="29" s="1"/>
  <c r="P147" i="29" s="1"/>
  <c r="Q147" i="29" s="1"/>
  <c r="R147" i="29" s="1"/>
  <c r="S147" i="29" s="1"/>
  <c r="T147" i="29" s="1"/>
  <c r="U147" i="29" s="1"/>
  <c r="E147" i="29"/>
  <c r="D147" i="29"/>
  <c r="L145" i="29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D145" i="29"/>
  <c r="E145" i="29" s="1"/>
  <c r="F145" i="29" s="1"/>
  <c r="G145" i="29" s="1"/>
  <c r="H145" i="29" s="1"/>
  <c r="I145" i="29" s="1"/>
  <c r="J145" i="29" s="1"/>
  <c r="K145" i="29" s="1"/>
  <c r="D144" i="29"/>
  <c r="E144" i="29" s="1"/>
  <c r="F144" i="29" s="1"/>
  <c r="G144" i="29" s="1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AF143" i="29"/>
  <c r="B143" i="29" s="1"/>
  <c r="X143" i="29"/>
  <c r="Y143" i="29" s="1"/>
  <c r="Z143" i="29" s="1"/>
  <c r="AA143" i="29" s="1"/>
  <c r="AB143" i="29" s="1"/>
  <c r="AC143" i="29" s="1"/>
  <c r="AD143" i="29" s="1"/>
  <c r="AE143" i="29" s="1"/>
  <c r="P143" i="29"/>
  <c r="Q143" i="29" s="1"/>
  <c r="R143" i="29" s="1"/>
  <c r="S143" i="29" s="1"/>
  <c r="T143" i="29" s="1"/>
  <c r="U143" i="29" s="1"/>
  <c r="V143" i="29" s="1"/>
  <c r="W143" i="29" s="1"/>
  <c r="H143" i="29"/>
  <c r="I143" i="29" s="1"/>
  <c r="J143" i="29" s="1"/>
  <c r="K143" i="29" s="1"/>
  <c r="L143" i="29" s="1"/>
  <c r="M143" i="29" s="1"/>
  <c r="N143" i="29" s="1"/>
  <c r="O143" i="29" s="1"/>
  <c r="D143" i="29"/>
  <c r="E143" i="29" s="1"/>
  <c r="F143" i="29" s="1"/>
  <c r="G143" i="29" s="1"/>
  <c r="F142" i="29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E142" i="29"/>
  <c r="D142" i="29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D139" i="29"/>
  <c r="E139" i="29" s="1"/>
  <c r="F139" i="29" s="1"/>
  <c r="G139" i="29" s="1"/>
  <c r="H139" i="29" s="1"/>
  <c r="I139" i="29" s="1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B139" i="29" s="1"/>
  <c r="F137" i="29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E137" i="29"/>
  <c r="D137" i="29"/>
  <c r="H136" i="29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D136" i="29"/>
  <c r="E136" i="29" s="1"/>
  <c r="F136" i="29" s="1"/>
  <c r="G136" i="29" s="1"/>
  <c r="F135" i="29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D135" i="29"/>
  <c r="E135" i="29" s="1"/>
  <c r="H134" i="29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D134" i="29"/>
  <c r="E134" i="29" s="1"/>
  <c r="F134" i="29" s="1"/>
  <c r="G134" i="29" s="1"/>
  <c r="F133" i="29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E133" i="29"/>
  <c r="D133" i="29"/>
  <c r="L132" i="29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H132" i="29"/>
  <c r="I132" i="29" s="1"/>
  <c r="J132" i="29" s="1"/>
  <c r="K132" i="29" s="1"/>
  <c r="D132" i="29"/>
  <c r="E132" i="29" s="1"/>
  <c r="F132" i="29" s="1"/>
  <c r="G132" i="29" s="1"/>
  <c r="J131" i="29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F131" i="29"/>
  <c r="G131" i="29" s="1"/>
  <c r="H131" i="29" s="1"/>
  <c r="I131" i="29" s="1"/>
  <c r="D131" i="29"/>
  <c r="E131" i="29" s="1"/>
  <c r="L130" i="29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B130" i="29" s="1"/>
  <c r="H130" i="29"/>
  <c r="I130" i="29" s="1"/>
  <c r="J130" i="29" s="1"/>
  <c r="K130" i="29" s="1"/>
  <c r="D130" i="29"/>
  <c r="E130" i="29" s="1"/>
  <c r="F130" i="29" s="1"/>
  <c r="G130" i="29" s="1"/>
  <c r="R128" i="29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J128" i="29"/>
  <c r="K128" i="29" s="1"/>
  <c r="L128" i="29" s="1"/>
  <c r="M128" i="29" s="1"/>
  <c r="N128" i="29" s="1"/>
  <c r="O128" i="29" s="1"/>
  <c r="P128" i="29" s="1"/>
  <c r="Q128" i="29" s="1"/>
  <c r="G128" i="29"/>
  <c r="H128" i="29" s="1"/>
  <c r="I128" i="29" s="1"/>
  <c r="F128" i="29"/>
  <c r="E128" i="29"/>
  <c r="D128" i="29"/>
  <c r="E127" i="29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D127" i="29"/>
  <c r="L126" i="29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G126" i="29"/>
  <c r="H126" i="29" s="1"/>
  <c r="I126" i="29" s="1"/>
  <c r="J126" i="29" s="1"/>
  <c r="K126" i="29" s="1"/>
  <c r="F126" i="29"/>
  <c r="D126" i="29"/>
  <c r="E126" i="29" s="1"/>
  <c r="U125" i="29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E125" i="29"/>
  <c r="F125" i="29" s="1"/>
  <c r="G125" i="29" s="1"/>
  <c r="H125" i="29" s="1"/>
  <c r="I125" i="29" s="1"/>
  <c r="D125" i="29"/>
  <c r="H124" i="29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G124" i="29"/>
  <c r="F124" i="29"/>
  <c r="E124" i="29"/>
  <c r="D124" i="29"/>
  <c r="M123" i="29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H123" i="29"/>
  <c r="I123" i="29" s="1"/>
  <c r="J123" i="29" s="1"/>
  <c r="K123" i="29" s="1"/>
  <c r="L123" i="29" s="1"/>
  <c r="F123" i="29"/>
  <c r="G123" i="29" s="1"/>
  <c r="E123" i="29"/>
  <c r="D123" i="29"/>
  <c r="Q122" i="29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K122" i="29"/>
  <c r="L122" i="29" s="1"/>
  <c r="M122" i="29" s="1"/>
  <c r="N122" i="29" s="1"/>
  <c r="O122" i="29" s="1"/>
  <c r="P122" i="29" s="1"/>
  <c r="F122" i="29"/>
  <c r="G122" i="29" s="1"/>
  <c r="H122" i="29" s="1"/>
  <c r="I122" i="29" s="1"/>
  <c r="J122" i="29" s="1"/>
  <c r="D122" i="29"/>
  <c r="E122" i="29" s="1"/>
  <c r="I121" i="29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D121" i="29"/>
  <c r="E121" i="29" s="1"/>
  <c r="F121" i="29" s="1"/>
  <c r="G121" i="29" s="1"/>
  <c r="H121" i="29" s="1"/>
  <c r="G120" i="29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F120" i="29"/>
  <c r="E120" i="29"/>
  <c r="D120" i="29"/>
  <c r="D119" i="29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J118" i="29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E118" i="29"/>
  <c r="F118" i="29" s="1"/>
  <c r="G118" i="29" s="1"/>
  <c r="H118" i="29" s="1"/>
  <c r="I118" i="29" s="1"/>
  <c r="D118" i="29"/>
  <c r="I117" i="29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E117" i="29"/>
  <c r="F117" i="29" s="1"/>
  <c r="G117" i="29" s="1"/>
  <c r="H117" i="29" s="1"/>
  <c r="D117" i="29"/>
  <c r="K116" i="29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G116" i="29"/>
  <c r="H116" i="29" s="1"/>
  <c r="I116" i="29" s="1"/>
  <c r="J116" i="29" s="1"/>
  <c r="F116" i="29"/>
  <c r="E116" i="29"/>
  <c r="D116" i="29"/>
  <c r="M115" i="29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I115" i="29"/>
  <c r="J115" i="29" s="1"/>
  <c r="K115" i="29" s="1"/>
  <c r="L115" i="29" s="1"/>
  <c r="E115" i="29"/>
  <c r="F115" i="29" s="1"/>
  <c r="G115" i="29" s="1"/>
  <c r="H115" i="29" s="1"/>
  <c r="D115" i="29"/>
  <c r="F114" i="29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D114" i="29"/>
  <c r="E114" i="29" s="1"/>
  <c r="Q113" i="29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P113" i="29"/>
  <c r="M113" i="29"/>
  <c r="N113" i="29" s="1"/>
  <c r="O113" i="29" s="1"/>
  <c r="L113" i="29"/>
  <c r="K113" i="29"/>
  <c r="G113" i="29"/>
  <c r="H113" i="29" s="1"/>
  <c r="I113" i="29" s="1"/>
  <c r="D113" i="29"/>
  <c r="E113" i="29" s="1"/>
  <c r="F113" i="29" s="1"/>
  <c r="E112" i="29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2" i="29"/>
  <c r="D111" i="29"/>
  <c r="E111" i="29" s="1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B111" i="29" s="1"/>
  <c r="N109" i="29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M109" i="29"/>
  <c r="J109" i="29"/>
  <c r="K109" i="29" s="1"/>
  <c r="L109" i="29" s="1"/>
  <c r="I109" i="29"/>
  <c r="F109" i="29"/>
  <c r="G109" i="29" s="1"/>
  <c r="H109" i="29" s="1"/>
  <c r="E109" i="29"/>
  <c r="D109" i="29"/>
  <c r="G108" i="29"/>
  <c r="H108" i="29" s="1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B108" i="29" s="1"/>
  <c r="D108" i="29"/>
  <c r="E108" i="29" s="1"/>
  <c r="F108" i="29" s="1"/>
  <c r="E106" i="29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D106" i="29"/>
  <c r="D105" i="29"/>
  <c r="E105" i="29" s="1"/>
  <c r="F105" i="29" s="1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E104" i="29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D104" i="29"/>
  <c r="H103" i="29"/>
  <c r="I103" i="29" s="1"/>
  <c r="J103" i="29" s="1"/>
  <c r="K103" i="29" s="1"/>
  <c r="L103" i="29" s="1"/>
  <c r="M103" i="29" s="1"/>
  <c r="N103" i="29" s="1"/>
  <c r="O103" i="29" s="1"/>
  <c r="P103" i="29" s="1"/>
  <c r="Q103" i="29" s="1"/>
  <c r="R103" i="29" s="1"/>
  <c r="S103" i="29" s="1"/>
  <c r="T103" i="29" s="1"/>
  <c r="U103" i="29" s="1"/>
  <c r="V103" i="29" s="1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B103" i="29" s="1"/>
  <c r="G103" i="29"/>
  <c r="F103" i="29"/>
  <c r="D103" i="29"/>
  <c r="E103" i="29" s="1"/>
  <c r="D102" i="29"/>
  <c r="E102" i="29" s="1"/>
  <c r="D101" i="29"/>
  <c r="D191" i="29" s="1"/>
  <c r="AH98" i="29"/>
  <c r="AI98" i="29" s="1"/>
  <c r="AH97" i="29"/>
  <c r="AI97" i="29" s="1"/>
  <c r="AH96" i="29"/>
  <c r="AI96" i="29" s="1"/>
  <c r="AH95" i="29"/>
  <c r="AI95" i="29" s="1"/>
  <c r="AH94" i="29"/>
  <c r="AI94" i="29" s="1"/>
  <c r="D93" i="29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B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Q82" i="29" s="1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AF76" i="29"/>
  <c r="AE76" i="29"/>
  <c r="AD76" i="29"/>
  <c r="AC76" i="29"/>
  <c r="AB76" i="29"/>
  <c r="AA76" i="29"/>
  <c r="AA82" i="29" s="1"/>
  <c r="Z76" i="29"/>
  <c r="Y76" i="29"/>
  <c r="Y82" i="29" s="1"/>
  <c r="X76" i="29"/>
  <c r="W76" i="29"/>
  <c r="V76" i="29"/>
  <c r="V82" i="29" s="1"/>
  <c r="U76" i="29"/>
  <c r="T76" i="29"/>
  <c r="S76" i="29"/>
  <c r="R76" i="29"/>
  <c r="Q76" i="29"/>
  <c r="P76" i="29"/>
  <c r="P82" i="29" s="1"/>
  <c r="O76" i="29"/>
  <c r="O82" i="29" s="1"/>
  <c r="N76" i="29"/>
  <c r="M76" i="29"/>
  <c r="L76" i="29"/>
  <c r="K76" i="29"/>
  <c r="J76" i="29"/>
  <c r="I76" i="29"/>
  <c r="H76" i="29"/>
  <c r="G76" i="29"/>
  <c r="F76" i="29"/>
  <c r="E76" i="29"/>
  <c r="D76" i="29"/>
  <c r="C76" i="29"/>
  <c r="C82" i="29" s="1"/>
  <c r="B76" i="29"/>
  <c r="AI74" i="29"/>
  <c r="AH74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AI71" i="29"/>
  <c r="AH71" i="29"/>
  <c r="AI70" i="29"/>
  <c r="AH70" i="29"/>
  <c r="AI69" i="29"/>
  <c r="AH69" i="29"/>
  <c r="AG68" i="29"/>
  <c r="AG73" i="29" s="1"/>
  <c r="AF68" i="29"/>
  <c r="AE68" i="29"/>
  <c r="AD5" i="29" s="1"/>
  <c r="AD68" i="29"/>
  <c r="AC5" i="29" s="1"/>
  <c r="AC68" i="29"/>
  <c r="AB68" i="29"/>
  <c r="AA5" i="29" s="1"/>
  <c r="AA68" i="29"/>
  <c r="Z5" i="29" s="1"/>
  <c r="Z68" i="29"/>
  <c r="Y5" i="29" s="1"/>
  <c r="Y68" i="29"/>
  <c r="X68" i="29"/>
  <c r="W68" i="29"/>
  <c r="V5" i="29" s="1"/>
  <c r="V68" i="29"/>
  <c r="U5" i="29" s="1"/>
  <c r="U68" i="29"/>
  <c r="T5" i="29" s="1"/>
  <c r="T68" i="29"/>
  <c r="S5" i="29" s="1"/>
  <c r="S68" i="29"/>
  <c r="R5" i="29" s="1"/>
  <c r="R68" i="29"/>
  <c r="Q68" i="29"/>
  <c r="P68" i="29"/>
  <c r="O68" i="29"/>
  <c r="N68" i="29"/>
  <c r="M68" i="29"/>
  <c r="L5" i="29" s="1"/>
  <c r="L68" i="29"/>
  <c r="K5" i="29" s="1"/>
  <c r="K68" i="29"/>
  <c r="J5" i="29" s="1"/>
  <c r="J68" i="29"/>
  <c r="I5" i="29" s="1"/>
  <c r="I68" i="29"/>
  <c r="H5" i="29" s="1"/>
  <c r="H68" i="29"/>
  <c r="G68" i="29"/>
  <c r="F5" i="29" s="1"/>
  <c r="F68" i="29"/>
  <c r="E5" i="29" s="1"/>
  <c r="E68" i="29"/>
  <c r="D68" i="29"/>
  <c r="C5" i="29" s="1"/>
  <c r="C68" i="29"/>
  <c r="B5" i="29" s="1"/>
  <c r="B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L56" i="29"/>
  <c r="K56" i="29"/>
  <c r="J56" i="29"/>
  <c r="I56" i="29"/>
  <c r="H56" i="29"/>
  <c r="G56" i="29"/>
  <c r="F56" i="29"/>
  <c r="E56" i="29"/>
  <c r="D56" i="29"/>
  <c r="C56" i="29"/>
  <c r="B56" i="29"/>
  <c r="AI55" i="29"/>
  <c r="AH55" i="29"/>
  <c r="AI54" i="29"/>
  <c r="AH54" i="29"/>
  <c r="AI53" i="29"/>
  <c r="AH53" i="29"/>
  <c r="Z52" i="29"/>
  <c r="T52" i="29"/>
  <c r="S52" i="29"/>
  <c r="R52" i="29"/>
  <c r="Q52" i="29"/>
  <c r="P52" i="29"/>
  <c r="O52" i="29"/>
  <c r="N52" i="29"/>
  <c r="N73" i="29" s="1"/>
  <c r="M52" i="29"/>
  <c r="L52" i="29"/>
  <c r="K52" i="29"/>
  <c r="J52" i="29"/>
  <c r="I52" i="29"/>
  <c r="H52" i="29"/>
  <c r="G52" i="29"/>
  <c r="F52" i="29"/>
  <c r="E52" i="29"/>
  <c r="D52" i="29"/>
  <c r="C52" i="29"/>
  <c r="AG51" i="29"/>
  <c r="AG52" i="29" s="1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G2" i="29" s="1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N75" i="29" s="1"/>
  <c r="M38" i="29"/>
  <c r="L38" i="29"/>
  <c r="K38" i="29"/>
  <c r="J38" i="29"/>
  <c r="I38" i="29"/>
  <c r="H38" i="29"/>
  <c r="G38" i="29"/>
  <c r="F38" i="29"/>
  <c r="E38" i="29"/>
  <c r="D38" i="29"/>
  <c r="C38" i="29"/>
  <c r="B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1" i="29"/>
  <c r="AH11" i="29"/>
  <c r="AF5" i="29"/>
  <c r="AB5" i="29"/>
  <c r="X5" i="29"/>
  <c r="Q5" i="29"/>
  <c r="P5" i="29"/>
  <c r="M5" i="29"/>
  <c r="D5" i="29"/>
  <c r="AG4" i="29"/>
  <c r="K4" i="29"/>
  <c r="B4" i="29"/>
  <c r="AF37" i="28"/>
  <c r="AE37" i="28"/>
  <c r="AD37" i="28"/>
  <c r="AC37" i="28"/>
  <c r="AB37" i="28"/>
  <c r="AA58" i="28"/>
  <c r="AA37" i="28"/>
  <c r="Z58" i="28"/>
  <c r="Z37" i="28"/>
  <c r="X58" i="28"/>
  <c r="X37" i="28"/>
  <c r="W37" i="28"/>
  <c r="V37" i="28"/>
  <c r="U37" i="28"/>
  <c r="T37" i="28"/>
  <c r="S37" i="28"/>
  <c r="K68" i="28"/>
  <c r="AH99" i="28"/>
  <c r="AI99" i="28" s="1"/>
  <c r="B95" i="28"/>
  <c r="B93" i="28" s="1"/>
  <c r="B80" i="28"/>
  <c r="B79" i="28"/>
  <c r="B78" i="28"/>
  <c r="B77" i="28"/>
  <c r="B82" i="28" s="1"/>
  <c r="B76" i="28"/>
  <c r="B72" i="28"/>
  <c r="B68" i="28"/>
  <c r="B56" i="28"/>
  <c r="B52" i="28"/>
  <c r="B51" i="28"/>
  <c r="B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C234" i="28"/>
  <c r="B234" i="28"/>
  <c r="S209" i="28"/>
  <c r="AG199" i="28"/>
  <c r="C199" i="28"/>
  <c r="E198" i="28"/>
  <c r="D198" i="28"/>
  <c r="G197" i="28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D197" i="28"/>
  <c r="E197" i="28" s="1"/>
  <c r="F197" i="28" s="1"/>
  <c r="G196" i="28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D196" i="28"/>
  <c r="E196" i="28" s="1"/>
  <c r="F196" i="28" s="1"/>
  <c r="F195" i="28"/>
  <c r="G195" i="28" s="1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B195" i="28" s="1"/>
  <c r="E195" i="28"/>
  <c r="D195" i="28"/>
  <c r="D194" i="28"/>
  <c r="E194" i="28" s="1"/>
  <c r="F194" i="28" s="1"/>
  <c r="G194" i="28" s="1"/>
  <c r="H194" i="28" s="1"/>
  <c r="I194" i="28" s="1"/>
  <c r="J194" i="28" s="1"/>
  <c r="K194" i="28" s="1"/>
  <c r="L194" i="28" s="1"/>
  <c r="M194" i="28" s="1"/>
  <c r="N194" i="28" s="1"/>
  <c r="O194" i="28" s="1"/>
  <c r="P194" i="28" s="1"/>
  <c r="Q194" i="28" s="1"/>
  <c r="R194" i="28" s="1"/>
  <c r="S194" i="28" s="1"/>
  <c r="T194" i="28" s="1"/>
  <c r="U194" i="28" s="1"/>
  <c r="V194" i="28" s="1"/>
  <c r="W194" i="28" s="1"/>
  <c r="X194" i="28" s="1"/>
  <c r="Y194" i="28" s="1"/>
  <c r="Z194" i="28" s="1"/>
  <c r="AA194" i="28" s="1"/>
  <c r="AB194" i="28" s="1"/>
  <c r="AC194" i="28" s="1"/>
  <c r="AD194" i="28" s="1"/>
  <c r="AE194" i="28" s="1"/>
  <c r="AF194" i="28" s="1"/>
  <c r="B194" i="28" s="1"/>
  <c r="D193" i="28"/>
  <c r="AG191" i="28"/>
  <c r="C191" i="28"/>
  <c r="D190" i="28"/>
  <c r="E190" i="28" s="1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F189" i="28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E189" i="28"/>
  <c r="D189" i="28"/>
  <c r="N188" i="28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K188" i="28"/>
  <c r="L188" i="28" s="1"/>
  <c r="M188" i="28" s="1"/>
  <c r="E188" i="28"/>
  <c r="F188" i="28" s="1"/>
  <c r="G188" i="28" s="1"/>
  <c r="H188" i="28" s="1"/>
  <c r="I188" i="28" s="1"/>
  <c r="J188" i="28" s="1"/>
  <c r="D188" i="28"/>
  <c r="G187" i="28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D187" i="28"/>
  <c r="E187" i="28" s="1"/>
  <c r="F187" i="28" s="1"/>
  <c r="G186" i="28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E186" i="28"/>
  <c r="F186" i="28" s="1"/>
  <c r="D186" i="28"/>
  <c r="B186" i="28"/>
  <c r="H185" i="28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G185" i="28"/>
  <c r="F185" i="28"/>
  <c r="E185" i="28"/>
  <c r="D185" i="28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F183" i="28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E183" i="28"/>
  <c r="D183" i="28"/>
  <c r="G182" i="28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E182" i="28"/>
  <c r="F182" i="28" s="1"/>
  <c r="D182" i="28"/>
  <c r="F181" i="28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E181" i="28"/>
  <c r="D181" i="28"/>
  <c r="N180" i="28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F180" i="28"/>
  <c r="G180" i="28" s="1"/>
  <c r="H180" i="28" s="1"/>
  <c r="I180" i="28" s="1"/>
  <c r="J180" i="28" s="1"/>
  <c r="K180" i="28" s="1"/>
  <c r="L180" i="28" s="1"/>
  <c r="M180" i="28" s="1"/>
  <c r="E180" i="28"/>
  <c r="D180" i="28"/>
  <c r="AD179" i="28"/>
  <c r="AE179" i="28" s="1"/>
  <c r="AF179" i="28" s="1"/>
  <c r="B179" i="28" s="1"/>
  <c r="G179" i="28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F179" i="28"/>
  <c r="E179" i="28"/>
  <c r="D179" i="28"/>
  <c r="H178" i="28"/>
  <c r="I178" i="28" s="1"/>
  <c r="J178" i="28" s="1"/>
  <c r="K178" i="28" s="1"/>
  <c r="L178" i="28" s="1"/>
  <c r="M178" i="28" s="1"/>
  <c r="N178" i="28" s="1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B178" i="28" s="1"/>
  <c r="E178" i="28"/>
  <c r="F178" i="28" s="1"/>
  <c r="G178" i="28" s="1"/>
  <c r="D178" i="28"/>
  <c r="N176" i="28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D176" i="28"/>
  <c r="E176" i="28" s="1"/>
  <c r="F176" i="28" s="1"/>
  <c r="G176" i="28" s="1"/>
  <c r="H176" i="28" s="1"/>
  <c r="I176" i="28" s="1"/>
  <c r="J176" i="28" s="1"/>
  <c r="K176" i="28" s="1"/>
  <c r="L176" i="28" s="1"/>
  <c r="M176" i="28" s="1"/>
  <c r="H175" i="28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G175" i="28"/>
  <c r="D175" i="28"/>
  <c r="E175" i="28" s="1"/>
  <c r="F175" i="28" s="1"/>
  <c r="F174" i="28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E174" i="28"/>
  <c r="D174" i="28"/>
  <c r="K173" i="28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E173" i="28"/>
  <c r="F173" i="28" s="1"/>
  <c r="G173" i="28" s="1"/>
  <c r="H173" i="28" s="1"/>
  <c r="I173" i="28" s="1"/>
  <c r="J173" i="28" s="1"/>
  <c r="D173" i="28"/>
  <c r="P172" i="28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E172" i="28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D172" i="28"/>
  <c r="N171" i="28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E171" i="28"/>
  <c r="F171" i="28" s="1"/>
  <c r="G171" i="28" s="1"/>
  <c r="H171" i="28" s="1"/>
  <c r="I171" i="28" s="1"/>
  <c r="J171" i="28" s="1"/>
  <c r="K171" i="28" s="1"/>
  <c r="L171" i="28" s="1"/>
  <c r="M171" i="28" s="1"/>
  <c r="D171" i="28"/>
  <c r="H170" i="28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E170" i="28"/>
  <c r="F170" i="28" s="1"/>
  <c r="G170" i="28" s="1"/>
  <c r="D170" i="28"/>
  <c r="D169" i="28"/>
  <c r="E169" i="28" s="1"/>
  <c r="F169" i="28" s="1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B169" i="28" s="1"/>
  <c r="AC167" i="28"/>
  <c r="AD167" i="28" s="1"/>
  <c r="AE167" i="28" s="1"/>
  <c r="AF167" i="28" s="1"/>
  <c r="B167" i="28" s="1"/>
  <c r="D167" i="28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G166" i="28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E166" i="28"/>
  <c r="F166" i="28" s="1"/>
  <c r="D166" i="28"/>
  <c r="K165" i="28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E165" i="28"/>
  <c r="F165" i="28" s="1"/>
  <c r="G165" i="28" s="1"/>
  <c r="H165" i="28" s="1"/>
  <c r="I165" i="28" s="1"/>
  <c r="J165" i="28" s="1"/>
  <c r="D165" i="28"/>
  <c r="O164" i="28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F164" i="28"/>
  <c r="G164" i="28" s="1"/>
  <c r="H164" i="28" s="1"/>
  <c r="I164" i="28" s="1"/>
  <c r="J164" i="28" s="1"/>
  <c r="K164" i="28" s="1"/>
  <c r="L164" i="28" s="1"/>
  <c r="M164" i="28" s="1"/>
  <c r="N164" i="28" s="1"/>
  <c r="D164" i="28"/>
  <c r="E164" i="28" s="1"/>
  <c r="D163" i="28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D161" i="28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M160" i="28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D160" i="28"/>
  <c r="E160" i="28" s="1"/>
  <c r="F160" i="28" s="1"/>
  <c r="G160" i="28" s="1"/>
  <c r="H160" i="28" s="1"/>
  <c r="I160" i="28" s="1"/>
  <c r="J160" i="28" s="1"/>
  <c r="K160" i="28" s="1"/>
  <c r="L160" i="28" s="1"/>
  <c r="S159" i="28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R159" i="28"/>
  <c r="F159" i="28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E159" i="28"/>
  <c r="D159" i="28"/>
  <c r="D158" i="28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B158" i="28" s="1"/>
  <c r="E157" i="28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D157" i="28"/>
  <c r="E156" i="28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D156" i="28"/>
  <c r="F155" i="28"/>
  <c r="G155" i="28" s="1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B155" i="28" s="1"/>
  <c r="E155" i="28"/>
  <c r="D155" i="28"/>
  <c r="G153" i="28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F153" i="28"/>
  <c r="D153" i="28"/>
  <c r="E153" i="28" s="1"/>
  <c r="O152" i="28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N152" i="28"/>
  <c r="D152" i="28"/>
  <c r="E152" i="28" s="1"/>
  <c r="F152" i="28" s="1"/>
  <c r="G152" i="28" s="1"/>
  <c r="H152" i="28" s="1"/>
  <c r="I152" i="28" s="1"/>
  <c r="J152" i="28" s="1"/>
  <c r="K152" i="28" s="1"/>
  <c r="L152" i="28" s="1"/>
  <c r="M152" i="28" s="1"/>
  <c r="G151" i="28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E151" i="28"/>
  <c r="F151" i="28" s="1"/>
  <c r="D151" i="28"/>
  <c r="AA150" i="28"/>
  <c r="AB150" i="28" s="1"/>
  <c r="AC150" i="28" s="1"/>
  <c r="AD150" i="28" s="1"/>
  <c r="AE150" i="28" s="1"/>
  <c r="AF150" i="28" s="1"/>
  <c r="B150" i="28" s="1"/>
  <c r="Z150" i="28"/>
  <c r="F150" i="28"/>
  <c r="G150" i="28" s="1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E150" i="28"/>
  <c r="D150" i="28"/>
  <c r="M148" i="28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D148" i="28"/>
  <c r="E148" i="28" s="1"/>
  <c r="F148" i="28" s="1"/>
  <c r="G148" i="28" s="1"/>
  <c r="H148" i="28" s="1"/>
  <c r="I148" i="28" s="1"/>
  <c r="J148" i="28" s="1"/>
  <c r="K148" i="28" s="1"/>
  <c r="L148" i="28" s="1"/>
  <c r="W147" i="28"/>
  <c r="X147" i="28" s="1"/>
  <c r="Y147" i="28" s="1"/>
  <c r="Z147" i="28" s="1"/>
  <c r="AA147" i="28" s="1"/>
  <c r="AB147" i="28" s="1"/>
  <c r="AC147" i="28" s="1"/>
  <c r="AD147" i="28" s="1"/>
  <c r="AE147" i="28" s="1"/>
  <c r="AF147" i="28" s="1"/>
  <c r="B147" i="28" s="1"/>
  <c r="S147" i="28"/>
  <c r="T147" i="28" s="1"/>
  <c r="U147" i="28" s="1"/>
  <c r="V147" i="28" s="1"/>
  <c r="F147" i="28"/>
  <c r="G147" i="28" s="1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E147" i="28"/>
  <c r="D147" i="28"/>
  <c r="E145" i="28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D145" i="28"/>
  <c r="D144" i="28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Y143" i="28"/>
  <c r="Z143" i="28" s="1"/>
  <c r="AA143" i="28" s="1"/>
  <c r="AB143" i="28" s="1"/>
  <c r="AC143" i="28" s="1"/>
  <c r="AD143" i="28" s="1"/>
  <c r="AE143" i="28" s="1"/>
  <c r="AF143" i="28" s="1"/>
  <c r="B143" i="28" s="1"/>
  <c r="E143" i="28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D143" i="28"/>
  <c r="S142" i="28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P142" i="28"/>
  <c r="Q142" i="28" s="1"/>
  <c r="R142" i="28" s="1"/>
  <c r="E142" i="28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D142" i="28"/>
  <c r="S141" i="28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I141" i="28"/>
  <c r="J141" i="28" s="1"/>
  <c r="K141" i="28" s="1"/>
  <c r="L141" i="28" s="1"/>
  <c r="M141" i="28" s="1"/>
  <c r="N141" i="28" s="1"/>
  <c r="O141" i="28" s="1"/>
  <c r="P141" i="28" s="1"/>
  <c r="Q141" i="28" s="1"/>
  <c r="R141" i="28" s="1"/>
  <c r="F141" i="28"/>
  <c r="G141" i="28" s="1"/>
  <c r="H141" i="28" s="1"/>
  <c r="E141" i="28"/>
  <c r="D141" i="28"/>
  <c r="G140" i="28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D140" i="28"/>
  <c r="E140" i="28" s="1"/>
  <c r="F140" i="28" s="1"/>
  <c r="E139" i="28"/>
  <c r="F139" i="28" s="1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B139" i="28" s="1"/>
  <c r="D139" i="28"/>
  <c r="D137" i="28"/>
  <c r="E137" i="28" s="1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J136" i="28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I136" i="28"/>
  <c r="F136" i="28"/>
  <c r="G136" i="28" s="1"/>
  <c r="H136" i="28" s="1"/>
  <c r="E136" i="28"/>
  <c r="D136" i="28"/>
  <c r="O135" i="28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H135" i="28"/>
  <c r="I135" i="28" s="1"/>
  <c r="J135" i="28" s="1"/>
  <c r="K135" i="28" s="1"/>
  <c r="L135" i="28" s="1"/>
  <c r="M135" i="28" s="1"/>
  <c r="N135" i="28" s="1"/>
  <c r="G135" i="28"/>
  <c r="D135" i="28"/>
  <c r="E135" i="28" s="1"/>
  <c r="F135" i="28" s="1"/>
  <c r="U134" i="28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G134" i="28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F134" i="28"/>
  <c r="E134" i="28"/>
  <c r="D134" i="28"/>
  <c r="E133" i="28"/>
  <c r="F133" i="28" s="1"/>
  <c r="G133" i="28" s="1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D133" i="28"/>
  <c r="D132" i="28"/>
  <c r="E132" i="28" s="1"/>
  <c r="F132" i="28" s="1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F131" i="28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31" i="28" s="1"/>
  <c r="H130" i="28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B130" i="28" s="1"/>
  <c r="D130" i="28"/>
  <c r="E130" i="28" s="1"/>
  <c r="F130" i="28" s="1"/>
  <c r="G130" i="28" s="1"/>
  <c r="F128" i="28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E128" i="28"/>
  <c r="D128" i="28"/>
  <c r="D127" i="28"/>
  <c r="E127" i="28" s="1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G126" i="28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F126" i="28"/>
  <c r="D126" i="28"/>
  <c r="E126" i="28" s="1"/>
  <c r="E125" i="28"/>
  <c r="F125" i="28" s="1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D125" i="28"/>
  <c r="P124" i="28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L124" i="28"/>
  <c r="M124" i="28" s="1"/>
  <c r="N124" i="28" s="1"/>
  <c r="O124" i="28" s="1"/>
  <c r="K124" i="28"/>
  <c r="G124" i="28"/>
  <c r="H124" i="28" s="1"/>
  <c r="I124" i="28" s="1"/>
  <c r="J124" i="28" s="1"/>
  <c r="D124" i="28"/>
  <c r="E124" i="28" s="1"/>
  <c r="F124" i="28" s="1"/>
  <c r="J123" i="28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E123" i="28"/>
  <c r="F123" i="28" s="1"/>
  <c r="G123" i="28" s="1"/>
  <c r="H123" i="28" s="1"/>
  <c r="I123" i="28" s="1"/>
  <c r="D123" i="28"/>
  <c r="D122" i="28"/>
  <c r="E122" i="28" s="1"/>
  <c r="F122" i="28" s="1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L121" i="28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J121" i="28"/>
  <c r="K121" i="28" s="1"/>
  <c r="I121" i="28"/>
  <c r="F121" i="28"/>
  <c r="G121" i="28" s="1"/>
  <c r="H121" i="28" s="1"/>
  <c r="E121" i="28"/>
  <c r="D121" i="28"/>
  <c r="D120" i="28"/>
  <c r="E120" i="28" s="1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R119" i="28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E119" i="28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D119" i="28"/>
  <c r="N118" i="28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D118" i="28"/>
  <c r="E118" i="28" s="1"/>
  <c r="F118" i="28" s="1"/>
  <c r="G118" i="28" s="1"/>
  <c r="H118" i="28" s="1"/>
  <c r="I118" i="28" s="1"/>
  <c r="J118" i="28" s="1"/>
  <c r="K118" i="28" s="1"/>
  <c r="L118" i="28" s="1"/>
  <c r="M118" i="28" s="1"/>
  <c r="M117" i="28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D117" i="28"/>
  <c r="E117" i="28" s="1"/>
  <c r="F117" i="28" s="1"/>
  <c r="G117" i="28" s="1"/>
  <c r="H117" i="28" s="1"/>
  <c r="I117" i="28" s="1"/>
  <c r="J117" i="28" s="1"/>
  <c r="K117" i="28" s="1"/>
  <c r="L117" i="28" s="1"/>
  <c r="F116" i="28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D116" i="28"/>
  <c r="E116" i="28" s="1"/>
  <c r="I115" i="28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F115" i="28"/>
  <c r="G115" i="28" s="1"/>
  <c r="H115" i="28" s="1"/>
  <c r="E115" i="28"/>
  <c r="D115" i="28"/>
  <c r="K114" i="28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D114" i="28"/>
  <c r="E114" i="28" s="1"/>
  <c r="F114" i="28" s="1"/>
  <c r="G114" i="28" s="1"/>
  <c r="H114" i="28" s="1"/>
  <c r="I114" i="28" s="1"/>
  <c r="J114" i="28" s="1"/>
  <c r="N113" i="28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L113" i="28"/>
  <c r="M113" i="28" s="1"/>
  <c r="K113" i="28"/>
  <c r="E113" i="28"/>
  <c r="F113" i="28" s="1"/>
  <c r="G113" i="28" s="1"/>
  <c r="H113" i="28" s="1"/>
  <c r="I113" i="28" s="1"/>
  <c r="D113" i="28"/>
  <c r="E112" i="28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D112" i="28"/>
  <c r="J111" i="28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B111" i="28" s="1"/>
  <c r="H111" i="28"/>
  <c r="I111" i="28" s="1"/>
  <c r="G111" i="28"/>
  <c r="E111" i="28"/>
  <c r="F111" i="28" s="1"/>
  <c r="D111" i="28"/>
  <c r="E109" i="28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D109" i="28"/>
  <c r="G108" i="28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B108" i="28" s="1"/>
  <c r="E108" i="28"/>
  <c r="F108" i="28" s="1"/>
  <c r="D108" i="28"/>
  <c r="G106" i="28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F106" i="28"/>
  <c r="E106" i="28"/>
  <c r="D106" i="28"/>
  <c r="L105" i="28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D105" i="28"/>
  <c r="E105" i="28" s="1"/>
  <c r="F105" i="28" s="1"/>
  <c r="G105" i="28" s="1"/>
  <c r="H105" i="28" s="1"/>
  <c r="I105" i="28" s="1"/>
  <c r="J105" i="28" s="1"/>
  <c r="K105" i="28" s="1"/>
  <c r="O104" i="28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F104" i="28"/>
  <c r="G104" i="28" s="1"/>
  <c r="H104" i="28" s="1"/>
  <c r="I104" i="28" s="1"/>
  <c r="J104" i="28" s="1"/>
  <c r="K104" i="28" s="1"/>
  <c r="L104" i="28" s="1"/>
  <c r="M104" i="28" s="1"/>
  <c r="N104" i="28" s="1"/>
  <c r="E104" i="28"/>
  <c r="D104" i="28"/>
  <c r="I103" i="28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B103" i="28" s="1"/>
  <c r="G103" i="28"/>
  <c r="H103" i="28" s="1"/>
  <c r="F103" i="28"/>
  <c r="E103" i="28"/>
  <c r="D103" i="28"/>
  <c r="D102" i="28"/>
  <c r="E102" i="28" s="1"/>
  <c r="F102" i="28" s="1"/>
  <c r="E101" i="28"/>
  <c r="D101" i="28"/>
  <c r="AH98" i="28"/>
  <c r="AI98" i="28" s="1"/>
  <c r="AH97" i="28"/>
  <c r="AI97" i="28" s="1"/>
  <c r="AH96" i="28"/>
  <c r="AI96" i="28" s="1"/>
  <c r="AH95" i="28"/>
  <c r="AI95" i="28" s="1"/>
  <c r="AH94" i="28"/>
  <c r="AI94" i="28" s="1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AI81" i="28"/>
  <c r="AH81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AF77" i="28"/>
  <c r="AE77" i="28"/>
  <c r="AD77" i="28"/>
  <c r="AC77" i="28"/>
  <c r="AB77" i="28"/>
  <c r="AA77" i="28"/>
  <c r="Z77" i="28"/>
  <c r="Y77" i="28"/>
  <c r="Y82" i="28" s="1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AF76" i="28"/>
  <c r="AE76" i="28"/>
  <c r="AD76" i="28"/>
  <c r="AD82" i="28" s="1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F82" i="28" s="1"/>
  <c r="E76" i="28"/>
  <c r="D76" i="28"/>
  <c r="C76" i="28"/>
  <c r="AI74" i="28"/>
  <c r="AH74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AI71" i="28"/>
  <c r="AH71" i="28"/>
  <c r="AI70" i="28"/>
  <c r="AH70" i="28"/>
  <c r="AI69" i="28"/>
  <c r="AH69" i="28"/>
  <c r="AG68" i="28"/>
  <c r="AF68" i="28"/>
  <c r="AE68" i="28"/>
  <c r="AD5" i="28" s="1"/>
  <c r="AD68" i="28"/>
  <c r="AC5" i="28" s="1"/>
  <c r="AC68" i="28"/>
  <c r="AB5" i="28" s="1"/>
  <c r="AB68" i="28"/>
  <c r="AA5" i="28" s="1"/>
  <c r="AA68" i="28"/>
  <c r="Z5" i="28" s="1"/>
  <c r="Z68" i="28"/>
  <c r="Y5" i="28" s="1"/>
  <c r="Y68" i="28"/>
  <c r="X68" i="28"/>
  <c r="W68" i="28"/>
  <c r="V5" i="28" s="1"/>
  <c r="V68" i="28"/>
  <c r="U5" i="28" s="1"/>
  <c r="U68" i="28"/>
  <c r="T5" i="28" s="1"/>
  <c r="T68" i="28"/>
  <c r="S5" i="28" s="1"/>
  <c r="S68" i="28"/>
  <c r="R5" i="28" s="1"/>
  <c r="R68" i="28"/>
  <c r="Q5" i="28" s="1"/>
  <c r="Q68" i="28"/>
  <c r="P5" i="28" s="1"/>
  <c r="P68" i="28"/>
  <c r="O68" i="28"/>
  <c r="N68" i="28"/>
  <c r="M5" i="28" s="1"/>
  <c r="M68" i="28"/>
  <c r="L5" i="28" s="1"/>
  <c r="L68" i="28"/>
  <c r="K5" i="28" s="1"/>
  <c r="J68" i="28"/>
  <c r="I68" i="28"/>
  <c r="H68" i="28"/>
  <c r="G68" i="28"/>
  <c r="F5" i="28" s="1"/>
  <c r="F68" i="28"/>
  <c r="E5" i="28" s="1"/>
  <c r="E68" i="28"/>
  <c r="D5" i="28" s="1"/>
  <c r="D68" i="28"/>
  <c r="C5" i="28" s="1"/>
  <c r="C68" i="28"/>
  <c r="B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G4" i="28" s="1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AI55" i="28"/>
  <c r="AH55" i="28"/>
  <c r="AI54" i="28"/>
  <c r="AH54" i="28"/>
  <c r="AI53" i="28"/>
  <c r="AH53" i="28"/>
  <c r="AG52" i="28"/>
  <c r="AG3" i="28" s="1"/>
  <c r="Z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G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G2" i="28" s="1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F5" i="28"/>
  <c r="X5" i="28"/>
  <c r="N5" i="28"/>
  <c r="J5" i="28"/>
  <c r="I5" i="28"/>
  <c r="H5" i="28"/>
  <c r="K4" i="28"/>
  <c r="B4" i="28"/>
  <c r="AF95" i="27"/>
  <c r="AF37" i="27"/>
  <c r="AE95" i="27"/>
  <c r="AE37" i="27"/>
  <c r="AD95" i="27"/>
  <c r="AD37" i="27"/>
  <c r="AC95" i="27"/>
  <c r="AC37" i="27"/>
  <c r="AB95" i="27"/>
  <c r="AB37" i="27"/>
  <c r="AA37" i="27"/>
  <c r="Z37" i="27"/>
  <c r="X58" i="27"/>
  <c r="X37" i="27"/>
  <c r="W37" i="27"/>
  <c r="V37" i="27"/>
  <c r="U37" i="27"/>
  <c r="T37" i="27"/>
  <c r="S37" i="27"/>
  <c r="R37" i="27"/>
  <c r="Q37" i="27"/>
  <c r="P37" i="27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3" i="26"/>
  <c r="AH94" i="26"/>
  <c r="AH95" i="26"/>
  <c r="AH96" i="26"/>
  <c r="AH97" i="26"/>
  <c r="AH98" i="26"/>
  <c r="AH99" i="26"/>
  <c r="O37" i="27"/>
  <c r="N37" i="27"/>
  <c r="M37" i="27"/>
  <c r="L37" i="27"/>
  <c r="K37" i="27"/>
  <c r="J37" i="27"/>
  <c r="I37" i="27"/>
  <c r="H37" i="27"/>
  <c r="G37" i="27"/>
  <c r="F37" i="27"/>
  <c r="E37" i="27"/>
  <c r="AH99" i="27"/>
  <c r="AI99" i="27" s="1"/>
  <c r="B51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P235" i="27"/>
  <c r="O235" i="27"/>
  <c r="N235" i="27"/>
  <c r="M235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B234" i="27"/>
  <c r="S209" i="27"/>
  <c r="AG199" i="27"/>
  <c r="C199" i="27"/>
  <c r="D198" i="27"/>
  <c r="C234" i="27" s="1"/>
  <c r="F197" i="27"/>
  <c r="G197" i="27" s="1"/>
  <c r="H197" i="27" s="1"/>
  <c r="I197" i="27" s="1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E197" i="27"/>
  <c r="D197" i="27"/>
  <c r="D196" i="27"/>
  <c r="E196" i="27" s="1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J195" i="27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E195" i="27"/>
  <c r="F195" i="27" s="1"/>
  <c r="G195" i="27" s="1"/>
  <c r="H195" i="27" s="1"/>
  <c r="I195" i="27" s="1"/>
  <c r="D195" i="27"/>
  <c r="AF194" i="27"/>
  <c r="B194" i="27" s="1"/>
  <c r="D194" i="27"/>
  <c r="E194" i="27" s="1"/>
  <c r="F194" i="27" s="1"/>
  <c r="G194" i="27" s="1"/>
  <c r="H194" i="27" s="1"/>
  <c r="I194" i="27" s="1"/>
  <c r="J194" i="27" s="1"/>
  <c r="K194" i="27" s="1"/>
  <c r="L194" i="27" s="1"/>
  <c r="M194" i="27" s="1"/>
  <c r="N194" i="27" s="1"/>
  <c r="O194" i="27" s="1"/>
  <c r="P194" i="27" s="1"/>
  <c r="Q194" i="27" s="1"/>
  <c r="R194" i="27" s="1"/>
  <c r="S194" i="27" s="1"/>
  <c r="T194" i="27" s="1"/>
  <c r="U194" i="27" s="1"/>
  <c r="V194" i="27" s="1"/>
  <c r="W194" i="27" s="1"/>
  <c r="X194" i="27" s="1"/>
  <c r="Y194" i="27" s="1"/>
  <c r="Z194" i="27" s="1"/>
  <c r="AA194" i="27" s="1"/>
  <c r="AB194" i="27" s="1"/>
  <c r="AC194" i="27" s="1"/>
  <c r="AD194" i="27" s="1"/>
  <c r="AE194" i="27" s="1"/>
  <c r="E193" i="27"/>
  <c r="D193" i="27"/>
  <c r="AG191" i="27"/>
  <c r="C191" i="27"/>
  <c r="D190" i="27"/>
  <c r="E190" i="27" s="1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F189" i="27"/>
  <c r="G189" i="27" s="1"/>
  <c r="H189" i="27" s="1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E189" i="27"/>
  <c r="D189" i="27"/>
  <c r="O188" i="27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H188" i="27"/>
  <c r="I188" i="27" s="1"/>
  <c r="J188" i="27" s="1"/>
  <c r="K188" i="27" s="1"/>
  <c r="L188" i="27" s="1"/>
  <c r="M188" i="27" s="1"/>
  <c r="N188" i="27" s="1"/>
  <c r="D188" i="27"/>
  <c r="E188" i="27" s="1"/>
  <c r="F188" i="27" s="1"/>
  <c r="G188" i="27" s="1"/>
  <c r="J187" i="27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F187" i="27"/>
  <c r="G187" i="27" s="1"/>
  <c r="H187" i="27" s="1"/>
  <c r="I187" i="27" s="1"/>
  <c r="E187" i="27"/>
  <c r="D187" i="27"/>
  <c r="E186" i="27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6" i="27"/>
  <c r="X185" i="27"/>
  <c r="Y185" i="27" s="1"/>
  <c r="Z185" i="27" s="1"/>
  <c r="AA185" i="27" s="1"/>
  <c r="AB185" i="27" s="1"/>
  <c r="AC185" i="27" s="1"/>
  <c r="AD185" i="27" s="1"/>
  <c r="AE185" i="27" s="1"/>
  <c r="AF185" i="27" s="1"/>
  <c r="B185" i="27" s="1"/>
  <c r="E185" i="27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D185" i="27"/>
  <c r="D184" i="27"/>
  <c r="E184" i="27" s="1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B184" i="27" s="1"/>
  <c r="E183" i="27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D183" i="27"/>
  <c r="O182" i="27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M182" i="27"/>
  <c r="N182" i="27" s="1"/>
  <c r="D182" i="27"/>
  <c r="E182" i="27" s="1"/>
  <c r="F182" i="27" s="1"/>
  <c r="G182" i="27" s="1"/>
  <c r="H182" i="27" s="1"/>
  <c r="I182" i="27" s="1"/>
  <c r="J182" i="27" s="1"/>
  <c r="K182" i="27" s="1"/>
  <c r="L182" i="27" s="1"/>
  <c r="F181" i="27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E181" i="27"/>
  <c r="D181" i="27"/>
  <c r="S180" i="27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P180" i="27"/>
  <c r="Q180" i="27" s="1"/>
  <c r="R180" i="27" s="1"/>
  <c r="H180" i="27"/>
  <c r="I180" i="27" s="1"/>
  <c r="J180" i="27" s="1"/>
  <c r="K180" i="27" s="1"/>
  <c r="L180" i="27" s="1"/>
  <c r="M180" i="27" s="1"/>
  <c r="N180" i="27" s="1"/>
  <c r="O180" i="27" s="1"/>
  <c r="F180" i="27"/>
  <c r="G180" i="27" s="1"/>
  <c r="D180" i="27"/>
  <c r="E180" i="27" s="1"/>
  <c r="F179" i="27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D179" i="27"/>
  <c r="E179" i="27" s="1"/>
  <c r="D178" i="27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B178" i="27" s="1"/>
  <c r="P176" i="27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D176" i="27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D174" i="27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D172" i="27"/>
  <c r="E172" i="27" s="1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R170" i="27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E170" i="27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D170" i="27"/>
  <c r="D169" i="27"/>
  <c r="E169" i="27" s="1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B169" i="27" s="1"/>
  <c r="D167" i="27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W166" i="27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V166" i="27"/>
  <c r="L166" i="27"/>
  <c r="M166" i="27" s="1"/>
  <c r="N166" i="27" s="1"/>
  <c r="O166" i="27" s="1"/>
  <c r="P166" i="27" s="1"/>
  <c r="Q166" i="27" s="1"/>
  <c r="R166" i="27" s="1"/>
  <c r="S166" i="27" s="1"/>
  <c r="T166" i="27" s="1"/>
  <c r="U166" i="27" s="1"/>
  <c r="E166" i="27"/>
  <c r="F166" i="27" s="1"/>
  <c r="G166" i="27" s="1"/>
  <c r="H166" i="27" s="1"/>
  <c r="I166" i="27" s="1"/>
  <c r="J166" i="27" s="1"/>
  <c r="K166" i="27" s="1"/>
  <c r="D166" i="27"/>
  <c r="J165" i="27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E165" i="27"/>
  <c r="F165" i="27" s="1"/>
  <c r="G165" i="27" s="1"/>
  <c r="H165" i="27" s="1"/>
  <c r="I165" i="27" s="1"/>
  <c r="D165" i="27"/>
  <c r="R164" i="27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H164" i="27"/>
  <c r="I164" i="27" s="1"/>
  <c r="J164" i="27" s="1"/>
  <c r="K164" i="27" s="1"/>
  <c r="L164" i="27" s="1"/>
  <c r="M164" i="27" s="1"/>
  <c r="N164" i="27" s="1"/>
  <c r="O164" i="27" s="1"/>
  <c r="P164" i="27" s="1"/>
  <c r="Q164" i="27" s="1"/>
  <c r="D164" i="27"/>
  <c r="E164" i="27" s="1"/>
  <c r="F164" i="27" s="1"/>
  <c r="G164" i="27" s="1"/>
  <c r="K163" i="27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F163" i="27"/>
  <c r="G163" i="27" s="1"/>
  <c r="H163" i="27" s="1"/>
  <c r="I163" i="27" s="1"/>
  <c r="J163" i="27" s="1"/>
  <c r="D163" i="27"/>
  <c r="E163" i="27" s="1"/>
  <c r="D162" i="27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O161" i="27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I161" i="27"/>
  <c r="J161" i="27" s="1"/>
  <c r="K161" i="27" s="1"/>
  <c r="L161" i="27" s="1"/>
  <c r="M161" i="27" s="1"/>
  <c r="N161" i="27" s="1"/>
  <c r="D161" i="27"/>
  <c r="E161" i="27" s="1"/>
  <c r="F161" i="27" s="1"/>
  <c r="G161" i="27" s="1"/>
  <c r="H161" i="27" s="1"/>
  <c r="P160" i="27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B160" i="27" s="1"/>
  <c r="F160" i="27"/>
  <c r="G160" i="27" s="1"/>
  <c r="H160" i="27" s="1"/>
  <c r="I160" i="27" s="1"/>
  <c r="J160" i="27" s="1"/>
  <c r="K160" i="27" s="1"/>
  <c r="L160" i="27" s="1"/>
  <c r="M160" i="27" s="1"/>
  <c r="N160" i="27" s="1"/>
  <c r="O160" i="27" s="1"/>
  <c r="E160" i="27"/>
  <c r="D160" i="27"/>
  <c r="K159" i="27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F159" i="27"/>
  <c r="G159" i="27" s="1"/>
  <c r="H159" i="27" s="1"/>
  <c r="I159" i="27" s="1"/>
  <c r="J159" i="27" s="1"/>
  <c r="E159" i="27"/>
  <c r="D159" i="27"/>
  <c r="N158" i="27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K158" i="27"/>
  <c r="L158" i="27" s="1"/>
  <c r="M158" i="27" s="1"/>
  <c r="F158" i="27"/>
  <c r="G158" i="27" s="1"/>
  <c r="H158" i="27" s="1"/>
  <c r="I158" i="27" s="1"/>
  <c r="J158" i="27" s="1"/>
  <c r="D158" i="27"/>
  <c r="E158" i="27" s="1"/>
  <c r="AF157" i="27"/>
  <c r="B157" i="27" s="1"/>
  <c r="AB157" i="27"/>
  <c r="AC157" i="27" s="1"/>
  <c r="AD157" i="27" s="1"/>
  <c r="AE157" i="27" s="1"/>
  <c r="G157" i="27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D157" i="27"/>
  <c r="E157" i="27" s="1"/>
  <c r="F157" i="27" s="1"/>
  <c r="I156" i="27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F156" i="27"/>
  <c r="G156" i="27" s="1"/>
  <c r="H156" i="27" s="1"/>
  <c r="E156" i="27"/>
  <c r="D156" i="27"/>
  <c r="L155" i="27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B155" i="27" s="1"/>
  <c r="H155" i="27"/>
  <c r="I155" i="27" s="1"/>
  <c r="J155" i="27" s="1"/>
  <c r="K155" i="27" s="1"/>
  <c r="E155" i="27"/>
  <c r="F155" i="27" s="1"/>
  <c r="G155" i="27" s="1"/>
  <c r="D155" i="27"/>
  <c r="R153" i="27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J153" i="27"/>
  <c r="K153" i="27" s="1"/>
  <c r="L153" i="27" s="1"/>
  <c r="M153" i="27" s="1"/>
  <c r="N153" i="27" s="1"/>
  <c r="O153" i="27" s="1"/>
  <c r="P153" i="27" s="1"/>
  <c r="Q153" i="27" s="1"/>
  <c r="F153" i="27"/>
  <c r="G153" i="27" s="1"/>
  <c r="H153" i="27" s="1"/>
  <c r="I153" i="27" s="1"/>
  <c r="E153" i="27"/>
  <c r="D153" i="27"/>
  <c r="D152" i="27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I151" i="27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E151" i="27"/>
  <c r="F151" i="27" s="1"/>
  <c r="G151" i="27" s="1"/>
  <c r="H151" i="27" s="1"/>
  <c r="D151" i="27"/>
  <c r="Y150" i="27"/>
  <c r="Z150" i="27" s="1"/>
  <c r="AA150" i="27" s="1"/>
  <c r="AB150" i="27" s="1"/>
  <c r="AC150" i="27" s="1"/>
  <c r="AD150" i="27" s="1"/>
  <c r="AE150" i="27" s="1"/>
  <c r="AF150" i="27" s="1"/>
  <c r="B150" i="27" s="1"/>
  <c r="K150" i="27"/>
  <c r="L150" i="27" s="1"/>
  <c r="M150" i="27" s="1"/>
  <c r="N150" i="27" s="1"/>
  <c r="O150" i="27" s="1"/>
  <c r="P150" i="27" s="1"/>
  <c r="Q150" i="27" s="1"/>
  <c r="R150" i="27" s="1"/>
  <c r="S150" i="27" s="1"/>
  <c r="T150" i="27" s="1"/>
  <c r="U150" i="27" s="1"/>
  <c r="V150" i="27" s="1"/>
  <c r="W150" i="27" s="1"/>
  <c r="X150" i="27" s="1"/>
  <c r="G150" i="27"/>
  <c r="H150" i="27" s="1"/>
  <c r="I150" i="27" s="1"/>
  <c r="J150" i="27" s="1"/>
  <c r="E150" i="27"/>
  <c r="F150" i="27" s="1"/>
  <c r="D150" i="27"/>
  <c r="F148" i="27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E148" i="27"/>
  <c r="D148" i="27"/>
  <c r="D147" i="27"/>
  <c r="E147" i="27" s="1"/>
  <c r="F147" i="27" s="1"/>
  <c r="G147" i="27" s="1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B147" i="27" s="1"/>
  <c r="F145" i="27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D145" i="27"/>
  <c r="E145" i="27" s="1"/>
  <c r="D144" i="27"/>
  <c r="E144" i="27" s="1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AE143" i="27"/>
  <c r="AF143" i="27" s="1"/>
  <c r="B143" i="27" s="1"/>
  <c r="F143" i="27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E143" i="27"/>
  <c r="D143" i="27"/>
  <c r="H142" i="27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B142" i="27" s="1"/>
  <c r="E142" i="27"/>
  <c r="F142" i="27" s="1"/>
  <c r="G142" i="27" s="1"/>
  <c r="D142" i="27"/>
  <c r="F141" i="27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D141" i="27"/>
  <c r="E141" i="27" s="1"/>
  <c r="E140" i="27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D140" i="27"/>
  <c r="F139" i="27"/>
  <c r="G139" i="27" s="1"/>
  <c r="H139" i="27" s="1"/>
  <c r="I139" i="27" s="1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B139" i="27" s="1"/>
  <c r="E139" i="27"/>
  <c r="D139" i="27"/>
  <c r="M137" i="27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F137" i="27"/>
  <c r="G137" i="27" s="1"/>
  <c r="H137" i="27" s="1"/>
  <c r="I137" i="27" s="1"/>
  <c r="J137" i="27" s="1"/>
  <c r="K137" i="27" s="1"/>
  <c r="L137" i="27" s="1"/>
  <c r="E137" i="27"/>
  <c r="D137" i="27"/>
  <c r="J136" i="27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D136" i="27"/>
  <c r="E136" i="27" s="1"/>
  <c r="F136" i="27" s="1"/>
  <c r="G136" i="27" s="1"/>
  <c r="H136" i="27" s="1"/>
  <c r="I136" i="27" s="1"/>
  <c r="E135" i="27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D135" i="27"/>
  <c r="G134" i="27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D134" i="27"/>
  <c r="E134" i="27" s="1"/>
  <c r="F134" i="27" s="1"/>
  <c r="L133" i="27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D133" i="27"/>
  <c r="E133" i="27" s="1"/>
  <c r="F133" i="27" s="1"/>
  <c r="G133" i="27" s="1"/>
  <c r="H133" i="27" s="1"/>
  <c r="I133" i="27" s="1"/>
  <c r="J133" i="27" s="1"/>
  <c r="K133" i="27" s="1"/>
  <c r="J132" i="27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F132" i="27"/>
  <c r="G132" i="27" s="1"/>
  <c r="H132" i="27" s="1"/>
  <c r="I132" i="27" s="1"/>
  <c r="E132" i="27"/>
  <c r="D132" i="27"/>
  <c r="D131" i="27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F130" i="27"/>
  <c r="G130" i="27" s="1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B130" i="27" s="1"/>
  <c r="D130" i="27"/>
  <c r="E130" i="27" s="1"/>
  <c r="E128" i="27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D128" i="27"/>
  <c r="S127" i="27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F127" i="27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E127" i="27"/>
  <c r="D127" i="27"/>
  <c r="B127" i="27"/>
  <c r="I126" i="27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H126" i="27"/>
  <c r="D126" i="27"/>
  <c r="E126" i="27" s="1"/>
  <c r="F126" i="27" s="1"/>
  <c r="G126" i="27" s="1"/>
  <c r="V125" i="27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F125" i="27"/>
  <c r="G125" i="27" s="1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D125" i="27"/>
  <c r="E125" i="27" s="1"/>
  <c r="E124" i="27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D124" i="27"/>
  <c r="N123" i="27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J123" i="27"/>
  <c r="K123" i="27" s="1"/>
  <c r="L123" i="27" s="1"/>
  <c r="M123" i="27" s="1"/>
  <c r="F123" i="27"/>
  <c r="G123" i="27" s="1"/>
  <c r="H123" i="27" s="1"/>
  <c r="I123" i="27" s="1"/>
  <c r="E123" i="27"/>
  <c r="D123" i="27"/>
  <c r="E122" i="27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D122" i="27"/>
  <c r="Z121" i="27"/>
  <c r="AA121" i="27" s="1"/>
  <c r="AB121" i="27" s="1"/>
  <c r="AC121" i="27" s="1"/>
  <c r="AD121" i="27" s="1"/>
  <c r="AE121" i="27" s="1"/>
  <c r="AF121" i="27" s="1"/>
  <c r="B121" i="27" s="1"/>
  <c r="D121" i="27"/>
  <c r="E121" i="27" s="1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M120" i="27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D120" i="27"/>
  <c r="E120" i="27" s="1"/>
  <c r="F120" i="27" s="1"/>
  <c r="G120" i="27" s="1"/>
  <c r="H120" i="27" s="1"/>
  <c r="I120" i="27" s="1"/>
  <c r="J120" i="27" s="1"/>
  <c r="K120" i="27" s="1"/>
  <c r="L120" i="27" s="1"/>
  <c r="V119" i="27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E119" i="27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D119" i="27"/>
  <c r="L118" i="27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D118" i="27"/>
  <c r="E118" i="27" s="1"/>
  <c r="F118" i="27" s="1"/>
  <c r="G118" i="27" s="1"/>
  <c r="H118" i="27" s="1"/>
  <c r="I118" i="27" s="1"/>
  <c r="J118" i="27" s="1"/>
  <c r="K118" i="27" s="1"/>
  <c r="T117" i="27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D117" i="27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E116" i="27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D116" i="27"/>
  <c r="X115" i="27"/>
  <c r="Y115" i="27" s="1"/>
  <c r="Z115" i="27" s="1"/>
  <c r="AA115" i="27" s="1"/>
  <c r="AB115" i="27" s="1"/>
  <c r="AC115" i="27" s="1"/>
  <c r="AD115" i="27" s="1"/>
  <c r="AE115" i="27" s="1"/>
  <c r="AF115" i="27" s="1"/>
  <c r="B115" i="27" s="1"/>
  <c r="E115" i="27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D115" i="27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L113" i="27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K113" i="27"/>
  <c r="E113" i="27"/>
  <c r="F113" i="27" s="1"/>
  <c r="G113" i="27" s="1"/>
  <c r="H113" i="27" s="1"/>
  <c r="I113" i="27" s="1"/>
  <c r="D113" i="27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J111" i="27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B111" i="27" s="1"/>
  <c r="D111" i="27"/>
  <c r="E111" i="27" s="1"/>
  <c r="F111" i="27" s="1"/>
  <c r="G111" i="27" s="1"/>
  <c r="H111" i="27" s="1"/>
  <c r="I111" i="27" s="1"/>
  <c r="D109" i="27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I108" i="27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B108" i="27" s="1"/>
  <c r="H108" i="27"/>
  <c r="D108" i="27"/>
  <c r="E108" i="27" s="1"/>
  <c r="F108" i="27" s="1"/>
  <c r="G108" i="27" s="1"/>
  <c r="N106" i="27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D106" i="27"/>
  <c r="E106" i="27" s="1"/>
  <c r="F106" i="27" s="1"/>
  <c r="G106" i="27" s="1"/>
  <c r="H106" i="27" s="1"/>
  <c r="I106" i="27" s="1"/>
  <c r="J106" i="27" s="1"/>
  <c r="K106" i="27" s="1"/>
  <c r="L106" i="27" s="1"/>
  <c r="M106" i="27" s="1"/>
  <c r="D105" i="27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E104" i="27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D104" i="27"/>
  <c r="P103" i="27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B103" i="27" s="1"/>
  <c r="O103" i="27"/>
  <c r="E103" i="27"/>
  <c r="F103" i="27" s="1"/>
  <c r="G103" i="27" s="1"/>
  <c r="H103" i="27" s="1"/>
  <c r="I103" i="27" s="1"/>
  <c r="J103" i="27" s="1"/>
  <c r="K103" i="27" s="1"/>
  <c r="L103" i="27" s="1"/>
  <c r="M103" i="27" s="1"/>
  <c r="N103" i="27" s="1"/>
  <c r="D103" i="27"/>
  <c r="E102" i="27"/>
  <c r="D102" i="27"/>
  <c r="D101" i="27"/>
  <c r="AH98" i="27"/>
  <c r="AI98" i="27" s="1"/>
  <c r="AH97" i="27"/>
  <c r="AI97" i="27" s="1"/>
  <c r="AH96" i="27"/>
  <c r="AI96" i="27" s="1"/>
  <c r="AH95" i="27"/>
  <c r="AI95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S82" i="27"/>
  <c r="AI81" i="27"/>
  <c r="AH81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B80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H82" i="27" s="1"/>
  <c r="G77" i="27"/>
  <c r="F77" i="27"/>
  <c r="E77" i="27"/>
  <c r="D77" i="27"/>
  <c r="C77" i="27"/>
  <c r="B77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G82" i="27" s="1"/>
  <c r="F76" i="27"/>
  <c r="E76" i="27"/>
  <c r="D76" i="27"/>
  <c r="C76" i="27"/>
  <c r="B76" i="27"/>
  <c r="AI74" i="27"/>
  <c r="AH74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AI71" i="27"/>
  <c r="AH71" i="27"/>
  <c r="AI70" i="27"/>
  <c r="AH70" i="27"/>
  <c r="AI69" i="27"/>
  <c r="AH69" i="27"/>
  <c r="AG68" i="27"/>
  <c r="AG73" i="27" s="1"/>
  <c r="AF68" i="27"/>
  <c r="AE5" i="27" s="1"/>
  <c r="AE68" i="27"/>
  <c r="AD5" i="27" s="1"/>
  <c r="AD68" i="27"/>
  <c r="AC5" i="27" s="1"/>
  <c r="AC68" i="27"/>
  <c r="AB5" i="27" s="1"/>
  <c r="AB68" i="27"/>
  <c r="AA5" i="27" s="1"/>
  <c r="AA68" i="27"/>
  <c r="Z5" i="27" s="1"/>
  <c r="Z68" i="27"/>
  <c r="Y5" i="27" s="1"/>
  <c r="Y68" i="27"/>
  <c r="X68" i="27"/>
  <c r="W68" i="27"/>
  <c r="V5" i="27" s="1"/>
  <c r="V68" i="27"/>
  <c r="U5" i="27" s="1"/>
  <c r="U68" i="27"/>
  <c r="T5" i="27" s="1"/>
  <c r="T68" i="27"/>
  <c r="S5" i="27" s="1"/>
  <c r="S68" i="27"/>
  <c r="R5" i="27" s="1"/>
  <c r="R68" i="27"/>
  <c r="Q5" i="27" s="1"/>
  <c r="Q68" i="27"/>
  <c r="P68" i="27"/>
  <c r="O5" i="27" s="1"/>
  <c r="O68" i="27"/>
  <c r="N5" i="27" s="1"/>
  <c r="N68" i="27"/>
  <c r="M68" i="27"/>
  <c r="L5" i="27" s="1"/>
  <c r="L68" i="27"/>
  <c r="K5" i="27" s="1"/>
  <c r="K68" i="27"/>
  <c r="J68" i="27"/>
  <c r="I68" i="27"/>
  <c r="H68" i="27"/>
  <c r="G5" i="27" s="1"/>
  <c r="G68" i="27"/>
  <c r="F5" i="27" s="1"/>
  <c r="F68" i="27"/>
  <c r="E5" i="27" s="1"/>
  <c r="E68" i="27"/>
  <c r="D5" i="27" s="1"/>
  <c r="D68" i="27"/>
  <c r="C5" i="27" s="1"/>
  <c r="C68" i="27"/>
  <c r="B68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AI55" i="27"/>
  <c r="AH55" i="27"/>
  <c r="AI54" i="27"/>
  <c r="AH54" i="27"/>
  <c r="AI53" i="27"/>
  <c r="AH53" i="27"/>
  <c r="AG52" i="27"/>
  <c r="AG3" i="27" s="1"/>
  <c r="Z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G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G73" i="27" s="1"/>
  <c r="F38" i="27"/>
  <c r="E38" i="27"/>
  <c r="D38" i="27"/>
  <c r="C38" i="27"/>
  <c r="B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G6" i="27"/>
  <c r="W5" i="27"/>
  <c r="M5" i="27"/>
  <c r="J5" i="27"/>
  <c r="I5" i="27"/>
  <c r="B5" i="27"/>
  <c r="AG4" i="27"/>
  <c r="K4" i="27"/>
  <c r="B4" i="27"/>
  <c r="AG2" i="27"/>
  <c r="AA95" i="26"/>
  <c r="AA37" i="26"/>
  <c r="Z95" i="26"/>
  <c r="Z37" i="26"/>
  <c r="X95" i="26"/>
  <c r="X37" i="26"/>
  <c r="W95" i="26"/>
  <c r="W37" i="26"/>
  <c r="V95" i="26"/>
  <c r="U95" i="26"/>
  <c r="V37" i="26"/>
  <c r="T95" i="26"/>
  <c r="T37" i="26"/>
  <c r="U37" i="26"/>
  <c r="S95" i="26"/>
  <c r="S37" i="26"/>
  <c r="R37" i="26"/>
  <c r="Y7" i="25"/>
  <c r="Q37" i="26"/>
  <c r="P37" i="26"/>
  <c r="O68" i="26"/>
  <c r="N37" i="26"/>
  <c r="M38" i="26"/>
  <c r="C51" i="26"/>
  <c r="D51" i="26"/>
  <c r="E51" i="26"/>
  <c r="F51" i="26"/>
  <c r="G51" i="26"/>
  <c r="H51" i="26"/>
  <c r="H52" i="26" s="1"/>
  <c r="I51" i="26"/>
  <c r="J51" i="26"/>
  <c r="K51" i="26"/>
  <c r="L51" i="26"/>
  <c r="M51" i="26"/>
  <c r="N51" i="26"/>
  <c r="O51" i="26"/>
  <c r="P51" i="26"/>
  <c r="P52" i="26" s="1"/>
  <c r="Q51" i="26"/>
  <c r="R51" i="26"/>
  <c r="S51" i="26"/>
  <c r="T51" i="26"/>
  <c r="U51" i="26"/>
  <c r="V51" i="26"/>
  <c r="W51" i="26"/>
  <c r="X51" i="26"/>
  <c r="Z51" i="26"/>
  <c r="AA51" i="26"/>
  <c r="AB51" i="26"/>
  <c r="AC51" i="26"/>
  <c r="AD51" i="26"/>
  <c r="AE51" i="26"/>
  <c r="AF51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B234" i="26"/>
  <c r="S209" i="26"/>
  <c r="AG199" i="26"/>
  <c r="C199" i="26"/>
  <c r="D198" i="26"/>
  <c r="D197" i="26"/>
  <c r="E197" i="26" s="1"/>
  <c r="F197" i="26" s="1"/>
  <c r="G197" i="26" s="1"/>
  <c r="H197" i="26" s="1"/>
  <c r="I197" i="26" s="1"/>
  <c r="J197" i="26" s="1"/>
  <c r="K197" i="26" s="1"/>
  <c r="L197" i="26" s="1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D196" i="26"/>
  <c r="E196" i="26" s="1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D195" i="26"/>
  <c r="E195" i="26" s="1"/>
  <c r="F195" i="26" s="1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D194" i="26"/>
  <c r="E194" i="26" s="1"/>
  <c r="F194" i="26" s="1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AD194" i="26" s="1"/>
  <c r="AE194" i="26" s="1"/>
  <c r="AF194" i="26" s="1"/>
  <c r="B194" i="26" s="1"/>
  <c r="D193" i="26"/>
  <c r="AG191" i="26"/>
  <c r="C191" i="26"/>
  <c r="H190" i="26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D190" i="26"/>
  <c r="E190" i="26" s="1"/>
  <c r="F190" i="26" s="1"/>
  <c r="G190" i="26" s="1"/>
  <c r="D189" i="26"/>
  <c r="E189" i="26" s="1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L188" i="26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D188" i="26"/>
  <c r="E188" i="26" s="1"/>
  <c r="F188" i="26" s="1"/>
  <c r="G188" i="26" s="1"/>
  <c r="H188" i="26" s="1"/>
  <c r="I188" i="26" s="1"/>
  <c r="J188" i="26" s="1"/>
  <c r="K188" i="26" s="1"/>
  <c r="J187" i="26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D187" i="26"/>
  <c r="E187" i="26" s="1"/>
  <c r="F187" i="26" s="1"/>
  <c r="G187" i="26" s="1"/>
  <c r="H187" i="26" s="1"/>
  <c r="I187" i="26" s="1"/>
  <c r="L186" i="26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H186" i="26"/>
  <c r="I186" i="26" s="1"/>
  <c r="J186" i="26" s="1"/>
  <c r="K186" i="26" s="1"/>
  <c r="D186" i="26"/>
  <c r="E186" i="26" s="1"/>
  <c r="F186" i="26" s="1"/>
  <c r="G186" i="26" s="1"/>
  <c r="D185" i="26"/>
  <c r="E185" i="26" s="1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L184" i="26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F184" i="26"/>
  <c r="G184" i="26" s="1"/>
  <c r="H184" i="26" s="1"/>
  <c r="I184" i="26" s="1"/>
  <c r="J184" i="26" s="1"/>
  <c r="K184" i="26" s="1"/>
  <c r="D184" i="26"/>
  <c r="E184" i="26" s="1"/>
  <c r="F183" i="26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D183" i="26"/>
  <c r="E183" i="26" s="1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D181" i="26"/>
  <c r="E181" i="26" s="1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B181" i="26" s="1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AF179" i="26"/>
  <c r="B179" i="26" s="1"/>
  <c r="G179" i="26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D179" i="26"/>
  <c r="E179" i="26" s="1"/>
  <c r="F179" i="26" s="1"/>
  <c r="AB178" i="26"/>
  <c r="AC178" i="26" s="1"/>
  <c r="AD178" i="26" s="1"/>
  <c r="AE178" i="26" s="1"/>
  <c r="AF178" i="26" s="1"/>
  <c r="B178" i="26" s="1"/>
  <c r="D178" i="26"/>
  <c r="E178" i="26" s="1"/>
  <c r="F178" i="26" s="1"/>
  <c r="G178" i="26" s="1"/>
  <c r="H178" i="26" s="1"/>
  <c r="I178" i="26" s="1"/>
  <c r="J178" i="26" s="1"/>
  <c r="K178" i="26" s="1"/>
  <c r="L178" i="26" s="1"/>
  <c r="M178" i="26" s="1"/>
  <c r="N178" i="26" s="1"/>
  <c r="O178" i="26" s="1"/>
  <c r="P178" i="26" s="1"/>
  <c r="Q178" i="26" s="1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E176" i="26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D176" i="26"/>
  <c r="D175" i="26"/>
  <c r="E175" i="26" s="1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D174" i="26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M173" i="26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L173" i="26"/>
  <c r="E173" i="26"/>
  <c r="F173" i="26" s="1"/>
  <c r="G173" i="26" s="1"/>
  <c r="H173" i="26" s="1"/>
  <c r="I173" i="26" s="1"/>
  <c r="J173" i="26" s="1"/>
  <c r="K173" i="26" s="1"/>
  <c r="D173" i="26"/>
  <c r="H172" i="26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E172" i="26"/>
  <c r="F172" i="26" s="1"/>
  <c r="G172" i="26" s="1"/>
  <c r="D172" i="26"/>
  <c r="D171" i="26"/>
  <c r="E171" i="26" s="1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AB170" i="26"/>
  <c r="AC170" i="26" s="1"/>
  <c r="AD170" i="26" s="1"/>
  <c r="AE170" i="26" s="1"/>
  <c r="AF170" i="26" s="1"/>
  <c r="B170" i="26" s="1"/>
  <c r="I170" i="26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F170" i="26"/>
  <c r="G170" i="26" s="1"/>
  <c r="H170" i="26" s="1"/>
  <c r="D170" i="26"/>
  <c r="E170" i="26" s="1"/>
  <c r="Z169" i="26"/>
  <c r="AA169" i="26" s="1"/>
  <c r="AB169" i="26" s="1"/>
  <c r="AC169" i="26" s="1"/>
  <c r="AD169" i="26" s="1"/>
  <c r="AE169" i="26" s="1"/>
  <c r="AF169" i="26" s="1"/>
  <c r="B169" i="26" s="1"/>
  <c r="D169" i="26"/>
  <c r="E169" i="26" s="1"/>
  <c r="F169" i="26" s="1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H167" i="26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B167" i="26" s="1"/>
  <c r="E167" i="26"/>
  <c r="F167" i="26" s="1"/>
  <c r="G167" i="26" s="1"/>
  <c r="D167" i="26"/>
  <c r="F166" i="26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D166" i="26"/>
  <c r="E166" i="26" s="1"/>
  <c r="F165" i="26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D165" i="26"/>
  <c r="E165" i="26" s="1"/>
  <c r="F164" i="26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E164" i="26"/>
  <c r="D164" i="26"/>
  <c r="E163" i="26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D163" i="26"/>
  <c r="P162" i="26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H162" i="26"/>
  <c r="I162" i="26" s="1"/>
  <c r="J162" i="26" s="1"/>
  <c r="K162" i="26" s="1"/>
  <c r="L162" i="26" s="1"/>
  <c r="M162" i="26" s="1"/>
  <c r="N162" i="26" s="1"/>
  <c r="O162" i="26" s="1"/>
  <c r="F162" i="26"/>
  <c r="G162" i="26" s="1"/>
  <c r="D162" i="26"/>
  <c r="E162" i="26" s="1"/>
  <c r="L161" i="26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I161" i="26"/>
  <c r="J161" i="26" s="1"/>
  <c r="K161" i="26" s="1"/>
  <c r="F161" i="26"/>
  <c r="G161" i="26" s="1"/>
  <c r="H161" i="26" s="1"/>
  <c r="D161" i="26"/>
  <c r="E161" i="26" s="1"/>
  <c r="U160" i="26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H160" i="26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E160" i="26"/>
  <c r="F160" i="26" s="1"/>
  <c r="G160" i="26" s="1"/>
  <c r="D160" i="26"/>
  <c r="K159" i="26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E159" i="26"/>
  <c r="F159" i="26" s="1"/>
  <c r="G159" i="26" s="1"/>
  <c r="H159" i="26" s="1"/>
  <c r="I159" i="26" s="1"/>
  <c r="J159" i="26" s="1"/>
  <c r="D159" i="26"/>
  <c r="G158" i="26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E158" i="26"/>
  <c r="F158" i="26" s="1"/>
  <c r="D158" i="26"/>
  <c r="Q157" i="26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P157" i="26"/>
  <c r="H157" i="26"/>
  <c r="I157" i="26" s="1"/>
  <c r="J157" i="26" s="1"/>
  <c r="K157" i="26" s="1"/>
  <c r="L157" i="26" s="1"/>
  <c r="M157" i="26" s="1"/>
  <c r="N157" i="26" s="1"/>
  <c r="O157" i="26" s="1"/>
  <c r="F157" i="26"/>
  <c r="G157" i="26" s="1"/>
  <c r="E157" i="26"/>
  <c r="D157" i="26"/>
  <c r="AE156" i="26"/>
  <c r="AF156" i="26" s="1"/>
  <c r="B156" i="26" s="1"/>
  <c r="S156" i="26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G156" i="26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F156" i="26"/>
  <c r="D156" i="26"/>
  <c r="E156" i="26" s="1"/>
  <c r="L155" i="26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B155" i="26" s="1"/>
  <c r="D155" i="26"/>
  <c r="E155" i="26" s="1"/>
  <c r="F155" i="26" s="1"/>
  <c r="G155" i="26" s="1"/>
  <c r="H155" i="26" s="1"/>
  <c r="I155" i="26" s="1"/>
  <c r="J155" i="26" s="1"/>
  <c r="K155" i="26" s="1"/>
  <c r="P153" i="26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O153" i="26"/>
  <c r="H153" i="26"/>
  <c r="I153" i="26" s="1"/>
  <c r="J153" i="26" s="1"/>
  <c r="K153" i="26" s="1"/>
  <c r="L153" i="26" s="1"/>
  <c r="M153" i="26" s="1"/>
  <c r="N153" i="26" s="1"/>
  <c r="G153" i="26"/>
  <c r="E153" i="26"/>
  <c r="F153" i="26" s="1"/>
  <c r="D153" i="26"/>
  <c r="U152" i="26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I152" i="26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H152" i="26"/>
  <c r="F152" i="26"/>
  <c r="G152" i="26" s="1"/>
  <c r="E152" i="26"/>
  <c r="D152" i="26"/>
  <c r="N151" i="26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G151" i="26"/>
  <c r="H151" i="26" s="1"/>
  <c r="I151" i="26" s="1"/>
  <c r="J151" i="26" s="1"/>
  <c r="K151" i="26" s="1"/>
  <c r="L151" i="26" s="1"/>
  <c r="M151" i="26" s="1"/>
  <c r="F151" i="26"/>
  <c r="D151" i="26"/>
  <c r="E151" i="26" s="1"/>
  <c r="G150" i="26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B150" i="26" s="1"/>
  <c r="E150" i="26"/>
  <c r="F150" i="26" s="1"/>
  <c r="D150" i="26"/>
  <c r="W148" i="26"/>
  <c r="X148" i="26" s="1"/>
  <c r="Y148" i="26" s="1"/>
  <c r="Z148" i="26" s="1"/>
  <c r="AA148" i="26" s="1"/>
  <c r="AB148" i="26" s="1"/>
  <c r="AC148" i="26" s="1"/>
  <c r="AD148" i="26" s="1"/>
  <c r="AE148" i="26" s="1"/>
  <c r="AF148" i="26" s="1"/>
  <c r="B148" i="26" s="1"/>
  <c r="K148" i="26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J148" i="26"/>
  <c r="H148" i="26"/>
  <c r="I148" i="26" s="1"/>
  <c r="G148" i="26"/>
  <c r="E148" i="26"/>
  <c r="F148" i="26" s="1"/>
  <c r="D148" i="26"/>
  <c r="E147" i="26"/>
  <c r="F147" i="26" s="1"/>
  <c r="G147" i="26" s="1"/>
  <c r="H147" i="26" s="1"/>
  <c r="I147" i="26" s="1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B147" i="26" s="1"/>
  <c r="D147" i="26"/>
  <c r="W145" i="26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M145" i="26"/>
  <c r="N145" i="26" s="1"/>
  <c r="O145" i="26" s="1"/>
  <c r="P145" i="26" s="1"/>
  <c r="Q145" i="26" s="1"/>
  <c r="R145" i="26" s="1"/>
  <c r="S145" i="26" s="1"/>
  <c r="T145" i="26" s="1"/>
  <c r="U145" i="26" s="1"/>
  <c r="V145" i="26" s="1"/>
  <c r="E145" i="26"/>
  <c r="F145" i="26" s="1"/>
  <c r="G145" i="26" s="1"/>
  <c r="H145" i="26" s="1"/>
  <c r="I145" i="26" s="1"/>
  <c r="J145" i="26" s="1"/>
  <c r="K145" i="26" s="1"/>
  <c r="L145" i="26" s="1"/>
  <c r="D145" i="26"/>
  <c r="K144" i="26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H144" i="26"/>
  <c r="I144" i="26" s="1"/>
  <c r="J144" i="26" s="1"/>
  <c r="G144" i="26"/>
  <c r="E144" i="26"/>
  <c r="F144" i="26" s="1"/>
  <c r="D144" i="26"/>
  <c r="E143" i="26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B143" i="26" s="1"/>
  <c r="D143" i="26"/>
  <c r="H142" i="26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E142" i="26"/>
  <c r="F142" i="26" s="1"/>
  <c r="G142" i="26" s="1"/>
  <c r="D142" i="26"/>
  <c r="G141" i="26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F141" i="26"/>
  <c r="E141" i="26"/>
  <c r="D141" i="26"/>
  <c r="N140" i="26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I140" i="26"/>
  <c r="J140" i="26" s="1"/>
  <c r="K140" i="26" s="1"/>
  <c r="L140" i="26" s="1"/>
  <c r="M140" i="26" s="1"/>
  <c r="F140" i="26"/>
  <c r="G140" i="26" s="1"/>
  <c r="H140" i="26" s="1"/>
  <c r="E140" i="26"/>
  <c r="D140" i="26"/>
  <c r="K139" i="26"/>
  <c r="L139" i="26" s="1"/>
  <c r="M139" i="26" s="1"/>
  <c r="N139" i="26" s="1"/>
  <c r="O139" i="26" s="1"/>
  <c r="P139" i="26" s="1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B139" i="26" s="1"/>
  <c r="D139" i="26"/>
  <c r="E139" i="26" s="1"/>
  <c r="F139" i="26" s="1"/>
  <c r="G139" i="26" s="1"/>
  <c r="H139" i="26" s="1"/>
  <c r="I139" i="26" s="1"/>
  <c r="J139" i="26" s="1"/>
  <c r="M137" i="26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I137" i="26"/>
  <c r="J137" i="26" s="1"/>
  <c r="K137" i="26" s="1"/>
  <c r="L137" i="26" s="1"/>
  <c r="E137" i="26"/>
  <c r="F137" i="26" s="1"/>
  <c r="G137" i="26" s="1"/>
  <c r="H137" i="26" s="1"/>
  <c r="D137" i="26"/>
  <c r="H136" i="26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E136" i="26"/>
  <c r="F136" i="26" s="1"/>
  <c r="G136" i="26" s="1"/>
  <c r="D136" i="26"/>
  <c r="E135" i="26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B135" i="26" s="1"/>
  <c r="D135" i="26"/>
  <c r="G134" i="26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D134" i="26"/>
  <c r="E134" i="26" s="1"/>
  <c r="F134" i="26" s="1"/>
  <c r="J133" i="26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I133" i="26"/>
  <c r="E133" i="26"/>
  <c r="F133" i="26" s="1"/>
  <c r="G133" i="26" s="1"/>
  <c r="H133" i="26" s="1"/>
  <c r="D133" i="26"/>
  <c r="G132" i="26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E132" i="26"/>
  <c r="F132" i="26" s="1"/>
  <c r="D132" i="26"/>
  <c r="F131" i="26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B131" i="26" s="1"/>
  <c r="E131" i="26"/>
  <c r="D131" i="26"/>
  <c r="K130" i="26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B130" i="26" s="1"/>
  <c r="D130" i="26"/>
  <c r="E130" i="26" s="1"/>
  <c r="F130" i="26" s="1"/>
  <c r="G130" i="26" s="1"/>
  <c r="H130" i="26" s="1"/>
  <c r="I130" i="26" s="1"/>
  <c r="J130" i="26" s="1"/>
  <c r="F128" i="26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B128" i="26" s="1"/>
  <c r="E128" i="26"/>
  <c r="D128" i="26"/>
  <c r="E127" i="26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D127" i="26"/>
  <c r="E126" i="26"/>
  <c r="F126" i="26" s="1"/>
  <c r="G126" i="26" s="1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B126" i="26" s="1"/>
  <c r="D126" i="26"/>
  <c r="D125" i="26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F124" i="26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D124" i="26"/>
  <c r="E124" i="26" s="1"/>
  <c r="D123" i="26"/>
  <c r="E123" i="26" s="1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I122" i="26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F122" i="26"/>
  <c r="G122" i="26" s="1"/>
  <c r="H122" i="26" s="1"/>
  <c r="E122" i="26"/>
  <c r="D122" i="26"/>
  <c r="D121" i="26"/>
  <c r="E121" i="26" s="1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D120" i="26"/>
  <c r="G119" i="26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E119" i="26"/>
  <c r="F119" i="26" s="1"/>
  <c r="D119" i="26"/>
  <c r="D118" i="26"/>
  <c r="E118" i="26" s="1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F117" i="26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D117" i="26"/>
  <c r="E117" i="26" s="1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F115" i="26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E115" i="26"/>
  <c r="D115" i="26"/>
  <c r="E114" i="26"/>
  <c r="F114" i="26" s="1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D114" i="26"/>
  <c r="N113" i="26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K113" i="26"/>
  <c r="L113" i="26" s="1"/>
  <c r="M113" i="26" s="1"/>
  <c r="G113" i="26"/>
  <c r="H113" i="26" s="1"/>
  <c r="I113" i="26" s="1"/>
  <c r="F113" i="26"/>
  <c r="E113" i="26"/>
  <c r="D113" i="26"/>
  <c r="G112" i="26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E112" i="26"/>
  <c r="F112" i="26" s="1"/>
  <c r="D112" i="26"/>
  <c r="D111" i="26"/>
  <c r="E111" i="26" s="1"/>
  <c r="F111" i="26" s="1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B111" i="26" s="1"/>
  <c r="E109" i="26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D109" i="26"/>
  <c r="H108" i="26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B108" i="26" s="1"/>
  <c r="F108" i="26"/>
  <c r="G108" i="26" s="1"/>
  <c r="E108" i="26"/>
  <c r="D108" i="26"/>
  <c r="I106" i="26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D106" i="26"/>
  <c r="E106" i="26" s="1"/>
  <c r="F106" i="26" s="1"/>
  <c r="G106" i="26" s="1"/>
  <c r="H106" i="26" s="1"/>
  <c r="E105" i="26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D105" i="26"/>
  <c r="F104" i="26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4" i="26"/>
  <c r="E104" i="26" s="1"/>
  <c r="D103" i="26"/>
  <c r="E103" i="26" s="1"/>
  <c r="F103" i="26" s="1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B103" i="26" s="1"/>
  <c r="E102" i="26"/>
  <c r="D102" i="26"/>
  <c r="F101" i="26"/>
  <c r="E101" i="26"/>
  <c r="D101" i="26"/>
  <c r="AI99" i="26"/>
  <c r="AI98" i="26"/>
  <c r="AI97" i="26"/>
  <c r="AI96" i="26"/>
  <c r="AI95" i="26"/>
  <c r="AI94" i="26"/>
  <c r="C93" i="26"/>
  <c r="AI91" i="26"/>
  <c r="AI90" i="26"/>
  <c r="AI89" i="26"/>
  <c r="AI88" i="26"/>
  <c r="AI87" i="26"/>
  <c r="AI86" i="26"/>
  <c r="AI85" i="26"/>
  <c r="AI84" i="26"/>
  <c r="AG82" i="26"/>
  <c r="AI81" i="26"/>
  <c r="AF80" i="26"/>
  <c r="AE80" i="26"/>
  <c r="AD80" i="26"/>
  <c r="AC80" i="26"/>
  <c r="AB80" i="26"/>
  <c r="AA80" i="26"/>
  <c r="Z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80" i="26"/>
  <c r="AF79" i="26"/>
  <c r="AE79" i="26"/>
  <c r="AD79" i="26"/>
  <c r="AC79" i="26"/>
  <c r="AB79" i="26"/>
  <c r="AA79" i="26"/>
  <c r="Z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B79" i="26"/>
  <c r="AF78" i="26"/>
  <c r="AE78" i="26"/>
  <c r="AD78" i="26"/>
  <c r="AC78" i="26"/>
  <c r="AB78" i="26"/>
  <c r="AA78" i="26"/>
  <c r="Z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AF77" i="26"/>
  <c r="AE77" i="26"/>
  <c r="AD77" i="26"/>
  <c r="AC77" i="26"/>
  <c r="AB77" i="26"/>
  <c r="AA77" i="26"/>
  <c r="Z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AF76" i="26"/>
  <c r="AE76" i="26"/>
  <c r="AE82" i="26" s="1"/>
  <c r="AD76" i="26"/>
  <c r="AC76" i="26"/>
  <c r="AB76" i="26"/>
  <c r="AA76" i="26"/>
  <c r="AA82" i="26" s="1"/>
  <c r="Z76" i="26"/>
  <c r="X76" i="26"/>
  <c r="W76" i="26"/>
  <c r="V76" i="26"/>
  <c r="U76" i="26"/>
  <c r="T76" i="26"/>
  <c r="S76" i="26"/>
  <c r="S82" i="26" s="1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AG75" i="26"/>
  <c r="AI74" i="26"/>
  <c r="AG72" i="26"/>
  <c r="AF72" i="26"/>
  <c r="AE72" i="26"/>
  <c r="AD72" i="26"/>
  <c r="AC72" i="26"/>
  <c r="AB72" i="26"/>
  <c r="AA72" i="26"/>
  <c r="Z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AI71" i="26"/>
  <c r="AI70" i="26"/>
  <c r="AI69" i="26"/>
  <c r="AG68" i="26"/>
  <c r="AF68" i="26"/>
  <c r="AE68" i="26"/>
  <c r="AD68" i="26"/>
  <c r="AC68" i="26"/>
  <c r="AB68" i="26"/>
  <c r="AA68" i="26"/>
  <c r="Z5" i="26" s="1"/>
  <c r="Z68" i="26"/>
  <c r="Y5" i="26" s="1"/>
  <c r="X5" i="26"/>
  <c r="X68" i="26"/>
  <c r="W5" i="26" s="1"/>
  <c r="W68" i="26"/>
  <c r="V5" i="26" s="1"/>
  <c r="V68" i="26"/>
  <c r="U5" i="26" s="1"/>
  <c r="U68" i="26"/>
  <c r="T68" i="26"/>
  <c r="S68" i="26"/>
  <c r="R5" i="26" s="1"/>
  <c r="R68" i="26"/>
  <c r="Q68" i="26"/>
  <c r="P5" i="26" s="1"/>
  <c r="P68" i="26"/>
  <c r="O5" i="26" s="1"/>
  <c r="N5" i="26"/>
  <c r="N68" i="26"/>
  <c r="M5" i="26" s="1"/>
  <c r="M68" i="26"/>
  <c r="L5" i="26" s="1"/>
  <c r="L68" i="26"/>
  <c r="K68" i="26"/>
  <c r="J5" i="26" s="1"/>
  <c r="J68" i="26"/>
  <c r="I5" i="26" s="1"/>
  <c r="I68" i="26"/>
  <c r="H5" i="26" s="1"/>
  <c r="H68" i="26"/>
  <c r="G5" i="26" s="1"/>
  <c r="G68" i="26"/>
  <c r="F5" i="26" s="1"/>
  <c r="F68" i="26"/>
  <c r="E5" i="26" s="1"/>
  <c r="E68" i="26"/>
  <c r="D5" i="26" s="1"/>
  <c r="D68" i="26"/>
  <c r="C5" i="26" s="1"/>
  <c r="C68" i="26"/>
  <c r="B5" i="26" s="1"/>
  <c r="B68" i="26"/>
  <c r="AF5" i="26" s="1"/>
  <c r="AI67" i="26"/>
  <c r="AI66" i="26"/>
  <c r="AI65" i="26"/>
  <c r="AI64" i="26"/>
  <c r="AI63" i="26"/>
  <c r="AI62" i="26"/>
  <c r="AI61" i="26"/>
  <c r="AI60" i="26"/>
  <c r="AI59" i="26"/>
  <c r="AI58" i="26"/>
  <c r="AI57" i="26"/>
  <c r="AG56" i="26"/>
  <c r="AG4" i="26" s="1"/>
  <c r="AF56" i="26"/>
  <c r="AE56" i="26"/>
  <c r="AD56" i="26"/>
  <c r="AC56" i="26"/>
  <c r="AB56" i="26"/>
  <c r="AA56" i="26"/>
  <c r="Z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AI55" i="26"/>
  <c r="AI54" i="26"/>
  <c r="AI53" i="26"/>
  <c r="AG52" i="26"/>
  <c r="AG3" i="26" s="1"/>
  <c r="Z52" i="26"/>
  <c r="T52" i="26"/>
  <c r="S52" i="26"/>
  <c r="R52" i="26"/>
  <c r="Q52" i="26"/>
  <c r="O52" i="26"/>
  <c r="N52" i="26"/>
  <c r="M52" i="26"/>
  <c r="L52" i="26"/>
  <c r="K52" i="26"/>
  <c r="J52" i="26"/>
  <c r="I52" i="26"/>
  <c r="G52" i="26"/>
  <c r="F52" i="26"/>
  <c r="E52" i="26"/>
  <c r="D52" i="26"/>
  <c r="C52" i="26"/>
  <c r="AG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G38" i="26"/>
  <c r="AF38" i="26"/>
  <c r="AE38" i="26"/>
  <c r="AD38" i="26"/>
  <c r="AC38" i="26"/>
  <c r="AB38" i="26"/>
  <c r="AA38" i="26"/>
  <c r="Z38" i="26"/>
  <c r="X38" i="26"/>
  <c r="W38" i="26"/>
  <c r="V38" i="26"/>
  <c r="U38" i="26"/>
  <c r="T38" i="26"/>
  <c r="S38" i="26"/>
  <c r="R38" i="26"/>
  <c r="R73" i="26" s="1"/>
  <c r="Q38" i="26"/>
  <c r="P38" i="26"/>
  <c r="O38" i="26"/>
  <c r="N38" i="26"/>
  <c r="L38" i="26"/>
  <c r="K38" i="26"/>
  <c r="J38" i="26"/>
  <c r="I38" i="26"/>
  <c r="H38" i="26"/>
  <c r="G38" i="26"/>
  <c r="F38" i="26"/>
  <c r="E38" i="26"/>
  <c r="D38" i="26"/>
  <c r="C38" i="26"/>
  <c r="B38" i="26"/>
  <c r="AI37" i="26"/>
  <c r="AI36" i="26"/>
  <c r="AI35" i="26"/>
  <c r="AI34" i="26"/>
  <c r="AI33" i="26"/>
  <c r="AI32" i="26"/>
  <c r="AI31" i="26"/>
  <c r="AI30" i="26"/>
  <c r="AI29" i="26"/>
  <c r="AI28" i="26"/>
  <c r="AI27" i="26"/>
  <c r="AI26" i="26"/>
  <c r="AI25" i="26"/>
  <c r="AI24" i="26"/>
  <c r="AI23" i="26"/>
  <c r="AI22" i="26"/>
  <c r="AI21" i="26"/>
  <c r="AI20" i="26"/>
  <c r="AI19" i="26"/>
  <c r="AI18" i="26"/>
  <c r="AI17" i="26"/>
  <c r="AI16" i="26"/>
  <c r="AI15" i="26"/>
  <c r="AI14" i="26"/>
  <c r="AI13" i="26"/>
  <c r="AI12" i="26"/>
  <c r="AI11" i="26"/>
  <c r="AE5" i="26"/>
  <c r="AD5" i="26"/>
  <c r="AC5" i="26"/>
  <c r="AB5" i="26"/>
  <c r="AA5" i="26"/>
  <c r="T5" i="26"/>
  <c r="S5" i="26"/>
  <c r="Q5" i="26"/>
  <c r="K5" i="26"/>
  <c r="K4" i="26"/>
  <c r="B4" i="26"/>
  <c r="AG2" i="26"/>
  <c r="AG6" i="26" s="1"/>
  <c r="R95" i="25"/>
  <c r="R37" i="25"/>
  <c r="Q95" i="25"/>
  <c r="P95" i="25"/>
  <c r="Q37" i="25"/>
  <c r="O95" i="25"/>
  <c r="O37" i="25"/>
  <c r="P37" i="25"/>
  <c r="N95" i="25"/>
  <c r="N37" i="25"/>
  <c r="M37" i="25"/>
  <c r="I37" i="25"/>
  <c r="J37" i="25"/>
  <c r="K37" i="25"/>
  <c r="L37" i="25"/>
  <c r="H37" i="25"/>
  <c r="G37" i="25"/>
  <c r="F37" i="25"/>
  <c r="E37" i="25"/>
  <c r="D37" i="25"/>
  <c r="AH99" i="25"/>
  <c r="AI99" i="25" s="1"/>
  <c r="B38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B234" i="25"/>
  <c r="S209" i="25"/>
  <c r="AG199" i="25"/>
  <c r="C199" i="25"/>
  <c r="D198" i="25"/>
  <c r="E197" i="25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D197" i="25"/>
  <c r="H196" i="25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G196" i="25"/>
  <c r="F196" i="25"/>
  <c r="E196" i="25"/>
  <c r="D196" i="25"/>
  <c r="F195" i="25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B195" i="25" s="1"/>
  <c r="E195" i="25"/>
  <c r="D195" i="25"/>
  <c r="D194" i="25"/>
  <c r="E193" i="25"/>
  <c r="F193" i="25" s="1"/>
  <c r="D193" i="25"/>
  <c r="AG191" i="25"/>
  <c r="C191" i="25"/>
  <c r="D190" i="25"/>
  <c r="E190" i="25" s="1"/>
  <c r="F190" i="25" s="1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F189" i="25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E189" i="25"/>
  <c r="D189" i="25"/>
  <c r="T188" i="25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D188" i="25"/>
  <c r="E188" i="25" s="1"/>
  <c r="F188" i="25" s="1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I187" i="25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E187" i="25"/>
  <c r="F187" i="25" s="1"/>
  <c r="G187" i="25" s="1"/>
  <c r="H187" i="25" s="1"/>
  <c r="D187" i="25"/>
  <c r="G186" i="25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F186" i="25"/>
  <c r="E186" i="25"/>
  <c r="D186" i="25"/>
  <c r="I185" i="25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D185" i="25"/>
  <c r="E185" i="25" s="1"/>
  <c r="F185" i="25" s="1"/>
  <c r="G185" i="25" s="1"/>
  <c r="H185" i="25" s="1"/>
  <c r="N184" i="25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F184" i="25"/>
  <c r="G184" i="25" s="1"/>
  <c r="H184" i="25" s="1"/>
  <c r="I184" i="25" s="1"/>
  <c r="J184" i="25" s="1"/>
  <c r="K184" i="25" s="1"/>
  <c r="L184" i="25" s="1"/>
  <c r="M184" i="25" s="1"/>
  <c r="D184" i="25"/>
  <c r="E184" i="25" s="1"/>
  <c r="E183" i="25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D183" i="25"/>
  <c r="M182" i="25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F182" i="25"/>
  <c r="G182" i="25" s="1"/>
  <c r="H182" i="25" s="1"/>
  <c r="I182" i="25" s="1"/>
  <c r="J182" i="25" s="1"/>
  <c r="K182" i="25" s="1"/>
  <c r="L182" i="25" s="1"/>
  <c r="E182" i="25"/>
  <c r="D182" i="25"/>
  <c r="V181" i="25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L181" i="25"/>
  <c r="M181" i="25" s="1"/>
  <c r="N181" i="25" s="1"/>
  <c r="O181" i="25" s="1"/>
  <c r="P181" i="25" s="1"/>
  <c r="Q181" i="25" s="1"/>
  <c r="R181" i="25" s="1"/>
  <c r="S181" i="25" s="1"/>
  <c r="T181" i="25" s="1"/>
  <c r="U181" i="25" s="1"/>
  <c r="E181" i="25"/>
  <c r="F181" i="25" s="1"/>
  <c r="G181" i="25" s="1"/>
  <c r="H181" i="25" s="1"/>
  <c r="I181" i="25" s="1"/>
  <c r="J181" i="25" s="1"/>
  <c r="K181" i="25" s="1"/>
  <c r="D181" i="25"/>
  <c r="D180" i="25"/>
  <c r="E180" i="25" s="1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E179" i="25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D179" i="25"/>
  <c r="V178" i="25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B178" i="25" s="1"/>
  <c r="E178" i="25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D178" i="25"/>
  <c r="D176" i="25"/>
  <c r="E176" i="25" s="1"/>
  <c r="F176" i="25" s="1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F175" i="25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D175" i="25"/>
  <c r="E175" i="25" s="1"/>
  <c r="AB174" i="25"/>
  <c r="AC174" i="25" s="1"/>
  <c r="AD174" i="25" s="1"/>
  <c r="AE174" i="25" s="1"/>
  <c r="AF174" i="25" s="1"/>
  <c r="B174" i="25" s="1"/>
  <c r="G174" i="25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D174" i="25"/>
  <c r="E174" i="25" s="1"/>
  <c r="F174" i="25" s="1"/>
  <c r="E173" i="25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B173" i="25" s="1"/>
  <c r="D173" i="25"/>
  <c r="H172" i="25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D172" i="25"/>
  <c r="E172" i="25" s="1"/>
  <c r="F172" i="25" s="1"/>
  <c r="G172" i="25" s="1"/>
  <c r="I171" i="25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F171" i="25"/>
  <c r="G171" i="25" s="1"/>
  <c r="H171" i="25" s="1"/>
  <c r="D171" i="25"/>
  <c r="E171" i="25" s="1"/>
  <c r="L170" i="25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G170" i="25"/>
  <c r="H170" i="25" s="1"/>
  <c r="I170" i="25" s="1"/>
  <c r="J170" i="25" s="1"/>
  <c r="K170" i="25" s="1"/>
  <c r="D170" i="25"/>
  <c r="E170" i="25" s="1"/>
  <c r="F170" i="25" s="1"/>
  <c r="D169" i="25"/>
  <c r="E169" i="25" s="1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B169" i="25" s="1"/>
  <c r="H167" i="25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F167" i="25"/>
  <c r="G167" i="25" s="1"/>
  <c r="D167" i="25"/>
  <c r="E167" i="25" s="1"/>
  <c r="D166" i="25"/>
  <c r="E166" i="25" s="1"/>
  <c r="F166" i="25" s="1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D165" i="25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B165" i="25" s="1"/>
  <c r="H164" i="25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D164" i="25"/>
  <c r="E164" i="25" s="1"/>
  <c r="F164" i="25" s="1"/>
  <c r="G164" i="25" s="1"/>
  <c r="E163" i="25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D163" i="25"/>
  <c r="F162" i="25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E162" i="25"/>
  <c r="D162" i="25"/>
  <c r="N161" i="25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D161" i="25"/>
  <c r="E161" i="25" s="1"/>
  <c r="F161" i="25" s="1"/>
  <c r="G161" i="25" s="1"/>
  <c r="H161" i="25" s="1"/>
  <c r="I161" i="25" s="1"/>
  <c r="J161" i="25" s="1"/>
  <c r="K161" i="25" s="1"/>
  <c r="L161" i="25" s="1"/>
  <c r="M161" i="25" s="1"/>
  <c r="U160" i="25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E160" i="25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D160" i="25"/>
  <c r="J159" i="25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D159" i="25"/>
  <c r="E159" i="25" s="1"/>
  <c r="F159" i="25" s="1"/>
  <c r="G159" i="25" s="1"/>
  <c r="H159" i="25" s="1"/>
  <c r="I159" i="25" s="1"/>
  <c r="V158" i="25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B158" i="25" s="1"/>
  <c r="F158" i="25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E158" i="25"/>
  <c r="D158" i="25"/>
  <c r="D157" i="25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U156" i="25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E156" i="25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D156" i="25"/>
  <c r="J155" i="25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B155" i="25" s="1"/>
  <c r="D155" i="25"/>
  <c r="E155" i="25" s="1"/>
  <c r="F155" i="25" s="1"/>
  <c r="G155" i="25" s="1"/>
  <c r="H155" i="25" s="1"/>
  <c r="I155" i="25" s="1"/>
  <c r="D153" i="25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T152" i="25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B152" i="25" s="1"/>
  <c r="D152" i="25"/>
  <c r="E152" i="25" s="1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R151" i="25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E151" i="25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D151" i="25"/>
  <c r="D150" i="25"/>
  <c r="E150" i="25" s="1"/>
  <c r="F150" i="25" s="1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B150" i="25" s="1"/>
  <c r="D148" i="25"/>
  <c r="E148" i="25" s="1"/>
  <c r="F148" i="25" s="1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B148" i="25" s="1"/>
  <c r="N147" i="25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B147" i="25" s="1"/>
  <c r="D147" i="25"/>
  <c r="E147" i="25" s="1"/>
  <c r="F147" i="25" s="1"/>
  <c r="G147" i="25" s="1"/>
  <c r="H147" i="25" s="1"/>
  <c r="I147" i="25" s="1"/>
  <c r="J147" i="25" s="1"/>
  <c r="K147" i="25" s="1"/>
  <c r="L147" i="25" s="1"/>
  <c r="M147" i="25" s="1"/>
  <c r="D145" i="25"/>
  <c r="E145" i="25" s="1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L144" i="25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D144" i="25"/>
  <c r="E144" i="25" s="1"/>
  <c r="F144" i="25" s="1"/>
  <c r="G144" i="25" s="1"/>
  <c r="H144" i="25" s="1"/>
  <c r="I144" i="25" s="1"/>
  <c r="J144" i="25" s="1"/>
  <c r="K144" i="25" s="1"/>
  <c r="D143" i="25"/>
  <c r="E143" i="25" s="1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N142" i="25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D142" i="25"/>
  <c r="E142" i="25" s="1"/>
  <c r="F142" i="25" s="1"/>
  <c r="G142" i="25" s="1"/>
  <c r="H142" i="25" s="1"/>
  <c r="I142" i="25" s="1"/>
  <c r="J142" i="25" s="1"/>
  <c r="K142" i="25" s="1"/>
  <c r="L142" i="25" s="1"/>
  <c r="M142" i="25" s="1"/>
  <c r="H141" i="25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D141" i="25"/>
  <c r="E141" i="25" s="1"/>
  <c r="F141" i="25" s="1"/>
  <c r="G141" i="25" s="1"/>
  <c r="P140" i="25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D140" i="25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D139" i="25"/>
  <c r="E139" i="25" s="1"/>
  <c r="F139" i="25" s="1"/>
  <c r="G139" i="25" s="1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B139" i="25" s="1"/>
  <c r="E137" i="25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D137" i="25"/>
  <c r="D136" i="25"/>
  <c r="E136" i="25" s="1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P135" i="25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F135" i="25"/>
  <c r="G135" i="25" s="1"/>
  <c r="H135" i="25" s="1"/>
  <c r="I135" i="25" s="1"/>
  <c r="J135" i="25" s="1"/>
  <c r="K135" i="25" s="1"/>
  <c r="L135" i="25" s="1"/>
  <c r="M135" i="25" s="1"/>
  <c r="N135" i="25" s="1"/>
  <c r="O135" i="25" s="1"/>
  <c r="D135" i="25"/>
  <c r="E135" i="25" s="1"/>
  <c r="F134" i="25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D134" i="25"/>
  <c r="E134" i="25" s="1"/>
  <c r="D133" i="25"/>
  <c r="E133" i="25" s="1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B133" i="25" s="1"/>
  <c r="F132" i="25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D132" i="25"/>
  <c r="E132" i="25" s="1"/>
  <c r="F131" i="25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D131" i="25"/>
  <c r="E131" i="25" s="1"/>
  <c r="D130" i="25"/>
  <c r="E130" i="25" s="1"/>
  <c r="F130" i="25" s="1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B130" i="25" s="1"/>
  <c r="D128" i="25"/>
  <c r="E128" i="25" s="1"/>
  <c r="F128" i="25" s="1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H125" i="25"/>
  <c r="I125" i="25" s="1"/>
  <c r="J125" i="25" s="1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F125" i="25"/>
  <c r="G125" i="25" s="1"/>
  <c r="D125" i="25"/>
  <c r="E125" i="25" s="1"/>
  <c r="M124" i="25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D124" i="25"/>
  <c r="E124" i="25" s="1"/>
  <c r="F124" i="25" s="1"/>
  <c r="G124" i="25" s="1"/>
  <c r="H124" i="25" s="1"/>
  <c r="I124" i="25" s="1"/>
  <c r="J124" i="25" s="1"/>
  <c r="K124" i="25" s="1"/>
  <c r="L124" i="25" s="1"/>
  <c r="D123" i="25"/>
  <c r="F122" i="25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D122" i="25"/>
  <c r="E122" i="25" s="1"/>
  <c r="N121" i="25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D121" i="25"/>
  <c r="E121" i="25" s="1"/>
  <c r="F121" i="25" s="1"/>
  <c r="G121" i="25" s="1"/>
  <c r="H121" i="25" s="1"/>
  <c r="I121" i="25" s="1"/>
  <c r="J121" i="25" s="1"/>
  <c r="K121" i="25" s="1"/>
  <c r="L121" i="25" s="1"/>
  <c r="M121" i="25" s="1"/>
  <c r="E120" i="25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D120" i="25"/>
  <c r="F119" i="25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D119" i="25"/>
  <c r="E119" i="25" s="1"/>
  <c r="D118" i="25"/>
  <c r="E118" i="25" s="1"/>
  <c r="F118" i="25" s="1"/>
  <c r="G118" i="25" s="1"/>
  <c r="H118" i="25" s="1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R117" i="25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F117" i="25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D117" i="25"/>
  <c r="E117" i="25" s="1"/>
  <c r="D116" i="25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D115" i="25"/>
  <c r="E115" i="25" s="1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R114" i="25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F114" i="25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D114" i="25"/>
  <c r="E114" i="25" s="1"/>
  <c r="W113" i="25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N113" i="25"/>
  <c r="O113" i="25" s="1"/>
  <c r="P113" i="25" s="1"/>
  <c r="Q113" i="25" s="1"/>
  <c r="R113" i="25" s="1"/>
  <c r="S113" i="25" s="1"/>
  <c r="T113" i="25" s="1"/>
  <c r="U113" i="25" s="1"/>
  <c r="V113" i="25" s="1"/>
  <c r="L113" i="25"/>
  <c r="M113" i="25" s="1"/>
  <c r="K113" i="25"/>
  <c r="E113" i="25"/>
  <c r="F113" i="25" s="1"/>
  <c r="G113" i="25" s="1"/>
  <c r="H113" i="25" s="1"/>
  <c r="I113" i="25" s="1"/>
  <c r="D113" i="25"/>
  <c r="D112" i="25"/>
  <c r="E112" i="25" s="1"/>
  <c r="F112" i="25" s="1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E111" i="25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B111" i="25" s="1"/>
  <c r="D111" i="25"/>
  <c r="E109" i="25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B109" i="25" s="1"/>
  <c r="D109" i="25"/>
  <c r="G108" i="25"/>
  <c r="H108" i="25" s="1"/>
  <c r="I108" i="25" s="1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B108" i="25" s="1"/>
  <c r="E108" i="25"/>
  <c r="F108" i="25" s="1"/>
  <c r="D108" i="25"/>
  <c r="E106" i="25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6" i="25"/>
  <c r="J105" i="25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E105" i="25"/>
  <c r="F105" i="25" s="1"/>
  <c r="G105" i="25" s="1"/>
  <c r="H105" i="25" s="1"/>
  <c r="I105" i="25" s="1"/>
  <c r="D105" i="25"/>
  <c r="K104" i="25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E104" i="25"/>
  <c r="F104" i="25" s="1"/>
  <c r="G104" i="25" s="1"/>
  <c r="H104" i="25" s="1"/>
  <c r="I104" i="25" s="1"/>
  <c r="J104" i="25" s="1"/>
  <c r="D104" i="25"/>
  <c r="E103" i="25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B103" i="25" s="1"/>
  <c r="D103" i="25"/>
  <c r="F102" i="25"/>
  <c r="G102" i="25" s="1"/>
  <c r="H102" i="25" s="1"/>
  <c r="E102" i="25"/>
  <c r="D102" i="25"/>
  <c r="E101" i="25"/>
  <c r="D101" i="25"/>
  <c r="AH98" i="25"/>
  <c r="AI98" i="25" s="1"/>
  <c r="AH97" i="25"/>
  <c r="AI97" i="25" s="1"/>
  <c r="AH96" i="25"/>
  <c r="AI96" i="25" s="1"/>
  <c r="AH95" i="25"/>
  <c r="AI95" i="25" s="1"/>
  <c r="AH94" i="25"/>
  <c r="AI94" i="25" s="1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2" i="25"/>
  <c r="Y82" i="25"/>
  <c r="AI81" i="25"/>
  <c r="AH81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F82" i="25" s="1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P82" i="25" s="1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I74" i="25"/>
  <c r="AH74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I71" i="25"/>
  <c r="AH71" i="25"/>
  <c r="AI70" i="25"/>
  <c r="AH70" i="25"/>
  <c r="AI69" i="25"/>
  <c r="AH69" i="25"/>
  <c r="AG68" i="25"/>
  <c r="AG73" i="25" s="1"/>
  <c r="AF68" i="25"/>
  <c r="AE68" i="25"/>
  <c r="AD68" i="25"/>
  <c r="AC5" i="25" s="1"/>
  <c r="AC68" i="25"/>
  <c r="AB68" i="25"/>
  <c r="AA5" i="25" s="1"/>
  <c r="AA68" i="25"/>
  <c r="Z5" i="25" s="1"/>
  <c r="Z68" i="25"/>
  <c r="Y5" i="25" s="1"/>
  <c r="Y68" i="25"/>
  <c r="X68" i="25"/>
  <c r="W68" i="25"/>
  <c r="V5" i="25" s="1"/>
  <c r="V68" i="25"/>
  <c r="U68" i="25"/>
  <c r="T5" i="25" s="1"/>
  <c r="T68" i="25"/>
  <c r="S5" i="25" s="1"/>
  <c r="S68" i="25"/>
  <c r="R5" i="25" s="1"/>
  <c r="R68" i="25"/>
  <c r="Q5" i="25" s="1"/>
  <c r="Q68" i="25"/>
  <c r="P5" i="25" s="1"/>
  <c r="P68" i="25"/>
  <c r="O68" i="25"/>
  <c r="N68" i="25"/>
  <c r="M68" i="25"/>
  <c r="L68" i="25"/>
  <c r="K5" i="25" s="1"/>
  <c r="K68" i="25"/>
  <c r="J5" i="25" s="1"/>
  <c r="J68" i="25"/>
  <c r="I5" i="25" s="1"/>
  <c r="I68" i="25"/>
  <c r="H5" i="25" s="1"/>
  <c r="H68" i="25"/>
  <c r="G68" i="25"/>
  <c r="F5" i="25" s="1"/>
  <c r="F68" i="25"/>
  <c r="E5" i="25" s="1"/>
  <c r="E68" i="25"/>
  <c r="D5" i="25" s="1"/>
  <c r="D68" i="25"/>
  <c r="C5" i="25" s="1"/>
  <c r="C68" i="25"/>
  <c r="B68" i="25"/>
  <c r="AF5" i="25" s="1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G52" i="25"/>
  <c r="AG3" i="25" s="1"/>
  <c r="Z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AG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G2" i="25" s="1"/>
  <c r="AG6" i="25" s="1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D75" i="25" s="1"/>
  <c r="C38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D5" i="25"/>
  <c r="AB5" i="25"/>
  <c r="X5" i="25"/>
  <c r="U5" i="25"/>
  <c r="N5" i="25"/>
  <c r="M5" i="25"/>
  <c r="L5" i="25"/>
  <c r="B5" i="25"/>
  <c r="AG4" i="25"/>
  <c r="K4" i="25"/>
  <c r="B4" i="25"/>
  <c r="AF37" i="24"/>
  <c r="AE37" i="24"/>
  <c r="AB58" i="24"/>
  <c r="AB37" i="24"/>
  <c r="AA58" i="24"/>
  <c r="AA37" i="24"/>
  <c r="S37" i="24"/>
  <c r="R56" i="24"/>
  <c r="M37" i="24"/>
  <c r="L37" i="24"/>
  <c r="E37" i="24"/>
  <c r="D37" i="24"/>
  <c r="AH99" i="24"/>
  <c r="AI99" i="24" s="1"/>
  <c r="C37" i="24"/>
  <c r="B37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B234" i="24"/>
  <c r="S209" i="24"/>
  <c r="AG199" i="24"/>
  <c r="C199" i="24"/>
  <c r="D198" i="24"/>
  <c r="C234" i="24" s="1"/>
  <c r="D197" i="24"/>
  <c r="E197" i="24" s="1"/>
  <c r="F197" i="24" s="1"/>
  <c r="G197" i="24" s="1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D196" i="24"/>
  <c r="E196" i="24" s="1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D195" i="24"/>
  <c r="E195" i="24" s="1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D194" i="24"/>
  <c r="E194" i="24" s="1"/>
  <c r="F194" i="24" s="1"/>
  <c r="G194" i="24" s="1"/>
  <c r="H194" i="24" s="1"/>
  <c r="I194" i="24" s="1"/>
  <c r="J194" i="24" s="1"/>
  <c r="K194" i="24" s="1"/>
  <c r="L194" i="24" s="1"/>
  <c r="M194" i="24" s="1"/>
  <c r="N194" i="24" s="1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B194" i="24" s="1"/>
  <c r="E193" i="24"/>
  <c r="F193" i="24" s="1"/>
  <c r="D193" i="24"/>
  <c r="D199" i="24" s="1"/>
  <c r="AG191" i="24"/>
  <c r="C191" i="24"/>
  <c r="D190" i="24"/>
  <c r="E190" i="24" s="1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H189" i="24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F189" i="24"/>
  <c r="G189" i="24" s="1"/>
  <c r="D189" i="24"/>
  <c r="E189" i="24" s="1"/>
  <c r="D188" i="24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J187" i="24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E187" i="24"/>
  <c r="F187" i="24" s="1"/>
  <c r="G187" i="24" s="1"/>
  <c r="H187" i="24" s="1"/>
  <c r="I187" i="24" s="1"/>
  <c r="D187" i="24"/>
  <c r="D186" i="24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D185" i="24"/>
  <c r="E185" i="24" s="1"/>
  <c r="F185" i="24" s="1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B185" i="24" s="1"/>
  <c r="F184" i="24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D184" i="24"/>
  <c r="E184" i="24" s="1"/>
  <c r="D183" i="24"/>
  <c r="E183" i="24" s="1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R182" i="24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H182" i="24"/>
  <c r="I182" i="24" s="1"/>
  <c r="J182" i="24" s="1"/>
  <c r="K182" i="24" s="1"/>
  <c r="L182" i="24" s="1"/>
  <c r="M182" i="24" s="1"/>
  <c r="N182" i="24" s="1"/>
  <c r="O182" i="24" s="1"/>
  <c r="P182" i="24" s="1"/>
  <c r="Q182" i="24" s="1"/>
  <c r="F182" i="24"/>
  <c r="G182" i="24" s="1"/>
  <c r="E182" i="24"/>
  <c r="D182" i="24"/>
  <c r="D181" i="24"/>
  <c r="E181" i="24" s="1"/>
  <c r="F181" i="24" s="1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D180" i="24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L179" i="24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E179" i="24"/>
  <c r="F179" i="24" s="1"/>
  <c r="G179" i="24" s="1"/>
  <c r="H179" i="24" s="1"/>
  <c r="I179" i="24" s="1"/>
  <c r="J179" i="24" s="1"/>
  <c r="K179" i="24" s="1"/>
  <c r="D179" i="24"/>
  <c r="D178" i="24"/>
  <c r="E178" i="24" s="1"/>
  <c r="F178" i="24" s="1"/>
  <c r="G178" i="24" s="1"/>
  <c r="H178" i="24" s="1"/>
  <c r="I178" i="24" s="1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B178" i="24" s="1"/>
  <c r="R176" i="24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F176" i="24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E176" i="24"/>
  <c r="D176" i="24"/>
  <c r="H175" i="24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D175" i="24"/>
  <c r="E175" i="24" s="1"/>
  <c r="F175" i="24" s="1"/>
  <c r="G175" i="24" s="1"/>
  <c r="D174" i="24"/>
  <c r="E174" i="24" s="1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D173" i="24"/>
  <c r="E173" i="24" s="1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F172" i="24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E172" i="24"/>
  <c r="D172" i="24"/>
  <c r="D171" i="24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D170" i="24"/>
  <c r="E170" i="24" s="1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D169" i="24"/>
  <c r="E169" i="24" s="1"/>
  <c r="F169" i="24" s="1"/>
  <c r="G169" i="24" s="1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B169" i="24" s="1"/>
  <c r="F167" i="24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B167" i="24" s="1"/>
  <c r="E167" i="24"/>
  <c r="D167" i="24"/>
  <c r="D166" i="24"/>
  <c r="E166" i="24" s="1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B166" i="24" s="1"/>
  <c r="O165" i="24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D165" i="24"/>
  <c r="E165" i="24" s="1"/>
  <c r="F165" i="24" s="1"/>
  <c r="G165" i="24" s="1"/>
  <c r="H165" i="24" s="1"/>
  <c r="I165" i="24" s="1"/>
  <c r="J165" i="24" s="1"/>
  <c r="K165" i="24" s="1"/>
  <c r="L165" i="24" s="1"/>
  <c r="M165" i="24" s="1"/>
  <c r="N165" i="24" s="1"/>
  <c r="D164" i="24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M163" i="24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E163" i="24"/>
  <c r="F163" i="24" s="1"/>
  <c r="G163" i="24" s="1"/>
  <c r="H163" i="24" s="1"/>
  <c r="I163" i="24" s="1"/>
  <c r="J163" i="24" s="1"/>
  <c r="K163" i="24" s="1"/>
  <c r="L163" i="24" s="1"/>
  <c r="D163" i="24"/>
  <c r="Q162" i="24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M162" i="24"/>
  <c r="N162" i="24" s="1"/>
  <c r="O162" i="24" s="1"/>
  <c r="P162" i="24" s="1"/>
  <c r="D162" i="24"/>
  <c r="E162" i="24" s="1"/>
  <c r="F162" i="24" s="1"/>
  <c r="G162" i="24" s="1"/>
  <c r="H162" i="24" s="1"/>
  <c r="I162" i="24" s="1"/>
  <c r="J162" i="24" s="1"/>
  <c r="K162" i="24" s="1"/>
  <c r="L162" i="24" s="1"/>
  <c r="D161" i="24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E160" i="24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D160" i="24"/>
  <c r="X159" i="24"/>
  <c r="Y159" i="24" s="1"/>
  <c r="Z159" i="24" s="1"/>
  <c r="AA159" i="24" s="1"/>
  <c r="AB159" i="24" s="1"/>
  <c r="AC159" i="24" s="1"/>
  <c r="AD159" i="24" s="1"/>
  <c r="AE159" i="24" s="1"/>
  <c r="AF159" i="24" s="1"/>
  <c r="B159" i="24" s="1"/>
  <c r="F159" i="24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E159" i="24"/>
  <c r="D159" i="24"/>
  <c r="AB158" i="24"/>
  <c r="AC158" i="24" s="1"/>
  <c r="AD158" i="24" s="1"/>
  <c r="AE158" i="24" s="1"/>
  <c r="AF158" i="24" s="1"/>
  <c r="B158" i="24" s="1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D157" i="24"/>
  <c r="E157" i="24" s="1"/>
  <c r="F157" i="24" s="1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X156" i="24"/>
  <c r="Y156" i="24" s="1"/>
  <c r="Z156" i="24" s="1"/>
  <c r="AA156" i="24" s="1"/>
  <c r="AB156" i="24" s="1"/>
  <c r="AC156" i="24" s="1"/>
  <c r="AD156" i="24" s="1"/>
  <c r="AE156" i="24" s="1"/>
  <c r="AF156" i="24" s="1"/>
  <c r="B156" i="24" s="1"/>
  <c r="F156" i="24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D156" i="24"/>
  <c r="E156" i="24" s="1"/>
  <c r="F155" i="24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B155" i="24" s="1"/>
  <c r="D155" i="24"/>
  <c r="E155" i="24" s="1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X152" i="24"/>
  <c r="Y152" i="24" s="1"/>
  <c r="Z152" i="24" s="1"/>
  <c r="AA152" i="24" s="1"/>
  <c r="AB152" i="24" s="1"/>
  <c r="AC152" i="24" s="1"/>
  <c r="AD152" i="24" s="1"/>
  <c r="AE152" i="24" s="1"/>
  <c r="AF152" i="24" s="1"/>
  <c r="B152" i="24" s="1"/>
  <c r="D152" i="24"/>
  <c r="E152" i="24" s="1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1" i="24"/>
  <c r="Y151" i="24" s="1"/>
  <c r="Z151" i="24" s="1"/>
  <c r="AA151" i="24" s="1"/>
  <c r="AB151" i="24" s="1"/>
  <c r="AC151" i="24" s="1"/>
  <c r="AD151" i="24" s="1"/>
  <c r="AE151" i="24" s="1"/>
  <c r="AF151" i="24" s="1"/>
  <c r="B151" i="24" s="1"/>
  <c r="F151" i="24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D151" i="24"/>
  <c r="E151" i="24" s="1"/>
  <c r="F150" i="24"/>
  <c r="G150" i="24" s="1"/>
  <c r="H150" i="24" s="1"/>
  <c r="I150" i="24" s="1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B150" i="24" s="1"/>
  <c r="D150" i="24"/>
  <c r="E150" i="24" s="1"/>
  <c r="D148" i="24"/>
  <c r="E148" i="24" s="1"/>
  <c r="F148" i="24" s="1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B148" i="24" s="1"/>
  <c r="H147" i="24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B147" i="24" s="1"/>
  <c r="F147" i="24"/>
  <c r="G147" i="24" s="1"/>
  <c r="D147" i="24"/>
  <c r="E147" i="24" s="1"/>
  <c r="Q145" i="24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H145" i="24"/>
  <c r="I145" i="24" s="1"/>
  <c r="J145" i="24" s="1"/>
  <c r="K145" i="24" s="1"/>
  <c r="L145" i="24" s="1"/>
  <c r="M145" i="24" s="1"/>
  <c r="N145" i="24" s="1"/>
  <c r="O145" i="24" s="1"/>
  <c r="P145" i="24" s="1"/>
  <c r="F145" i="24"/>
  <c r="G145" i="24" s="1"/>
  <c r="D145" i="24"/>
  <c r="E145" i="24" s="1"/>
  <c r="AE144" i="24"/>
  <c r="AF144" i="24" s="1"/>
  <c r="B144" i="24" s="1"/>
  <c r="V144" i="24"/>
  <c r="W144" i="24" s="1"/>
  <c r="X144" i="24" s="1"/>
  <c r="Y144" i="24" s="1"/>
  <c r="Z144" i="24" s="1"/>
  <c r="AA144" i="24" s="1"/>
  <c r="AB144" i="24" s="1"/>
  <c r="AC144" i="24" s="1"/>
  <c r="AD144" i="24" s="1"/>
  <c r="O144" i="24"/>
  <c r="P144" i="24" s="1"/>
  <c r="Q144" i="24" s="1"/>
  <c r="R144" i="24" s="1"/>
  <c r="S144" i="24" s="1"/>
  <c r="T144" i="24" s="1"/>
  <c r="U144" i="24" s="1"/>
  <c r="F144" i="24"/>
  <c r="G144" i="24" s="1"/>
  <c r="H144" i="24" s="1"/>
  <c r="I144" i="24" s="1"/>
  <c r="J144" i="24" s="1"/>
  <c r="K144" i="24" s="1"/>
  <c r="L144" i="24" s="1"/>
  <c r="M144" i="24" s="1"/>
  <c r="N144" i="24" s="1"/>
  <c r="D144" i="24"/>
  <c r="E144" i="24" s="1"/>
  <c r="D143" i="24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B143" i="24" s="1"/>
  <c r="H142" i="24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B142" i="24" s="1"/>
  <c r="F142" i="24"/>
  <c r="G142" i="24" s="1"/>
  <c r="D142" i="24"/>
  <c r="E142" i="24" s="1"/>
  <c r="D141" i="24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N140" i="24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B140" i="24" s="1"/>
  <c r="G140" i="24"/>
  <c r="H140" i="24" s="1"/>
  <c r="I140" i="24" s="1"/>
  <c r="J140" i="24" s="1"/>
  <c r="K140" i="24" s="1"/>
  <c r="L140" i="24" s="1"/>
  <c r="M140" i="24" s="1"/>
  <c r="F140" i="24"/>
  <c r="D140" i="24"/>
  <c r="E140" i="24" s="1"/>
  <c r="N139" i="24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B139" i="24" s="1"/>
  <c r="H139" i="24"/>
  <c r="I139" i="24" s="1"/>
  <c r="J139" i="24" s="1"/>
  <c r="K139" i="24" s="1"/>
  <c r="L139" i="24" s="1"/>
  <c r="M139" i="24" s="1"/>
  <c r="E139" i="24"/>
  <c r="F139" i="24" s="1"/>
  <c r="G139" i="24" s="1"/>
  <c r="D139" i="24"/>
  <c r="K137" i="24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G137" i="24"/>
  <c r="H137" i="24" s="1"/>
  <c r="I137" i="24" s="1"/>
  <c r="J137" i="24" s="1"/>
  <c r="E137" i="24"/>
  <c r="F137" i="24" s="1"/>
  <c r="D137" i="24"/>
  <c r="M136" i="24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J136" i="24"/>
  <c r="K136" i="24" s="1"/>
  <c r="L136" i="24" s="1"/>
  <c r="D136" i="24"/>
  <c r="E136" i="24" s="1"/>
  <c r="F136" i="24" s="1"/>
  <c r="G136" i="24" s="1"/>
  <c r="H136" i="24" s="1"/>
  <c r="I136" i="24" s="1"/>
  <c r="L135" i="24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J135" i="24"/>
  <c r="K135" i="24" s="1"/>
  <c r="G135" i="24"/>
  <c r="H135" i="24" s="1"/>
  <c r="I135" i="24" s="1"/>
  <c r="F135" i="24"/>
  <c r="D135" i="24"/>
  <c r="E135" i="24" s="1"/>
  <c r="H134" i="24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F134" i="24"/>
  <c r="G134" i="24" s="1"/>
  <c r="D134" i="24"/>
  <c r="E134" i="24" s="1"/>
  <c r="T133" i="24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B133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E132" i="24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D132" i="24"/>
  <c r="H131" i="24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G131" i="24"/>
  <c r="D131" i="24"/>
  <c r="E131" i="24" s="1"/>
  <c r="F131" i="24" s="1"/>
  <c r="E130" i="24"/>
  <c r="F130" i="24" s="1"/>
  <c r="G130" i="24" s="1"/>
  <c r="H130" i="24" s="1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B130" i="24" s="1"/>
  <c r="D130" i="24"/>
  <c r="E128" i="24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D128" i="24"/>
  <c r="E127" i="24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D126" i="24"/>
  <c r="E126" i="24" s="1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B126" i="24" s="1"/>
  <c r="I125" i="24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G125" i="24"/>
  <c r="H125" i="24" s="1"/>
  <c r="E125" i="24"/>
  <c r="F125" i="24" s="1"/>
  <c r="D125" i="24"/>
  <c r="P124" i="24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H124" i="24"/>
  <c r="I124" i="24" s="1"/>
  <c r="J124" i="24" s="1"/>
  <c r="K124" i="24" s="1"/>
  <c r="L124" i="24" s="1"/>
  <c r="M124" i="24" s="1"/>
  <c r="N124" i="24" s="1"/>
  <c r="O124" i="24" s="1"/>
  <c r="G124" i="24"/>
  <c r="E124" i="24"/>
  <c r="F124" i="24" s="1"/>
  <c r="D124" i="24"/>
  <c r="I123" i="24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F123" i="24"/>
  <c r="G123" i="24" s="1"/>
  <c r="H123" i="24" s="1"/>
  <c r="E123" i="24"/>
  <c r="D123" i="24"/>
  <c r="Q122" i="24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I122" i="24"/>
  <c r="J122" i="24" s="1"/>
  <c r="K122" i="24" s="1"/>
  <c r="L122" i="24" s="1"/>
  <c r="M122" i="24" s="1"/>
  <c r="N122" i="24" s="1"/>
  <c r="O122" i="24" s="1"/>
  <c r="P122" i="24" s="1"/>
  <c r="G122" i="24"/>
  <c r="H122" i="24" s="1"/>
  <c r="D122" i="24"/>
  <c r="E122" i="24" s="1"/>
  <c r="F122" i="24" s="1"/>
  <c r="E121" i="24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D121" i="24"/>
  <c r="D120" i="24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B120" i="24" s="1"/>
  <c r="G119" i="24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F119" i="24"/>
  <c r="E119" i="24"/>
  <c r="D119" i="24"/>
  <c r="E118" i="24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D117" i="24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B117" i="24" s="1"/>
  <c r="G116" i="24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E116" i="24"/>
  <c r="F116" i="24" s="1"/>
  <c r="D116" i="24"/>
  <c r="H115" i="24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G115" i="24"/>
  <c r="F115" i="24"/>
  <c r="E115" i="24"/>
  <c r="D115" i="24"/>
  <c r="L114" i="24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B114" i="24" s="1"/>
  <c r="D114" i="24"/>
  <c r="E114" i="24" s="1"/>
  <c r="F114" i="24" s="1"/>
  <c r="G114" i="24" s="1"/>
  <c r="H114" i="24" s="1"/>
  <c r="I114" i="24" s="1"/>
  <c r="J114" i="24" s="1"/>
  <c r="K114" i="24" s="1"/>
  <c r="O113" i="24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N113" i="24"/>
  <c r="M113" i="24"/>
  <c r="L113" i="24"/>
  <c r="K113" i="24"/>
  <c r="D113" i="24"/>
  <c r="E113" i="24" s="1"/>
  <c r="F113" i="24" s="1"/>
  <c r="G113" i="24" s="1"/>
  <c r="H113" i="24" s="1"/>
  <c r="I113" i="24" s="1"/>
  <c r="G112" i="24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F112" i="24"/>
  <c r="D112" i="24"/>
  <c r="E112" i="24" s="1"/>
  <c r="E111" i="24"/>
  <c r="F111" i="24" s="1"/>
  <c r="G111" i="24" s="1"/>
  <c r="H111" i="24" s="1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B111" i="24" s="1"/>
  <c r="D111" i="24"/>
  <c r="D109" i="24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E108" i="24"/>
  <c r="F108" i="24" s="1"/>
  <c r="G108" i="24" s="1"/>
  <c r="H108" i="24" s="1"/>
  <c r="I108" i="24" s="1"/>
  <c r="J108" i="24" s="1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B108" i="24" s="1"/>
  <c r="D108" i="24"/>
  <c r="G106" i="24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F106" i="24"/>
  <c r="D106" i="24"/>
  <c r="E106" i="24" s="1"/>
  <c r="F105" i="24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E105" i="24"/>
  <c r="D105" i="24"/>
  <c r="E104" i="24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4" i="24"/>
  <c r="G103" i="24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B103" i="24" s="1"/>
  <c r="D103" i="24"/>
  <c r="E103" i="24" s="1"/>
  <c r="F103" i="24" s="1"/>
  <c r="E102" i="24"/>
  <c r="F102" i="24" s="1"/>
  <c r="D102" i="24"/>
  <c r="F101" i="24"/>
  <c r="E101" i="24"/>
  <c r="D101" i="24"/>
  <c r="AH98" i="24"/>
  <c r="AI98" i="24" s="1"/>
  <c r="AH97" i="24"/>
  <c r="AI97" i="24" s="1"/>
  <c r="AH96" i="24"/>
  <c r="AI96" i="24" s="1"/>
  <c r="AH95" i="24"/>
  <c r="AI95" i="24" s="1"/>
  <c r="AH94" i="24"/>
  <c r="AI94" i="24" s="1"/>
  <c r="D93" i="24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AF79" i="24"/>
  <c r="AE79" i="24"/>
  <c r="AD79" i="24"/>
  <c r="AD82" i="24" s="1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B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T82" i="24" s="1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AF76" i="24"/>
  <c r="AE76" i="24"/>
  <c r="AD76" i="24"/>
  <c r="AC76" i="24"/>
  <c r="AC82" i="24" s="1"/>
  <c r="AB76" i="24"/>
  <c r="AA76" i="24"/>
  <c r="AA82" i="24" s="1"/>
  <c r="Z76" i="24"/>
  <c r="Y76" i="24"/>
  <c r="Y82" i="24" s="1"/>
  <c r="X76" i="24"/>
  <c r="W76" i="24"/>
  <c r="V76" i="24"/>
  <c r="U76" i="24"/>
  <c r="T76" i="24"/>
  <c r="S76" i="24"/>
  <c r="S82" i="24" s="1"/>
  <c r="R76" i="24"/>
  <c r="Q76" i="24"/>
  <c r="P76" i="24"/>
  <c r="O76" i="24"/>
  <c r="N76" i="24"/>
  <c r="M76" i="24"/>
  <c r="M82" i="24" s="1"/>
  <c r="L76" i="24"/>
  <c r="K76" i="24"/>
  <c r="J76" i="24"/>
  <c r="I76" i="24"/>
  <c r="H76" i="24"/>
  <c r="G76" i="24"/>
  <c r="F76" i="24"/>
  <c r="E76" i="24"/>
  <c r="D76" i="24"/>
  <c r="C76" i="24"/>
  <c r="B76" i="24"/>
  <c r="AI74" i="24"/>
  <c r="AH74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AI72" i="24" s="1"/>
  <c r="B72" i="24"/>
  <c r="AH72" i="24" s="1"/>
  <c r="AI71" i="24"/>
  <c r="AH71" i="24"/>
  <c r="AI70" i="24"/>
  <c r="AH70" i="24"/>
  <c r="AI69" i="24"/>
  <c r="AH69" i="24"/>
  <c r="AG68" i="24"/>
  <c r="AG73" i="24" s="1"/>
  <c r="AF68" i="24"/>
  <c r="AE5" i="24" s="1"/>
  <c r="AE68" i="24"/>
  <c r="AD5" i="24" s="1"/>
  <c r="AD68" i="24"/>
  <c r="AC68" i="24"/>
  <c r="AB5" i="24" s="1"/>
  <c r="AB68" i="24"/>
  <c r="AA5" i="24" s="1"/>
  <c r="AA68" i="24"/>
  <c r="Z5" i="24" s="1"/>
  <c r="Z68" i="24"/>
  <c r="Y68" i="24"/>
  <c r="X68" i="24"/>
  <c r="W68" i="24"/>
  <c r="V5" i="24" s="1"/>
  <c r="V68" i="24"/>
  <c r="U5" i="24" s="1"/>
  <c r="U68" i="24"/>
  <c r="T5" i="24" s="1"/>
  <c r="T68" i="24"/>
  <c r="S5" i="24" s="1"/>
  <c r="S68" i="24"/>
  <c r="R5" i="24" s="1"/>
  <c r="R68" i="24"/>
  <c r="Q68" i="24"/>
  <c r="P68" i="24"/>
  <c r="O5" i="24" s="1"/>
  <c r="O68" i="24"/>
  <c r="N5" i="24" s="1"/>
  <c r="N68" i="24"/>
  <c r="M5" i="24" s="1"/>
  <c r="M68" i="24"/>
  <c r="L5" i="24" s="1"/>
  <c r="L68" i="24"/>
  <c r="K5" i="24" s="1"/>
  <c r="K68" i="24"/>
  <c r="J5" i="24" s="1"/>
  <c r="J68" i="24"/>
  <c r="I5" i="24" s="1"/>
  <c r="I68" i="24"/>
  <c r="H68" i="24"/>
  <c r="G5" i="24" s="1"/>
  <c r="G68" i="24"/>
  <c r="F5" i="24" s="1"/>
  <c r="F68" i="24"/>
  <c r="E5" i="24" s="1"/>
  <c r="E68" i="24"/>
  <c r="D5" i="24" s="1"/>
  <c r="D68" i="24"/>
  <c r="C5" i="24" s="1"/>
  <c r="C68" i="24"/>
  <c r="B5" i="24" s="1"/>
  <c r="B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AI55" i="24"/>
  <c r="AH55" i="24"/>
  <c r="AI54" i="24"/>
  <c r="AH54" i="24"/>
  <c r="AI53" i="24"/>
  <c r="AH53" i="24"/>
  <c r="AG52" i="24"/>
  <c r="AG3" i="24" s="1"/>
  <c r="Z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AG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C5" i="24"/>
  <c r="W5" i="24"/>
  <c r="Q5" i="24"/>
  <c r="AG4" i="24"/>
  <c r="K4" i="24"/>
  <c r="B4" i="24"/>
  <c r="AG2" i="24"/>
  <c r="AG6" i="24" s="1"/>
  <c r="AF37" i="23"/>
  <c r="AE37" i="23"/>
  <c r="AD95" i="23"/>
  <c r="AD37" i="23"/>
  <c r="AC37" i="23"/>
  <c r="AB37" i="23"/>
  <c r="AA37" i="23"/>
  <c r="Z37" i="23"/>
  <c r="X58" i="23"/>
  <c r="X37" i="23"/>
  <c r="W37" i="23"/>
  <c r="U37" i="23"/>
  <c r="T37" i="23"/>
  <c r="S37" i="23"/>
  <c r="R37" i="23"/>
  <c r="Q37" i="23"/>
  <c r="P37" i="23"/>
  <c r="O58" i="23"/>
  <c r="O37" i="23"/>
  <c r="N58" i="23"/>
  <c r="N37" i="23"/>
  <c r="M58" i="23"/>
  <c r="M37" i="23"/>
  <c r="L37" i="23"/>
  <c r="K58" i="23"/>
  <c r="K37" i="23"/>
  <c r="J37" i="23"/>
  <c r="I37" i="23"/>
  <c r="H37" i="23"/>
  <c r="G95" i="23"/>
  <c r="G37" i="23"/>
  <c r="F95" i="23"/>
  <c r="F37" i="23"/>
  <c r="E95" i="23"/>
  <c r="E37" i="23"/>
  <c r="D95" i="23"/>
  <c r="D37" i="23"/>
  <c r="AH99" i="23"/>
  <c r="AI99" i="23" s="1"/>
  <c r="C95" i="23"/>
  <c r="C37" i="23"/>
  <c r="B95" i="23"/>
  <c r="B37" i="23"/>
  <c r="B93" i="23"/>
  <c r="B80" i="23"/>
  <c r="B79" i="23"/>
  <c r="B78" i="23"/>
  <c r="B77" i="23"/>
  <c r="B82" i="23" s="1"/>
  <c r="B76" i="23"/>
  <c r="B72" i="23"/>
  <c r="B68" i="23"/>
  <c r="B56" i="23"/>
  <c r="B51" i="23"/>
  <c r="B52" i="23" s="1"/>
  <c r="B38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B234" i="23"/>
  <c r="S209" i="23"/>
  <c r="AG199" i="23"/>
  <c r="C199" i="23"/>
  <c r="D198" i="23"/>
  <c r="D197" i="23"/>
  <c r="E197" i="23" s="1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K196" i="23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D196" i="23"/>
  <c r="E196" i="23" s="1"/>
  <c r="F196" i="23" s="1"/>
  <c r="G196" i="23" s="1"/>
  <c r="H196" i="23" s="1"/>
  <c r="I196" i="23" s="1"/>
  <c r="J196" i="23" s="1"/>
  <c r="E195" i="23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D195" i="23"/>
  <c r="P194" i="23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B194" i="23" s="1"/>
  <c r="F194" i="23"/>
  <c r="G194" i="23" s="1"/>
  <c r="H194" i="23" s="1"/>
  <c r="I194" i="23" s="1"/>
  <c r="J194" i="23" s="1"/>
  <c r="K194" i="23" s="1"/>
  <c r="L194" i="23" s="1"/>
  <c r="M194" i="23" s="1"/>
  <c r="N194" i="23" s="1"/>
  <c r="O194" i="23" s="1"/>
  <c r="D194" i="23"/>
  <c r="E194" i="23" s="1"/>
  <c r="D193" i="23"/>
  <c r="AG191" i="23"/>
  <c r="C191" i="23"/>
  <c r="L190" i="23"/>
  <c r="M190" i="23" s="1"/>
  <c r="N190" i="23" s="1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D190" i="23"/>
  <c r="E190" i="23" s="1"/>
  <c r="F190" i="23" s="1"/>
  <c r="G190" i="23" s="1"/>
  <c r="H190" i="23" s="1"/>
  <c r="I190" i="23" s="1"/>
  <c r="J190" i="23" s="1"/>
  <c r="K190" i="23" s="1"/>
  <c r="F189" i="23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E189" i="23"/>
  <c r="D189" i="23"/>
  <c r="K188" i="23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E188" i="23"/>
  <c r="F188" i="23" s="1"/>
  <c r="G188" i="23" s="1"/>
  <c r="H188" i="23" s="1"/>
  <c r="I188" i="23" s="1"/>
  <c r="J188" i="23" s="1"/>
  <c r="D188" i="23"/>
  <c r="I187" i="23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E187" i="23"/>
  <c r="F187" i="23" s="1"/>
  <c r="G187" i="23" s="1"/>
  <c r="H187" i="23" s="1"/>
  <c r="D187" i="23"/>
  <c r="G186" i="23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D186" i="23"/>
  <c r="E186" i="23" s="1"/>
  <c r="F186" i="23" s="1"/>
  <c r="M185" i="23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E185" i="23"/>
  <c r="F185" i="23" s="1"/>
  <c r="G185" i="23" s="1"/>
  <c r="H185" i="23" s="1"/>
  <c r="I185" i="23" s="1"/>
  <c r="J185" i="23" s="1"/>
  <c r="K185" i="23" s="1"/>
  <c r="L185" i="23" s="1"/>
  <c r="D185" i="23"/>
  <c r="O184" i="23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D184" i="23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T183" i="23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D183" i="23"/>
  <c r="E183" i="23" s="1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J182" i="23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H182" i="23"/>
  <c r="I182" i="23" s="1"/>
  <c r="D182" i="23"/>
  <c r="E182" i="23" s="1"/>
  <c r="F182" i="23" s="1"/>
  <c r="G182" i="23" s="1"/>
  <c r="AD181" i="23"/>
  <c r="AE181" i="23" s="1"/>
  <c r="AF181" i="23" s="1"/>
  <c r="B181" i="23" s="1"/>
  <c r="H181" i="23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F181" i="23"/>
  <c r="G181" i="23" s="1"/>
  <c r="E181" i="23"/>
  <c r="D181" i="23"/>
  <c r="T180" i="23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D180" i="23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L179" i="23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B179" i="23" s="1"/>
  <c r="D179" i="23"/>
  <c r="E179" i="23" s="1"/>
  <c r="F179" i="23" s="1"/>
  <c r="G179" i="23" s="1"/>
  <c r="H179" i="23" s="1"/>
  <c r="I179" i="23" s="1"/>
  <c r="J179" i="23" s="1"/>
  <c r="K179" i="23" s="1"/>
  <c r="AA178" i="23"/>
  <c r="AB178" i="23" s="1"/>
  <c r="AC178" i="23" s="1"/>
  <c r="AD178" i="23" s="1"/>
  <c r="AE178" i="23" s="1"/>
  <c r="AF178" i="23" s="1"/>
  <c r="B178" i="23" s="1"/>
  <c r="K178" i="23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G178" i="23"/>
  <c r="H178" i="23" s="1"/>
  <c r="I178" i="23" s="1"/>
  <c r="J178" i="23" s="1"/>
  <c r="E178" i="23"/>
  <c r="F178" i="23" s="1"/>
  <c r="D178" i="23"/>
  <c r="K176" i="23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F176" i="23"/>
  <c r="G176" i="23" s="1"/>
  <c r="H176" i="23" s="1"/>
  <c r="I176" i="23" s="1"/>
  <c r="J176" i="23" s="1"/>
  <c r="E176" i="23"/>
  <c r="D176" i="23"/>
  <c r="M175" i="23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G175" i="23"/>
  <c r="H175" i="23" s="1"/>
  <c r="I175" i="23" s="1"/>
  <c r="J175" i="23" s="1"/>
  <c r="K175" i="23" s="1"/>
  <c r="L175" i="23" s="1"/>
  <c r="E175" i="23"/>
  <c r="F175" i="23" s="1"/>
  <c r="D175" i="23"/>
  <c r="R174" i="23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E174" i="23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D174" i="23"/>
  <c r="Y173" i="23"/>
  <c r="Z173" i="23" s="1"/>
  <c r="AA173" i="23" s="1"/>
  <c r="AB173" i="23" s="1"/>
  <c r="AC173" i="23" s="1"/>
  <c r="AD173" i="23" s="1"/>
  <c r="AE173" i="23" s="1"/>
  <c r="AF173" i="23" s="1"/>
  <c r="B173" i="23" s="1"/>
  <c r="O173" i="23"/>
  <c r="P173" i="23" s="1"/>
  <c r="Q173" i="23" s="1"/>
  <c r="R173" i="23" s="1"/>
  <c r="S173" i="23" s="1"/>
  <c r="T173" i="23" s="1"/>
  <c r="U173" i="23" s="1"/>
  <c r="V173" i="23" s="1"/>
  <c r="W173" i="23" s="1"/>
  <c r="X173" i="23" s="1"/>
  <c r="E173" i="23"/>
  <c r="F173" i="23" s="1"/>
  <c r="G173" i="23" s="1"/>
  <c r="H173" i="23" s="1"/>
  <c r="I173" i="23" s="1"/>
  <c r="J173" i="23" s="1"/>
  <c r="K173" i="23" s="1"/>
  <c r="L173" i="23" s="1"/>
  <c r="M173" i="23" s="1"/>
  <c r="N173" i="23" s="1"/>
  <c r="D173" i="23"/>
  <c r="N172" i="23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E172" i="23"/>
  <c r="F172" i="23" s="1"/>
  <c r="G172" i="23" s="1"/>
  <c r="H172" i="23" s="1"/>
  <c r="I172" i="23" s="1"/>
  <c r="J172" i="23" s="1"/>
  <c r="K172" i="23" s="1"/>
  <c r="L172" i="23" s="1"/>
  <c r="M172" i="23" s="1"/>
  <c r="D172" i="23"/>
  <c r="W171" i="23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M171" i="23"/>
  <c r="N171" i="23" s="1"/>
  <c r="O171" i="23" s="1"/>
  <c r="P171" i="23" s="1"/>
  <c r="Q171" i="23" s="1"/>
  <c r="R171" i="23" s="1"/>
  <c r="S171" i="23" s="1"/>
  <c r="T171" i="23" s="1"/>
  <c r="U171" i="23" s="1"/>
  <c r="V171" i="23" s="1"/>
  <c r="D171" i="23"/>
  <c r="E171" i="23" s="1"/>
  <c r="F171" i="23" s="1"/>
  <c r="G171" i="23" s="1"/>
  <c r="H171" i="23" s="1"/>
  <c r="I171" i="23" s="1"/>
  <c r="J171" i="23" s="1"/>
  <c r="K171" i="23" s="1"/>
  <c r="L171" i="23" s="1"/>
  <c r="L170" i="23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B170" i="23" s="1"/>
  <c r="D170" i="23"/>
  <c r="E170" i="23" s="1"/>
  <c r="F170" i="23" s="1"/>
  <c r="G170" i="23" s="1"/>
  <c r="H170" i="23" s="1"/>
  <c r="I170" i="23" s="1"/>
  <c r="J170" i="23" s="1"/>
  <c r="K170" i="23" s="1"/>
  <c r="G169" i="23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B169" i="23" s="1"/>
  <c r="E169" i="23"/>
  <c r="F169" i="23" s="1"/>
  <c r="D169" i="23"/>
  <c r="E167" i="23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7" i="23"/>
  <c r="I166" i="23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G166" i="23"/>
  <c r="H166" i="23" s="1"/>
  <c r="D166" i="23"/>
  <c r="E166" i="23" s="1"/>
  <c r="F166" i="23" s="1"/>
  <c r="U165" i="23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G165" i="23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E165" i="23"/>
  <c r="F165" i="23" s="1"/>
  <c r="D165" i="23"/>
  <c r="K164" i="23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G164" i="23"/>
  <c r="H164" i="23" s="1"/>
  <c r="I164" i="23" s="1"/>
  <c r="J164" i="23" s="1"/>
  <c r="E164" i="23"/>
  <c r="F164" i="23" s="1"/>
  <c r="D164" i="23"/>
  <c r="I163" i="23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E163" i="23"/>
  <c r="F163" i="23" s="1"/>
  <c r="G163" i="23" s="1"/>
  <c r="H163" i="23" s="1"/>
  <c r="D163" i="23"/>
  <c r="K162" i="23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D162" i="23"/>
  <c r="E162" i="23" s="1"/>
  <c r="F162" i="23" s="1"/>
  <c r="G162" i="23" s="1"/>
  <c r="H162" i="23" s="1"/>
  <c r="I162" i="23" s="1"/>
  <c r="J162" i="23" s="1"/>
  <c r="W161" i="23"/>
  <c r="X161" i="23" s="1"/>
  <c r="Y161" i="23" s="1"/>
  <c r="Z161" i="23" s="1"/>
  <c r="AA161" i="23" s="1"/>
  <c r="AB161" i="23" s="1"/>
  <c r="AC161" i="23" s="1"/>
  <c r="AD161" i="23" s="1"/>
  <c r="AE161" i="23" s="1"/>
  <c r="AF161" i="23" s="1"/>
  <c r="B161" i="23" s="1"/>
  <c r="I161" i="23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G161" i="23"/>
  <c r="H161" i="23" s="1"/>
  <c r="E161" i="23"/>
  <c r="F161" i="23" s="1"/>
  <c r="D161" i="23"/>
  <c r="E160" i="23"/>
  <c r="F160" i="23" s="1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D160" i="23"/>
  <c r="E159" i="23"/>
  <c r="F159" i="23" s="1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D159" i="23"/>
  <c r="N158" i="23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D158" i="23"/>
  <c r="E158" i="23" s="1"/>
  <c r="F158" i="23" s="1"/>
  <c r="G158" i="23" s="1"/>
  <c r="H158" i="23" s="1"/>
  <c r="I158" i="23" s="1"/>
  <c r="J158" i="23" s="1"/>
  <c r="K158" i="23" s="1"/>
  <c r="L158" i="23" s="1"/>
  <c r="M158" i="23" s="1"/>
  <c r="G157" i="23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D157" i="23"/>
  <c r="E157" i="23" s="1"/>
  <c r="F157" i="23" s="1"/>
  <c r="J156" i="23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D156" i="23"/>
  <c r="E156" i="23" s="1"/>
  <c r="F156" i="23" s="1"/>
  <c r="G156" i="23" s="1"/>
  <c r="H156" i="23" s="1"/>
  <c r="I156" i="23" s="1"/>
  <c r="O155" i="23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B155" i="23" s="1"/>
  <c r="G155" i="23"/>
  <c r="H155" i="23" s="1"/>
  <c r="I155" i="23" s="1"/>
  <c r="J155" i="23" s="1"/>
  <c r="K155" i="23" s="1"/>
  <c r="L155" i="23" s="1"/>
  <c r="M155" i="23" s="1"/>
  <c r="N155" i="23" s="1"/>
  <c r="D155" i="23"/>
  <c r="E155" i="23" s="1"/>
  <c r="F155" i="23" s="1"/>
  <c r="E153" i="23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D153" i="23"/>
  <c r="F152" i="23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E152" i="23"/>
  <c r="D152" i="23"/>
  <c r="Q151" i="23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I151" i="23"/>
  <c r="J151" i="23" s="1"/>
  <c r="K151" i="23" s="1"/>
  <c r="L151" i="23" s="1"/>
  <c r="M151" i="23" s="1"/>
  <c r="N151" i="23" s="1"/>
  <c r="O151" i="23" s="1"/>
  <c r="P151" i="23" s="1"/>
  <c r="D151" i="23"/>
  <c r="E151" i="23" s="1"/>
  <c r="F151" i="23" s="1"/>
  <c r="G151" i="23" s="1"/>
  <c r="H151" i="23" s="1"/>
  <c r="W150" i="23"/>
  <c r="X150" i="23" s="1"/>
  <c r="Y150" i="23" s="1"/>
  <c r="Z150" i="23" s="1"/>
  <c r="AA150" i="23" s="1"/>
  <c r="AB150" i="23" s="1"/>
  <c r="AC150" i="23" s="1"/>
  <c r="AD150" i="23" s="1"/>
  <c r="AE150" i="23" s="1"/>
  <c r="AF150" i="23" s="1"/>
  <c r="B150" i="23" s="1"/>
  <c r="G150" i="23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D150" i="23"/>
  <c r="E150" i="23" s="1"/>
  <c r="F150" i="23" s="1"/>
  <c r="H148" i="23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E148" i="23"/>
  <c r="F148" i="23" s="1"/>
  <c r="G148" i="23" s="1"/>
  <c r="D148" i="23"/>
  <c r="AD147" i="23"/>
  <c r="AE147" i="23" s="1"/>
  <c r="AF147" i="23" s="1"/>
  <c r="B147" i="23" s="1"/>
  <c r="AA147" i="23"/>
  <c r="AB147" i="23" s="1"/>
  <c r="AC147" i="23" s="1"/>
  <c r="K147" i="23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F147" i="23"/>
  <c r="G147" i="23" s="1"/>
  <c r="H147" i="23" s="1"/>
  <c r="I147" i="23" s="1"/>
  <c r="J147" i="23" s="1"/>
  <c r="E147" i="23"/>
  <c r="D147" i="23"/>
  <c r="L145" i="23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E145" i="23"/>
  <c r="F145" i="23" s="1"/>
  <c r="G145" i="23" s="1"/>
  <c r="H145" i="23" s="1"/>
  <c r="I145" i="23" s="1"/>
  <c r="J145" i="23" s="1"/>
  <c r="K145" i="23" s="1"/>
  <c r="D145" i="23"/>
  <c r="G144" i="23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D144" i="23"/>
  <c r="E144" i="23" s="1"/>
  <c r="F144" i="23" s="1"/>
  <c r="R143" i="23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E143" i="23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D143" i="23"/>
  <c r="F142" i="23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E142" i="23"/>
  <c r="D142" i="23"/>
  <c r="E141" i="23"/>
  <c r="F141" i="23" s="1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D141" i="23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B140" i="23" s="1"/>
  <c r="R139" i="23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B139" i="23" s="1"/>
  <c r="Q139" i="23"/>
  <c r="I139" i="23"/>
  <c r="J139" i="23" s="1"/>
  <c r="K139" i="23" s="1"/>
  <c r="L139" i="23" s="1"/>
  <c r="M139" i="23" s="1"/>
  <c r="N139" i="23" s="1"/>
  <c r="O139" i="23" s="1"/>
  <c r="P139" i="23" s="1"/>
  <c r="H139" i="23"/>
  <c r="E139" i="23"/>
  <c r="F139" i="23" s="1"/>
  <c r="G139" i="23" s="1"/>
  <c r="D139" i="23"/>
  <c r="F137" i="23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E137" i="23"/>
  <c r="D137" i="23"/>
  <c r="AB136" i="23"/>
  <c r="AC136" i="23" s="1"/>
  <c r="AD136" i="23" s="1"/>
  <c r="AE136" i="23" s="1"/>
  <c r="AF136" i="23" s="1"/>
  <c r="B136" i="23" s="1"/>
  <c r="F136" i="23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E136" i="23"/>
  <c r="D136" i="23"/>
  <c r="E135" i="23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D135" i="23"/>
  <c r="D134" i="23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F133" i="23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E133" i="23"/>
  <c r="D133" i="23"/>
  <c r="D132" i="23"/>
  <c r="E132" i="23" s="1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F131" i="23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D131" i="23"/>
  <c r="E131" i="23" s="1"/>
  <c r="D130" i="23"/>
  <c r="E130" i="23" s="1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B130" i="23" s="1"/>
  <c r="F128" i="23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E128" i="23"/>
  <c r="D128" i="23"/>
  <c r="Q127" i="23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7" i="23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F126" i="23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D126" i="23"/>
  <c r="E126" i="23" s="1"/>
  <c r="D125" i="23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F124" i="23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E124" i="23"/>
  <c r="D124" i="23"/>
  <c r="H123" i="23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F123" i="23"/>
  <c r="G123" i="23" s="1"/>
  <c r="D123" i="23"/>
  <c r="E123" i="23" s="1"/>
  <c r="F122" i="23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D122" i="23"/>
  <c r="E122" i="23" s="1"/>
  <c r="D121" i="23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H120" i="23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F120" i="23"/>
  <c r="G120" i="23" s="1"/>
  <c r="E120" i="23"/>
  <c r="D120" i="23"/>
  <c r="D119" i="23"/>
  <c r="E119" i="23" s="1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F118" i="23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D118" i="23"/>
  <c r="E118" i="23" s="1"/>
  <c r="D117" i="23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E116" i="23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D116" i="23"/>
  <c r="G115" i="23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D115" i="23"/>
  <c r="E115" i="23" s="1"/>
  <c r="F115" i="23" s="1"/>
  <c r="E114" i="23"/>
  <c r="F114" i="23" s="1"/>
  <c r="D114" i="23"/>
  <c r="L113" i="23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K113" i="23"/>
  <c r="D113" i="23"/>
  <c r="E113" i="23" s="1"/>
  <c r="F113" i="23" s="1"/>
  <c r="G113" i="23" s="1"/>
  <c r="H113" i="23" s="1"/>
  <c r="I113" i="23" s="1"/>
  <c r="H112" i="23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D112" i="23"/>
  <c r="E112" i="23" s="1"/>
  <c r="F112" i="23" s="1"/>
  <c r="G112" i="23" s="1"/>
  <c r="F111" i="23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B111" i="23" s="1"/>
  <c r="E111" i="23"/>
  <c r="D111" i="23"/>
  <c r="D109" i="23"/>
  <c r="E109" i="23" s="1"/>
  <c r="F109" i="23" s="1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F108" i="23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B108" i="23" s="1"/>
  <c r="D108" i="23"/>
  <c r="E108" i="23" s="1"/>
  <c r="G106" i="23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D106" i="23"/>
  <c r="E106" i="23" s="1"/>
  <c r="F106" i="23" s="1"/>
  <c r="E105" i="23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D105" i="23"/>
  <c r="D104" i="23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D103" i="23"/>
  <c r="E103" i="23" s="1"/>
  <c r="F103" i="23" s="1"/>
  <c r="G103" i="23" s="1"/>
  <c r="H103" i="23" s="1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B103" i="23" s="1"/>
  <c r="E102" i="23"/>
  <c r="F102" i="23" s="1"/>
  <c r="G102" i="23" s="1"/>
  <c r="D102" i="23"/>
  <c r="E101" i="23"/>
  <c r="D101" i="23"/>
  <c r="AH98" i="23"/>
  <c r="AI98" i="23" s="1"/>
  <c r="AH97" i="23"/>
  <c r="AI97" i="23" s="1"/>
  <c r="AH96" i="23"/>
  <c r="AI96" i="23" s="1"/>
  <c r="AH95" i="23"/>
  <c r="AI95" i="23" s="1"/>
  <c r="AH94" i="23"/>
  <c r="AI94" i="23" s="1"/>
  <c r="D93" i="23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AF76" i="23"/>
  <c r="AE76" i="23"/>
  <c r="AD76" i="23"/>
  <c r="AC76" i="23"/>
  <c r="AB76" i="23"/>
  <c r="AB82" i="23" s="1"/>
  <c r="AA76" i="23"/>
  <c r="Z76" i="23"/>
  <c r="Y76" i="23"/>
  <c r="X76" i="23"/>
  <c r="W76" i="23"/>
  <c r="V76" i="23"/>
  <c r="U76" i="23"/>
  <c r="U82" i="23" s="1"/>
  <c r="T76" i="23"/>
  <c r="T82" i="23" s="1"/>
  <c r="S76" i="23"/>
  <c r="R76" i="23"/>
  <c r="Q76" i="23"/>
  <c r="P76" i="23"/>
  <c r="O76" i="23"/>
  <c r="O82" i="23" s="1"/>
  <c r="N76" i="23"/>
  <c r="M76" i="23"/>
  <c r="L76" i="23"/>
  <c r="L82" i="23" s="1"/>
  <c r="K76" i="23"/>
  <c r="J76" i="23"/>
  <c r="I76" i="23"/>
  <c r="H76" i="23"/>
  <c r="G76" i="23"/>
  <c r="F76" i="23"/>
  <c r="E76" i="23"/>
  <c r="D76" i="23"/>
  <c r="C76" i="23"/>
  <c r="AI74" i="23"/>
  <c r="AH74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AI71" i="23"/>
  <c r="AH71" i="23"/>
  <c r="AI70" i="23"/>
  <c r="AH70" i="23"/>
  <c r="AI69" i="23"/>
  <c r="AH69" i="23"/>
  <c r="AG68" i="23"/>
  <c r="AF68" i="23"/>
  <c r="AE5" i="23" s="1"/>
  <c r="AE68" i="23"/>
  <c r="AD5" i="23" s="1"/>
  <c r="AD68" i="23"/>
  <c r="AC68" i="23"/>
  <c r="AB5" i="23" s="1"/>
  <c r="AB68" i="23"/>
  <c r="AA5" i="23" s="1"/>
  <c r="AA68" i="23"/>
  <c r="Z68" i="23"/>
  <c r="Y5" i="23" s="1"/>
  <c r="Y68" i="23"/>
  <c r="X68" i="23"/>
  <c r="W68" i="23"/>
  <c r="V68" i="23"/>
  <c r="U68" i="23"/>
  <c r="T5" i="23" s="1"/>
  <c r="T68" i="23"/>
  <c r="S5" i="23" s="1"/>
  <c r="S68" i="23"/>
  <c r="R5" i="23" s="1"/>
  <c r="R68" i="23"/>
  <c r="Q5" i="23" s="1"/>
  <c r="Q68" i="23"/>
  <c r="P5" i="23" s="1"/>
  <c r="P68" i="23"/>
  <c r="O5" i="23" s="1"/>
  <c r="O68" i="23"/>
  <c r="N5" i="23" s="1"/>
  <c r="N68" i="23"/>
  <c r="M68" i="23"/>
  <c r="L68" i="23"/>
  <c r="K68" i="23"/>
  <c r="J5" i="23" s="1"/>
  <c r="J68" i="23"/>
  <c r="I5" i="23" s="1"/>
  <c r="I68" i="23"/>
  <c r="H5" i="23" s="1"/>
  <c r="H68" i="23"/>
  <c r="G5" i="23" s="1"/>
  <c r="G68" i="23"/>
  <c r="F5" i="23" s="1"/>
  <c r="F68" i="23"/>
  <c r="E68" i="23"/>
  <c r="D5" i="23" s="1"/>
  <c r="D68" i="23"/>
  <c r="C5" i="23" s="1"/>
  <c r="C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AI55" i="23"/>
  <c r="AH55" i="23"/>
  <c r="AI54" i="23"/>
  <c r="AH54" i="23"/>
  <c r="AI53" i="23"/>
  <c r="AH53" i="23"/>
  <c r="Z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AG51" i="23"/>
  <c r="AG52" i="23" s="1"/>
  <c r="AG3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G2" i="23" s="1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P75" i="23" s="1"/>
  <c r="AH213" i="23" s="1"/>
  <c r="O38" i="23"/>
  <c r="N38" i="23"/>
  <c r="M38" i="23"/>
  <c r="L38" i="23"/>
  <c r="K38" i="23"/>
  <c r="J38" i="23"/>
  <c r="I38" i="23"/>
  <c r="H38" i="23"/>
  <c r="G38" i="23"/>
  <c r="F38" i="23"/>
  <c r="E38" i="23"/>
  <c r="D38" i="23"/>
  <c r="D75" i="23" s="1"/>
  <c r="C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Z5" i="23"/>
  <c r="X5" i="23"/>
  <c r="W5" i="23"/>
  <c r="V5" i="23"/>
  <c r="L5" i="23"/>
  <c r="K5" i="23"/>
  <c r="B5" i="23"/>
  <c r="AG4" i="23"/>
  <c r="K4" i="23"/>
  <c r="B4" i="23"/>
  <c r="AF95" i="22"/>
  <c r="AF37" i="22"/>
  <c r="AE95" i="22"/>
  <c r="X37" i="22"/>
  <c r="W37" i="22"/>
  <c r="W58" i="22"/>
  <c r="V37" i="22"/>
  <c r="U37" i="22"/>
  <c r="T37" i="22"/>
  <c r="S37" i="22"/>
  <c r="R37" i="22"/>
  <c r="Q37" i="22"/>
  <c r="P37" i="22"/>
  <c r="O37" i="22"/>
  <c r="N37" i="22"/>
  <c r="M37" i="22"/>
  <c r="B56" i="22"/>
  <c r="B51" i="22"/>
  <c r="B52" i="22" s="1"/>
  <c r="B38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D234" i="22"/>
  <c r="C234" i="22"/>
  <c r="B234" i="22"/>
  <c r="S209" i="22"/>
  <c r="AG199" i="22"/>
  <c r="C199" i="22"/>
  <c r="G198" i="22"/>
  <c r="F198" i="22"/>
  <c r="E234" i="22" s="1"/>
  <c r="E198" i="22"/>
  <c r="D198" i="22"/>
  <c r="K197" i="22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I197" i="22"/>
  <c r="J197" i="22" s="1"/>
  <c r="E197" i="22"/>
  <c r="F197" i="22" s="1"/>
  <c r="G197" i="22" s="1"/>
  <c r="H197" i="22" s="1"/>
  <c r="D197" i="22"/>
  <c r="G196" i="22"/>
  <c r="H196" i="22" s="1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F196" i="22"/>
  <c r="E196" i="22"/>
  <c r="D196" i="22"/>
  <c r="E195" i="22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D195" i="22"/>
  <c r="D194" i="22"/>
  <c r="E194" i="22" s="1"/>
  <c r="F194" i="22" s="1"/>
  <c r="G194" i="22" s="1"/>
  <c r="H194" i="22" s="1"/>
  <c r="I194" i="22" s="1"/>
  <c r="J194" i="22" s="1"/>
  <c r="K194" i="22" s="1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V194" i="22" s="1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B194" i="22" s="1"/>
  <c r="D193" i="22"/>
  <c r="D199" i="22" s="1"/>
  <c r="AG191" i="22"/>
  <c r="C191" i="22"/>
  <c r="I190" i="22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G190" i="22"/>
  <c r="H190" i="22" s="1"/>
  <c r="F190" i="22"/>
  <c r="E190" i="22"/>
  <c r="D190" i="22"/>
  <c r="F189" i="22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E189" i="22"/>
  <c r="D189" i="22"/>
  <c r="D188" i="22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E187" i="22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7" i="22"/>
  <c r="F186" i="22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E186" i="22"/>
  <c r="D186" i="22"/>
  <c r="T185" i="22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B185" i="22" s="1"/>
  <c r="P185" i="22"/>
  <c r="Q185" i="22" s="1"/>
  <c r="R185" i="22" s="1"/>
  <c r="S185" i="22" s="1"/>
  <c r="E185" i="22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D185" i="22"/>
  <c r="D184" i="22"/>
  <c r="E184" i="22" s="1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P183" i="22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M183" i="22"/>
  <c r="N183" i="22" s="1"/>
  <c r="O183" i="22" s="1"/>
  <c r="D183" i="22"/>
  <c r="E183" i="22" s="1"/>
  <c r="F183" i="22" s="1"/>
  <c r="G183" i="22" s="1"/>
  <c r="H183" i="22" s="1"/>
  <c r="I183" i="22" s="1"/>
  <c r="J183" i="22" s="1"/>
  <c r="K183" i="22" s="1"/>
  <c r="L183" i="22" s="1"/>
  <c r="E182" i="22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D182" i="22"/>
  <c r="H181" i="22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D181" i="22"/>
  <c r="E181" i="22" s="1"/>
  <c r="F181" i="22" s="1"/>
  <c r="G181" i="22" s="1"/>
  <c r="D180" i="22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I179" i="22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D179" i="22"/>
  <c r="E179" i="22" s="1"/>
  <c r="F179" i="22" s="1"/>
  <c r="G179" i="22" s="1"/>
  <c r="H179" i="22" s="1"/>
  <c r="E178" i="22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B178" i="22" s="1"/>
  <c r="D178" i="22"/>
  <c r="H176" i="22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D176" i="22"/>
  <c r="E176" i="22" s="1"/>
  <c r="F176" i="22" s="1"/>
  <c r="G176" i="22" s="1"/>
  <c r="J175" i="22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I175" i="22"/>
  <c r="F175" i="22"/>
  <c r="G175" i="22" s="1"/>
  <c r="H175" i="22" s="1"/>
  <c r="D175" i="22"/>
  <c r="E175" i="22" s="1"/>
  <c r="Q174" i="22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D174" i="22"/>
  <c r="E174" i="22" s="1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P173" i="22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E173" i="22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D173" i="22"/>
  <c r="X172" i="22"/>
  <c r="Y172" i="22" s="1"/>
  <c r="Z172" i="22" s="1"/>
  <c r="AA172" i="22" s="1"/>
  <c r="AB172" i="22" s="1"/>
  <c r="AC172" i="22" s="1"/>
  <c r="AD172" i="22" s="1"/>
  <c r="AE172" i="22" s="1"/>
  <c r="AF172" i="22" s="1"/>
  <c r="B172" i="22" s="1"/>
  <c r="D172" i="22"/>
  <c r="E172" i="22" s="1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1" i="22"/>
  <c r="Y171" i="22" s="1"/>
  <c r="Z171" i="22" s="1"/>
  <c r="AA171" i="22" s="1"/>
  <c r="AB171" i="22" s="1"/>
  <c r="AC171" i="22" s="1"/>
  <c r="AD171" i="22" s="1"/>
  <c r="AE171" i="22" s="1"/>
  <c r="AF171" i="22" s="1"/>
  <c r="B171" i="22" s="1"/>
  <c r="D171" i="22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G170" i="22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F170" i="22"/>
  <c r="D170" i="22"/>
  <c r="E170" i="22" s="1"/>
  <c r="J169" i="22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B169" i="22" s="1"/>
  <c r="F169" i="22"/>
  <c r="G169" i="22" s="1"/>
  <c r="H169" i="22" s="1"/>
  <c r="I169" i="22" s="1"/>
  <c r="E169" i="22"/>
  <c r="D169" i="22"/>
  <c r="J167" i="22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E167" i="22"/>
  <c r="F167" i="22" s="1"/>
  <c r="G167" i="22" s="1"/>
  <c r="H167" i="22" s="1"/>
  <c r="I167" i="22" s="1"/>
  <c r="D167" i="22"/>
  <c r="X166" i="22"/>
  <c r="Y166" i="22" s="1"/>
  <c r="Z166" i="22" s="1"/>
  <c r="AA166" i="22" s="1"/>
  <c r="AB166" i="22" s="1"/>
  <c r="AC166" i="22" s="1"/>
  <c r="AD166" i="22" s="1"/>
  <c r="AE166" i="22" s="1"/>
  <c r="AF166" i="22" s="1"/>
  <c r="B166" i="22" s="1"/>
  <c r="H166" i="22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E166" i="22"/>
  <c r="F166" i="22" s="1"/>
  <c r="G166" i="22" s="1"/>
  <c r="D166" i="22"/>
  <c r="H165" i="22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F165" i="22"/>
  <c r="G165" i="22" s="1"/>
  <c r="E165" i="22"/>
  <c r="D165" i="22"/>
  <c r="I164" i="22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G164" i="22"/>
  <c r="H164" i="22" s="1"/>
  <c r="F164" i="22"/>
  <c r="D164" i="22"/>
  <c r="E164" i="22" s="1"/>
  <c r="G163" i="22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E163" i="22"/>
  <c r="F163" i="22" s="1"/>
  <c r="D163" i="22"/>
  <c r="U162" i="22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E162" i="22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D162" i="22"/>
  <c r="H161" i="22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F161" i="22"/>
  <c r="G161" i="22" s="1"/>
  <c r="E161" i="22"/>
  <c r="D161" i="22"/>
  <c r="H160" i="22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F160" i="22"/>
  <c r="G160" i="22" s="1"/>
  <c r="D160" i="22"/>
  <c r="E160" i="22" s="1"/>
  <c r="F159" i="22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D159" i="22"/>
  <c r="E159" i="22" s="1"/>
  <c r="D158" i="22"/>
  <c r="E158" i="22" s="1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J157" i="22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E157" i="22"/>
  <c r="F157" i="22" s="1"/>
  <c r="G157" i="22" s="1"/>
  <c r="H157" i="22" s="1"/>
  <c r="I157" i="22" s="1"/>
  <c r="D157" i="22"/>
  <c r="H156" i="22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D156" i="22"/>
  <c r="E156" i="22" s="1"/>
  <c r="F156" i="22" s="1"/>
  <c r="G156" i="22" s="1"/>
  <c r="AD155" i="22"/>
  <c r="AE155" i="22" s="1"/>
  <c r="AF155" i="22" s="1"/>
  <c r="B155" i="22" s="1"/>
  <c r="F155" i="22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D155" i="22"/>
  <c r="E155" i="22" s="1"/>
  <c r="D153" i="22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E152" i="22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D152" i="22"/>
  <c r="AA151" i="22"/>
  <c r="AB151" i="22" s="1"/>
  <c r="AC151" i="22" s="1"/>
  <c r="AD151" i="22" s="1"/>
  <c r="AE151" i="22" s="1"/>
  <c r="AF151" i="22" s="1"/>
  <c r="B151" i="22" s="1"/>
  <c r="D151" i="22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D150" i="22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B150" i="22" s="1"/>
  <c r="D148" i="22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D147" i="22"/>
  <c r="E147" i="22" s="1"/>
  <c r="F147" i="22" s="1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B147" i="22" s="1"/>
  <c r="F145" i="22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D145" i="22"/>
  <c r="E145" i="22" s="1"/>
  <c r="E144" i="22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D144" i="22"/>
  <c r="D143" i="22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N142" i="22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E142" i="22"/>
  <c r="F142" i="22" s="1"/>
  <c r="G142" i="22" s="1"/>
  <c r="H142" i="22" s="1"/>
  <c r="I142" i="22" s="1"/>
  <c r="J142" i="22" s="1"/>
  <c r="K142" i="22" s="1"/>
  <c r="L142" i="22" s="1"/>
  <c r="M142" i="22" s="1"/>
  <c r="D142" i="22"/>
  <c r="K141" i="22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E141" i="22"/>
  <c r="F141" i="22" s="1"/>
  <c r="G141" i="22" s="1"/>
  <c r="H141" i="22" s="1"/>
  <c r="I141" i="22" s="1"/>
  <c r="J141" i="22" s="1"/>
  <c r="D141" i="22"/>
  <c r="I140" i="22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D140" i="22"/>
  <c r="E140" i="22" s="1"/>
  <c r="F140" i="22" s="1"/>
  <c r="G140" i="22" s="1"/>
  <c r="H140" i="22" s="1"/>
  <c r="G139" i="22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B139" i="22" s="1"/>
  <c r="D139" i="22"/>
  <c r="E139" i="22" s="1"/>
  <c r="F139" i="22" s="1"/>
  <c r="E137" i="22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D137" i="22"/>
  <c r="E136" i="22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D136" i="22"/>
  <c r="D135" i="22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D134" i="22"/>
  <c r="E134" i="22" s="1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M133" i="22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E133" i="22"/>
  <c r="F133" i="22" s="1"/>
  <c r="G133" i="22" s="1"/>
  <c r="H133" i="22" s="1"/>
  <c r="I133" i="22" s="1"/>
  <c r="J133" i="22" s="1"/>
  <c r="K133" i="22" s="1"/>
  <c r="L133" i="22" s="1"/>
  <c r="D133" i="22"/>
  <c r="K132" i="22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E132" i="22"/>
  <c r="F132" i="22" s="1"/>
  <c r="G132" i="22" s="1"/>
  <c r="H132" i="22" s="1"/>
  <c r="I132" i="22" s="1"/>
  <c r="J132" i="22" s="1"/>
  <c r="D132" i="22"/>
  <c r="I131" i="22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D131" i="22"/>
  <c r="E131" i="22" s="1"/>
  <c r="F131" i="22" s="1"/>
  <c r="G131" i="22" s="1"/>
  <c r="H131" i="22" s="1"/>
  <c r="G130" i="22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B130" i="22" s="1"/>
  <c r="D130" i="22"/>
  <c r="E130" i="22" s="1"/>
  <c r="F130" i="22" s="1"/>
  <c r="E128" i="22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D128" i="22"/>
  <c r="E127" i="22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7" i="22"/>
  <c r="D126" i="22"/>
  <c r="E126" i="22" s="1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D125" i="22"/>
  <c r="E125" i="22" s="1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M124" i="22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E124" i="22"/>
  <c r="F124" i="22" s="1"/>
  <c r="G124" i="22" s="1"/>
  <c r="H124" i="22" s="1"/>
  <c r="I124" i="22" s="1"/>
  <c r="J124" i="22" s="1"/>
  <c r="K124" i="22" s="1"/>
  <c r="L124" i="22" s="1"/>
  <c r="D124" i="22"/>
  <c r="F123" i="22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E123" i="22"/>
  <c r="D123" i="22"/>
  <c r="D122" i="22"/>
  <c r="E122" i="22" s="1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G121" i="22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D121" i="22"/>
  <c r="E121" i="22" s="1"/>
  <c r="F121" i="22" s="1"/>
  <c r="G120" i="22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E120" i="22"/>
  <c r="F120" i="22" s="1"/>
  <c r="D120" i="22"/>
  <c r="F119" i="22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E119" i="22"/>
  <c r="D119" i="22"/>
  <c r="F118" i="22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D118" i="22"/>
  <c r="E118" i="22" s="1"/>
  <c r="D117" i="22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E116" i="22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D116" i="22"/>
  <c r="E115" i="22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D115" i="22"/>
  <c r="D114" i="22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L113" i="22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K113" i="22"/>
  <c r="H113" i="22"/>
  <c r="I113" i="22" s="1"/>
  <c r="F113" i="22"/>
  <c r="G113" i="22" s="1"/>
  <c r="E113" i="22"/>
  <c r="D113" i="22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D111" i="22"/>
  <c r="E111" i="22" s="1"/>
  <c r="F111" i="22" s="1"/>
  <c r="G111" i="22" s="1"/>
  <c r="H111" i="22" s="1"/>
  <c r="I111" i="22" s="1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B111" i="22" s="1"/>
  <c r="E109" i="22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9" i="22"/>
  <c r="F108" i="22"/>
  <c r="G108" i="22" s="1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B108" i="22" s="1"/>
  <c r="E108" i="22"/>
  <c r="D108" i="22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E105" i="22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D105" i="22"/>
  <c r="J104" i="22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H104" i="22"/>
  <c r="I104" i="22" s="1"/>
  <c r="E104" i="22"/>
  <c r="F104" i="22" s="1"/>
  <c r="G104" i="22" s="1"/>
  <c r="D104" i="22"/>
  <c r="D103" i="22"/>
  <c r="E103" i="22" s="1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B103" i="22" s="1"/>
  <c r="D102" i="22"/>
  <c r="E102" i="22" s="1"/>
  <c r="F102" i="22" s="1"/>
  <c r="D101" i="22"/>
  <c r="AH99" i="22"/>
  <c r="AI99" i="22" s="1"/>
  <c r="AH98" i="22"/>
  <c r="AI98" i="22" s="1"/>
  <c r="AH97" i="22"/>
  <c r="AI97" i="22" s="1"/>
  <c r="AH96" i="22"/>
  <c r="AI96" i="22" s="1"/>
  <c r="AH95" i="22"/>
  <c r="AI95" i="22" s="1"/>
  <c r="AH94" i="22"/>
  <c r="AI94" i="22" s="1"/>
  <c r="D93" i="22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Y82" i="22"/>
  <c r="AI81" i="22"/>
  <c r="AH81" i="22"/>
  <c r="AF80" i="22"/>
  <c r="AE80" i="22"/>
  <c r="AD80" i="22"/>
  <c r="AC80" i="22"/>
  <c r="AB80" i="22"/>
  <c r="AA80" i="22"/>
  <c r="Z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B80" i="22"/>
  <c r="AF79" i="22"/>
  <c r="AE79" i="22"/>
  <c r="AD79" i="22"/>
  <c r="AC79" i="22"/>
  <c r="AB79" i="22"/>
  <c r="AA79" i="22"/>
  <c r="Z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F78" i="22"/>
  <c r="AE78" i="22"/>
  <c r="AD78" i="22"/>
  <c r="AC78" i="22"/>
  <c r="AB78" i="22"/>
  <c r="AA78" i="22"/>
  <c r="Z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F77" i="22"/>
  <c r="AE77" i="22"/>
  <c r="AD77" i="22"/>
  <c r="AC77" i="22"/>
  <c r="AB77" i="22"/>
  <c r="AA77" i="22"/>
  <c r="Z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AF76" i="22"/>
  <c r="AE76" i="22"/>
  <c r="AD76" i="22"/>
  <c r="AC76" i="22"/>
  <c r="AB76" i="22"/>
  <c r="AA76" i="22"/>
  <c r="Z76" i="22"/>
  <c r="Z82" i="22" s="1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AI74" i="22"/>
  <c r="AH74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AI71" i="22"/>
  <c r="AH71" i="22"/>
  <c r="AI70" i="22"/>
  <c r="AH70" i="22"/>
  <c r="AI69" i="22"/>
  <c r="AH69" i="22"/>
  <c r="AG68" i="22"/>
  <c r="AG73" i="22" s="1"/>
  <c r="AF68" i="22"/>
  <c r="AE5" i="22" s="1"/>
  <c r="AE68" i="22"/>
  <c r="AD5" i="22" s="1"/>
  <c r="AD68" i="22"/>
  <c r="AC68" i="22"/>
  <c r="AB5" i="22" s="1"/>
  <c r="AB68" i="22"/>
  <c r="AA5" i="22" s="1"/>
  <c r="AA68" i="22"/>
  <c r="Z5" i="22" s="1"/>
  <c r="Z68" i="22"/>
  <c r="Y68" i="22"/>
  <c r="X68" i="22"/>
  <c r="W68" i="22"/>
  <c r="V5" i="22" s="1"/>
  <c r="V68" i="22"/>
  <c r="U68" i="22"/>
  <c r="T5" i="22" s="1"/>
  <c r="T68" i="22"/>
  <c r="S5" i="22" s="1"/>
  <c r="S68" i="22"/>
  <c r="R5" i="22" s="1"/>
  <c r="R68" i="22"/>
  <c r="Q5" i="22" s="1"/>
  <c r="Q68" i="22"/>
  <c r="P68" i="22"/>
  <c r="O5" i="22" s="1"/>
  <c r="O68" i="22"/>
  <c r="N5" i="22" s="1"/>
  <c r="N68" i="22"/>
  <c r="M68" i="22"/>
  <c r="L68" i="22"/>
  <c r="K5" i="22" s="1"/>
  <c r="K68" i="22"/>
  <c r="J5" i="22" s="1"/>
  <c r="J68" i="22"/>
  <c r="I5" i="22" s="1"/>
  <c r="I68" i="22"/>
  <c r="H68" i="22"/>
  <c r="G5" i="22" s="1"/>
  <c r="G68" i="22"/>
  <c r="F5" i="22" s="1"/>
  <c r="F68" i="22"/>
  <c r="E68" i="22"/>
  <c r="D5" i="22" s="1"/>
  <c r="D68" i="22"/>
  <c r="C5" i="22" s="1"/>
  <c r="C68" i="22"/>
  <c r="B68" i="22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G4" i="22" s="1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AI55" i="22"/>
  <c r="AH55" i="22"/>
  <c r="AI54" i="22"/>
  <c r="AH54" i="22"/>
  <c r="AI53" i="22"/>
  <c r="AH53" i="22"/>
  <c r="AG52" i="22"/>
  <c r="Z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G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E73" i="22" s="1"/>
  <c r="D38" i="22"/>
  <c r="C38" i="22"/>
  <c r="AI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Y5" i="22"/>
  <c r="W5" i="22"/>
  <c r="L5" i="22"/>
  <c r="B5" i="22"/>
  <c r="K4" i="22"/>
  <c r="B4" i="22"/>
  <c r="AG3" i="22"/>
  <c r="AG6" i="22" s="1"/>
  <c r="AG2" i="22"/>
  <c r="Y82" i="21"/>
  <c r="Z82" i="21"/>
  <c r="Z83" i="21"/>
  <c r="AA83" i="21"/>
  <c r="AB83" i="21"/>
  <c r="Y56" i="21"/>
  <c r="Z56" i="21"/>
  <c r="AA56" i="21"/>
  <c r="AB56" i="21"/>
  <c r="AC56" i="21"/>
  <c r="AA95" i="21"/>
  <c r="AA37" i="21"/>
  <c r="Z95" i="21"/>
  <c r="Z37" i="21"/>
  <c r="Y68" i="21"/>
  <c r="Y51" i="21"/>
  <c r="Y52" i="21"/>
  <c r="Y38" i="21"/>
  <c r="Y95" i="21"/>
  <c r="Y93" i="21" s="1"/>
  <c r="Y72" i="21"/>
  <c r="Y37" i="21"/>
  <c r="X95" i="21"/>
  <c r="X37" i="21"/>
  <c r="W95" i="21"/>
  <c r="W37" i="21"/>
  <c r="U95" i="21"/>
  <c r="U37" i="21"/>
  <c r="T95" i="21"/>
  <c r="T37" i="21"/>
  <c r="S95" i="21"/>
  <c r="S37" i="21"/>
  <c r="R37" i="21"/>
  <c r="Q37" i="21"/>
  <c r="P37" i="21"/>
  <c r="O37" i="21"/>
  <c r="N37" i="21"/>
  <c r="M37" i="21"/>
  <c r="AH99" i="21"/>
  <c r="AI99" i="21" s="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B234" i="21"/>
  <c r="S209" i="21"/>
  <c r="AG199" i="21"/>
  <c r="C199" i="21"/>
  <c r="D198" i="21"/>
  <c r="E198" i="21" s="1"/>
  <c r="J197" i="2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D197" i="21"/>
  <c r="E197" i="21" s="1"/>
  <c r="F197" i="21" s="1"/>
  <c r="G197" i="21" s="1"/>
  <c r="H197" i="21" s="1"/>
  <c r="I197" i="21" s="1"/>
  <c r="I196" i="2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H196" i="21"/>
  <c r="F196" i="21"/>
  <c r="G196" i="21" s="1"/>
  <c r="D196" i="21"/>
  <c r="E196" i="21" s="1"/>
  <c r="G195" i="21"/>
  <c r="H195" i="21" s="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B195" i="21" s="1"/>
  <c r="F195" i="21"/>
  <c r="D195" i="21"/>
  <c r="E195" i="21" s="1"/>
  <c r="D194" i="21"/>
  <c r="E194" i="21" s="1"/>
  <c r="F194" i="21" s="1"/>
  <c r="G194" i="21" s="1"/>
  <c r="H194" i="21" s="1"/>
  <c r="I194" i="21" s="1"/>
  <c r="J194" i="21" s="1"/>
  <c r="K194" i="21" s="1"/>
  <c r="L194" i="21" s="1"/>
  <c r="M194" i="21" s="1"/>
  <c r="N194" i="21" s="1"/>
  <c r="O194" i="21" s="1"/>
  <c r="P194" i="21" s="1"/>
  <c r="Q194" i="21" s="1"/>
  <c r="R194" i="21" s="1"/>
  <c r="S194" i="21" s="1"/>
  <c r="T194" i="21" s="1"/>
  <c r="U194" i="21" s="1"/>
  <c r="V194" i="21" s="1"/>
  <c r="W194" i="21" s="1"/>
  <c r="X194" i="21" s="1"/>
  <c r="Y194" i="21" s="1"/>
  <c r="Z194" i="21" s="1"/>
  <c r="AA194" i="21" s="1"/>
  <c r="AB194" i="21" s="1"/>
  <c r="AC194" i="21" s="1"/>
  <c r="AD194" i="21" s="1"/>
  <c r="AE194" i="21" s="1"/>
  <c r="AF194" i="21" s="1"/>
  <c r="B194" i="21" s="1"/>
  <c r="D193" i="21"/>
  <c r="AG191" i="21"/>
  <c r="C191" i="21"/>
  <c r="H190" i="21"/>
  <c r="I190" i="21" s="1"/>
  <c r="J190" i="21" s="1"/>
  <c r="K190" i="21" s="1"/>
  <c r="L190" i="21" s="1"/>
  <c r="M190" i="21" s="1"/>
  <c r="N190" i="21" s="1"/>
  <c r="O190" i="21" s="1"/>
  <c r="P190" i="21" s="1"/>
  <c r="Q190" i="21" s="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G190" i="21"/>
  <c r="F190" i="21"/>
  <c r="D190" i="21"/>
  <c r="E190" i="21" s="1"/>
  <c r="D189" i="21"/>
  <c r="E189" i="21" s="1"/>
  <c r="F189" i="21" s="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V188" i="2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B188" i="21" s="1"/>
  <c r="D188" i="21"/>
  <c r="E188" i="21" s="1"/>
  <c r="F188" i="21" s="1"/>
  <c r="G188" i="21" s="1"/>
  <c r="H188" i="21" s="1"/>
  <c r="I188" i="21" s="1"/>
  <c r="J188" i="21" s="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E187" i="21"/>
  <c r="F187" i="21" s="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D187" i="21"/>
  <c r="D186" i="2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B186" i="21" s="1"/>
  <c r="U185" i="2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D185" i="21"/>
  <c r="E185" i="21" s="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P185" i="21" s="1"/>
  <c r="Q185" i="21" s="1"/>
  <c r="R185" i="21" s="1"/>
  <c r="S185" i="21" s="1"/>
  <c r="T185" i="21" s="1"/>
  <c r="D184" i="2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B184" i="21" s="1"/>
  <c r="F183" i="2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E183" i="21"/>
  <c r="D183" i="21"/>
  <c r="I182" i="2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F182" i="21"/>
  <c r="G182" i="21" s="1"/>
  <c r="H182" i="21" s="1"/>
  <c r="D182" i="21"/>
  <c r="E182" i="21" s="1"/>
  <c r="D181" i="21"/>
  <c r="E181" i="21" s="1"/>
  <c r="F181" i="21" s="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B181" i="21" s="1"/>
  <c r="E180" i="2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D180" i="21"/>
  <c r="H179" i="2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B179" i="21" s="1"/>
  <c r="D179" i="21"/>
  <c r="E179" i="21" s="1"/>
  <c r="F179" i="21" s="1"/>
  <c r="G179" i="21" s="1"/>
  <c r="D178" i="21"/>
  <c r="E178" i="21" s="1"/>
  <c r="F178" i="21" s="1"/>
  <c r="G178" i="21" s="1"/>
  <c r="H178" i="21" s="1"/>
  <c r="I178" i="21" s="1"/>
  <c r="J178" i="21" s="1"/>
  <c r="K178" i="21" s="1"/>
  <c r="L178" i="21" s="1"/>
  <c r="M178" i="21" s="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B178" i="21" s="1"/>
  <c r="T176" i="2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D176" i="2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AF175" i="21"/>
  <c r="B175" i="21" s="1"/>
  <c r="D175" i="21"/>
  <c r="E175" i="21" s="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H174" i="2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B174" i="21" s="1"/>
  <c r="F174" i="21"/>
  <c r="G174" i="21" s="1"/>
  <c r="D174" i="21"/>
  <c r="E174" i="21" s="1"/>
  <c r="G173" i="21"/>
  <c r="H173" i="21" s="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B173" i="21" s="1"/>
  <c r="E173" i="21"/>
  <c r="F173" i="21" s="1"/>
  <c r="D173" i="21"/>
  <c r="E172" i="2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D172" i="21"/>
  <c r="R171" i="2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B171" i="21" s="1"/>
  <c r="H171" i="21"/>
  <c r="I171" i="21" s="1"/>
  <c r="J171" i="21" s="1"/>
  <c r="K171" i="21" s="1"/>
  <c r="L171" i="21" s="1"/>
  <c r="M171" i="21" s="1"/>
  <c r="N171" i="21" s="1"/>
  <c r="O171" i="21" s="1"/>
  <c r="P171" i="21" s="1"/>
  <c r="Q171" i="21" s="1"/>
  <c r="E171" i="21"/>
  <c r="F171" i="21" s="1"/>
  <c r="G171" i="21" s="1"/>
  <c r="D171" i="21"/>
  <c r="Q170" i="2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B170" i="21" s="1"/>
  <c r="M170" i="21"/>
  <c r="N170" i="21" s="1"/>
  <c r="O170" i="21" s="1"/>
  <c r="P170" i="21" s="1"/>
  <c r="E170" i="21"/>
  <c r="F170" i="21" s="1"/>
  <c r="G170" i="21" s="1"/>
  <c r="H170" i="21" s="1"/>
  <c r="I170" i="21" s="1"/>
  <c r="J170" i="21" s="1"/>
  <c r="K170" i="21" s="1"/>
  <c r="L170" i="21" s="1"/>
  <c r="D170" i="21"/>
  <c r="D169" i="21"/>
  <c r="E169" i="21" s="1"/>
  <c r="F169" i="21" s="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B169" i="21" s="1"/>
  <c r="G167" i="2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B167" i="21" s="1"/>
  <c r="E167" i="21"/>
  <c r="F167" i="21" s="1"/>
  <c r="D167" i="21"/>
  <c r="K166" i="2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G166" i="21"/>
  <c r="H166" i="21" s="1"/>
  <c r="I166" i="21" s="1"/>
  <c r="J166" i="21" s="1"/>
  <c r="E166" i="21"/>
  <c r="F166" i="21" s="1"/>
  <c r="D166" i="21"/>
  <c r="E165" i="21"/>
  <c r="F165" i="21" s="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B165" i="21" s="1"/>
  <c r="D165" i="21"/>
  <c r="K164" i="2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G164" i="21"/>
  <c r="H164" i="21" s="1"/>
  <c r="I164" i="21" s="1"/>
  <c r="J164" i="21" s="1"/>
  <c r="D164" i="21"/>
  <c r="E164" i="21" s="1"/>
  <c r="F164" i="21" s="1"/>
  <c r="E163" i="2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D163" i="21"/>
  <c r="E162" i="2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D162" i="21"/>
  <c r="F161" i="2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B161" i="21" s="1"/>
  <c r="E161" i="21"/>
  <c r="D161" i="21"/>
  <c r="E160" i="2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B160" i="21" s="1"/>
  <c r="D160" i="21"/>
  <c r="E159" i="2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D159" i="21"/>
  <c r="E158" i="21"/>
  <c r="F158" i="21" s="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D158" i="21"/>
  <c r="E157" i="2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7" i="21"/>
  <c r="G156" i="2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B156" i="21" s="1"/>
  <c r="E156" i="21"/>
  <c r="F156" i="21" s="1"/>
  <c r="D156" i="21"/>
  <c r="K155" i="2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B155" i="21" s="1"/>
  <c r="E155" i="21"/>
  <c r="F155" i="21" s="1"/>
  <c r="G155" i="21" s="1"/>
  <c r="H155" i="21" s="1"/>
  <c r="I155" i="21" s="1"/>
  <c r="J155" i="21" s="1"/>
  <c r="D155" i="21"/>
  <c r="K153" i="2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B153" i="21" s="1"/>
  <c r="E153" i="21"/>
  <c r="F153" i="21" s="1"/>
  <c r="G153" i="21" s="1"/>
  <c r="H153" i="21" s="1"/>
  <c r="I153" i="21" s="1"/>
  <c r="J153" i="21" s="1"/>
  <c r="D153" i="21"/>
  <c r="G152" i="2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F152" i="21"/>
  <c r="E152" i="21"/>
  <c r="D152" i="21"/>
  <c r="L151" i="2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B151" i="21" s="1"/>
  <c r="E151" i="21"/>
  <c r="F151" i="21" s="1"/>
  <c r="G151" i="21" s="1"/>
  <c r="H151" i="21" s="1"/>
  <c r="I151" i="21" s="1"/>
  <c r="J151" i="21" s="1"/>
  <c r="K151" i="21" s="1"/>
  <c r="D151" i="21"/>
  <c r="AA150" i="21"/>
  <c r="AB150" i="21" s="1"/>
  <c r="AC150" i="21" s="1"/>
  <c r="AD150" i="21" s="1"/>
  <c r="AE150" i="21" s="1"/>
  <c r="AF150" i="21" s="1"/>
  <c r="B150" i="21" s="1"/>
  <c r="E150" i="21"/>
  <c r="F150" i="21" s="1"/>
  <c r="G150" i="21" s="1"/>
  <c r="H150" i="21" s="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D150" i="21"/>
  <c r="E148" i="2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B148" i="21" s="1"/>
  <c r="D148" i="21"/>
  <c r="W147" i="2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B147" i="21" s="1"/>
  <c r="F147" i="21"/>
  <c r="G147" i="21" s="1"/>
  <c r="H147" i="21" s="1"/>
  <c r="I147" i="21" s="1"/>
  <c r="J147" i="21" s="1"/>
  <c r="K147" i="21" s="1"/>
  <c r="L147" i="21" s="1"/>
  <c r="M147" i="21" s="1"/>
  <c r="N147" i="21" s="1"/>
  <c r="O147" i="21" s="1"/>
  <c r="P147" i="21" s="1"/>
  <c r="Q147" i="21" s="1"/>
  <c r="R147" i="21" s="1"/>
  <c r="S147" i="21" s="1"/>
  <c r="T147" i="21" s="1"/>
  <c r="U147" i="21" s="1"/>
  <c r="V147" i="21" s="1"/>
  <c r="E147" i="21"/>
  <c r="D147" i="21"/>
  <c r="D145" i="21"/>
  <c r="E145" i="21" s="1"/>
  <c r="F145" i="21" s="1"/>
  <c r="G145" i="21" s="1"/>
  <c r="H145" i="21" s="1"/>
  <c r="I145" i="21" s="1"/>
  <c r="J145" i="21" s="1"/>
  <c r="K145" i="21" s="1"/>
  <c r="L145" i="21" s="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Q144" i="2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G144" i="21"/>
  <c r="H144" i="21" s="1"/>
  <c r="I144" i="21" s="1"/>
  <c r="J144" i="21" s="1"/>
  <c r="K144" i="21" s="1"/>
  <c r="L144" i="21" s="1"/>
  <c r="M144" i="21" s="1"/>
  <c r="N144" i="21" s="1"/>
  <c r="O144" i="21" s="1"/>
  <c r="P144" i="21" s="1"/>
  <c r="E144" i="21"/>
  <c r="F144" i="21" s="1"/>
  <c r="D144" i="21"/>
  <c r="G143" i="2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B143" i="21" s="1"/>
  <c r="E143" i="21"/>
  <c r="F143" i="21" s="1"/>
  <c r="D143" i="21"/>
  <c r="I142" i="2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B142" i="21" s="1"/>
  <c r="F142" i="21"/>
  <c r="G142" i="21" s="1"/>
  <c r="H142" i="21" s="1"/>
  <c r="E142" i="21"/>
  <c r="D142" i="21"/>
  <c r="D141" i="21"/>
  <c r="E141" i="21" s="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O140" i="2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B140" i="21" s="1"/>
  <c r="K140" i="21"/>
  <c r="L140" i="21" s="1"/>
  <c r="M140" i="21" s="1"/>
  <c r="N140" i="21" s="1"/>
  <c r="E140" i="21"/>
  <c r="F140" i="21" s="1"/>
  <c r="G140" i="21" s="1"/>
  <c r="H140" i="21" s="1"/>
  <c r="I140" i="21" s="1"/>
  <c r="J140" i="21" s="1"/>
  <c r="D140" i="21"/>
  <c r="D139" i="21"/>
  <c r="E139" i="21" s="1"/>
  <c r="F139" i="21" s="1"/>
  <c r="G139" i="21" s="1"/>
  <c r="H139" i="21" s="1"/>
  <c r="I139" i="21" s="1"/>
  <c r="J139" i="21" s="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B139" i="21" s="1"/>
  <c r="I137" i="2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D137" i="21"/>
  <c r="E137" i="21" s="1"/>
  <c r="F137" i="21" s="1"/>
  <c r="G137" i="21" s="1"/>
  <c r="H137" i="21" s="1"/>
  <c r="E136" i="21"/>
  <c r="F136" i="21" s="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B136" i="21" s="1"/>
  <c r="D136" i="21"/>
  <c r="E135" i="2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D135" i="21"/>
  <c r="D134" i="21"/>
  <c r="E134" i="21" s="1"/>
  <c r="F134" i="21" s="1"/>
  <c r="G134" i="21" s="1"/>
  <c r="H134" i="21" s="1"/>
  <c r="I134" i="21" s="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B134" i="21" s="1"/>
  <c r="I133" i="2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D133" i="21"/>
  <c r="E133" i="21" s="1"/>
  <c r="F133" i="21" s="1"/>
  <c r="G133" i="21" s="1"/>
  <c r="H133" i="21" s="1"/>
  <c r="D132" i="21"/>
  <c r="E132" i="21" s="1"/>
  <c r="F132" i="21" s="1"/>
  <c r="G132" i="21" s="1"/>
  <c r="H132" i="21" s="1"/>
  <c r="I132" i="21" s="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B132" i="21" s="1"/>
  <c r="E131" i="2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B131" i="21" s="1"/>
  <c r="D131" i="21"/>
  <c r="N130" i="2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B130" i="21" s="1"/>
  <c r="D130" i="21"/>
  <c r="E130" i="21" s="1"/>
  <c r="F130" i="21" s="1"/>
  <c r="G130" i="21" s="1"/>
  <c r="H130" i="21" s="1"/>
  <c r="I130" i="21" s="1"/>
  <c r="J130" i="21" s="1"/>
  <c r="K130" i="21" s="1"/>
  <c r="L130" i="21" s="1"/>
  <c r="M130" i="21" s="1"/>
  <c r="O128" i="2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D128" i="21"/>
  <c r="E128" i="21" s="1"/>
  <c r="F128" i="21" s="1"/>
  <c r="G128" i="21" s="1"/>
  <c r="H128" i="21" s="1"/>
  <c r="I128" i="21" s="1"/>
  <c r="J128" i="21" s="1"/>
  <c r="K128" i="21" s="1"/>
  <c r="L128" i="21" s="1"/>
  <c r="M128" i="21" s="1"/>
  <c r="N128" i="21" s="1"/>
  <c r="P127" i="2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D127" i="21"/>
  <c r="E127" i="21" s="1"/>
  <c r="F127" i="21" s="1"/>
  <c r="G127" i="21" s="1"/>
  <c r="H127" i="21" s="1"/>
  <c r="I127" i="21" s="1"/>
  <c r="J127" i="21" s="1"/>
  <c r="K127" i="21" s="1"/>
  <c r="L127" i="21" s="1"/>
  <c r="M127" i="21" s="1"/>
  <c r="N127" i="21" s="1"/>
  <c r="O127" i="21" s="1"/>
  <c r="P126" i="2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E126" i="2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D126" i="21"/>
  <c r="D125" i="21"/>
  <c r="E125" i="21" s="1"/>
  <c r="F125" i="21" s="1"/>
  <c r="G125" i="21" s="1"/>
  <c r="H125" i="21" s="1"/>
  <c r="I125" i="21" s="1"/>
  <c r="J125" i="21" s="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B125" i="21" s="1"/>
  <c r="I124" i="2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D124" i="21"/>
  <c r="E124" i="21" s="1"/>
  <c r="F124" i="21" s="1"/>
  <c r="G124" i="21" s="1"/>
  <c r="H124" i="21" s="1"/>
  <c r="D123" i="21"/>
  <c r="E123" i="21" s="1"/>
  <c r="E122" i="21"/>
  <c r="F122" i="21" s="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D122" i="2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AE120" i="21"/>
  <c r="AF120" i="21" s="1"/>
  <c r="B120" i="21" s="1"/>
  <c r="K120" i="2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I120" i="21"/>
  <c r="J120" i="21" s="1"/>
  <c r="D120" i="21"/>
  <c r="E120" i="21" s="1"/>
  <c r="F120" i="21" s="1"/>
  <c r="G120" i="21" s="1"/>
  <c r="H120" i="21" s="1"/>
  <c r="K119" i="2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D119" i="21"/>
  <c r="E119" i="21" s="1"/>
  <c r="F119" i="21" s="1"/>
  <c r="G119" i="21" s="1"/>
  <c r="H119" i="21" s="1"/>
  <c r="I119" i="21" s="1"/>
  <c r="J119" i="21" s="1"/>
  <c r="G118" i="2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E118" i="21"/>
  <c r="F118" i="21" s="1"/>
  <c r="D118" i="21"/>
  <c r="G117" i="2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E117" i="21"/>
  <c r="F117" i="21" s="1"/>
  <c r="D117" i="21"/>
  <c r="I116" i="2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E116" i="21"/>
  <c r="F116" i="21" s="1"/>
  <c r="G116" i="21" s="1"/>
  <c r="H116" i="21" s="1"/>
  <c r="D116" i="21"/>
  <c r="G115" i="2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D115" i="21"/>
  <c r="E115" i="21" s="1"/>
  <c r="F115" i="21" s="1"/>
  <c r="E114" i="21"/>
  <c r="F114" i="21" s="1"/>
  <c r="G114" i="21" s="1"/>
  <c r="D114" i="21"/>
  <c r="M113" i="2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K113" i="21"/>
  <c r="L113" i="21" s="1"/>
  <c r="D113" i="21"/>
  <c r="E113" i="21" s="1"/>
  <c r="F113" i="21" s="1"/>
  <c r="G113" i="21" s="1"/>
  <c r="H113" i="21" s="1"/>
  <c r="I113" i="21" s="1"/>
  <c r="J112" i="2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B112" i="21" s="1"/>
  <c r="E112" i="21"/>
  <c r="F112" i="21" s="1"/>
  <c r="G112" i="21" s="1"/>
  <c r="H112" i="21" s="1"/>
  <c r="I112" i="21" s="1"/>
  <c r="D112" i="21"/>
  <c r="D111" i="21"/>
  <c r="E111" i="21" s="1"/>
  <c r="F111" i="21" s="1"/>
  <c r="G111" i="21" s="1"/>
  <c r="H111" i="21" s="1"/>
  <c r="I111" i="21" s="1"/>
  <c r="J111" i="21" s="1"/>
  <c r="K111" i="21" s="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B111" i="21" s="1"/>
  <c r="F109" i="2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B109" i="21" s="1"/>
  <c r="D109" i="21"/>
  <c r="E109" i="21" s="1"/>
  <c r="G108" i="21"/>
  <c r="H108" i="21" s="1"/>
  <c r="I108" i="21" s="1"/>
  <c r="J108" i="21" s="1"/>
  <c r="K108" i="21" s="1"/>
  <c r="L108" i="21" s="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B108" i="21" s="1"/>
  <c r="F108" i="21"/>
  <c r="D108" i="21"/>
  <c r="E108" i="21" s="1"/>
  <c r="R106" i="2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E106" i="2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D106" i="21"/>
  <c r="F105" i="2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D105" i="21"/>
  <c r="E105" i="21" s="1"/>
  <c r="P104" i="2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B104" i="21" s="1"/>
  <c r="F104" i="21"/>
  <c r="G104" i="21" s="1"/>
  <c r="H104" i="21" s="1"/>
  <c r="I104" i="21" s="1"/>
  <c r="J104" i="21" s="1"/>
  <c r="K104" i="21" s="1"/>
  <c r="L104" i="21" s="1"/>
  <c r="M104" i="21" s="1"/>
  <c r="N104" i="21" s="1"/>
  <c r="O104" i="21" s="1"/>
  <c r="D104" i="21"/>
  <c r="E104" i="21" s="1"/>
  <c r="D103" i="21"/>
  <c r="E103" i="21" s="1"/>
  <c r="F103" i="21" s="1"/>
  <c r="G103" i="21" s="1"/>
  <c r="H103" i="21" s="1"/>
  <c r="I103" i="21" s="1"/>
  <c r="J103" i="21" s="1"/>
  <c r="K103" i="21" s="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B103" i="21" s="1"/>
  <c r="F102" i="21"/>
  <c r="G102" i="21" s="1"/>
  <c r="H102" i="21" s="1"/>
  <c r="E102" i="21"/>
  <c r="D102" i="21"/>
  <c r="D101" i="21"/>
  <c r="AH98" i="21"/>
  <c r="AI98" i="21" s="1"/>
  <c r="AH97" i="21"/>
  <c r="AI97" i="21" s="1"/>
  <c r="AH96" i="21"/>
  <c r="AI96" i="21" s="1"/>
  <c r="AH95" i="21"/>
  <c r="AI95" i="21" s="1"/>
  <c r="AH94" i="21"/>
  <c r="AI94" i="21" s="1"/>
  <c r="D93" i="2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2" i="21"/>
  <c r="AI81" i="21"/>
  <c r="AH81" i="21"/>
  <c r="AF80" i="21"/>
  <c r="AE80" i="21"/>
  <c r="AD80" i="21"/>
  <c r="AC80" i="21"/>
  <c r="AB80" i="21"/>
  <c r="AA80" i="21"/>
  <c r="Z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F79" i="21"/>
  <c r="AE79" i="21"/>
  <c r="AD79" i="21"/>
  <c r="AC79" i="21"/>
  <c r="AB79" i="21"/>
  <c r="AA79" i="21"/>
  <c r="Z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F78" i="21"/>
  <c r="AE78" i="21"/>
  <c r="AD78" i="21"/>
  <c r="AC78" i="21"/>
  <c r="AB78" i="21"/>
  <c r="AA78" i="21"/>
  <c r="Z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F77" i="21"/>
  <c r="AE77" i="21"/>
  <c r="AD77" i="21"/>
  <c r="AC77" i="21"/>
  <c r="AB77" i="21"/>
  <c r="AA77" i="21"/>
  <c r="Z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F76" i="21"/>
  <c r="AE76" i="21"/>
  <c r="AD76" i="21"/>
  <c r="AC76" i="21"/>
  <c r="AB76" i="21"/>
  <c r="AA76" i="21"/>
  <c r="Z76" i="21"/>
  <c r="X76" i="21"/>
  <c r="W76" i="21"/>
  <c r="V76" i="21"/>
  <c r="U76" i="21"/>
  <c r="T76" i="21"/>
  <c r="S76" i="21"/>
  <c r="R76" i="21"/>
  <c r="Q76" i="21"/>
  <c r="Q82" i="21" s="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I74" i="21"/>
  <c r="AH74" i="21"/>
  <c r="AG72" i="21"/>
  <c r="AF72" i="21"/>
  <c r="AE72" i="21"/>
  <c r="AD72" i="21"/>
  <c r="AC72" i="21"/>
  <c r="AB72" i="21"/>
  <c r="AA72" i="21"/>
  <c r="Z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I71" i="21"/>
  <c r="AH71" i="21"/>
  <c r="AI70" i="21"/>
  <c r="AH70" i="21"/>
  <c r="AI69" i="21"/>
  <c r="AH69" i="21"/>
  <c r="AG68" i="21"/>
  <c r="AF68" i="21"/>
  <c r="AE5" i="21" s="1"/>
  <c r="AE68" i="21"/>
  <c r="AD5" i="21" s="1"/>
  <c r="AD68" i="21"/>
  <c r="AC68" i="21"/>
  <c r="AB5" i="21" s="1"/>
  <c r="AB68" i="21"/>
  <c r="AA5" i="21" s="1"/>
  <c r="AA68" i="21"/>
  <c r="Z5" i="21" s="1"/>
  <c r="Z68" i="21"/>
  <c r="X68" i="21"/>
  <c r="W5" i="21" s="1"/>
  <c r="W68" i="21"/>
  <c r="V5" i="21" s="1"/>
  <c r="V68" i="21"/>
  <c r="U68" i="21"/>
  <c r="T5" i="21" s="1"/>
  <c r="T68" i="21"/>
  <c r="S5" i="21" s="1"/>
  <c r="S68" i="21"/>
  <c r="R68" i="21"/>
  <c r="Q68" i="21"/>
  <c r="P68" i="21"/>
  <c r="O5" i="21" s="1"/>
  <c r="O68" i="21"/>
  <c r="N5" i="21" s="1"/>
  <c r="N68" i="21"/>
  <c r="M68" i="21"/>
  <c r="L5" i="21" s="1"/>
  <c r="L68" i="21"/>
  <c r="K5" i="21" s="1"/>
  <c r="K68" i="21"/>
  <c r="J5" i="21" s="1"/>
  <c r="J68" i="21"/>
  <c r="I5" i="21" s="1"/>
  <c r="I68" i="21"/>
  <c r="H68" i="21"/>
  <c r="G5" i="21" s="1"/>
  <c r="G68" i="21"/>
  <c r="F5" i="21" s="1"/>
  <c r="F68" i="21"/>
  <c r="E68" i="21"/>
  <c r="D5" i="21" s="1"/>
  <c r="D68" i="21"/>
  <c r="C5" i="21" s="1"/>
  <c r="C68" i="21"/>
  <c r="B5" i="21" s="1"/>
  <c r="B68" i="21"/>
  <c r="AF5" i="21" s="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F56" i="21"/>
  <c r="AE56" i="21"/>
  <c r="AD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I55" i="21"/>
  <c r="AH55" i="21"/>
  <c r="AI54" i="21"/>
  <c r="AH54" i="21"/>
  <c r="AI53" i="21"/>
  <c r="AH53" i="21"/>
  <c r="Z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AG51" i="21"/>
  <c r="AG52" i="21" s="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F38" i="21"/>
  <c r="AE38" i="21"/>
  <c r="AD38" i="21"/>
  <c r="AC38" i="21"/>
  <c r="AB38" i="21"/>
  <c r="AA38" i="21"/>
  <c r="Z38" i="21"/>
  <c r="X38" i="21"/>
  <c r="W38" i="21"/>
  <c r="V38" i="21"/>
  <c r="U38" i="21"/>
  <c r="T38" i="21"/>
  <c r="S38" i="21"/>
  <c r="R38" i="21"/>
  <c r="R73" i="21" s="1"/>
  <c r="Q38" i="21"/>
  <c r="P38" i="21"/>
  <c r="O38" i="21"/>
  <c r="N38" i="21"/>
  <c r="M38" i="21"/>
  <c r="L38" i="21"/>
  <c r="K38" i="21"/>
  <c r="J38" i="21"/>
  <c r="I38" i="21"/>
  <c r="I75" i="21" s="1"/>
  <c r="AA213" i="21" s="1"/>
  <c r="H38" i="21"/>
  <c r="G38" i="21"/>
  <c r="F38" i="21"/>
  <c r="E38" i="21"/>
  <c r="D38" i="21"/>
  <c r="C38" i="21"/>
  <c r="B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Y5" i="21"/>
  <c r="R5" i="21"/>
  <c r="Q5" i="21"/>
  <c r="AG4" i="21"/>
  <c r="K4" i="21"/>
  <c r="B4" i="21"/>
  <c r="AG2" i="21"/>
  <c r="AF37" i="20"/>
  <c r="AE37" i="20"/>
  <c r="AD37" i="20"/>
  <c r="AC37" i="20"/>
  <c r="AB37" i="20"/>
  <c r="AA37" i="20"/>
  <c r="Z37" i="20"/>
  <c r="X37" i="20"/>
  <c r="W37" i="20"/>
  <c r="V37" i="20"/>
  <c r="U37" i="20"/>
  <c r="T37" i="20"/>
  <c r="M37" i="20"/>
  <c r="L37" i="20"/>
  <c r="K37" i="20"/>
  <c r="J37" i="20"/>
  <c r="I37" i="20"/>
  <c r="H37" i="20"/>
  <c r="G37" i="20"/>
  <c r="F37" i="20"/>
  <c r="E37" i="20"/>
  <c r="D37" i="20"/>
  <c r="AH99" i="20"/>
  <c r="AI99" i="20" s="1"/>
  <c r="C37" i="20"/>
  <c r="B37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B234" i="20"/>
  <c r="S209" i="20"/>
  <c r="AG199" i="20"/>
  <c r="C199" i="20"/>
  <c r="D198" i="20"/>
  <c r="C234" i="20" s="1"/>
  <c r="E197" i="20"/>
  <c r="F197" i="20" s="1"/>
  <c r="G197" i="20" s="1"/>
  <c r="H197" i="20" s="1"/>
  <c r="I197" i="20" s="1"/>
  <c r="J197" i="20" s="1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D197" i="20"/>
  <c r="E196" i="20"/>
  <c r="F196" i="20" s="1"/>
  <c r="G196" i="20" s="1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D196" i="20"/>
  <c r="E195" i="20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D195" i="20"/>
  <c r="D194" i="20"/>
  <c r="E194" i="20" s="1"/>
  <c r="F194" i="20" s="1"/>
  <c r="G194" i="20" s="1"/>
  <c r="H194" i="20" s="1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AD194" i="20" s="1"/>
  <c r="AE194" i="20" s="1"/>
  <c r="AF194" i="20" s="1"/>
  <c r="B194" i="20" s="1"/>
  <c r="E193" i="20"/>
  <c r="F193" i="20" s="1"/>
  <c r="D193" i="20"/>
  <c r="AG191" i="20"/>
  <c r="C191" i="20"/>
  <c r="P190" i="20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D190" i="20"/>
  <c r="E190" i="20" s="1"/>
  <c r="F190" i="20" s="1"/>
  <c r="G190" i="20" s="1"/>
  <c r="H190" i="20" s="1"/>
  <c r="I190" i="20" s="1"/>
  <c r="J190" i="20" s="1"/>
  <c r="K190" i="20" s="1"/>
  <c r="L190" i="20" s="1"/>
  <c r="M190" i="20" s="1"/>
  <c r="N190" i="20" s="1"/>
  <c r="O190" i="20" s="1"/>
  <c r="F189" i="20"/>
  <c r="G189" i="20" s="1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E189" i="20"/>
  <c r="D189" i="20"/>
  <c r="G188" i="20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E188" i="20"/>
  <c r="F188" i="20" s="1"/>
  <c r="D188" i="20"/>
  <c r="F187" i="20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E187" i="20"/>
  <c r="D187" i="20"/>
  <c r="D186" i="20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N185" i="20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F185" i="20"/>
  <c r="G185" i="20" s="1"/>
  <c r="H185" i="20" s="1"/>
  <c r="I185" i="20" s="1"/>
  <c r="J185" i="20" s="1"/>
  <c r="K185" i="20" s="1"/>
  <c r="L185" i="20" s="1"/>
  <c r="M185" i="20" s="1"/>
  <c r="E185" i="20"/>
  <c r="D185" i="20"/>
  <c r="U184" i="20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H184" i="20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D184" i="20"/>
  <c r="E184" i="20" s="1"/>
  <c r="F184" i="20" s="1"/>
  <c r="G184" i="20" s="1"/>
  <c r="F183" i="20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E183" i="20"/>
  <c r="D183" i="20"/>
  <c r="D182" i="20"/>
  <c r="E182" i="20" s="1"/>
  <c r="F182" i="20" s="1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AA181" i="20"/>
  <c r="AB181" i="20" s="1"/>
  <c r="AC181" i="20" s="1"/>
  <c r="AD181" i="20" s="1"/>
  <c r="AE181" i="20" s="1"/>
  <c r="AF181" i="20" s="1"/>
  <c r="B181" i="20" s="1"/>
  <c r="G181" i="20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F181" i="20"/>
  <c r="E181" i="20"/>
  <c r="D181" i="20"/>
  <c r="X180" i="20"/>
  <c r="Y180" i="20" s="1"/>
  <c r="Z180" i="20" s="1"/>
  <c r="AA180" i="20" s="1"/>
  <c r="AB180" i="20" s="1"/>
  <c r="AC180" i="20" s="1"/>
  <c r="AD180" i="20" s="1"/>
  <c r="AE180" i="20" s="1"/>
  <c r="AF180" i="20" s="1"/>
  <c r="B180" i="20" s="1"/>
  <c r="E180" i="20"/>
  <c r="F180" i="20" s="1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D180" i="20"/>
  <c r="AD179" i="20"/>
  <c r="AE179" i="20" s="1"/>
  <c r="AF179" i="20" s="1"/>
  <c r="B179" i="20" s="1"/>
  <c r="F179" i="20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E179" i="20"/>
  <c r="D179" i="20"/>
  <c r="M178" i="20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B178" i="20" s="1"/>
  <c r="E178" i="20"/>
  <c r="F178" i="20" s="1"/>
  <c r="G178" i="20" s="1"/>
  <c r="H178" i="20" s="1"/>
  <c r="I178" i="20" s="1"/>
  <c r="J178" i="20" s="1"/>
  <c r="K178" i="20" s="1"/>
  <c r="L178" i="20" s="1"/>
  <c r="D178" i="20"/>
  <c r="J176" i="20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D176" i="20"/>
  <c r="E176" i="20" s="1"/>
  <c r="F176" i="20" s="1"/>
  <c r="G176" i="20" s="1"/>
  <c r="H176" i="20" s="1"/>
  <c r="I176" i="20" s="1"/>
  <c r="D175" i="20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AB173" i="20"/>
  <c r="AC173" i="20" s="1"/>
  <c r="AD173" i="20" s="1"/>
  <c r="AE173" i="20" s="1"/>
  <c r="AF173" i="20" s="1"/>
  <c r="B173" i="20" s="1"/>
  <c r="J173" i="20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D173" i="20"/>
  <c r="E173" i="20" s="1"/>
  <c r="F173" i="20" s="1"/>
  <c r="G173" i="20" s="1"/>
  <c r="H173" i="20" s="1"/>
  <c r="I173" i="20" s="1"/>
  <c r="F172" i="20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2" i="20"/>
  <c r="E172" i="20" s="1"/>
  <c r="W171" i="20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E171" i="20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D171" i="20"/>
  <c r="J170" i="20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E170" i="20"/>
  <c r="F170" i="20" s="1"/>
  <c r="G170" i="20" s="1"/>
  <c r="H170" i="20" s="1"/>
  <c r="I170" i="20" s="1"/>
  <c r="D170" i="20"/>
  <c r="Y169" i="20"/>
  <c r="Z169" i="20" s="1"/>
  <c r="AA169" i="20" s="1"/>
  <c r="AB169" i="20" s="1"/>
  <c r="AC169" i="20" s="1"/>
  <c r="AD169" i="20" s="1"/>
  <c r="AE169" i="20" s="1"/>
  <c r="AF169" i="20" s="1"/>
  <c r="B169" i="20" s="1"/>
  <c r="S169" i="20"/>
  <c r="T169" i="20" s="1"/>
  <c r="U169" i="20" s="1"/>
  <c r="V169" i="20" s="1"/>
  <c r="W169" i="20" s="1"/>
  <c r="X169" i="20" s="1"/>
  <c r="D169" i="20"/>
  <c r="E169" i="20" s="1"/>
  <c r="F169" i="20" s="1"/>
  <c r="G169" i="20" s="1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I167" i="20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D167" i="20"/>
  <c r="E167" i="20" s="1"/>
  <c r="F167" i="20" s="1"/>
  <c r="G167" i="20" s="1"/>
  <c r="H167" i="20" s="1"/>
  <c r="U166" i="20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J166" i="20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E166" i="20"/>
  <c r="F166" i="20" s="1"/>
  <c r="G166" i="20" s="1"/>
  <c r="H166" i="20" s="1"/>
  <c r="I166" i="20" s="1"/>
  <c r="D166" i="20"/>
  <c r="E165" i="20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D165" i="20"/>
  <c r="D164" i="20"/>
  <c r="E164" i="20" s="1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V163" i="20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D163" i="20"/>
  <c r="E163" i="20" s="1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D162" i="20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M161" i="20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F161" i="20"/>
  <c r="G161" i="20" s="1"/>
  <c r="H161" i="20" s="1"/>
  <c r="I161" i="20" s="1"/>
  <c r="J161" i="20" s="1"/>
  <c r="K161" i="20" s="1"/>
  <c r="L161" i="20" s="1"/>
  <c r="D161" i="20"/>
  <c r="E161" i="20" s="1"/>
  <c r="F160" i="20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D160" i="20"/>
  <c r="E160" i="20" s="1"/>
  <c r="I159" i="20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9" i="20"/>
  <c r="E159" i="20" s="1"/>
  <c r="F159" i="20" s="1"/>
  <c r="G159" i="20" s="1"/>
  <c r="H159" i="20" s="1"/>
  <c r="N158" i="20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E158" i="20"/>
  <c r="F158" i="20" s="1"/>
  <c r="G158" i="20" s="1"/>
  <c r="H158" i="20" s="1"/>
  <c r="I158" i="20" s="1"/>
  <c r="J158" i="20" s="1"/>
  <c r="K158" i="20" s="1"/>
  <c r="L158" i="20" s="1"/>
  <c r="M158" i="20" s="1"/>
  <c r="D158" i="20"/>
  <c r="H157" i="20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G157" i="20"/>
  <c r="E157" i="20"/>
  <c r="F157" i="20" s="1"/>
  <c r="D157" i="20"/>
  <c r="D156" i="20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F155" i="20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B155" i="20" s="1"/>
  <c r="D155" i="20"/>
  <c r="E155" i="20" s="1"/>
  <c r="I153" i="20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F153" i="20"/>
  <c r="G153" i="20" s="1"/>
  <c r="H153" i="20" s="1"/>
  <c r="D153" i="20"/>
  <c r="E153" i="20" s="1"/>
  <c r="H152" i="20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F152" i="20"/>
  <c r="G152" i="20" s="1"/>
  <c r="D152" i="20"/>
  <c r="E152" i="20" s="1"/>
  <c r="I151" i="20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E151" i="20"/>
  <c r="F151" i="20" s="1"/>
  <c r="G151" i="20" s="1"/>
  <c r="H151" i="20" s="1"/>
  <c r="D151" i="20"/>
  <c r="I150" i="20"/>
  <c r="J150" i="20" s="1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B150" i="20" s="1"/>
  <c r="D150" i="20"/>
  <c r="E150" i="20" s="1"/>
  <c r="F150" i="20" s="1"/>
  <c r="G150" i="20" s="1"/>
  <c r="H150" i="20" s="1"/>
  <c r="H148" i="20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E148" i="20"/>
  <c r="F148" i="20" s="1"/>
  <c r="G148" i="20" s="1"/>
  <c r="D148" i="20"/>
  <c r="D147" i="20"/>
  <c r="E147" i="20" s="1"/>
  <c r="F147" i="20" s="1"/>
  <c r="G147" i="20" s="1"/>
  <c r="H147" i="20" s="1"/>
  <c r="I147" i="20" s="1"/>
  <c r="J147" i="20" s="1"/>
  <c r="K147" i="20" s="1"/>
  <c r="L147" i="20" s="1"/>
  <c r="M147" i="20" s="1"/>
  <c r="N147" i="20" s="1"/>
  <c r="O147" i="20" s="1"/>
  <c r="P147" i="20" s="1"/>
  <c r="Q147" i="20" s="1"/>
  <c r="R147" i="20" s="1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B147" i="20" s="1"/>
  <c r="M145" i="20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B145" i="20" s="1"/>
  <c r="D145" i="20"/>
  <c r="E145" i="20" s="1"/>
  <c r="F145" i="20" s="1"/>
  <c r="G145" i="20" s="1"/>
  <c r="H145" i="20" s="1"/>
  <c r="I145" i="20" s="1"/>
  <c r="J145" i="20" s="1"/>
  <c r="K145" i="20" s="1"/>
  <c r="L145" i="20" s="1"/>
  <c r="E144" i="20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D144" i="20"/>
  <c r="D143" i="20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G142" i="20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D142" i="20"/>
  <c r="E142" i="20" s="1"/>
  <c r="F142" i="20" s="1"/>
  <c r="E141" i="20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1" i="20"/>
  <c r="F140" i="20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D140" i="20"/>
  <c r="E140" i="20" s="1"/>
  <c r="Y139" i="20"/>
  <c r="Z139" i="20" s="1"/>
  <c r="AA139" i="20" s="1"/>
  <c r="AB139" i="20" s="1"/>
  <c r="AC139" i="20" s="1"/>
  <c r="AD139" i="20" s="1"/>
  <c r="AE139" i="20" s="1"/>
  <c r="AF139" i="20" s="1"/>
  <c r="B139" i="20" s="1"/>
  <c r="I139" i="20"/>
  <c r="J139" i="20" s="1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D139" i="20"/>
  <c r="E139" i="20" s="1"/>
  <c r="F139" i="20" s="1"/>
  <c r="G139" i="20" s="1"/>
  <c r="H139" i="20" s="1"/>
  <c r="D137" i="20"/>
  <c r="E137" i="20" s="1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F136" i="20"/>
  <c r="G136" i="20" s="1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E136" i="20"/>
  <c r="D136" i="20"/>
  <c r="D135" i="20"/>
  <c r="E135" i="20" s="1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D134" i="20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D133" i="20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E132" i="20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D132" i="20"/>
  <c r="D131" i="20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B131" i="20" s="1"/>
  <c r="D130" i="20"/>
  <c r="E130" i="20" s="1"/>
  <c r="F130" i="20" s="1"/>
  <c r="G130" i="20" s="1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B130" i="20" s="1"/>
  <c r="G128" i="20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D128" i="20"/>
  <c r="E128" i="20" s="1"/>
  <c r="F128" i="20" s="1"/>
  <c r="H127" i="20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E127" i="20"/>
  <c r="F127" i="20" s="1"/>
  <c r="G127" i="20" s="1"/>
  <c r="D127" i="20"/>
  <c r="E126" i="20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E125" i="20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D125" i="20"/>
  <c r="G124" i="20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E124" i="20"/>
  <c r="F124" i="20" s="1"/>
  <c r="D124" i="20"/>
  <c r="F123" i="20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E123" i="20"/>
  <c r="D123" i="20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E121" i="20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1" i="20"/>
  <c r="G120" i="20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E120" i="20"/>
  <c r="F120" i="20" s="1"/>
  <c r="D120" i="20"/>
  <c r="F119" i="20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E119" i="20"/>
  <c r="D119" i="20"/>
  <c r="M118" i="20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E118" i="20"/>
  <c r="F118" i="20" s="1"/>
  <c r="G118" i="20" s="1"/>
  <c r="H118" i="20" s="1"/>
  <c r="I118" i="20" s="1"/>
  <c r="J118" i="20" s="1"/>
  <c r="K118" i="20" s="1"/>
  <c r="L118" i="20" s="1"/>
  <c r="D118" i="20"/>
  <c r="D117" i="20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D116" i="20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E115" i="20"/>
  <c r="F115" i="20" s="1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D115" i="20"/>
  <c r="E114" i="20"/>
  <c r="F114" i="20" s="1"/>
  <c r="G114" i="20" s="1"/>
  <c r="H114" i="20" s="1"/>
  <c r="I114" i="20" s="1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D114" i="20"/>
  <c r="K113" i="20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H113" i="20"/>
  <c r="I113" i="20" s="1"/>
  <c r="E113" i="20"/>
  <c r="F113" i="20" s="1"/>
  <c r="G113" i="20" s="1"/>
  <c r="D113" i="20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D111" i="20"/>
  <c r="E111" i="20" s="1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B111" i="20" s="1"/>
  <c r="Z109" i="20"/>
  <c r="AA109" i="20" s="1"/>
  <c r="AB109" i="20" s="1"/>
  <c r="AC109" i="20" s="1"/>
  <c r="AD109" i="20" s="1"/>
  <c r="AE109" i="20" s="1"/>
  <c r="AF109" i="20" s="1"/>
  <c r="B109" i="20" s="1"/>
  <c r="D109" i="20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E108" i="20"/>
  <c r="F108" i="20" s="1"/>
  <c r="G108" i="20" s="1"/>
  <c r="H108" i="20" s="1"/>
  <c r="I108" i="20" s="1"/>
  <c r="J108" i="20" s="1"/>
  <c r="K108" i="20" s="1"/>
  <c r="L108" i="20" s="1"/>
  <c r="M108" i="20" s="1"/>
  <c r="N108" i="20" s="1"/>
  <c r="O108" i="20" s="1"/>
  <c r="P108" i="20" s="1"/>
  <c r="Q108" i="20" s="1"/>
  <c r="R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E108" i="20" s="1"/>
  <c r="AF108" i="20" s="1"/>
  <c r="B108" i="20" s="1"/>
  <c r="D108" i="20"/>
  <c r="D106" i="20"/>
  <c r="E106" i="20" s="1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AD105" i="20"/>
  <c r="AE105" i="20" s="1"/>
  <c r="AF105" i="20" s="1"/>
  <c r="B105" i="20" s="1"/>
  <c r="G105" i="20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D105" i="20"/>
  <c r="E105" i="20" s="1"/>
  <c r="F105" i="20" s="1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E103" i="20"/>
  <c r="F103" i="20" s="1"/>
  <c r="G103" i="20" s="1"/>
  <c r="H103" i="20" s="1"/>
  <c r="I103" i="20" s="1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B103" i="20" s="1"/>
  <c r="D103" i="20"/>
  <c r="D102" i="20"/>
  <c r="E102" i="20" s="1"/>
  <c r="D101" i="20"/>
  <c r="AH98" i="20"/>
  <c r="AI98" i="20" s="1"/>
  <c r="AH97" i="20"/>
  <c r="AI97" i="20" s="1"/>
  <c r="AH96" i="20"/>
  <c r="AI96" i="20" s="1"/>
  <c r="AH95" i="20"/>
  <c r="AI95" i="20" s="1"/>
  <c r="AH94" i="20"/>
  <c r="AI94" i="20" s="1"/>
  <c r="D93" i="20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C82" i="20"/>
  <c r="U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M82" i="20" s="1"/>
  <c r="L80" i="20"/>
  <c r="K80" i="20"/>
  <c r="J80" i="20"/>
  <c r="I80" i="20"/>
  <c r="H80" i="20"/>
  <c r="G80" i="20"/>
  <c r="F80" i="20"/>
  <c r="E80" i="20"/>
  <c r="D80" i="20"/>
  <c r="C80" i="20"/>
  <c r="B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S82" i="20" s="1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I74" i="20"/>
  <c r="AH74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I71" i="20"/>
  <c r="AH71" i="20"/>
  <c r="AI70" i="20"/>
  <c r="AH70" i="20"/>
  <c r="AI69" i="20"/>
  <c r="AH69" i="20"/>
  <c r="AG68" i="20"/>
  <c r="AF68" i="20"/>
  <c r="AE5" i="20" s="1"/>
  <c r="AE68" i="20"/>
  <c r="AD5" i="20" s="1"/>
  <c r="AD68" i="20"/>
  <c r="AC68" i="20"/>
  <c r="AB5" i="20" s="1"/>
  <c r="AB68" i="20"/>
  <c r="AA68" i="20"/>
  <c r="Z68" i="20"/>
  <c r="Y5" i="20" s="1"/>
  <c r="Y68" i="20"/>
  <c r="X5" i="20" s="1"/>
  <c r="X68" i="20"/>
  <c r="W5" i="20" s="1"/>
  <c r="W68" i="20"/>
  <c r="V5" i="20" s="1"/>
  <c r="V68" i="20"/>
  <c r="U5" i="20" s="1"/>
  <c r="U68" i="20"/>
  <c r="T68" i="20"/>
  <c r="S5" i="20" s="1"/>
  <c r="S68" i="20"/>
  <c r="R68" i="20"/>
  <c r="Q5" i="20" s="1"/>
  <c r="Q68" i="20"/>
  <c r="P5" i="20" s="1"/>
  <c r="P68" i="20"/>
  <c r="O5" i="20" s="1"/>
  <c r="O68" i="20"/>
  <c r="N5" i="20" s="1"/>
  <c r="N68" i="20"/>
  <c r="M68" i="20"/>
  <c r="L5" i="20" s="1"/>
  <c r="L68" i="20"/>
  <c r="K5" i="20" s="1"/>
  <c r="K68" i="20"/>
  <c r="J68" i="20"/>
  <c r="I68" i="20"/>
  <c r="H5" i="20" s="1"/>
  <c r="H68" i="20"/>
  <c r="G5" i="20" s="1"/>
  <c r="G68" i="20"/>
  <c r="F5" i="20" s="1"/>
  <c r="F68" i="20"/>
  <c r="E5" i="20" s="1"/>
  <c r="E68" i="20"/>
  <c r="D5" i="20" s="1"/>
  <c r="D68" i="20"/>
  <c r="C5" i="20" s="1"/>
  <c r="C68" i="20"/>
  <c r="B68" i="20"/>
  <c r="AF5" i="20" s="1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AG52" i="20"/>
  <c r="Z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G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C5" i="20"/>
  <c r="T5" i="20"/>
  <c r="M5" i="20"/>
  <c r="I5" i="20"/>
  <c r="AG4" i="20"/>
  <c r="K4" i="20"/>
  <c r="B4" i="20"/>
  <c r="AG2" i="20"/>
  <c r="AF37" i="19"/>
  <c r="AE37" i="19"/>
  <c r="AD37" i="19"/>
  <c r="AC37" i="19"/>
  <c r="AB37" i="19"/>
  <c r="X93" i="19"/>
  <c r="Y93" i="19"/>
  <c r="Z93" i="19"/>
  <c r="X83" i="19"/>
  <c r="Y82" i="19"/>
  <c r="Z82" i="19"/>
  <c r="AA82" i="19"/>
  <c r="Y76" i="19"/>
  <c r="Y77" i="19"/>
  <c r="Y78" i="19"/>
  <c r="Y79" i="19"/>
  <c r="Y80" i="19"/>
  <c r="Y68" i="19"/>
  <c r="Y75" i="19" s="1"/>
  <c r="Y56" i="19"/>
  <c r="Y52" i="19"/>
  <c r="Y38" i="19"/>
  <c r="Y72" i="19"/>
  <c r="Y51" i="19"/>
  <c r="X56" i="19"/>
  <c r="B68" i="18"/>
  <c r="B72" i="18"/>
  <c r="B73" i="18"/>
  <c r="B75" i="18"/>
  <c r="B76" i="18"/>
  <c r="B82" i="18" s="1"/>
  <c r="B77" i="18"/>
  <c r="B78" i="18"/>
  <c r="B79" i="18"/>
  <c r="B80" i="18"/>
  <c r="B93" i="18"/>
  <c r="B101" i="18"/>
  <c r="B102" i="18"/>
  <c r="B103" i="18"/>
  <c r="B104" i="18"/>
  <c r="B105" i="18"/>
  <c r="B106" i="18"/>
  <c r="B108" i="18"/>
  <c r="B109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30" i="18"/>
  <c r="B131" i="18"/>
  <c r="B132" i="18"/>
  <c r="B133" i="18"/>
  <c r="B134" i="18"/>
  <c r="B135" i="18"/>
  <c r="B136" i="18"/>
  <c r="B137" i="18"/>
  <c r="B139" i="18"/>
  <c r="B140" i="18"/>
  <c r="B141" i="18"/>
  <c r="B142" i="18"/>
  <c r="B143" i="18"/>
  <c r="B144" i="18"/>
  <c r="B145" i="18"/>
  <c r="B147" i="18"/>
  <c r="B148" i="18"/>
  <c r="B150" i="18"/>
  <c r="B151" i="18"/>
  <c r="B152" i="18"/>
  <c r="B153" i="18"/>
  <c r="E4" i="21"/>
  <c r="E4" i="20"/>
  <c r="E4" i="22"/>
  <c r="E4" i="29"/>
  <c r="E4" i="27"/>
  <c r="E4" i="26"/>
  <c r="E4" i="24"/>
  <c r="E4" i="28"/>
  <c r="E4" i="25"/>
  <c r="E4" i="23"/>
  <c r="AF82" i="29" l="1"/>
  <c r="AE82" i="29"/>
  <c r="AD82" i="29"/>
  <c r="AC82" i="29"/>
  <c r="AB82" i="29"/>
  <c r="Z82" i="29"/>
  <c r="Z75" i="29"/>
  <c r="AR213" i="29" s="1"/>
  <c r="Z73" i="29"/>
  <c r="X82" i="29"/>
  <c r="W82" i="29"/>
  <c r="U82" i="29"/>
  <c r="T82" i="29"/>
  <c r="AI78" i="29"/>
  <c r="S82" i="29"/>
  <c r="S73" i="29"/>
  <c r="O73" i="29"/>
  <c r="R82" i="29"/>
  <c r="R75" i="29"/>
  <c r="AJ213" i="29" s="1"/>
  <c r="R73" i="29"/>
  <c r="Q73" i="29"/>
  <c r="Q75" i="29"/>
  <c r="AI213" i="29" s="1"/>
  <c r="AI76" i="29"/>
  <c r="O75" i="29"/>
  <c r="O83" i="29" s="1"/>
  <c r="N5" i="29"/>
  <c r="P73" i="29"/>
  <c r="N82" i="29"/>
  <c r="M75" i="29"/>
  <c r="M7" i="29" s="1"/>
  <c r="M82" i="29"/>
  <c r="M73" i="29"/>
  <c r="M83" i="29" s="1"/>
  <c r="L82" i="29"/>
  <c r="AH12" i="29"/>
  <c r="K82" i="29"/>
  <c r="J82" i="29"/>
  <c r="I82" i="29"/>
  <c r="AI77" i="29"/>
  <c r="I75" i="29"/>
  <c r="AA213" i="29" s="1"/>
  <c r="J73" i="29"/>
  <c r="H82" i="29"/>
  <c r="I73" i="29"/>
  <c r="I83" i="29" s="1"/>
  <c r="K73" i="29"/>
  <c r="J75" i="29"/>
  <c r="AB213" i="29" s="1"/>
  <c r="H73" i="29"/>
  <c r="G82" i="29"/>
  <c r="G73" i="29"/>
  <c r="G75" i="29"/>
  <c r="Y213" i="29" s="1"/>
  <c r="F82" i="29"/>
  <c r="F75" i="29"/>
  <c r="F7" i="29" s="1"/>
  <c r="F73" i="29"/>
  <c r="AH77" i="29"/>
  <c r="E82" i="29"/>
  <c r="AH80" i="29"/>
  <c r="E73" i="29"/>
  <c r="E75" i="29"/>
  <c r="W213" i="29" s="1"/>
  <c r="D82" i="29"/>
  <c r="AI79" i="29"/>
  <c r="AI68" i="29"/>
  <c r="AI56" i="29"/>
  <c r="AH38" i="29"/>
  <c r="C73" i="29"/>
  <c r="C75" i="29" s="1"/>
  <c r="C7" i="29" s="1"/>
  <c r="AH79" i="29"/>
  <c r="AI38" i="29"/>
  <c r="H4" i="29"/>
  <c r="X213" i="29"/>
  <c r="AF213" i="29"/>
  <c r="N7" i="29"/>
  <c r="AG83" i="29"/>
  <c r="R83" i="29"/>
  <c r="Z83" i="29"/>
  <c r="AG6" i="29"/>
  <c r="I7" i="29"/>
  <c r="AG3" i="29"/>
  <c r="AG75" i="29"/>
  <c r="AE213" i="29"/>
  <c r="N83" i="29"/>
  <c r="F102" i="29"/>
  <c r="E93" i="29"/>
  <c r="D73" i="29"/>
  <c r="L73" i="29"/>
  <c r="T73" i="29"/>
  <c r="H75" i="29"/>
  <c r="P75" i="29"/>
  <c r="AI80" i="29"/>
  <c r="G5" i="29"/>
  <c r="O5" i="29"/>
  <c r="W5" i="29"/>
  <c r="AE5" i="29"/>
  <c r="G193" i="29"/>
  <c r="F199" i="29"/>
  <c r="K75" i="29"/>
  <c r="S75" i="29"/>
  <c r="AH76" i="29"/>
  <c r="B82" i="29"/>
  <c r="E101" i="29"/>
  <c r="AH56" i="29"/>
  <c r="AH68" i="29"/>
  <c r="AH72" i="29"/>
  <c r="D75" i="29"/>
  <c r="L75" i="29"/>
  <c r="T75" i="29"/>
  <c r="AI72" i="29"/>
  <c r="AH78" i="29"/>
  <c r="R7" i="29"/>
  <c r="Z7" i="29"/>
  <c r="S210" i="29"/>
  <c r="D210" i="29"/>
  <c r="E199" i="29"/>
  <c r="F198" i="29"/>
  <c r="AF82" i="28"/>
  <c r="AE82" i="28"/>
  <c r="AC82" i="28"/>
  <c r="AA82" i="28"/>
  <c r="Z82" i="28"/>
  <c r="Z75" i="28"/>
  <c r="X82" i="28"/>
  <c r="W82" i="28"/>
  <c r="V82" i="28"/>
  <c r="U82" i="28"/>
  <c r="T73" i="28"/>
  <c r="T75" i="28"/>
  <c r="AL213" i="28" s="1"/>
  <c r="S82" i="28"/>
  <c r="S73" i="28"/>
  <c r="S75" i="28"/>
  <c r="R82" i="28"/>
  <c r="R75" i="28"/>
  <c r="Q82" i="28"/>
  <c r="P82" i="28"/>
  <c r="O82" i="28"/>
  <c r="O75" i="28"/>
  <c r="AG213" i="28" s="1"/>
  <c r="O73" i="28"/>
  <c r="N82" i="28"/>
  <c r="N73" i="28"/>
  <c r="N75" i="28"/>
  <c r="AF213" i="28" s="1"/>
  <c r="M82" i="28"/>
  <c r="M75" i="28"/>
  <c r="AE213" i="28" s="1"/>
  <c r="L73" i="28"/>
  <c r="L75" i="28"/>
  <c r="AD213" i="28" s="1"/>
  <c r="K82" i="28"/>
  <c r="K73" i="28"/>
  <c r="J82" i="28"/>
  <c r="J75" i="28"/>
  <c r="AB213" i="28" s="1"/>
  <c r="K75" i="28"/>
  <c r="K7" i="28" s="1"/>
  <c r="AI78" i="28"/>
  <c r="I82" i="28"/>
  <c r="AI77" i="28"/>
  <c r="G75" i="28"/>
  <c r="G7" i="28" s="1"/>
  <c r="G73" i="28"/>
  <c r="F73" i="28"/>
  <c r="F75" i="28"/>
  <c r="AI79" i="28"/>
  <c r="E82" i="28"/>
  <c r="C82" i="28"/>
  <c r="D75" i="28"/>
  <c r="V213" i="28" s="1"/>
  <c r="C73" i="28"/>
  <c r="C75" i="28" s="1"/>
  <c r="U213" i="28" s="1"/>
  <c r="E75" i="28"/>
  <c r="W213" i="28" s="1"/>
  <c r="AI38" i="28"/>
  <c r="D73" i="28"/>
  <c r="B75" i="28"/>
  <c r="B73" i="28"/>
  <c r="H4" i="28"/>
  <c r="AR213" i="28"/>
  <c r="Z7" i="28"/>
  <c r="AG6" i="28"/>
  <c r="AI56" i="28"/>
  <c r="AK213" i="28"/>
  <c r="S7" i="28"/>
  <c r="AH77" i="28"/>
  <c r="G82" i="28"/>
  <c r="AH80" i="28"/>
  <c r="AJ213" i="28"/>
  <c r="R7" i="28"/>
  <c r="H75" i="28"/>
  <c r="P75" i="28"/>
  <c r="AH76" i="28"/>
  <c r="H82" i="28"/>
  <c r="I75" i="28"/>
  <c r="Q75" i="28"/>
  <c r="AG75" i="28"/>
  <c r="G102" i="28"/>
  <c r="H73" i="28"/>
  <c r="G5" i="28"/>
  <c r="P73" i="28"/>
  <c r="O5" i="28"/>
  <c r="W5" i="28"/>
  <c r="AE5" i="28"/>
  <c r="AI76" i="28"/>
  <c r="AH38" i="28"/>
  <c r="I73" i="28"/>
  <c r="Q73" i="28"/>
  <c r="AG73" i="28"/>
  <c r="AG83" i="28" s="1"/>
  <c r="E191" i="28"/>
  <c r="F101" i="28"/>
  <c r="N7" i="28"/>
  <c r="S83" i="28"/>
  <c r="J73" i="28"/>
  <c r="R73" i="28"/>
  <c r="R83" i="28" s="1"/>
  <c r="Z73" i="28"/>
  <c r="Z83" i="28" s="1"/>
  <c r="D82" i="28"/>
  <c r="L82" i="28"/>
  <c r="T82" i="28"/>
  <c r="T83" i="28" s="1"/>
  <c r="AB82" i="28"/>
  <c r="T7" i="28"/>
  <c r="AI80" i="28"/>
  <c r="E73" i="28"/>
  <c r="M73" i="28"/>
  <c r="M83" i="28" s="1"/>
  <c r="F83" i="28"/>
  <c r="N83" i="28"/>
  <c r="D93" i="28"/>
  <c r="D191" i="28"/>
  <c r="AH56" i="28"/>
  <c r="AH68" i="28"/>
  <c r="AH72" i="28"/>
  <c r="AI68" i="28"/>
  <c r="AI72" i="28"/>
  <c r="AH78" i="28"/>
  <c r="AH79" i="28"/>
  <c r="S210" i="28"/>
  <c r="D210" i="28"/>
  <c r="D234" i="28"/>
  <c r="F198" i="28"/>
  <c r="D199" i="28"/>
  <c r="E193" i="28"/>
  <c r="E93" i="28" s="1"/>
  <c r="AF82" i="27"/>
  <c r="AE82" i="27"/>
  <c r="AD82" i="27"/>
  <c r="AB82" i="27"/>
  <c r="AA82" i="27"/>
  <c r="Z82" i="27"/>
  <c r="X82" i="27"/>
  <c r="W82" i="27"/>
  <c r="V82" i="27"/>
  <c r="T82" i="27"/>
  <c r="T73" i="27"/>
  <c r="T75" i="27"/>
  <c r="S75" i="27"/>
  <c r="R82" i="27"/>
  <c r="P82" i="27"/>
  <c r="P75" i="27"/>
  <c r="AH213" i="27" s="1"/>
  <c r="P73" i="27"/>
  <c r="O82" i="27"/>
  <c r="O73" i="27"/>
  <c r="N82" i="27"/>
  <c r="N75" i="27"/>
  <c r="N73" i="27"/>
  <c r="M75" i="27"/>
  <c r="AE213" i="27" s="1"/>
  <c r="M73" i="27"/>
  <c r="AI79" i="27"/>
  <c r="L73" i="27"/>
  <c r="L82" i="27"/>
  <c r="L75" i="27"/>
  <c r="L83" i="27" s="1"/>
  <c r="K82" i="27"/>
  <c r="K75" i="27"/>
  <c r="J82" i="27"/>
  <c r="H75" i="27"/>
  <c r="Z213" i="27" s="1"/>
  <c r="H73" i="27"/>
  <c r="H83" i="27" s="1"/>
  <c r="AH76" i="27"/>
  <c r="F82" i="27"/>
  <c r="F73" i="27"/>
  <c r="F75" i="27"/>
  <c r="F7" i="27" s="1"/>
  <c r="E75" i="27"/>
  <c r="W213" i="27" s="1"/>
  <c r="E73" i="27"/>
  <c r="AH77" i="27"/>
  <c r="D82" i="27"/>
  <c r="D73" i="27"/>
  <c r="D75" i="27"/>
  <c r="D83" i="27" s="1"/>
  <c r="AH78" i="27"/>
  <c r="C82" i="27"/>
  <c r="AI56" i="27"/>
  <c r="AH38" i="27"/>
  <c r="AH80" i="27"/>
  <c r="AI38" i="27"/>
  <c r="H4" i="27"/>
  <c r="AC213" i="27"/>
  <c r="K7" i="27"/>
  <c r="AK213" i="27"/>
  <c r="S7" i="27"/>
  <c r="X5" i="27"/>
  <c r="Z75" i="27"/>
  <c r="T83" i="27"/>
  <c r="AF5" i="27"/>
  <c r="AI68" i="27"/>
  <c r="J73" i="27"/>
  <c r="R73" i="27"/>
  <c r="Z73" i="27"/>
  <c r="AH68" i="27"/>
  <c r="AI77" i="27"/>
  <c r="AI78" i="27"/>
  <c r="P5" i="27"/>
  <c r="Q73" i="27"/>
  <c r="J75" i="27"/>
  <c r="H7" i="27"/>
  <c r="AH56" i="27"/>
  <c r="C73" i="27"/>
  <c r="C75" i="27" s="1"/>
  <c r="K73" i="27"/>
  <c r="K83" i="27" s="1"/>
  <c r="S73" i="27"/>
  <c r="S83" i="27" s="1"/>
  <c r="R75" i="27"/>
  <c r="B82" i="27"/>
  <c r="E83" i="27"/>
  <c r="E82" i="27"/>
  <c r="M82" i="27"/>
  <c r="U82" i="27"/>
  <c r="AC82" i="27"/>
  <c r="H5" i="27"/>
  <c r="I73" i="27"/>
  <c r="AI72" i="27"/>
  <c r="AH72" i="27"/>
  <c r="AI76" i="27"/>
  <c r="P7" i="27"/>
  <c r="X213" i="27"/>
  <c r="AF213" i="27"/>
  <c r="N7" i="27"/>
  <c r="AL213" i="27"/>
  <c r="T7" i="27"/>
  <c r="E93" i="27"/>
  <c r="I75" i="27"/>
  <c r="Q75" i="27"/>
  <c r="AG75" i="27"/>
  <c r="AG83" i="27" s="1"/>
  <c r="I82" i="27"/>
  <c r="Q82" i="27"/>
  <c r="Y82" i="27"/>
  <c r="AI80" i="27"/>
  <c r="D191" i="27"/>
  <c r="AH79" i="27"/>
  <c r="E101" i="27"/>
  <c r="F102" i="27"/>
  <c r="S210" i="27"/>
  <c r="D210" i="27"/>
  <c r="G75" i="27"/>
  <c r="O75" i="27"/>
  <c r="O83" i="27" s="1"/>
  <c r="E7" i="27"/>
  <c r="M7" i="27"/>
  <c r="D93" i="27"/>
  <c r="F193" i="27"/>
  <c r="D199" i="27"/>
  <c r="E198" i="27"/>
  <c r="E199" i="27" s="1"/>
  <c r="AF82" i="26"/>
  <c r="Z73" i="26"/>
  <c r="W82" i="26"/>
  <c r="R82" i="26"/>
  <c r="P82" i="26"/>
  <c r="O73" i="26"/>
  <c r="AI76" i="26"/>
  <c r="K82" i="26"/>
  <c r="J82" i="26"/>
  <c r="C82" i="26"/>
  <c r="B82" i="26"/>
  <c r="K75" i="26"/>
  <c r="AC213" i="26" s="1"/>
  <c r="S75" i="26"/>
  <c r="AK213" i="26" s="1"/>
  <c r="E82" i="26"/>
  <c r="M82" i="26"/>
  <c r="U82" i="26"/>
  <c r="AC82" i="26"/>
  <c r="G82" i="26"/>
  <c r="O82" i="26"/>
  <c r="F82" i="26"/>
  <c r="N82" i="26"/>
  <c r="V82" i="26"/>
  <c r="AD82" i="26"/>
  <c r="AI80" i="26"/>
  <c r="H82" i="26"/>
  <c r="X82" i="26"/>
  <c r="AI78" i="26"/>
  <c r="Z82" i="26"/>
  <c r="I82" i="26"/>
  <c r="Q82" i="26"/>
  <c r="AI56" i="26"/>
  <c r="E73" i="26"/>
  <c r="M73" i="26"/>
  <c r="F75" i="26"/>
  <c r="F7" i="26" s="1"/>
  <c r="H75" i="26"/>
  <c r="Z213" i="26" s="1"/>
  <c r="P73" i="26"/>
  <c r="D73" i="26"/>
  <c r="L73" i="26"/>
  <c r="T75" i="26"/>
  <c r="AL213" i="26" s="1"/>
  <c r="N75" i="26"/>
  <c r="AF213" i="26" s="1"/>
  <c r="H73" i="26"/>
  <c r="J73" i="26"/>
  <c r="G73" i="26"/>
  <c r="P75" i="26"/>
  <c r="AH213" i="26" s="1"/>
  <c r="I75" i="26"/>
  <c r="AA213" i="26" s="1"/>
  <c r="Q75" i="26"/>
  <c r="Q7" i="26" s="1"/>
  <c r="H4" i="26"/>
  <c r="AI38" i="26"/>
  <c r="AI68" i="26"/>
  <c r="D75" i="26"/>
  <c r="C73" i="26"/>
  <c r="K73" i="26"/>
  <c r="S73" i="26"/>
  <c r="E75" i="26"/>
  <c r="M75" i="26"/>
  <c r="T73" i="26"/>
  <c r="S210" i="26"/>
  <c r="D210" i="26"/>
  <c r="F73" i="26"/>
  <c r="N73" i="26"/>
  <c r="G75" i="26"/>
  <c r="O75" i="26"/>
  <c r="D93" i="26"/>
  <c r="L75" i="26"/>
  <c r="AI77" i="26"/>
  <c r="AI79" i="26"/>
  <c r="D82" i="26"/>
  <c r="L82" i="26"/>
  <c r="T82" i="26"/>
  <c r="AB82" i="26"/>
  <c r="F102" i="26"/>
  <c r="I73" i="26"/>
  <c r="Q73" i="26"/>
  <c r="AG73" i="26"/>
  <c r="AG83" i="26" s="1"/>
  <c r="AI72" i="26"/>
  <c r="J75" i="26"/>
  <c r="J83" i="26" s="1"/>
  <c r="R75" i="26"/>
  <c r="R83" i="26" s="1"/>
  <c r="Z75" i="26"/>
  <c r="F191" i="26"/>
  <c r="G101" i="26"/>
  <c r="D191" i="26"/>
  <c r="E191" i="26"/>
  <c r="C234" i="26"/>
  <c r="E198" i="26"/>
  <c r="D199" i="26"/>
  <c r="E193" i="26"/>
  <c r="E93" i="26" s="1"/>
  <c r="AE82" i="25"/>
  <c r="AD82" i="25"/>
  <c r="AC82" i="25"/>
  <c r="AB82" i="25"/>
  <c r="AA82" i="25"/>
  <c r="Z82" i="25"/>
  <c r="Z73" i="25"/>
  <c r="Z75" i="25"/>
  <c r="AR213" i="25" s="1"/>
  <c r="X82" i="25"/>
  <c r="W82" i="25"/>
  <c r="V82" i="25"/>
  <c r="U82" i="25"/>
  <c r="T82" i="25"/>
  <c r="T75" i="25"/>
  <c r="S82" i="25"/>
  <c r="S75" i="25"/>
  <c r="AK213" i="25" s="1"/>
  <c r="S73" i="25"/>
  <c r="S83" i="25" s="1"/>
  <c r="R82" i="25"/>
  <c r="R75" i="25"/>
  <c r="AJ213" i="25" s="1"/>
  <c r="R73" i="25"/>
  <c r="Q82" i="25"/>
  <c r="AI79" i="25"/>
  <c r="Q73" i="25"/>
  <c r="AI37" i="25"/>
  <c r="O82" i="25"/>
  <c r="O73" i="25"/>
  <c r="O75" i="25"/>
  <c r="AH37" i="25"/>
  <c r="P73" i="25"/>
  <c r="N82" i="25"/>
  <c r="N73" i="25"/>
  <c r="M82" i="25"/>
  <c r="M73" i="25"/>
  <c r="M75" i="25"/>
  <c r="L82" i="25"/>
  <c r="L75" i="25"/>
  <c r="K82" i="25"/>
  <c r="K75" i="25"/>
  <c r="AC213" i="25" s="1"/>
  <c r="K73" i="25"/>
  <c r="K83" i="25" s="1"/>
  <c r="J75" i="25"/>
  <c r="AB213" i="25" s="1"/>
  <c r="J82" i="25"/>
  <c r="J73" i="25"/>
  <c r="AI78" i="25"/>
  <c r="I82" i="25"/>
  <c r="AI77" i="25"/>
  <c r="I73" i="25"/>
  <c r="H73" i="25"/>
  <c r="G82" i="25"/>
  <c r="G73" i="25"/>
  <c r="G75" i="25"/>
  <c r="Y213" i="25" s="1"/>
  <c r="F82" i="25"/>
  <c r="F73" i="25"/>
  <c r="F75" i="25"/>
  <c r="X213" i="25" s="1"/>
  <c r="AI76" i="25"/>
  <c r="E73" i="25"/>
  <c r="E82" i="25"/>
  <c r="AH56" i="25"/>
  <c r="E75" i="25"/>
  <c r="E83" i="25" s="1"/>
  <c r="AH78" i="25"/>
  <c r="AH80" i="25"/>
  <c r="D82" i="25"/>
  <c r="AI38" i="25"/>
  <c r="C82" i="25"/>
  <c r="C73" i="25"/>
  <c r="C75" i="25" s="1"/>
  <c r="C7" i="25" s="1"/>
  <c r="B82" i="25"/>
  <c r="AH76" i="25"/>
  <c r="AI56" i="25"/>
  <c r="H4" i="25"/>
  <c r="V213" i="25"/>
  <c r="D7" i="25"/>
  <c r="AD213" i="25"/>
  <c r="L7" i="25"/>
  <c r="AL213" i="25"/>
  <c r="T7" i="25"/>
  <c r="U213" i="25"/>
  <c r="M83" i="25"/>
  <c r="F7" i="25"/>
  <c r="AG213" i="25"/>
  <c r="O7" i="25"/>
  <c r="D73" i="25"/>
  <c r="D83" i="25" s="1"/>
  <c r="L73" i="25"/>
  <c r="T73" i="25"/>
  <c r="T83" i="25" s="1"/>
  <c r="H75" i="25"/>
  <c r="P75" i="25"/>
  <c r="AI80" i="25"/>
  <c r="G5" i="25"/>
  <c r="O5" i="25"/>
  <c r="W5" i="25"/>
  <c r="AE5" i="25"/>
  <c r="I75" i="25"/>
  <c r="Q75" i="25"/>
  <c r="Q83" i="25" s="1"/>
  <c r="AG75" i="25"/>
  <c r="AG83" i="25" s="1"/>
  <c r="H82" i="25"/>
  <c r="F83" i="25"/>
  <c r="O83" i="25"/>
  <c r="AH38" i="25"/>
  <c r="AH68" i="25"/>
  <c r="R83" i="25"/>
  <c r="Z83" i="25"/>
  <c r="AH72" i="25"/>
  <c r="AH77" i="25"/>
  <c r="F101" i="25"/>
  <c r="AI68" i="25"/>
  <c r="AI72" i="25"/>
  <c r="I102" i="25"/>
  <c r="J7" i="25"/>
  <c r="R7" i="25"/>
  <c r="Z7" i="25"/>
  <c r="N75" i="25"/>
  <c r="AH79" i="25"/>
  <c r="E123" i="25"/>
  <c r="E191" i="25" s="1"/>
  <c r="D93" i="25"/>
  <c r="S210" i="25"/>
  <c r="D210" i="25"/>
  <c r="S7" i="25"/>
  <c r="D191" i="25"/>
  <c r="C234" i="25"/>
  <c r="E198" i="25"/>
  <c r="G193" i="25"/>
  <c r="D199" i="25"/>
  <c r="E194" i="25"/>
  <c r="AF82" i="24"/>
  <c r="AB82" i="24"/>
  <c r="Z75" i="24"/>
  <c r="Z73" i="24"/>
  <c r="Y5" i="24"/>
  <c r="X82" i="24"/>
  <c r="V82" i="24"/>
  <c r="U82" i="24"/>
  <c r="T73" i="24"/>
  <c r="T75" i="24"/>
  <c r="S75" i="24"/>
  <c r="AK213" i="24" s="1"/>
  <c r="S73" i="24"/>
  <c r="R73" i="24"/>
  <c r="R75" i="24"/>
  <c r="AJ213" i="24" s="1"/>
  <c r="Q82" i="24"/>
  <c r="Q73" i="24"/>
  <c r="P82" i="24"/>
  <c r="P73" i="24"/>
  <c r="O73" i="24"/>
  <c r="O75" i="24"/>
  <c r="AG213" i="24" s="1"/>
  <c r="N82" i="24"/>
  <c r="N73" i="24"/>
  <c r="N75" i="24"/>
  <c r="M75" i="24"/>
  <c r="AE213" i="24" s="1"/>
  <c r="L82" i="24"/>
  <c r="K82" i="24"/>
  <c r="K73" i="24"/>
  <c r="L75" i="24"/>
  <c r="AD213" i="24" s="1"/>
  <c r="L73" i="24"/>
  <c r="K75" i="24"/>
  <c r="AC213" i="24" s="1"/>
  <c r="I82" i="24"/>
  <c r="J75" i="24"/>
  <c r="J7" i="24" s="1"/>
  <c r="J73" i="24"/>
  <c r="I73" i="24"/>
  <c r="H82" i="24"/>
  <c r="H73" i="24"/>
  <c r="G73" i="24"/>
  <c r="F82" i="24"/>
  <c r="G75" i="24"/>
  <c r="G7" i="24" s="1"/>
  <c r="F73" i="24"/>
  <c r="F75" i="24"/>
  <c r="F7" i="24" s="1"/>
  <c r="E82" i="24"/>
  <c r="AI56" i="24"/>
  <c r="E75" i="24"/>
  <c r="W213" i="24" s="1"/>
  <c r="AI78" i="24"/>
  <c r="AH78" i="24"/>
  <c r="D82" i="24"/>
  <c r="D73" i="24"/>
  <c r="C82" i="24"/>
  <c r="AH76" i="24"/>
  <c r="AI79" i="24"/>
  <c r="AH68" i="24"/>
  <c r="AI77" i="24"/>
  <c r="C73" i="24"/>
  <c r="C75" i="24" s="1"/>
  <c r="U213" i="24" s="1"/>
  <c r="AH38" i="24"/>
  <c r="AF5" i="24"/>
  <c r="AI68" i="24"/>
  <c r="AH80" i="24"/>
  <c r="H4" i="24"/>
  <c r="S83" i="24"/>
  <c r="AB213" i="24"/>
  <c r="R7" i="24"/>
  <c r="AR213" i="24"/>
  <c r="Z7" i="24"/>
  <c r="AL213" i="24"/>
  <c r="T7" i="24"/>
  <c r="N83" i="24"/>
  <c r="AF213" i="24"/>
  <c r="N7" i="24"/>
  <c r="E73" i="24"/>
  <c r="M73" i="24"/>
  <c r="I75" i="24"/>
  <c r="Q75" i="24"/>
  <c r="Q83" i="24" s="1"/>
  <c r="AG75" i="24"/>
  <c r="AG83" i="24" s="1"/>
  <c r="G82" i="24"/>
  <c r="O82" i="24"/>
  <c r="O83" i="24" s="1"/>
  <c r="W82" i="24"/>
  <c r="AE82" i="24"/>
  <c r="T83" i="24"/>
  <c r="H5" i="24"/>
  <c r="P5" i="24"/>
  <c r="X5" i="24"/>
  <c r="AI38" i="24"/>
  <c r="AH56" i="24"/>
  <c r="D75" i="24"/>
  <c r="B82" i="24"/>
  <c r="J82" i="24"/>
  <c r="R82" i="24"/>
  <c r="Z82" i="24"/>
  <c r="Z83" i="24" s="1"/>
  <c r="AI76" i="24"/>
  <c r="AH77" i="24"/>
  <c r="AH79" i="24"/>
  <c r="S210" i="24"/>
  <c r="D210" i="24"/>
  <c r="S7" i="24"/>
  <c r="F191" i="24"/>
  <c r="G102" i="24"/>
  <c r="H75" i="24"/>
  <c r="P75" i="24"/>
  <c r="P83" i="24" s="1"/>
  <c r="AI80" i="24"/>
  <c r="E93" i="24"/>
  <c r="G101" i="24"/>
  <c r="E191" i="24"/>
  <c r="D191" i="24"/>
  <c r="G193" i="24"/>
  <c r="E198" i="24"/>
  <c r="AF82" i="23"/>
  <c r="AE82" i="23"/>
  <c r="AD82" i="23"/>
  <c r="AC82" i="23"/>
  <c r="AA82" i="23"/>
  <c r="Z82" i="23"/>
  <c r="Y82" i="23"/>
  <c r="X82" i="23"/>
  <c r="W82" i="23"/>
  <c r="V82" i="23"/>
  <c r="T73" i="23"/>
  <c r="S82" i="23"/>
  <c r="S73" i="23"/>
  <c r="T75" i="23"/>
  <c r="S75" i="23"/>
  <c r="R82" i="23"/>
  <c r="Q82" i="23"/>
  <c r="Q73" i="23"/>
  <c r="P82" i="23"/>
  <c r="P73" i="23"/>
  <c r="O73" i="23"/>
  <c r="N82" i="23"/>
  <c r="N73" i="23"/>
  <c r="M82" i="23"/>
  <c r="M75" i="23"/>
  <c r="AE213" i="23" s="1"/>
  <c r="M73" i="23"/>
  <c r="AI80" i="23"/>
  <c r="L73" i="23"/>
  <c r="AI79" i="23"/>
  <c r="K82" i="23"/>
  <c r="K73" i="23"/>
  <c r="J82" i="23"/>
  <c r="I82" i="23"/>
  <c r="AH78" i="23"/>
  <c r="H82" i="23"/>
  <c r="H73" i="23"/>
  <c r="L75" i="23"/>
  <c r="K75" i="23"/>
  <c r="AC213" i="23" s="1"/>
  <c r="I73" i="23"/>
  <c r="H75" i="23"/>
  <c r="Z213" i="23" s="1"/>
  <c r="G82" i="23"/>
  <c r="G73" i="23"/>
  <c r="F82" i="23"/>
  <c r="AI56" i="23"/>
  <c r="F73" i="23"/>
  <c r="E82" i="23"/>
  <c r="E73" i="23"/>
  <c r="E75" i="23"/>
  <c r="E7" i="23" s="1"/>
  <c r="D73" i="23"/>
  <c r="D83" i="23" s="1"/>
  <c r="AI68" i="23"/>
  <c r="D82" i="23"/>
  <c r="AI76" i="23"/>
  <c r="V213" i="23"/>
  <c r="D7" i="23"/>
  <c r="C82" i="23"/>
  <c r="C73" i="23"/>
  <c r="C75" i="23" s="1"/>
  <c r="U213" i="23" s="1"/>
  <c r="AH38" i="23"/>
  <c r="B75" i="23"/>
  <c r="B73" i="23"/>
  <c r="AI77" i="23"/>
  <c r="AH77" i="23"/>
  <c r="H4" i="23"/>
  <c r="P83" i="23"/>
  <c r="AG6" i="23"/>
  <c r="AG73" i="23"/>
  <c r="AG83" i="23" s="1"/>
  <c r="S83" i="23"/>
  <c r="H102" i="23"/>
  <c r="W213" i="23"/>
  <c r="G114" i="23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AK213" i="23"/>
  <c r="S7" i="23"/>
  <c r="AI38" i="23"/>
  <c r="AH56" i="23"/>
  <c r="J73" i="23"/>
  <c r="R73" i="23"/>
  <c r="Z73" i="23"/>
  <c r="F75" i="23"/>
  <c r="N75" i="23"/>
  <c r="AI78" i="23"/>
  <c r="AH79" i="23"/>
  <c r="S210" i="23"/>
  <c r="D210" i="23"/>
  <c r="E5" i="23"/>
  <c r="M5" i="23"/>
  <c r="U5" i="23"/>
  <c r="AC5" i="23"/>
  <c r="G75" i="23"/>
  <c r="O75" i="23"/>
  <c r="AH80" i="23"/>
  <c r="I75" i="23"/>
  <c r="Q75" i="23"/>
  <c r="AG75" i="23"/>
  <c r="AF5" i="23"/>
  <c r="J75" i="23"/>
  <c r="R75" i="23"/>
  <c r="Z75" i="23"/>
  <c r="E93" i="23"/>
  <c r="AH76" i="23"/>
  <c r="E191" i="23"/>
  <c r="P7" i="23"/>
  <c r="AH68" i="23"/>
  <c r="AH72" i="23"/>
  <c r="AI72" i="23"/>
  <c r="F101" i="23"/>
  <c r="D191" i="23"/>
  <c r="D199" i="23"/>
  <c r="E193" i="23"/>
  <c r="C234" i="23"/>
  <c r="E198" i="23"/>
  <c r="AF82" i="22"/>
  <c r="AD82" i="22"/>
  <c r="X82" i="22"/>
  <c r="W82" i="22"/>
  <c r="U82" i="22"/>
  <c r="T73" i="22"/>
  <c r="S75" i="22"/>
  <c r="AK213" i="22" s="1"/>
  <c r="Q82" i="22"/>
  <c r="P82" i="22"/>
  <c r="M73" i="22"/>
  <c r="K75" i="22"/>
  <c r="AC213" i="22" s="1"/>
  <c r="I82" i="22"/>
  <c r="H82" i="22"/>
  <c r="AH77" i="22"/>
  <c r="E82" i="22"/>
  <c r="AI79" i="22"/>
  <c r="D73" i="22"/>
  <c r="P75" i="22"/>
  <c r="AH213" i="22" s="1"/>
  <c r="AI68" i="22"/>
  <c r="AH76" i="22"/>
  <c r="J82" i="22"/>
  <c r="R82" i="22"/>
  <c r="AA82" i="22"/>
  <c r="AH80" i="22"/>
  <c r="C82" i="22"/>
  <c r="K82" i="22"/>
  <c r="S82" i="22"/>
  <c r="AB82" i="22"/>
  <c r="D82" i="22"/>
  <c r="L82" i="22"/>
  <c r="T82" i="22"/>
  <c r="AC82" i="22"/>
  <c r="AH79" i="22"/>
  <c r="M82" i="22"/>
  <c r="F82" i="22"/>
  <c r="N82" i="22"/>
  <c r="V82" i="22"/>
  <c r="AE82" i="22"/>
  <c r="AH78" i="22"/>
  <c r="AI80" i="22"/>
  <c r="G82" i="22"/>
  <c r="O82" i="22"/>
  <c r="G73" i="22"/>
  <c r="O73" i="22"/>
  <c r="H73" i="22"/>
  <c r="P73" i="22"/>
  <c r="AH38" i="22"/>
  <c r="L73" i="22"/>
  <c r="Z73" i="22"/>
  <c r="J73" i="22"/>
  <c r="R73" i="22"/>
  <c r="R75" i="22"/>
  <c r="R7" i="22" s="1"/>
  <c r="Z75" i="22"/>
  <c r="I73" i="22"/>
  <c r="Q73" i="22"/>
  <c r="T75" i="22"/>
  <c r="AL213" i="22" s="1"/>
  <c r="C73" i="22"/>
  <c r="C75" i="22" s="1"/>
  <c r="U213" i="22" s="1"/>
  <c r="K73" i="22"/>
  <c r="S73" i="22"/>
  <c r="G75" i="22"/>
  <c r="G7" i="22" s="1"/>
  <c r="H75" i="22"/>
  <c r="Z213" i="22" s="1"/>
  <c r="F73" i="22"/>
  <c r="N73" i="22"/>
  <c r="AI78" i="22"/>
  <c r="B82" i="22"/>
  <c r="AI77" i="22"/>
  <c r="AF5" i="22"/>
  <c r="H4" i="22"/>
  <c r="G102" i="22"/>
  <c r="Z137" i="22"/>
  <c r="AA137" i="22" s="1"/>
  <c r="AB137" i="22" s="1"/>
  <c r="AC137" i="22" s="1"/>
  <c r="AD137" i="22" s="1"/>
  <c r="AE137" i="22" s="1"/>
  <c r="AF137" i="22" s="1"/>
  <c r="B137" i="22" s="1"/>
  <c r="Y93" i="22"/>
  <c r="H5" i="22"/>
  <c r="P5" i="22"/>
  <c r="X5" i="22"/>
  <c r="AI38" i="22"/>
  <c r="AH56" i="22"/>
  <c r="AH68" i="22"/>
  <c r="AH72" i="22"/>
  <c r="D75" i="22"/>
  <c r="L75" i="22"/>
  <c r="AI56" i="22"/>
  <c r="AI72" i="22"/>
  <c r="E75" i="22"/>
  <c r="M75" i="22"/>
  <c r="AI76" i="22"/>
  <c r="F75" i="22"/>
  <c r="N75" i="22"/>
  <c r="O75" i="22"/>
  <c r="D210" i="22"/>
  <c r="S210" i="22"/>
  <c r="E5" i="22"/>
  <c r="M5" i="22"/>
  <c r="U5" i="22"/>
  <c r="AC5" i="22"/>
  <c r="S7" i="22"/>
  <c r="AH37" i="22"/>
  <c r="I75" i="22"/>
  <c r="Q75" i="22"/>
  <c r="AG75" i="22"/>
  <c r="AG83" i="22" s="1"/>
  <c r="D191" i="22"/>
  <c r="J75" i="22"/>
  <c r="E101" i="22"/>
  <c r="E193" i="22"/>
  <c r="F234" i="22"/>
  <c r="H198" i="22"/>
  <c r="AF82" i="21"/>
  <c r="AE82" i="21"/>
  <c r="AD82" i="21"/>
  <c r="AC82" i="21"/>
  <c r="Y75" i="21"/>
  <c r="Z73" i="21"/>
  <c r="Y73" i="21"/>
  <c r="Y83" i="21" s="1"/>
  <c r="X82" i="21"/>
  <c r="W82" i="21"/>
  <c r="V82" i="21"/>
  <c r="U82" i="21"/>
  <c r="T73" i="21"/>
  <c r="T75" i="21"/>
  <c r="AL213" i="21" s="1"/>
  <c r="S73" i="21"/>
  <c r="S75" i="21"/>
  <c r="R82" i="21"/>
  <c r="Q75" i="21"/>
  <c r="AI213" i="21" s="1"/>
  <c r="Q73" i="21"/>
  <c r="P75" i="21"/>
  <c r="P82" i="21"/>
  <c r="P73" i="21"/>
  <c r="O82" i="21"/>
  <c r="N82" i="21"/>
  <c r="AI76" i="21"/>
  <c r="M82" i="21"/>
  <c r="M73" i="21"/>
  <c r="M75" i="21"/>
  <c r="M83" i="21" s="1"/>
  <c r="L73" i="21"/>
  <c r="L75" i="21"/>
  <c r="AD213" i="21" s="1"/>
  <c r="K73" i="21"/>
  <c r="K75" i="21"/>
  <c r="AC213" i="21" s="1"/>
  <c r="J82" i="21"/>
  <c r="J73" i="21"/>
  <c r="I82" i="21"/>
  <c r="I73" i="21"/>
  <c r="I83" i="21" s="1"/>
  <c r="H82" i="21"/>
  <c r="H73" i="21"/>
  <c r="H75" i="21"/>
  <c r="H7" i="21" s="1"/>
  <c r="G82" i="21"/>
  <c r="F82" i="21"/>
  <c r="E82" i="21"/>
  <c r="AI77" i="21"/>
  <c r="E73" i="21"/>
  <c r="E75" i="21"/>
  <c r="D73" i="21"/>
  <c r="D75" i="21"/>
  <c r="AH78" i="21"/>
  <c r="AH80" i="21"/>
  <c r="AI56" i="21"/>
  <c r="AI38" i="21"/>
  <c r="C73" i="21"/>
  <c r="C75" i="21" s="1"/>
  <c r="AH79" i="21"/>
  <c r="AH77" i="21"/>
  <c r="H4" i="21"/>
  <c r="I102" i="21"/>
  <c r="N75" i="21"/>
  <c r="F73" i="21"/>
  <c r="E5" i="21"/>
  <c r="N73" i="21"/>
  <c r="M5" i="21"/>
  <c r="AC5" i="21"/>
  <c r="U5" i="21"/>
  <c r="G73" i="21"/>
  <c r="O73" i="21"/>
  <c r="Q83" i="21"/>
  <c r="C82" i="21"/>
  <c r="K82" i="21"/>
  <c r="S82" i="21"/>
  <c r="AA82" i="21"/>
  <c r="AG75" i="21"/>
  <c r="AG3" i="21"/>
  <c r="AG6" i="21" s="1"/>
  <c r="D82" i="21"/>
  <c r="L82" i="21"/>
  <c r="T82" i="21"/>
  <c r="T83" i="21" s="1"/>
  <c r="AB82" i="21"/>
  <c r="F123" i="2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E93" i="21"/>
  <c r="F75" i="21"/>
  <c r="F83" i="21" s="1"/>
  <c r="AG73" i="21"/>
  <c r="AG83" i="21" s="1"/>
  <c r="AK213" i="21"/>
  <c r="S7" i="21"/>
  <c r="AI80" i="21"/>
  <c r="AI68" i="21"/>
  <c r="AH213" i="21"/>
  <c r="P7" i="21"/>
  <c r="T7" i="21"/>
  <c r="AI79" i="21"/>
  <c r="H114" i="2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AH38" i="21"/>
  <c r="AI78" i="21"/>
  <c r="S210" i="21"/>
  <c r="D210" i="21"/>
  <c r="G75" i="21"/>
  <c r="O75" i="21"/>
  <c r="D191" i="21"/>
  <c r="H5" i="21"/>
  <c r="P5" i="21"/>
  <c r="X5" i="21"/>
  <c r="J75" i="21"/>
  <c r="R75" i="21"/>
  <c r="Z75" i="21"/>
  <c r="E101" i="21"/>
  <c r="AH76" i="21"/>
  <c r="B82" i="21"/>
  <c r="AH56" i="21"/>
  <c r="AH68" i="21"/>
  <c r="AH72" i="21"/>
  <c r="I7" i="21"/>
  <c r="Q7" i="21"/>
  <c r="AI72" i="21"/>
  <c r="F198" i="21"/>
  <c r="D234" i="21"/>
  <c r="D199" i="21"/>
  <c r="C234" i="21"/>
  <c r="E193" i="21"/>
  <c r="AF82" i="20"/>
  <c r="AB82" i="20"/>
  <c r="AA82" i="20"/>
  <c r="Z82" i="20"/>
  <c r="Z75" i="20"/>
  <c r="AR213" i="20" s="1"/>
  <c r="Z73" i="20"/>
  <c r="Y82" i="20"/>
  <c r="X82" i="20"/>
  <c r="T82" i="20"/>
  <c r="R82" i="20"/>
  <c r="R75" i="20"/>
  <c r="R73" i="20"/>
  <c r="Q82" i="20"/>
  <c r="Q73" i="20"/>
  <c r="Y73" i="19"/>
  <c r="Y83" i="19" s="1"/>
  <c r="P82" i="20"/>
  <c r="P75" i="20"/>
  <c r="P73" i="20"/>
  <c r="P83" i="20" s="1"/>
  <c r="O73" i="20"/>
  <c r="N75" i="20"/>
  <c r="N73" i="20"/>
  <c r="L82" i="20"/>
  <c r="K82" i="20"/>
  <c r="J82" i="20"/>
  <c r="J75" i="20"/>
  <c r="AB213" i="20" s="1"/>
  <c r="I82" i="20"/>
  <c r="I73" i="20"/>
  <c r="H82" i="20"/>
  <c r="H75" i="20"/>
  <c r="Z213" i="20" s="1"/>
  <c r="G73" i="20"/>
  <c r="F75" i="20"/>
  <c r="F73" i="20"/>
  <c r="E82" i="20"/>
  <c r="AI77" i="20"/>
  <c r="D82" i="20"/>
  <c r="C82" i="20"/>
  <c r="AH56" i="20"/>
  <c r="AH79" i="20"/>
  <c r="AH78" i="20"/>
  <c r="B82" i="20"/>
  <c r="AI56" i="20"/>
  <c r="H73" i="20"/>
  <c r="H4" i="20"/>
  <c r="R83" i="20"/>
  <c r="D75" i="20"/>
  <c r="AI72" i="20"/>
  <c r="L75" i="20"/>
  <c r="T75" i="20"/>
  <c r="Z83" i="20"/>
  <c r="S210" i="20"/>
  <c r="D210" i="20"/>
  <c r="C73" i="20"/>
  <c r="AI68" i="20"/>
  <c r="B5" i="20"/>
  <c r="S73" i="20"/>
  <c r="R5" i="20"/>
  <c r="S75" i="20"/>
  <c r="Z5" i="20"/>
  <c r="K73" i="20"/>
  <c r="J5" i="20"/>
  <c r="K75" i="20"/>
  <c r="AG3" i="20"/>
  <c r="AG73" i="20"/>
  <c r="AG83" i="20" s="1"/>
  <c r="X213" i="20"/>
  <c r="F7" i="20"/>
  <c r="G82" i="20"/>
  <c r="O82" i="20"/>
  <c r="W82" i="20"/>
  <c r="AE82" i="20"/>
  <c r="M75" i="20"/>
  <c r="AI78" i="20"/>
  <c r="AH213" i="20"/>
  <c r="P7" i="20"/>
  <c r="T73" i="20"/>
  <c r="E73" i="20"/>
  <c r="M73" i="20"/>
  <c r="J73" i="20"/>
  <c r="J83" i="20" s="1"/>
  <c r="AH76" i="20"/>
  <c r="E93" i="20"/>
  <c r="L73" i="20"/>
  <c r="L83" i="20" s="1"/>
  <c r="AG6" i="20"/>
  <c r="AI38" i="20"/>
  <c r="AH38" i="20"/>
  <c r="AF213" i="20"/>
  <c r="N7" i="20"/>
  <c r="AI76" i="20"/>
  <c r="AH77" i="20"/>
  <c r="F102" i="20"/>
  <c r="D73" i="20"/>
  <c r="AI79" i="20"/>
  <c r="AI80" i="20"/>
  <c r="I75" i="20"/>
  <c r="I83" i="20" s="1"/>
  <c r="Q75" i="20"/>
  <c r="Q83" i="20" s="1"/>
  <c r="AG75" i="20"/>
  <c r="AA5" i="20"/>
  <c r="AH72" i="20"/>
  <c r="D191" i="20"/>
  <c r="E101" i="20"/>
  <c r="AH68" i="20"/>
  <c r="E75" i="20"/>
  <c r="F82" i="20"/>
  <c r="N82" i="20"/>
  <c r="N83" i="20" s="1"/>
  <c r="V82" i="20"/>
  <c r="AD82" i="20"/>
  <c r="G75" i="20"/>
  <c r="O75" i="20"/>
  <c r="AH80" i="20"/>
  <c r="D199" i="20"/>
  <c r="G193" i="20"/>
  <c r="E198" i="20"/>
  <c r="B83" i="18"/>
  <c r="T83" i="29" l="1"/>
  <c r="S83" i="29"/>
  <c r="Q83" i="29"/>
  <c r="Q7" i="29"/>
  <c r="O7" i="29"/>
  <c r="AG213" i="29"/>
  <c r="P83" i="29"/>
  <c r="J7" i="29"/>
  <c r="J83" i="29"/>
  <c r="K83" i="29"/>
  <c r="H83" i="29"/>
  <c r="L83" i="29"/>
  <c r="G7" i="29"/>
  <c r="B208" i="29"/>
  <c r="G83" i="29"/>
  <c r="F83" i="29"/>
  <c r="E7" i="29"/>
  <c r="E83" i="29"/>
  <c r="D83" i="29"/>
  <c r="U213" i="29"/>
  <c r="C83" i="29"/>
  <c r="E234" i="29"/>
  <c r="G198" i="29"/>
  <c r="H193" i="29"/>
  <c r="G199" i="29"/>
  <c r="E191" i="29"/>
  <c r="F101" i="29"/>
  <c r="C208" i="29"/>
  <c r="AI82" i="29"/>
  <c r="AH82" i="29"/>
  <c r="G102" i="29"/>
  <c r="F93" i="29"/>
  <c r="AL213" i="29"/>
  <c r="T7" i="29"/>
  <c r="AD213" i="29"/>
  <c r="L7" i="29"/>
  <c r="AH213" i="29"/>
  <c r="P7" i="29"/>
  <c r="V213" i="29"/>
  <c r="D7" i="29"/>
  <c r="AK213" i="29"/>
  <c r="S7" i="29"/>
  <c r="Z213" i="29"/>
  <c r="H7" i="29"/>
  <c r="AC213" i="29"/>
  <c r="K7" i="29"/>
  <c r="Q83" i="28"/>
  <c r="P83" i="28"/>
  <c r="O83" i="28"/>
  <c r="O7" i="28"/>
  <c r="M7" i="28"/>
  <c r="L7" i="28"/>
  <c r="L83" i="28"/>
  <c r="AC213" i="28"/>
  <c r="K83" i="28"/>
  <c r="J7" i="28"/>
  <c r="J83" i="28"/>
  <c r="B208" i="28"/>
  <c r="I83" i="28"/>
  <c r="H83" i="28"/>
  <c r="C208" i="28"/>
  <c r="G83" i="28"/>
  <c r="Y213" i="28"/>
  <c r="X213" i="28"/>
  <c r="F7" i="28"/>
  <c r="E83" i="28"/>
  <c r="D7" i="28"/>
  <c r="AI82" i="28"/>
  <c r="E7" i="28"/>
  <c r="D83" i="28"/>
  <c r="B83" i="28"/>
  <c r="C7" i="28"/>
  <c r="C83" i="28"/>
  <c r="E234" i="28"/>
  <c r="G198" i="28"/>
  <c r="F191" i="28"/>
  <c r="G101" i="28"/>
  <c r="AH82" i="28"/>
  <c r="AI213" i="28"/>
  <c r="Q7" i="28"/>
  <c r="AH213" i="28"/>
  <c r="P7" i="28"/>
  <c r="E199" i="28"/>
  <c r="F193" i="28"/>
  <c r="AA213" i="28"/>
  <c r="I7" i="28"/>
  <c r="Z213" i="28"/>
  <c r="H7" i="28"/>
  <c r="H102" i="28"/>
  <c r="Z83" i="27"/>
  <c r="R83" i="27"/>
  <c r="P83" i="27"/>
  <c r="N83" i="27"/>
  <c r="M83" i="27"/>
  <c r="L7" i="27"/>
  <c r="AD213" i="27"/>
  <c r="J83" i="27"/>
  <c r="F83" i="27"/>
  <c r="D7" i="27"/>
  <c r="V213" i="27"/>
  <c r="G193" i="27"/>
  <c r="Y213" i="27"/>
  <c r="C208" i="27"/>
  <c r="B208" i="27"/>
  <c r="G7" i="27"/>
  <c r="AI82" i="27"/>
  <c r="AH82" i="27"/>
  <c r="AJ213" i="27"/>
  <c r="R7" i="27"/>
  <c r="AB213" i="27"/>
  <c r="J7" i="27"/>
  <c r="G102" i="27"/>
  <c r="F93" i="27"/>
  <c r="Q83" i="27"/>
  <c r="E191" i="27"/>
  <c r="F101" i="27"/>
  <c r="C83" i="27"/>
  <c r="AI213" i="27"/>
  <c r="Q7" i="27"/>
  <c r="G83" i="27"/>
  <c r="D234" i="27"/>
  <c r="F198" i="27"/>
  <c r="AA213" i="27"/>
  <c r="I7" i="27"/>
  <c r="I83" i="27"/>
  <c r="U213" i="27"/>
  <c r="C7" i="27"/>
  <c r="AG213" i="27"/>
  <c r="O7" i="27"/>
  <c r="AR213" i="27"/>
  <c r="Z7" i="27"/>
  <c r="S83" i="26"/>
  <c r="S7" i="26"/>
  <c r="N83" i="26"/>
  <c r="K83" i="26"/>
  <c r="K7" i="26"/>
  <c r="F83" i="26"/>
  <c r="X213" i="26"/>
  <c r="E83" i="26"/>
  <c r="H7" i="26"/>
  <c r="AI82" i="26"/>
  <c r="T83" i="26"/>
  <c r="H83" i="26"/>
  <c r="N7" i="26"/>
  <c r="I7" i="26"/>
  <c r="T7" i="26"/>
  <c r="P7" i="26"/>
  <c r="AI213" i="26"/>
  <c r="Q83" i="26"/>
  <c r="I83" i="26"/>
  <c r="P83" i="26"/>
  <c r="AR213" i="26"/>
  <c r="Z7" i="26"/>
  <c r="AD213" i="26"/>
  <c r="L7" i="26"/>
  <c r="L83" i="26"/>
  <c r="V213" i="26"/>
  <c r="D7" i="26"/>
  <c r="D234" i="26"/>
  <c r="F198" i="26"/>
  <c r="Z83" i="26"/>
  <c r="D83" i="26"/>
  <c r="AJ213" i="26"/>
  <c r="R7" i="26"/>
  <c r="AG213" i="26"/>
  <c r="O7" i="26"/>
  <c r="AE213" i="26"/>
  <c r="M7" i="26"/>
  <c r="AB213" i="26"/>
  <c r="J7" i="26"/>
  <c r="O83" i="26"/>
  <c r="W213" i="26"/>
  <c r="E7" i="26"/>
  <c r="M83" i="26"/>
  <c r="H101" i="26"/>
  <c r="Y213" i="26"/>
  <c r="C208" i="26"/>
  <c r="B208" i="26"/>
  <c r="G7" i="26"/>
  <c r="C75" i="26"/>
  <c r="G102" i="26"/>
  <c r="G83" i="26"/>
  <c r="F193" i="26"/>
  <c r="E199" i="26"/>
  <c r="AE213" i="25"/>
  <c r="M7" i="25"/>
  <c r="L83" i="25"/>
  <c r="K7" i="25"/>
  <c r="J83" i="25"/>
  <c r="G83" i="25"/>
  <c r="G7" i="25"/>
  <c r="AI82" i="25"/>
  <c r="W213" i="25"/>
  <c r="E7" i="25"/>
  <c r="C83" i="25"/>
  <c r="AH82" i="25"/>
  <c r="AF213" i="25"/>
  <c r="N7" i="25"/>
  <c r="AI213" i="25"/>
  <c r="Q7" i="25"/>
  <c r="N83" i="25"/>
  <c r="H193" i="25"/>
  <c r="AA213" i="25"/>
  <c r="I7" i="25"/>
  <c r="AH213" i="25"/>
  <c r="P7" i="25"/>
  <c r="I83" i="25"/>
  <c r="D234" i="25"/>
  <c r="F198" i="25"/>
  <c r="F191" i="25"/>
  <c r="G101" i="25"/>
  <c r="Z213" i="25"/>
  <c r="H7" i="25"/>
  <c r="P83" i="25"/>
  <c r="B208" i="25"/>
  <c r="F123" i="25"/>
  <c r="E93" i="25"/>
  <c r="J102" i="25"/>
  <c r="H83" i="25"/>
  <c r="C208" i="25"/>
  <c r="F194" i="25"/>
  <c r="E199" i="25"/>
  <c r="R83" i="24"/>
  <c r="O7" i="24"/>
  <c r="M7" i="24"/>
  <c r="M83" i="24"/>
  <c r="L83" i="24"/>
  <c r="L7" i="24"/>
  <c r="K83" i="24"/>
  <c r="K7" i="24"/>
  <c r="J83" i="24"/>
  <c r="Y213" i="24"/>
  <c r="G83" i="24"/>
  <c r="F83" i="24"/>
  <c r="X213" i="24"/>
  <c r="E83" i="24"/>
  <c r="E7" i="24"/>
  <c r="C7" i="24"/>
  <c r="C83" i="24"/>
  <c r="V213" i="24"/>
  <c r="D7" i="24"/>
  <c r="H102" i="24"/>
  <c r="G191" i="24"/>
  <c r="H101" i="24"/>
  <c r="AI213" i="24"/>
  <c r="Q7" i="24"/>
  <c r="Z213" i="24"/>
  <c r="H7" i="24"/>
  <c r="D234" i="24"/>
  <c r="F198" i="24"/>
  <c r="B208" i="24"/>
  <c r="AA213" i="24"/>
  <c r="I7" i="24"/>
  <c r="E199" i="24"/>
  <c r="C208" i="24"/>
  <c r="I83" i="24"/>
  <c r="D83" i="24"/>
  <c r="H193" i="24"/>
  <c r="AH213" i="24"/>
  <c r="P7" i="24"/>
  <c r="AH82" i="24"/>
  <c r="AI82" i="24"/>
  <c r="H83" i="24"/>
  <c r="Z83" i="23"/>
  <c r="AL213" i="23"/>
  <c r="T7" i="23"/>
  <c r="T83" i="23"/>
  <c r="C83" i="23"/>
  <c r="R83" i="23"/>
  <c r="M7" i="23"/>
  <c r="M83" i="23"/>
  <c r="L83" i="23"/>
  <c r="K83" i="23"/>
  <c r="K7" i="23"/>
  <c r="H83" i="23"/>
  <c r="J83" i="23"/>
  <c r="AD213" i="23"/>
  <c r="L7" i="23"/>
  <c r="H7" i="23"/>
  <c r="G83" i="23"/>
  <c r="E83" i="23"/>
  <c r="C7" i="23"/>
  <c r="B83" i="23"/>
  <c r="F191" i="23"/>
  <c r="G101" i="23"/>
  <c r="AI213" i="23"/>
  <c r="Q7" i="23"/>
  <c r="AR213" i="23"/>
  <c r="Z7" i="23"/>
  <c r="AA213" i="23"/>
  <c r="I7" i="23"/>
  <c r="Q83" i="23"/>
  <c r="AJ213" i="23"/>
  <c r="R7" i="23"/>
  <c r="I102" i="23"/>
  <c r="I83" i="23"/>
  <c r="D234" i="23"/>
  <c r="F198" i="23"/>
  <c r="AB213" i="23"/>
  <c r="J7" i="23"/>
  <c r="AF213" i="23"/>
  <c r="N7" i="23"/>
  <c r="X213" i="23"/>
  <c r="F7" i="23"/>
  <c r="E199" i="23"/>
  <c r="F193" i="23"/>
  <c r="AG213" i="23"/>
  <c r="O7" i="23"/>
  <c r="N83" i="23"/>
  <c r="AI82" i="23"/>
  <c r="AH82" i="23"/>
  <c r="Y213" i="23"/>
  <c r="C208" i="23"/>
  <c r="B208" i="23"/>
  <c r="G7" i="23"/>
  <c r="O83" i="23"/>
  <c r="F83" i="23"/>
  <c r="S83" i="22"/>
  <c r="AJ213" i="22"/>
  <c r="Q83" i="22"/>
  <c r="P83" i="22"/>
  <c r="P7" i="22"/>
  <c r="K83" i="22"/>
  <c r="K7" i="22"/>
  <c r="Y213" i="22"/>
  <c r="F83" i="22"/>
  <c r="AI82" i="22"/>
  <c r="Z83" i="22"/>
  <c r="O83" i="22"/>
  <c r="R83" i="22"/>
  <c r="Z7" i="22"/>
  <c r="AR213" i="22"/>
  <c r="G83" i="22"/>
  <c r="J83" i="22"/>
  <c r="N83" i="22"/>
  <c r="H7" i="22"/>
  <c r="C7" i="22"/>
  <c r="C83" i="22"/>
  <c r="T83" i="22"/>
  <c r="T7" i="22"/>
  <c r="H83" i="22"/>
  <c r="AH82" i="22"/>
  <c r="G234" i="22"/>
  <c r="I198" i="22"/>
  <c r="AF213" i="22"/>
  <c r="N7" i="22"/>
  <c r="AE213" i="22"/>
  <c r="M7" i="22"/>
  <c r="AD213" i="22"/>
  <c r="L7" i="22"/>
  <c r="X213" i="22"/>
  <c r="F7" i="22"/>
  <c r="W213" i="22"/>
  <c r="E7" i="22"/>
  <c r="V213" i="22"/>
  <c r="D7" i="22"/>
  <c r="M83" i="22"/>
  <c r="H102" i="22"/>
  <c r="F193" i="22"/>
  <c r="E199" i="22"/>
  <c r="AI213" i="22"/>
  <c r="Q7" i="22"/>
  <c r="E83" i="22"/>
  <c r="L83" i="22"/>
  <c r="E191" i="22"/>
  <c r="F101" i="22"/>
  <c r="AA213" i="22"/>
  <c r="I7" i="22"/>
  <c r="D83" i="22"/>
  <c r="B208" i="22"/>
  <c r="AB213" i="22"/>
  <c r="J7" i="22"/>
  <c r="AG213" i="22"/>
  <c r="O7" i="22"/>
  <c r="I83" i="22"/>
  <c r="E93" i="22"/>
  <c r="C208" i="22"/>
  <c r="S83" i="21"/>
  <c r="P83" i="21"/>
  <c r="O83" i="21"/>
  <c r="N83" i="21"/>
  <c r="AE213" i="21"/>
  <c r="M7" i="21"/>
  <c r="L83" i="21"/>
  <c r="L7" i="21"/>
  <c r="K83" i="21"/>
  <c r="K7" i="21"/>
  <c r="Z213" i="21"/>
  <c r="H83" i="21"/>
  <c r="G83" i="21"/>
  <c r="W213" i="21"/>
  <c r="E7" i="21"/>
  <c r="E83" i="21"/>
  <c r="D83" i="21"/>
  <c r="V213" i="21"/>
  <c r="D7" i="21"/>
  <c r="C83" i="21"/>
  <c r="E199" i="21"/>
  <c r="F193" i="21"/>
  <c r="AJ213" i="21"/>
  <c r="R7" i="21"/>
  <c r="R83" i="21"/>
  <c r="AB213" i="21"/>
  <c r="J7" i="21"/>
  <c r="J83" i="21"/>
  <c r="U213" i="21"/>
  <c r="C7" i="21"/>
  <c r="G198" i="21"/>
  <c r="E234" i="21"/>
  <c r="AI82" i="21"/>
  <c r="AH82" i="21"/>
  <c r="AG213" i="21"/>
  <c r="O7" i="21"/>
  <c r="X213" i="21"/>
  <c r="F7" i="21"/>
  <c r="AF213" i="21"/>
  <c r="N7" i="21"/>
  <c r="J102" i="21"/>
  <c r="AR213" i="21"/>
  <c r="Z7" i="21"/>
  <c r="E191" i="21"/>
  <c r="F101" i="21"/>
  <c r="Y213" i="21"/>
  <c r="C208" i="21"/>
  <c r="B208" i="21"/>
  <c r="G7" i="21"/>
  <c r="Z7" i="20"/>
  <c r="T83" i="20"/>
  <c r="AJ213" i="20"/>
  <c r="R7" i="20"/>
  <c r="O83" i="20"/>
  <c r="K83" i="20"/>
  <c r="J7" i="20"/>
  <c r="H83" i="20"/>
  <c r="H7" i="20"/>
  <c r="G83" i="20"/>
  <c r="F83" i="20"/>
  <c r="W213" i="20"/>
  <c r="E7" i="20"/>
  <c r="M83" i="20"/>
  <c r="AH82" i="20"/>
  <c r="S83" i="20"/>
  <c r="AK213" i="20"/>
  <c r="S7" i="20"/>
  <c r="AE213" i="20"/>
  <c r="M7" i="20"/>
  <c r="E83" i="20"/>
  <c r="AC213" i="20"/>
  <c r="K7" i="20"/>
  <c r="AL213" i="20"/>
  <c r="T7" i="20"/>
  <c r="AA213" i="20"/>
  <c r="I7" i="20"/>
  <c r="F198" i="20"/>
  <c r="D234" i="20"/>
  <c r="AG213" i="20"/>
  <c r="O7" i="20"/>
  <c r="G102" i="20"/>
  <c r="F93" i="20"/>
  <c r="V213" i="20"/>
  <c r="D7" i="20"/>
  <c r="AI82" i="20"/>
  <c r="H193" i="20"/>
  <c r="C208" i="20"/>
  <c r="B208" i="20"/>
  <c r="Y213" i="20"/>
  <c r="G7" i="20"/>
  <c r="E191" i="20"/>
  <c r="F101" i="20"/>
  <c r="C75" i="20"/>
  <c r="C83" i="20" s="1"/>
  <c r="AD213" i="20"/>
  <c r="L7" i="20"/>
  <c r="D83" i="20"/>
  <c r="E199" i="20"/>
  <c r="AI213" i="20"/>
  <c r="Q7" i="20"/>
  <c r="K6" i="29" l="1"/>
  <c r="F191" i="29"/>
  <c r="G101" i="29"/>
  <c r="G93" i="29"/>
  <c r="H102" i="29"/>
  <c r="I193" i="29"/>
  <c r="H199" i="29"/>
  <c r="F234" i="29"/>
  <c r="H198" i="29"/>
  <c r="K6" i="28"/>
  <c r="G193" i="28"/>
  <c r="F199" i="28"/>
  <c r="F93" i="28"/>
  <c r="G191" i="28"/>
  <c r="H101" i="28"/>
  <c r="F234" i="28"/>
  <c r="H198" i="28"/>
  <c r="I102" i="28"/>
  <c r="H102" i="27"/>
  <c r="K6" i="27"/>
  <c r="H193" i="27"/>
  <c r="G198" i="27"/>
  <c r="E234" i="27"/>
  <c r="F191" i="27"/>
  <c r="G101" i="27"/>
  <c r="F199" i="27"/>
  <c r="K6" i="26"/>
  <c r="U213" i="26"/>
  <c r="C7" i="26"/>
  <c r="G193" i="26"/>
  <c r="F199" i="26"/>
  <c r="F93" i="26"/>
  <c r="I101" i="26"/>
  <c r="H102" i="26"/>
  <c r="G191" i="26"/>
  <c r="E234" i="26"/>
  <c r="G198" i="26"/>
  <c r="C83" i="26"/>
  <c r="K6" i="25"/>
  <c r="E234" i="25"/>
  <c r="G198" i="25"/>
  <c r="I193" i="25"/>
  <c r="K102" i="25"/>
  <c r="G123" i="25"/>
  <c r="F93" i="25"/>
  <c r="G194" i="25"/>
  <c r="F199" i="25"/>
  <c r="H101" i="25"/>
  <c r="K6" i="24"/>
  <c r="H191" i="24"/>
  <c r="I101" i="24"/>
  <c r="I193" i="24"/>
  <c r="E234" i="24"/>
  <c r="G198" i="24"/>
  <c r="F199" i="24"/>
  <c r="F93" i="24"/>
  <c r="I102" i="24"/>
  <c r="J102" i="23"/>
  <c r="K6" i="23"/>
  <c r="G193" i="23"/>
  <c r="F199" i="23"/>
  <c r="F93" i="23"/>
  <c r="G191" i="23"/>
  <c r="H101" i="23"/>
  <c r="E234" i="23"/>
  <c r="G198" i="23"/>
  <c r="K6" i="22"/>
  <c r="I102" i="22"/>
  <c r="G193" i="22"/>
  <c r="F199" i="22"/>
  <c r="F93" i="22"/>
  <c r="J198" i="22"/>
  <c r="H234" i="22"/>
  <c r="F191" i="22"/>
  <c r="G101" i="22"/>
  <c r="K6" i="21"/>
  <c r="F191" i="21"/>
  <c r="G101" i="21"/>
  <c r="F234" i="21"/>
  <c r="H198" i="21"/>
  <c r="K102" i="21"/>
  <c r="G193" i="21"/>
  <c r="F199" i="21"/>
  <c r="F93" i="21"/>
  <c r="K6" i="20"/>
  <c r="G93" i="20"/>
  <c r="H102" i="20"/>
  <c r="F191" i="20"/>
  <c r="G101" i="20"/>
  <c r="U213" i="20"/>
  <c r="C7" i="20"/>
  <c r="E234" i="20"/>
  <c r="G198" i="20"/>
  <c r="F199" i="20"/>
  <c r="I193" i="20"/>
  <c r="J193" i="29" l="1"/>
  <c r="H93" i="29"/>
  <c r="I102" i="29"/>
  <c r="G191" i="29"/>
  <c r="H101" i="29"/>
  <c r="G234" i="29"/>
  <c r="I198" i="29"/>
  <c r="I199" i="29" s="1"/>
  <c r="J102" i="28"/>
  <c r="G234" i="28"/>
  <c r="I198" i="28"/>
  <c r="H191" i="28"/>
  <c r="I101" i="28"/>
  <c r="H193" i="28"/>
  <c r="G199" i="28"/>
  <c r="G93" i="28"/>
  <c r="F234" i="27"/>
  <c r="H198" i="27"/>
  <c r="G199" i="27"/>
  <c r="G93" i="27"/>
  <c r="G191" i="27"/>
  <c r="H101" i="27"/>
  <c r="I102" i="27"/>
  <c r="H93" i="27"/>
  <c r="I193" i="27"/>
  <c r="H199" i="27"/>
  <c r="J101" i="26"/>
  <c r="I102" i="26"/>
  <c r="H93" i="26"/>
  <c r="H191" i="26"/>
  <c r="F234" i="26"/>
  <c r="H198" i="26"/>
  <c r="H193" i="26"/>
  <c r="G199" i="26"/>
  <c r="G93" i="26"/>
  <c r="L102" i="25"/>
  <c r="H123" i="25"/>
  <c r="G93" i="25"/>
  <c r="H191" i="25"/>
  <c r="I101" i="25"/>
  <c r="J193" i="25"/>
  <c r="G191" i="25"/>
  <c r="F234" i="25"/>
  <c r="H198" i="25"/>
  <c r="H194" i="25"/>
  <c r="G199" i="25"/>
  <c r="F234" i="24"/>
  <c r="H198" i="24"/>
  <c r="G199" i="24"/>
  <c r="G93" i="24"/>
  <c r="J193" i="24"/>
  <c r="J102" i="24"/>
  <c r="I191" i="24"/>
  <c r="J101" i="24"/>
  <c r="H191" i="23"/>
  <c r="I101" i="23"/>
  <c r="H193" i="23"/>
  <c r="G199" i="23"/>
  <c r="G93" i="23"/>
  <c r="F234" i="23"/>
  <c r="H198" i="23"/>
  <c r="K102" i="23"/>
  <c r="H193" i="22"/>
  <c r="G199" i="22"/>
  <c r="G93" i="22"/>
  <c r="I234" i="22"/>
  <c r="K198" i="22"/>
  <c r="G191" i="22"/>
  <c r="H101" i="22"/>
  <c r="J102" i="22"/>
  <c r="G234" i="21"/>
  <c r="I198" i="21"/>
  <c r="L102" i="21"/>
  <c r="G191" i="21"/>
  <c r="H101" i="21"/>
  <c r="H193" i="21"/>
  <c r="G199" i="21"/>
  <c r="G93" i="21"/>
  <c r="G191" i="20"/>
  <c r="H101" i="20"/>
  <c r="J193" i="20"/>
  <c r="I102" i="20"/>
  <c r="H93" i="20"/>
  <c r="F234" i="20"/>
  <c r="H198" i="20"/>
  <c r="G199" i="20"/>
  <c r="H191" i="29" l="1"/>
  <c r="I101" i="29"/>
  <c r="I93" i="29"/>
  <c r="J102" i="29"/>
  <c r="K193" i="29"/>
  <c r="H234" i="29"/>
  <c r="J198" i="29"/>
  <c r="I191" i="28"/>
  <c r="J101" i="28"/>
  <c r="H234" i="28"/>
  <c r="J198" i="28"/>
  <c r="K102" i="28"/>
  <c r="H199" i="28"/>
  <c r="I193" i="28"/>
  <c r="H93" i="28"/>
  <c r="J102" i="27"/>
  <c r="H191" i="27"/>
  <c r="I101" i="27"/>
  <c r="G234" i="27"/>
  <c r="I198" i="27"/>
  <c r="J193" i="27"/>
  <c r="J102" i="26"/>
  <c r="I193" i="26"/>
  <c r="H199" i="26"/>
  <c r="J191" i="26"/>
  <c r="K101" i="26"/>
  <c r="G234" i="26"/>
  <c r="I198" i="26"/>
  <c r="I191" i="26"/>
  <c r="J101" i="25"/>
  <c r="I194" i="25"/>
  <c r="H199" i="25"/>
  <c r="G234" i="25"/>
  <c r="I198" i="25"/>
  <c r="I123" i="25"/>
  <c r="H93" i="25"/>
  <c r="M102" i="25"/>
  <c r="K193" i="25"/>
  <c r="K193" i="24"/>
  <c r="J191" i="24"/>
  <c r="K101" i="24"/>
  <c r="K102" i="24"/>
  <c r="G234" i="24"/>
  <c r="I198" i="24"/>
  <c r="H93" i="24"/>
  <c r="H199" i="24"/>
  <c r="I193" i="23"/>
  <c r="H199" i="23"/>
  <c r="H93" i="23"/>
  <c r="L102" i="23"/>
  <c r="I191" i="23"/>
  <c r="J101" i="23"/>
  <c r="G234" i="23"/>
  <c r="I198" i="23"/>
  <c r="L198" i="22"/>
  <c r="J234" i="22"/>
  <c r="K102" i="22"/>
  <c r="I193" i="22"/>
  <c r="H199" i="22"/>
  <c r="H93" i="22"/>
  <c r="H191" i="22"/>
  <c r="I101" i="22"/>
  <c r="I193" i="21"/>
  <c r="H199" i="21"/>
  <c r="H93" i="21"/>
  <c r="H191" i="21"/>
  <c r="I101" i="21"/>
  <c r="M102" i="21"/>
  <c r="H234" i="21"/>
  <c r="J198" i="21"/>
  <c r="J102" i="20"/>
  <c r="I93" i="20"/>
  <c r="H191" i="20"/>
  <c r="I101" i="20"/>
  <c r="K193" i="20"/>
  <c r="G234" i="20"/>
  <c r="I198" i="20"/>
  <c r="H199" i="20"/>
  <c r="K198" i="29" l="1"/>
  <c r="I234" i="29"/>
  <c r="K199" i="29"/>
  <c r="L193" i="29"/>
  <c r="J199" i="29"/>
  <c r="K102" i="29"/>
  <c r="J93" i="29"/>
  <c r="I191" i="29"/>
  <c r="J101" i="29"/>
  <c r="J193" i="28"/>
  <c r="I199" i="28"/>
  <c r="I93" i="28"/>
  <c r="L102" i="28"/>
  <c r="I234" i="28"/>
  <c r="K198" i="28"/>
  <c r="J191" i="28"/>
  <c r="K101" i="28"/>
  <c r="H234" i="27"/>
  <c r="J198" i="27"/>
  <c r="I191" i="27"/>
  <c r="J101" i="27"/>
  <c r="I199" i="27"/>
  <c r="I93" i="27"/>
  <c r="K193" i="27"/>
  <c r="J199" i="27"/>
  <c r="K102" i="27"/>
  <c r="J93" i="27"/>
  <c r="L101" i="26"/>
  <c r="I199" i="26"/>
  <c r="J193" i="26"/>
  <c r="K102" i="26"/>
  <c r="J93" i="26"/>
  <c r="I93" i="26"/>
  <c r="H234" i="26"/>
  <c r="J198" i="26"/>
  <c r="J123" i="25"/>
  <c r="I93" i="25"/>
  <c r="H234" i="25"/>
  <c r="J198" i="25"/>
  <c r="L193" i="25"/>
  <c r="J194" i="25"/>
  <c r="I199" i="25"/>
  <c r="N102" i="25"/>
  <c r="J191" i="25"/>
  <c r="K101" i="25"/>
  <c r="I191" i="25"/>
  <c r="H234" i="24"/>
  <c r="J198" i="24"/>
  <c r="I93" i="24"/>
  <c r="I199" i="24"/>
  <c r="L102" i="24"/>
  <c r="K191" i="24"/>
  <c r="L101" i="24"/>
  <c r="L193" i="24"/>
  <c r="M102" i="23"/>
  <c r="H234" i="23"/>
  <c r="J198" i="23"/>
  <c r="J193" i="23"/>
  <c r="I199" i="23"/>
  <c r="I93" i="23"/>
  <c r="J191" i="23"/>
  <c r="K101" i="23"/>
  <c r="I199" i="22"/>
  <c r="J193" i="22"/>
  <c r="I93" i="22"/>
  <c r="L102" i="22"/>
  <c r="I191" i="22"/>
  <c r="J101" i="22"/>
  <c r="K234" i="22"/>
  <c r="M198" i="22"/>
  <c r="I191" i="21"/>
  <c r="J101" i="21"/>
  <c r="N102" i="21"/>
  <c r="K198" i="21"/>
  <c r="I234" i="21"/>
  <c r="I199" i="21"/>
  <c r="J193" i="21"/>
  <c r="I93" i="21"/>
  <c r="L193" i="20"/>
  <c r="K102" i="20"/>
  <c r="I191" i="20"/>
  <c r="J101" i="20"/>
  <c r="J198" i="20"/>
  <c r="J93" i="20" s="1"/>
  <c r="H234" i="20"/>
  <c r="I199" i="20"/>
  <c r="L102" i="29" l="1"/>
  <c r="K93" i="29"/>
  <c r="M193" i="29"/>
  <c r="J191" i="29"/>
  <c r="K101" i="29"/>
  <c r="J234" i="29"/>
  <c r="L198" i="29"/>
  <c r="J234" i="28"/>
  <c r="L198" i="28"/>
  <c r="M102" i="28"/>
  <c r="K191" i="28"/>
  <c r="L101" i="28"/>
  <c r="J199" i="28"/>
  <c r="K193" i="28"/>
  <c r="J93" i="28"/>
  <c r="L193" i="27"/>
  <c r="J191" i="27"/>
  <c r="K101" i="27"/>
  <c r="K198" i="27"/>
  <c r="I234" i="27"/>
  <c r="L102" i="27"/>
  <c r="L102" i="26"/>
  <c r="J199" i="26"/>
  <c r="K193" i="26"/>
  <c r="L191" i="26"/>
  <c r="M101" i="26"/>
  <c r="K198" i="26"/>
  <c r="I234" i="26"/>
  <c r="K191" i="26"/>
  <c r="K194" i="25"/>
  <c r="J199" i="25"/>
  <c r="M193" i="25"/>
  <c r="K191" i="25"/>
  <c r="L101" i="25"/>
  <c r="K198" i="25"/>
  <c r="I234" i="25"/>
  <c r="O102" i="25"/>
  <c r="K123" i="25"/>
  <c r="J93" i="25"/>
  <c r="L191" i="24"/>
  <c r="M101" i="24"/>
  <c r="M102" i="24"/>
  <c r="M193" i="24"/>
  <c r="K198" i="24"/>
  <c r="I234" i="24"/>
  <c r="J199" i="24"/>
  <c r="J93" i="24"/>
  <c r="J199" i="23"/>
  <c r="K193" i="23"/>
  <c r="J93" i="23"/>
  <c r="K198" i="23"/>
  <c r="I234" i="23"/>
  <c r="K191" i="23"/>
  <c r="L101" i="23"/>
  <c r="N102" i="23"/>
  <c r="J191" i="22"/>
  <c r="K101" i="22"/>
  <c r="M102" i="22"/>
  <c r="J199" i="22"/>
  <c r="K193" i="22"/>
  <c r="J93" i="22"/>
  <c r="L234" i="22"/>
  <c r="N198" i="22"/>
  <c r="J234" i="21"/>
  <c r="L198" i="21"/>
  <c r="J199" i="21"/>
  <c r="K193" i="21"/>
  <c r="J93" i="21"/>
  <c r="J191" i="21"/>
  <c r="K101" i="21"/>
  <c r="O102" i="21"/>
  <c r="J191" i="20"/>
  <c r="K101" i="20"/>
  <c r="M193" i="20"/>
  <c r="I234" i="20"/>
  <c r="K198" i="20"/>
  <c r="J199" i="20"/>
  <c r="L102" i="20"/>
  <c r="K234" i="29" l="1"/>
  <c r="M198" i="29"/>
  <c r="K191" i="29"/>
  <c r="L101" i="29"/>
  <c r="N193" i="29"/>
  <c r="M199" i="29"/>
  <c r="L199" i="29"/>
  <c r="M102" i="29"/>
  <c r="L93" i="29"/>
  <c r="K199" i="28"/>
  <c r="L193" i="28"/>
  <c r="K93" i="28"/>
  <c r="L191" i="28"/>
  <c r="M101" i="28"/>
  <c r="N102" i="28"/>
  <c r="M198" i="28"/>
  <c r="K234" i="28"/>
  <c r="J234" i="27"/>
  <c r="L198" i="27"/>
  <c r="K191" i="27"/>
  <c r="L101" i="27"/>
  <c r="K93" i="27"/>
  <c r="L199" i="27"/>
  <c r="M193" i="27"/>
  <c r="L93" i="27"/>
  <c r="M102" i="27"/>
  <c r="K199" i="27"/>
  <c r="J234" i="26"/>
  <c r="L198" i="26"/>
  <c r="N101" i="26"/>
  <c r="K199" i="26"/>
  <c r="L193" i="26"/>
  <c r="K93" i="26"/>
  <c r="M102" i="26"/>
  <c r="N193" i="25"/>
  <c r="L123" i="25"/>
  <c r="K93" i="25"/>
  <c r="J234" i="25"/>
  <c r="L198" i="25"/>
  <c r="L191" i="25"/>
  <c r="M101" i="25"/>
  <c r="P102" i="25"/>
  <c r="L194" i="25"/>
  <c r="K199" i="25"/>
  <c r="N193" i="24"/>
  <c r="J234" i="24"/>
  <c r="L198" i="24"/>
  <c r="K199" i="24"/>
  <c r="K93" i="24"/>
  <c r="M191" i="24"/>
  <c r="N101" i="24"/>
  <c r="N102" i="24"/>
  <c r="O102" i="23"/>
  <c r="J234" i="23"/>
  <c r="L198" i="23"/>
  <c r="L191" i="23"/>
  <c r="M101" i="23"/>
  <c r="K199" i="23"/>
  <c r="L193" i="23"/>
  <c r="K93" i="23"/>
  <c r="N102" i="22"/>
  <c r="K191" i="22"/>
  <c r="L101" i="22"/>
  <c r="K199" i="22"/>
  <c r="L193" i="22"/>
  <c r="K93" i="22"/>
  <c r="M234" i="22"/>
  <c r="O198" i="22"/>
  <c r="P102" i="21"/>
  <c r="K191" i="21"/>
  <c r="L101" i="21"/>
  <c r="K234" i="21"/>
  <c r="M198" i="21"/>
  <c r="K199" i="21"/>
  <c r="L193" i="21"/>
  <c r="K93" i="21"/>
  <c r="L198" i="20"/>
  <c r="J234" i="20"/>
  <c r="K199" i="20"/>
  <c r="N193" i="20"/>
  <c r="K191" i="20"/>
  <c r="L101" i="20"/>
  <c r="M102" i="20"/>
  <c r="L93" i="20"/>
  <c r="K93" i="20"/>
  <c r="N102" i="29" l="1"/>
  <c r="M93" i="29"/>
  <c r="O193" i="29"/>
  <c r="L191" i="29"/>
  <c r="M101" i="29"/>
  <c r="L234" i="29"/>
  <c r="N198" i="29"/>
  <c r="O102" i="28"/>
  <c r="M191" i="28"/>
  <c r="N101" i="28"/>
  <c r="L199" i="28"/>
  <c r="M193" i="28"/>
  <c r="L93" i="28"/>
  <c r="L234" i="28"/>
  <c r="N198" i="28"/>
  <c r="N193" i="27"/>
  <c r="L191" i="27"/>
  <c r="M101" i="27"/>
  <c r="K234" i="27"/>
  <c r="M198" i="27"/>
  <c r="M93" i="27"/>
  <c r="N102" i="27"/>
  <c r="N102" i="26"/>
  <c r="N191" i="26"/>
  <c r="O101" i="26"/>
  <c r="M191" i="26"/>
  <c r="L199" i="26"/>
  <c r="M193" i="26"/>
  <c r="K234" i="26"/>
  <c r="M198" i="26"/>
  <c r="L93" i="26"/>
  <c r="K234" i="25"/>
  <c r="M198" i="25"/>
  <c r="N101" i="25"/>
  <c r="M194" i="25"/>
  <c r="L199" i="25"/>
  <c r="M123" i="25"/>
  <c r="L93" i="25"/>
  <c r="Q102" i="25"/>
  <c r="O193" i="25"/>
  <c r="K234" i="24"/>
  <c r="M198" i="24"/>
  <c r="L199" i="24"/>
  <c r="L93" i="24"/>
  <c r="N191" i="24"/>
  <c r="O101" i="24"/>
  <c r="O102" i="24"/>
  <c r="O193" i="24"/>
  <c r="M191" i="23"/>
  <c r="N101" i="23"/>
  <c r="K234" i="23"/>
  <c r="M198" i="23"/>
  <c r="P102" i="23"/>
  <c r="L199" i="23"/>
  <c r="M193" i="23"/>
  <c r="L93" i="23"/>
  <c r="L191" i="22"/>
  <c r="M101" i="22"/>
  <c r="M193" i="22"/>
  <c r="L199" i="22"/>
  <c r="L93" i="22"/>
  <c r="N234" i="22"/>
  <c r="P198" i="22"/>
  <c r="O102" i="22"/>
  <c r="N198" i="21"/>
  <c r="L234" i="21"/>
  <c r="L191" i="21"/>
  <c r="M101" i="21"/>
  <c r="Q102" i="21"/>
  <c r="L199" i="21"/>
  <c r="M193" i="21"/>
  <c r="L93" i="21"/>
  <c r="L191" i="20"/>
  <c r="M101" i="20"/>
  <c r="N102" i="20"/>
  <c r="O193" i="20"/>
  <c r="K234" i="20"/>
  <c r="M198" i="20"/>
  <c r="L199" i="20"/>
  <c r="M234" i="29" l="1"/>
  <c r="O198" i="29"/>
  <c r="M191" i="29"/>
  <c r="N101" i="29"/>
  <c r="N199" i="29"/>
  <c r="P193" i="29"/>
  <c r="O199" i="29"/>
  <c r="O102" i="29"/>
  <c r="N93" i="29"/>
  <c r="M199" i="28"/>
  <c r="N193" i="28"/>
  <c r="M93" i="28"/>
  <c r="N191" i="28"/>
  <c r="O101" i="28"/>
  <c r="O198" i="28"/>
  <c r="M234" i="28"/>
  <c r="P102" i="28"/>
  <c r="L234" i="27"/>
  <c r="N198" i="27"/>
  <c r="N199" i="27"/>
  <c r="O193" i="27"/>
  <c r="M191" i="27"/>
  <c r="N101" i="27"/>
  <c r="O102" i="27"/>
  <c r="N93" i="27"/>
  <c r="M199" i="27"/>
  <c r="N193" i="26"/>
  <c r="M199" i="26"/>
  <c r="P101" i="26"/>
  <c r="M93" i="26"/>
  <c r="L234" i="26"/>
  <c r="N198" i="26"/>
  <c r="O102" i="26"/>
  <c r="N123" i="25"/>
  <c r="M93" i="25"/>
  <c r="N194" i="25"/>
  <c r="M199" i="25"/>
  <c r="N191" i="25"/>
  <c r="O101" i="25"/>
  <c r="P193" i="25"/>
  <c r="M191" i="25"/>
  <c r="L234" i="25"/>
  <c r="N198" i="25"/>
  <c r="R102" i="25"/>
  <c r="O191" i="24"/>
  <c r="P101" i="24"/>
  <c r="P102" i="24"/>
  <c r="L234" i="24"/>
  <c r="N198" i="24"/>
  <c r="M199" i="24"/>
  <c r="M93" i="24"/>
  <c r="P193" i="24"/>
  <c r="Q102" i="23"/>
  <c r="L234" i="23"/>
  <c r="N198" i="23"/>
  <c r="N191" i="23"/>
  <c r="O101" i="23"/>
  <c r="M199" i="23"/>
  <c r="N193" i="23"/>
  <c r="M93" i="23"/>
  <c r="P102" i="22"/>
  <c r="O234" i="22"/>
  <c r="Q198" i="22"/>
  <c r="N193" i="22"/>
  <c r="M199" i="22"/>
  <c r="M93" i="22"/>
  <c r="M191" i="22"/>
  <c r="N101" i="22"/>
  <c r="R102" i="21"/>
  <c r="M191" i="21"/>
  <c r="N101" i="21"/>
  <c r="M199" i="21"/>
  <c r="N193" i="21"/>
  <c r="M93" i="21"/>
  <c r="O198" i="21"/>
  <c r="M234" i="21"/>
  <c r="N198" i="20"/>
  <c r="L234" i="20"/>
  <c r="M199" i="20"/>
  <c r="P193" i="20"/>
  <c r="O102" i="20"/>
  <c r="N93" i="20"/>
  <c r="M93" i="20"/>
  <c r="M191" i="20"/>
  <c r="N101" i="20"/>
  <c r="P102" i="29" l="1"/>
  <c r="O93" i="29"/>
  <c r="Q193" i="29"/>
  <c r="N191" i="29"/>
  <c r="O101" i="29"/>
  <c r="N234" i="29"/>
  <c r="P198" i="29"/>
  <c r="P199" i="29" s="1"/>
  <c r="N234" i="28"/>
  <c r="P198" i="28"/>
  <c r="O191" i="28"/>
  <c r="P101" i="28"/>
  <c r="Q102" i="28"/>
  <c r="N199" i="28"/>
  <c r="O193" i="28"/>
  <c r="N93" i="28"/>
  <c r="P102" i="27"/>
  <c r="P193" i="27"/>
  <c r="N191" i="27"/>
  <c r="O101" i="27"/>
  <c r="O198" i="27"/>
  <c r="O93" i="27" s="1"/>
  <c r="M234" i="27"/>
  <c r="Q101" i="26"/>
  <c r="P102" i="26"/>
  <c r="O93" i="26"/>
  <c r="O191" i="26"/>
  <c r="M234" i="26"/>
  <c r="O198" i="26"/>
  <c r="N93" i="26"/>
  <c r="O193" i="26"/>
  <c r="N199" i="26"/>
  <c r="Q193" i="25"/>
  <c r="P101" i="25"/>
  <c r="S102" i="25"/>
  <c r="M234" i="25"/>
  <c r="O198" i="25"/>
  <c r="O194" i="25"/>
  <c r="N199" i="25"/>
  <c r="O123" i="25"/>
  <c r="N93" i="25"/>
  <c r="M234" i="24"/>
  <c r="O198" i="24"/>
  <c r="N199" i="24"/>
  <c r="N93" i="24"/>
  <c r="Q102" i="24"/>
  <c r="P191" i="24"/>
  <c r="Q101" i="24"/>
  <c r="Q193" i="24"/>
  <c r="M234" i="23"/>
  <c r="O198" i="23"/>
  <c r="R102" i="23"/>
  <c r="O193" i="23"/>
  <c r="N199" i="23"/>
  <c r="N93" i="23"/>
  <c r="O191" i="23"/>
  <c r="P101" i="23"/>
  <c r="O193" i="22"/>
  <c r="N199" i="22"/>
  <c r="N93" i="22"/>
  <c r="R198" i="22"/>
  <c r="P234" i="22"/>
  <c r="N191" i="22"/>
  <c r="O101" i="22"/>
  <c r="Q102" i="22"/>
  <c r="O193" i="21"/>
  <c r="N199" i="21"/>
  <c r="N93" i="21"/>
  <c r="N234" i="21"/>
  <c r="P198" i="21"/>
  <c r="N191" i="21"/>
  <c r="O101" i="21"/>
  <c r="S102" i="21"/>
  <c r="Q193" i="20"/>
  <c r="N191" i="20"/>
  <c r="O101" i="20"/>
  <c r="O93" i="20"/>
  <c r="P102" i="20"/>
  <c r="M234" i="20"/>
  <c r="O198" i="20"/>
  <c r="N199" i="20"/>
  <c r="O191" i="29" l="1"/>
  <c r="P101" i="29"/>
  <c r="R193" i="29"/>
  <c r="O234" i="29"/>
  <c r="Q198" i="29"/>
  <c r="P93" i="29"/>
  <c r="Q102" i="29"/>
  <c r="P193" i="28"/>
  <c r="O199" i="28"/>
  <c r="O93" i="28"/>
  <c r="R102" i="28"/>
  <c r="P191" i="28"/>
  <c r="Q101" i="28"/>
  <c r="O234" i="28"/>
  <c r="Q198" i="28"/>
  <c r="O199" i="27"/>
  <c r="Q193" i="27"/>
  <c r="O191" i="27"/>
  <c r="P101" i="27"/>
  <c r="P198" i="27"/>
  <c r="N234" i="27"/>
  <c r="Q102" i="27"/>
  <c r="N234" i="26"/>
  <c r="P198" i="26"/>
  <c r="Q102" i="26"/>
  <c r="Q191" i="26"/>
  <c r="R101" i="26"/>
  <c r="P193" i="26"/>
  <c r="O199" i="26"/>
  <c r="P191" i="26"/>
  <c r="N234" i="25"/>
  <c r="P198" i="25"/>
  <c r="P123" i="25"/>
  <c r="O93" i="25"/>
  <c r="O191" i="25"/>
  <c r="R193" i="25"/>
  <c r="T102" i="25"/>
  <c r="P191" i="25"/>
  <c r="Q101" i="25"/>
  <c r="P194" i="25"/>
  <c r="O199" i="25"/>
  <c r="Q191" i="24"/>
  <c r="R101" i="24"/>
  <c r="R102" i="24"/>
  <c r="N234" i="24"/>
  <c r="P198" i="24"/>
  <c r="O199" i="24"/>
  <c r="O93" i="24"/>
  <c r="R193" i="24"/>
  <c r="P193" i="23"/>
  <c r="O199" i="23"/>
  <c r="O93" i="23"/>
  <c r="S102" i="23"/>
  <c r="N234" i="23"/>
  <c r="P198" i="23"/>
  <c r="P191" i="23"/>
  <c r="Q101" i="23"/>
  <c r="O191" i="22"/>
  <c r="P101" i="22"/>
  <c r="R102" i="22"/>
  <c r="Q234" i="22"/>
  <c r="S198" i="22"/>
  <c r="P193" i="22"/>
  <c r="O199" i="22"/>
  <c r="O93" i="22"/>
  <c r="T102" i="21"/>
  <c r="O191" i="21"/>
  <c r="P101" i="21"/>
  <c r="O234" i="21"/>
  <c r="Q198" i="21"/>
  <c r="O199" i="21"/>
  <c r="P193" i="21"/>
  <c r="O93" i="21"/>
  <c r="N234" i="20"/>
  <c r="P198" i="20"/>
  <c r="O199" i="20"/>
  <c r="P93" i="20"/>
  <c r="Q102" i="20"/>
  <c r="O191" i="20"/>
  <c r="P101" i="20"/>
  <c r="R193" i="20"/>
  <c r="P234" i="29" l="1"/>
  <c r="R198" i="29"/>
  <c r="R199" i="29"/>
  <c r="S193" i="29"/>
  <c r="Q199" i="29"/>
  <c r="P191" i="29"/>
  <c r="Q101" i="29"/>
  <c r="Q93" i="29"/>
  <c r="R102" i="29"/>
  <c r="Q191" i="28"/>
  <c r="R101" i="28"/>
  <c r="S102" i="28"/>
  <c r="P234" i="28"/>
  <c r="R198" i="28"/>
  <c r="P199" i="28"/>
  <c r="Q193" i="28"/>
  <c r="P93" i="28"/>
  <c r="R102" i="27"/>
  <c r="O234" i="27"/>
  <c r="Q198" i="27"/>
  <c r="P191" i="27"/>
  <c r="Q101" i="27"/>
  <c r="P199" i="27"/>
  <c r="R193" i="27"/>
  <c r="P93" i="27"/>
  <c r="Q193" i="26"/>
  <c r="P199" i="26"/>
  <c r="S101" i="26"/>
  <c r="P93" i="26"/>
  <c r="R102" i="26"/>
  <c r="Q93" i="26"/>
  <c r="O234" i="26"/>
  <c r="Q198" i="26"/>
  <c r="U102" i="25"/>
  <c r="S193" i="25"/>
  <c r="Q194" i="25"/>
  <c r="P199" i="25"/>
  <c r="Q191" i="25"/>
  <c r="R101" i="25"/>
  <c r="Q123" i="25"/>
  <c r="P93" i="25"/>
  <c r="O234" i="25"/>
  <c r="Q198" i="25"/>
  <c r="O234" i="24"/>
  <c r="Q198" i="24"/>
  <c r="P199" i="24"/>
  <c r="P93" i="24"/>
  <c r="S102" i="24"/>
  <c r="S193" i="24"/>
  <c r="R191" i="24"/>
  <c r="S101" i="24"/>
  <c r="O234" i="23"/>
  <c r="Q198" i="23"/>
  <c r="T102" i="23"/>
  <c r="Q191" i="23"/>
  <c r="R101" i="23"/>
  <c r="P199" i="23"/>
  <c r="Q193" i="23"/>
  <c r="P93" i="23"/>
  <c r="Q193" i="22"/>
  <c r="P199" i="22"/>
  <c r="P93" i="22"/>
  <c r="T198" i="22"/>
  <c r="R234" i="22"/>
  <c r="S102" i="22"/>
  <c r="P191" i="22"/>
  <c r="Q101" i="22"/>
  <c r="Q193" i="21"/>
  <c r="P199" i="21"/>
  <c r="P93" i="21"/>
  <c r="P191" i="21"/>
  <c r="Q101" i="21"/>
  <c r="P234" i="21"/>
  <c r="R198" i="21"/>
  <c r="U102" i="21"/>
  <c r="P191" i="20"/>
  <c r="Q101" i="20"/>
  <c r="R102" i="20"/>
  <c r="Q93" i="20"/>
  <c r="O234" i="20"/>
  <c r="Q198" i="20"/>
  <c r="P199" i="20"/>
  <c r="S193" i="20"/>
  <c r="S198" i="29" l="1"/>
  <c r="Q234" i="29"/>
  <c r="Q191" i="29"/>
  <c r="R101" i="29"/>
  <c r="S199" i="29"/>
  <c r="T193" i="29"/>
  <c r="S102" i="29"/>
  <c r="R93" i="29"/>
  <c r="Q199" i="28"/>
  <c r="R193" i="28"/>
  <c r="Q93" i="28"/>
  <c r="Q234" i="28"/>
  <c r="S198" i="28"/>
  <c r="T102" i="28"/>
  <c r="R191" i="28"/>
  <c r="S101" i="28"/>
  <c r="S193" i="27"/>
  <c r="P234" i="27"/>
  <c r="R198" i="27"/>
  <c r="Q93" i="27"/>
  <c r="Q191" i="27"/>
  <c r="R101" i="27"/>
  <c r="Q199" i="27"/>
  <c r="S102" i="27"/>
  <c r="R93" i="27"/>
  <c r="S102" i="26"/>
  <c r="R191" i="26"/>
  <c r="S191" i="26"/>
  <c r="T101" i="26"/>
  <c r="P234" i="26"/>
  <c r="R198" i="26"/>
  <c r="R93" i="26" s="1"/>
  <c r="Q199" i="26"/>
  <c r="R193" i="26"/>
  <c r="S101" i="25"/>
  <c r="R194" i="25"/>
  <c r="Q199" i="25"/>
  <c r="T193" i="25"/>
  <c r="V102" i="25"/>
  <c r="P234" i="25"/>
  <c r="R198" i="25"/>
  <c r="R123" i="25"/>
  <c r="Q93" i="25"/>
  <c r="T193" i="24"/>
  <c r="S191" i="24"/>
  <c r="T101" i="24"/>
  <c r="P234" i="24"/>
  <c r="R198" i="24"/>
  <c r="Q199" i="24"/>
  <c r="Q93" i="24"/>
  <c r="T102" i="24"/>
  <c r="U102" i="23"/>
  <c r="P234" i="23"/>
  <c r="R198" i="23"/>
  <c r="Q199" i="23"/>
  <c r="R193" i="23"/>
  <c r="Q93" i="23"/>
  <c r="R191" i="23"/>
  <c r="S101" i="23"/>
  <c r="T102" i="22"/>
  <c r="U198" i="22"/>
  <c r="S234" i="22"/>
  <c r="Q191" i="22"/>
  <c r="R101" i="22"/>
  <c r="Q199" i="22"/>
  <c r="R193" i="22"/>
  <c r="Q93" i="22"/>
  <c r="S198" i="21"/>
  <c r="Q234" i="21"/>
  <c r="Q191" i="21"/>
  <c r="R101" i="21"/>
  <c r="V102" i="21"/>
  <c r="Q199" i="21"/>
  <c r="R193" i="21"/>
  <c r="Q93" i="21"/>
  <c r="R198" i="20"/>
  <c r="P234" i="20"/>
  <c r="Q199" i="20"/>
  <c r="Q191" i="20"/>
  <c r="R101" i="20"/>
  <c r="S102" i="20"/>
  <c r="R93" i="20"/>
  <c r="T193" i="20"/>
  <c r="U193" i="29" l="1"/>
  <c r="R191" i="29"/>
  <c r="S101" i="29"/>
  <c r="T102" i="29"/>
  <c r="S93" i="29"/>
  <c r="R234" i="29"/>
  <c r="T198" i="29"/>
  <c r="R234" i="28"/>
  <c r="T198" i="28"/>
  <c r="R199" i="28"/>
  <c r="S193" i="28"/>
  <c r="R93" i="28"/>
  <c r="U102" i="28"/>
  <c r="S191" i="28"/>
  <c r="T101" i="28"/>
  <c r="R191" i="27"/>
  <c r="S101" i="27"/>
  <c r="S198" i="27"/>
  <c r="Q234" i="27"/>
  <c r="R199" i="27"/>
  <c r="T102" i="27"/>
  <c r="S93" i="27"/>
  <c r="S199" i="27"/>
  <c r="T193" i="27"/>
  <c r="S198" i="26"/>
  <c r="Q234" i="26"/>
  <c r="U101" i="26"/>
  <c r="R199" i="26"/>
  <c r="S193" i="26"/>
  <c r="T102" i="26"/>
  <c r="T191" i="26" s="1"/>
  <c r="S93" i="26"/>
  <c r="W102" i="25"/>
  <c r="U193" i="25"/>
  <c r="S123" i="25"/>
  <c r="R93" i="25"/>
  <c r="S194" i="25"/>
  <c r="R199" i="25"/>
  <c r="S198" i="25"/>
  <c r="Q234" i="25"/>
  <c r="T101" i="25"/>
  <c r="R191" i="25"/>
  <c r="S198" i="24"/>
  <c r="Q234" i="24"/>
  <c r="R199" i="24"/>
  <c r="R93" i="24"/>
  <c r="T191" i="24"/>
  <c r="U101" i="24"/>
  <c r="U193" i="24"/>
  <c r="U102" i="24"/>
  <c r="S198" i="23"/>
  <c r="Q234" i="23"/>
  <c r="R199" i="23"/>
  <c r="S193" i="23"/>
  <c r="R93" i="23"/>
  <c r="S191" i="23"/>
  <c r="T101" i="23"/>
  <c r="V102" i="23"/>
  <c r="R199" i="22"/>
  <c r="S193" i="22"/>
  <c r="R93" i="22"/>
  <c r="V198" i="22"/>
  <c r="T234" i="22"/>
  <c r="R191" i="22"/>
  <c r="S101" i="22"/>
  <c r="U102" i="22"/>
  <c r="R199" i="21"/>
  <c r="S193" i="21"/>
  <c r="R93" i="21"/>
  <c r="W102" i="21"/>
  <c r="R191" i="21"/>
  <c r="S101" i="21"/>
  <c r="R234" i="21"/>
  <c r="T198" i="21"/>
  <c r="T102" i="20"/>
  <c r="R191" i="20"/>
  <c r="S101" i="20"/>
  <c r="U193" i="20"/>
  <c r="Q234" i="20"/>
  <c r="S198" i="20"/>
  <c r="R199" i="20"/>
  <c r="S234" i="29" l="1"/>
  <c r="U198" i="29"/>
  <c r="U102" i="29"/>
  <c r="T93" i="29"/>
  <c r="S191" i="29"/>
  <c r="T101" i="29"/>
  <c r="V193" i="29"/>
  <c r="U199" i="29"/>
  <c r="U51" i="29" s="1"/>
  <c r="U52" i="29" s="1"/>
  <c r="T199" i="29"/>
  <c r="V102" i="28"/>
  <c r="S199" i="28"/>
  <c r="T193" i="28"/>
  <c r="S93" i="28"/>
  <c r="S234" i="28"/>
  <c r="U198" i="28"/>
  <c r="T191" i="28"/>
  <c r="U101" i="28"/>
  <c r="U102" i="27"/>
  <c r="T93" i="27"/>
  <c r="R234" i="27"/>
  <c r="T198" i="27"/>
  <c r="S191" i="27"/>
  <c r="T101" i="27"/>
  <c r="T199" i="27"/>
  <c r="U193" i="27"/>
  <c r="S199" i="26"/>
  <c r="T193" i="26"/>
  <c r="V101" i="26"/>
  <c r="U102" i="26"/>
  <c r="U191" i="26" s="1"/>
  <c r="T93" i="26"/>
  <c r="R234" i="26"/>
  <c r="T198" i="26"/>
  <c r="T194" i="25"/>
  <c r="S199" i="25"/>
  <c r="T123" i="25"/>
  <c r="S93" i="25"/>
  <c r="S191" i="25"/>
  <c r="V193" i="25"/>
  <c r="X102" i="25"/>
  <c r="U101" i="25"/>
  <c r="R234" i="25"/>
  <c r="T198" i="25"/>
  <c r="V193" i="24"/>
  <c r="U191" i="24"/>
  <c r="V101" i="24"/>
  <c r="V102" i="24"/>
  <c r="R234" i="24"/>
  <c r="T198" i="24"/>
  <c r="S199" i="24"/>
  <c r="S93" i="24"/>
  <c r="T191" i="23"/>
  <c r="U101" i="23"/>
  <c r="S199" i="23"/>
  <c r="T193" i="23"/>
  <c r="S93" i="23"/>
  <c r="W102" i="23"/>
  <c r="R234" i="23"/>
  <c r="T198" i="23"/>
  <c r="S191" i="22"/>
  <c r="T101" i="22"/>
  <c r="U234" i="22"/>
  <c r="W198" i="22"/>
  <c r="S199" i="22"/>
  <c r="T193" i="22"/>
  <c r="S93" i="22"/>
  <c r="V102" i="22"/>
  <c r="S191" i="21"/>
  <c r="T101" i="21"/>
  <c r="X102" i="21"/>
  <c r="S199" i="21"/>
  <c r="T193" i="21"/>
  <c r="S93" i="21"/>
  <c r="U198" i="21"/>
  <c r="S234" i="21"/>
  <c r="R234" i="20"/>
  <c r="T198" i="20"/>
  <c r="S199" i="20"/>
  <c r="V193" i="20"/>
  <c r="S191" i="20"/>
  <c r="T101" i="20"/>
  <c r="S93" i="20"/>
  <c r="U102" i="20"/>
  <c r="T93" i="20"/>
  <c r="U73" i="29" l="1"/>
  <c r="U75" i="29"/>
  <c r="T191" i="29"/>
  <c r="U101" i="29"/>
  <c r="V102" i="29"/>
  <c r="U93" i="29"/>
  <c r="W193" i="29"/>
  <c r="V199" i="29"/>
  <c r="V51" i="29" s="1"/>
  <c r="V52" i="29" s="1"/>
  <c r="T234" i="29"/>
  <c r="V198" i="29"/>
  <c r="T199" i="28"/>
  <c r="U193" i="28"/>
  <c r="T93" i="28"/>
  <c r="T234" i="28"/>
  <c r="V198" i="28"/>
  <c r="U191" i="28"/>
  <c r="V101" i="28"/>
  <c r="W102" i="28"/>
  <c r="V193" i="27"/>
  <c r="T191" i="27"/>
  <c r="U101" i="27"/>
  <c r="S234" i="27"/>
  <c r="U198" i="27"/>
  <c r="V102" i="27"/>
  <c r="U93" i="27"/>
  <c r="S234" i="26"/>
  <c r="U198" i="26"/>
  <c r="V102" i="26"/>
  <c r="T199" i="26"/>
  <c r="U193" i="26"/>
  <c r="V191" i="26"/>
  <c r="W101" i="26"/>
  <c r="Y102" i="25"/>
  <c r="V101" i="25"/>
  <c r="U123" i="25"/>
  <c r="T93" i="25"/>
  <c r="W193" i="25"/>
  <c r="S234" i="25"/>
  <c r="U198" i="25"/>
  <c r="T191" i="25"/>
  <c r="U194" i="25"/>
  <c r="T199" i="25"/>
  <c r="S234" i="24"/>
  <c r="U198" i="24"/>
  <c r="T93" i="24"/>
  <c r="T199" i="24"/>
  <c r="W102" i="24"/>
  <c r="V191" i="24"/>
  <c r="W101" i="24"/>
  <c r="W193" i="24"/>
  <c r="X102" i="23"/>
  <c r="U191" i="23"/>
  <c r="V101" i="23"/>
  <c r="T199" i="23"/>
  <c r="U193" i="23"/>
  <c r="T93" i="23"/>
  <c r="U198" i="23"/>
  <c r="S234" i="23"/>
  <c r="T199" i="22"/>
  <c r="U193" i="22"/>
  <c r="T93" i="22"/>
  <c r="T191" i="22"/>
  <c r="U101" i="22"/>
  <c r="V234" i="22"/>
  <c r="X198" i="22"/>
  <c r="W102" i="22"/>
  <c r="T234" i="21"/>
  <c r="V198" i="21"/>
  <c r="T199" i="21"/>
  <c r="U193" i="21"/>
  <c r="T93" i="21"/>
  <c r="T191" i="21"/>
  <c r="U101" i="21"/>
  <c r="Y102" i="21"/>
  <c r="T191" i="20"/>
  <c r="U101" i="20"/>
  <c r="W193" i="20"/>
  <c r="S234" i="20"/>
  <c r="U198" i="20"/>
  <c r="T199" i="20"/>
  <c r="U93" i="20"/>
  <c r="V102" i="20"/>
  <c r="V75" i="29" l="1"/>
  <c r="V73" i="29"/>
  <c r="X193" i="29"/>
  <c r="W199" i="29"/>
  <c r="W51" i="29" s="1"/>
  <c r="W52" i="29" s="1"/>
  <c r="W102" i="29"/>
  <c r="V93" i="29"/>
  <c r="U191" i="29"/>
  <c r="V101" i="29"/>
  <c r="U234" i="29"/>
  <c r="W198" i="29"/>
  <c r="AM213" i="29"/>
  <c r="U7" i="29"/>
  <c r="U83" i="29"/>
  <c r="V191" i="28"/>
  <c r="W101" i="28"/>
  <c r="X102" i="28"/>
  <c r="W198" i="28"/>
  <c r="U234" i="28"/>
  <c r="U199" i="28"/>
  <c r="U51" i="28" s="1"/>
  <c r="U52" i="28" s="1"/>
  <c r="V193" i="28"/>
  <c r="U93" i="28"/>
  <c r="W102" i="27"/>
  <c r="T234" i="27"/>
  <c r="V198" i="27"/>
  <c r="U191" i="27"/>
  <c r="V101" i="27"/>
  <c r="V199" i="27"/>
  <c r="V51" i="27" s="1"/>
  <c r="V52" i="27" s="1"/>
  <c r="W193" i="27"/>
  <c r="U199" i="27"/>
  <c r="U51" i="27" s="1"/>
  <c r="U52" i="27" s="1"/>
  <c r="V193" i="26"/>
  <c r="U199" i="26"/>
  <c r="U52" i="26" s="1"/>
  <c r="X101" i="26"/>
  <c r="U93" i="26"/>
  <c r="W102" i="26"/>
  <c r="T234" i="26"/>
  <c r="V198" i="26"/>
  <c r="X193" i="25"/>
  <c r="V123" i="25"/>
  <c r="U93" i="25"/>
  <c r="V194" i="25"/>
  <c r="U199" i="25"/>
  <c r="U51" i="25" s="1"/>
  <c r="U52" i="25" s="1"/>
  <c r="V191" i="25"/>
  <c r="W101" i="25"/>
  <c r="U191" i="25"/>
  <c r="T234" i="25"/>
  <c r="V198" i="25"/>
  <c r="Z102" i="25"/>
  <c r="X102" i="24"/>
  <c r="W191" i="24"/>
  <c r="X101" i="24"/>
  <c r="T234" i="24"/>
  <c r="V198" i="24"/>
  <c r="U199" i="24"/>
  <c r="U51" i="24" s="1"/>
  <c r="U52" i="24" s="1"/>
  <c r="U93" i="24"/>
  <c r="X193" i="24"/>
  <c r="T234" i="23"/>
  <c r="V198" i="23"/>
  <c r="V191" i="23"/>
  <c r="W101" i="23"/>
  <c r="U199" i="23"/>
  <c r="U51" i="23" s="1"/>
  <c r="U52" i="23" s="1"/>
  <c r="V193" i="23"/>
  <c r="U93" i="23"/>
  <c r="Y102" i="23"/>
  <c r="X102" i="22"/>
  <c r="W234" i="22"/>
  <c r="Y198" i="22"/>
  <c r="U191" i="22"/>
  <c r="V101" i="22"/>
  <c r="V193" i="22"/>
  <c r="U199" i="22"/>
  <c r="U51" i="22" s="1"/>
  <c r="U52" i="22" s="1"/>
  <c r="U93" i="22"/>
  <c r="Z102" i="21"/>
  <c r="U191" i="21"/>
  <c r="V101" i="21"/>
  <c r="U199" i="21"/>
  <c r="U51" i="21" s="1"/>
  <c r="U52" i="21" s="1"/>
  <c r="V193" i="21"/>
  <c r="U93" i="21"/>
  <c r="U234" i="21"/>
  <c r="W198" i="21"/>
  <c r="V198" i="20"/>
  <c r="T234" i="20"/>
  <c r="U199" i="20"/>
  <c r="U51" i="20" s="1"/>
  <c r="U52" i="20" s="1"/>
  <c r="X193" i="20"/>
  <c r="U191" i="20"/>
  <c r="V101" i="20"/>
  <c r="W102" i="20"/>
  <c r="V93" i="20"/>
  <c r="V83" i="29" l="1"/>
  <c r="V191" i="29"/>
  <c r="W101" i="29"/>
  <c r="X102" i="29"/>
  <c r="W93" i="29"/>
  <c r="W73" i="29"/>
  <c r="W75" i="29"/>
  <c r="Y193" i="29"/>
  <c r="X199" i="29"/>
  <c r="X51" i="29" s="1"/>
  <c r="X52" i="29" s="1"/>
  <c r="V234" i="29"/>
  <c r="X198" i="29"/>
  <c r="AN213" i="29"/>
  <c r="V7" i="29"/>
  <c r="U75" i="28"/>
  <c r="U73" i="28"/>
  <c r="U83" i="28" s="1"/>
  <c r="V234" i="28"/>
  <c r="X198" i="28"/>
  <c r="Y102" i="28"/>
  <c r="W191" i="28"/>
  <c r="X101" i="28"/>
  <c r="V199" i="28"/>
  <c r="V51" i="28" s="1"/>
  <c r="V52" i="28" s="1"/>
  <c r="W193" i="28"/>
  <c r="V93" i="28"/>
  <c r="V73" i="27"/>
  <c r="V75" i="27"/>
  <c r="X193" i="27"/>
  <c r="V191" i="27"/>
  <c r="W101" i="27"/>
  <c r="W198" i="27"/>
  <c r="U234" i="27"/>
  <c r="X102" i="27"/>
  <c r="U73" i="27"/>
  <c r="U75" i="27"/>
  <c r="V93" i="27"/>
  <c r="Y101" i="26"/>
  <c r="X102" i="26"/>
  <c r="W93" i="26"/>
  <c r="W191" i="26"/>
  <c r="U73" i="26"/>
  <c r="U75" i="26"/>
  <c r="U234" i="26"/>
  <c r="W198" i="26"/>
  <c r="W193" i="26"/>
  <c r="V199" i="26"/>
  <c r="V52" i="26" s="1"/>
  <c r="X101" i="25"/>
  <c r="U75" i="25"/>
  <c r="U73" i="25"/>
  <c r="W194" i="25"/>
  <c r="V199" i="25"/>
  <c r="V51" i="25" s="1"/>
  <c r="V52" i="25" s="1"/>
  <c r="AA102" i="25"/>
  <c r="U234" i="25"/>
  <c r="W198" i="25"/>
  <c r="W123" i="25"/>
  <c r="V93" i="25"/>
  <c r="Y193" i="25"/>
  <c r="U234" i="24"/>
  <c r="W198" i="24"/>
  <c r="V199" i="24"/>
  <c r="V51" i="24" s="1"/>
  <c r="V52" i="24" s="1"/>
  <c r="V93" i="24"/>
  <c r="U73" i="24"/>
  <c r="U75" i="24"/>
  <c r="X191" i="24"/>
  <c r="Y101" i="24"/>
  <c r="Y102" i="24"/>
  <c r="Y193" i="24"/>
  <c r="U73" i="23"/>
  <c r="U75" i="23"/>
  <c r="W193" i="23"/>
  <c r="V199" i="23"/>
  <c r="V51" i="23" s="1"/>
  <c r="V52" i="23" s="1"/>
  <c r="V93" i="23"/>
  <c r="W191" i="23"/>
  <c r="X101" i="23"/>
  <c r="U234" i="23"/>
  <c r="W198" i="23"/>
  <c r="Z102" i="23"/>
  <c r="Z198" i="22"/>
  <c r="X234" i="22"/>
  <c r="U73" i="22"/>
  <c r="U75" i="22"/>
  <c r="W193" i="22"/>
  <c r="V199" i="22"/>
  <c r="V51" i="22" s="1"/>
  <c r="V52" i="22" s="1"/>
  <c r="V93" i="22"/>
  <c r="V191" i="22"/>
  <c r="W101" i="22"/>
  <c r="Y102" i="22"/>
  <c r="Z102" i="22" s="1"/>
  <c r="W193" i="21"/>
  <c r="V199" i="21"/>
  <c r="V51" i="21" s="1"/>
  <c r="V52" i="21" s="1"/>
  <c r="V93" i="21"/>
  <c r="V191" i="21"/>
  <c r="W101" i="21"/>
  <c r="U75" i="21"/>
  <c r="U73" i="21"/>
  <c r="AA102" i="21"/>
  <c r="V234" i="21"/>
  <c r="X198" i="21"/>
  <c r="X102" i="20"/>
  <c r="V191" i="20"/>
  <c r="W101" i="20"/>
  <c r="Y193" i="20"/>
  <c r="U75" i="20"/>
  <c r="U73" i="20"/>
  <c r="W198" i="20"/>
  <c r="U234" i="20"/>
  <c r="V199" i="20"/>
  <c r="V51" i="20" s="1"/>
  <c r="V52" i="20" s="1"/>
  <c r="W83" i="29" l="1"/>
  <c r="X75" i="29"/>
  <c r="X73" i="29"/>
  <c r="Z193" i="29"/>
  <c r="AO213" i="29"/>
  <c r="W7" i="29"/>
  <c r="Y102" i="29"/>
  <c r="X93" i="29"/>
  <c r="W234" i="29"/>
  <c r="Y198" i="29"/>
  <c r="Y199" i="29" s="1"/>
  <c r="Y52" i="29" s="1"/>
  <c r="W191" i="29"/>
  <c r="X101" i="29"/>
  <c r="X191" i="28"/>
  <c r="Y101" i="28"/>
  <c r="Z102" i="28"/>
  <c r="W234" i="28"/>
  <c r="Y198" i="28"/>
  <c r="X193" i="28"/>
  <c r="W199" i="28"/>
  <c r="W51" i="28" s="1"/>
  <c r="W52" i="28" s="1"/>
  <c r="W93" i="28"/>
  <c r="V73" i="28"/>
  <c r="V75" i="28"/>
  <c r="AM213" i="28"/>
  <c r="U7" i="28"/>
  <c r="V234" i="27"/>
  <c r="X198" i="27"/>
  <c r="AM213" i="27"/>
  <c r="U7" i="27"/>
  <c r="W199" i="27"/>
  <c r="W51" i="27" s="1"/>
  <c r="W52" i="27" s="1"/>
  <c r="U83" i="27"/>
  <c r="Y193" i="27"/>
  <c r="X199" i="27"/>
  <c r="X51" i="27" s="1"/>
  <c r="X52" i="27" s="1"/>
  <c r="W93" i="27"/>
  <c r="AN213" i="27"/>
  <c r="V7" i="27"/>
  <c r="W191" i="27"/>
  <c r="X101" i="27"/>
  <c r="X93" i="27"/>
  <c r="Y102" i="27"/>
  <c r="V83" i="27"/>
  <c r="AM213" i="26"/>
  <c r="U7" i="26"/>
  <c r="V75" i="26"/>
  <c r="V73" i="26"/>
  <c r="Y102" i="26"/>
  <c r="Y191" i="26" s="1"/>
  <c r="X93" i="26"/>
  <c r="U83" i="26"/>
  <c r="X193" i="26"/>
  <c r="W199" i="26"/>
  <c r="W52" i="26" s="1"/>
  <c r="Z101" i="26"/>
  <c r="V234" i="26"/>
  <c r="X198" i="26"/>
  <c r="X191" i="26"/>
  <c r="U83" i="25"/>
  <c r="V73" i="25"/>
  <c r="V75" i="25"/>
  <c r="AB102" i="25"/>
  <c r="X194" i="25"/>
  <c r="W199" i="25"/>
  <c r="W51" i="25" s="1"/>
  <c r="W52" i="25" s="1"/>
  <c r="AM213" i="25"/>
  <c r="U7" i="25"/>
  <c r="Z193" i="25"/>
  <c r="V234" i="25"/>
  <c r="X198" i="25"/>
  <c r="Y101" i="25"/>
  <c r="X123" i="25"/>
  <c r="X191" i="25" s="1"/>
  <c r="W93" i="25"/>
  <c r="W191" i="25"/>
  <c r="Y191" i="24"/>
  <c r="Z101" i="24"/>
  <c r="U83" i="24"/>
  <c r="Z193" i="24"/>
  <c r="V75" i="24"/>
  <c r="V73" i="24"/>
  <c r="V83" i="24" s="1"/>
  <c r="AM213" i="24"/>
  <c r="U7" i="24"/>
  <c r="Z102" i="24"/>
  <c r="V234" i="24"/>
  <c r="X198" i="24"/>
  <c r="W93" i="24"/>
  <c r="W199" i="24"/>
  <c r="W51" i="24" s="1"/>
  <c r="W52" i="24" s="1"/>
  <c r="X191" i="23"/>
  <c r="Y101" i="23"/>
  <c r="X193" i="23"/>
  <c r="W199" i="23"/>
  <c r="W51" i="23" s="1"/>
  <c r="W52" i="23" s="1"/>
  <c r="W93" i="23"/>
  <c r="AA102" i="23"/>
  <c r="AM213" i="23"/>
  <c r="U7" i="23"/>
  <c r="V73" i="23"/>
  <c r="V75" i="23"/>
  <c r="V234" i="23"/>
  <c r="X198" i="23"/>
  <c r="U83" i="23"/>
  <c r="AM213" i="22"/>
  <c r="U7" i="22"/>
  <c r="V75" i="22"/>
  <c r="V73" i="22"/>
  <c r="V83" i="22" s="1"/>
  <c r="X193" i="22"/>
  <c r="W199" i="22"/>
  <c r="W51" i="22" s="1"/>
  <c r="W52" i="22" s="1"/>
  <c r="W93" i="22"/>
  <c r="U83" i="22"/>
  <c r="AA102" i="22"/>
  <c r="W191" i="22"/>
  <c r="X101" i="22"/>
  <c r="Y234" i="22"/>
  <c r="AA198" i="22"/>
  <c r="U83" i="21"/>
  <c r="AB102" i="21"/>
  <c r="W191" i="21"/>
  <c r="X101" i="21"/>
  <c r="W234" i="21"/>
  <c r="Y198" i="21"/>
  <c r="V75" i="21"/>
  <c r="V73" i="21"/>
  <c r="AM213" i="21"/>
  <c r="U7" i="21"/>
  <c r="W199" i="21"/>
  <c r="W51" i="21" s="1"/>
  <c r="W52" i="21" s="1"/>
  <c r="X193" i="21"/>
  <c r="W93" i="21"/>
  <c r="U83" i="20"/>
  <c r="Z193" i="20"/>
  <c r="AM213" i="20"/>
  <c r="U7" i="20"/>
  <c r="W191" i="20"/>
  <c r="X101" i="20"/>
  <c r="V75" i="20"/>
  <c r="V73" i="20"/>
  <c r="Y102" i="20"/>
  <c r="X93" i="20"/>
  <c r="X198" i="20"/>
  <c r="V234" i="20"/>
  <c r="W199" i="20"/>
  <c r="W51" i="20" s="1"/>
  <c r="W52" i="20" s="1"/>
  <c r="W93" i="20"/>
  <c r="X83" i="29" l="1"/>
  <c r="Y75" i="29"/>
  <c r="Y73" i="29"/>
  <c r="Y93" i="29"/>
  <c r="Z102" i="29"/>
  <c r="X191" i="29"/>
  <c r="Y101" i="29"/>
  <c r="Z199" i="29"/>
  <c r="AA193" i="29"/>
  <c r="X234" i="29"/>
  <c r="Z198" i="29"/>
  <c r="AP213" i="29"/>
  <c r="X7" i="29"/>
  <c r="X199" i="28"/>
  <c r="X51" i="28" s="1"/>
  <c r="X52" i="28" s="1"/>
  <c r="Y193" i="28"/>
  <c r="X93" i="28"/>
  <c r="W75" i="28"/>
  <c r="W73" i="28"/>
  <c r="X234" i="28"/>
  <c r="Z198" i="28"/>
  <c r="AN213" i="28"/>
  <c r="V7" i="28"/>
  <c r="AA102" i="28"/>
  <c r="V83" i="28"/>
  <c r="Y191" i="28"/>
  <c r="Z101" i="28"/>
  <c r="X75" i="27"/>
  <c r="X73" i="27"/>
  <c r="Z102" i="27"/>
  <c r="Z193" i="27"/>
  <c r="Y199" i="27"/>
  <c r="Y52" i="27" s="1"/>
  <c r="W73" i="27"/>
  <c r="W75" i="27"/>
  <c r="X191" i="27"/>
  <c r="Y101" i="27"/>
  <c r="W234" i="27"/>
  <c r="Y198" i="27"/>
  <c r="V83" i="26"/>
  <c r="W234" i="26"/>
  <c r="Y198" i="26"/>
  <c r="Y193" i="26"/>
  <c r="X199" i="26"/>
  <c r="X52" i="26" s="1"/>
  <c r="Z191" i="26"/>
  <c r="AA101" i="26"/>
  <c r="AN213" i="26"/>
  <c r="V7" i="26"/>
  <c r="Z102" i="26"/>
  <c r="W73" i="26"/>
  <c r="W75" i="26"/>
  <c r="Z101" i="25"/>
  <c r="W73" i="25"/>
  <c r="W75" i="25"/>
  <c r="Y194" i="25"/>
  <c r="X199" i="25"/>
  <c r="X51" i="25" s="1"/>
  <c r="X52" i="25" s="1"/>
  <c r="W234" i="25"/>
  <c r="Y198" i="25"/>
  <c r="AC102" i="25"/>
  <c r="AA193" i="25"/>
  <c r="AN213" i="25"/>
  <c r="V7" i="25"/>
  <c r="Y123" i="25"/>
  <c r="X93" i="25"/>
  <c r="V83" i="25"/>
  <c r="AA193" i="24"/>
  <c r="W75" i="24"/>
  <c r="W73" i="24"/>
  <c r="W83" i="24" s="1"/>
  <c r="AA102" i="24"/>
  <c r="Z191" i="24"/>
  <c r="AA101" i="24"/>
  <c r="AN213" i="24"/>
  <c r="V7" i="24"/>
  <c r="W234" i="24"/>
  <c r="Y198" i="24"/>
  <c r="X93" i="24"/>
  <c r="X199" i="24"/>
  <c r="X51" i="24" s="1"/>
  <c r="X52" i="24" s="1"/>
  <c r="W73" i="23"/>
  <c r="W75" i="23"/>
  <c r="AN213" i="23"/>
  <c r="V7" i="23"/>
  <c r="X199" i="23"/>
  <c r="X51" i="23" s="1"/>
  <c r="X52" i="23" s="1"/>
  <c r="Y193" i="23"/>
  <c r="X93" i="23"/>
  <c r="AB102" i="23"/>
  <c r="V83" i="23"/>
  <c r="Y191" i="23"/>
  <c r="Z101" i="23"/>
  <c r="W234" i="23"/>
  <c r="Y198" i="23"/>
  <c r="AB198" i="22"/>
  <c r="Z234" i="22"/>
  <c r="AN213" i="22"/>
  <c r="V7" i="22"/>
  <c r="W73" i="22"/>
  <c r="W75" i="22"/>
  <c r="X199" i="22"/>
  <c r="X51" i="22" s="1"/>
  <c r="X52" i="22" s="1"/>
  <c r="Y193" i="22"/>
  <c r="X93" i="22"/>
  <c r="X191" i="22"/>
  <c r="Y101" i="22"/>
  <c r="AB102" i="22"/>
  <c r="X234" i="21"/>
  <c r="Z198" i="21"/>
  <c r="X191" i="21"/>
  <c r="Y101" i="21"/>
  <c r="Y193" i="21"/>
  <c r="X199" i="21"/>
  <c r="X51" i="21" s="1"/>
  <c r="X52" i="21" s="1"/>
  <c r="X93" i="21"/>
  <c r="W73" i="21"/>
  <c r="W83" i="21" s="1"/>
  <c r="W75" i="21"/>
  <c r="AN213" i="21"/>
  <c r="V7" i="21"/>
  <c r="V83" i="21"/>
  <c r="AC102" i="21"/>
  <c r="V83" i="20"/>
  <c r="W73" i="20"/>
  <c r="W75" i="20"/>
  <c r="AN213" i="20"/>
  <c r="V7" i="20"/>
  <c r="X191" i="20"/>
  <c r="Y101" i="20"/>
  <c r="W234" i="20"/>
  <c r="Y198" i="20"/>
  <c r="Y93" i="20" s="1"/>
  <c r="X199" i="20"/>
  <c r="X51" i="20" s="1"/>
  <c r="X52" i="20" s="1"/>
  <c r="Z102" i="20"/>
  <c r="AA193" i="20"/>
  <c r="Y83" i="29" l="1"/>
  <c r="AB193" i="29"/>
  <c r="Y191" i="29"/>
  <c r="Z101" i="29"/>
  <c r="AA102" i="29"/>
  <c r="Z93" i="29"/>
  <c r="AA198" i="29"/>
  <c r="Y234" i="29"/>
  <c r="AQ213" i="29"/>
  <c r="Y7" i="29"/>
  <c r="W83" i="28"/>
  <c r="AA198" i="28"/>
  <c r="Y234" i="28"/>
  <c r="Z191" i="28"/>
  <c r="AA101" i="28"/>
  <c r="AO213" i="28"/>
  <c r="W7" i="28"/>
  <c r="AB102" i="28"/>
  <c r="Y199" i="28"/>
  <c r="Y52" i="28" s="1"/>
  <c r="Z193" i="28"/>
  <c r="Y93" i="28"/>
  <c r="X73" i="28"/>
  <c r="X75" i="28"/>
  <c r="X83" i="27"/>
  <c r="AO213" i="27"/>
  <c r="W7" i="27"/>
  <c r="W83" i="27"/>
  <c r="Y75" i="27"/>
  <c r="Y73" i="27"/>
  <c r="AA193" i="27"/>
  <c r="Z199" i="27"/>
  <c r="X234" i="27"/>
  <c r="Z198" i="27"/>
  <c r="Y93" i="27"/>
  <c r="AA102" i="27"/>
  <c r="Z93" i="27"/>
  <c r="Y191" i="27"/>
  <c r="Z101" i="27"/>
  <c r="AP213" i="27"/>
  <c r="X7" i="27"/>
  <c r="AB101" i="26"/>
  <c r="AO213" i="26"/>
  <c r="W7" i="26"/>
  <c r="X75" i="26"/>
  <c r="X73" i="26"/>
  <c r="W83" i="26"/>
  <c r="Y199" i="26"/>
  <c r="Z193" i="26"/>
  <c r="X234" i="26"/>
  <c r="Z198" i="26"/>
  <c r="AA102" i="26"/>
  <c r="Z93" i="26"/>
  <c r="X234" i="25"/>
  <c r="Z198" i="25"/>
  <c r="Z123" i="25"/>
  <c r="Y93" i="25"/>
  <c r="X73" i="25"/>
  <c r="X75" i="25"/>
  <c r="Z194" i="25"/>
  <c r="Y199" i="25"/>
  <c r="Y51" i="25" s="1"/>
  <c r="Y52" i="25" s="1"/>
  <c r="AB193" i="25"/>
  <c r="AO213" i="25"/>
  <c r="W7" i="25"/>
  <c r="W83" i="25"/>
  <c r="AD102" i="25"/>
  <c r="Z191" i="25"/>
  <c r="AA101" i="25"/>
  <c r="Y191" i="25"/>
  <c r="AA191" i="24"/>
  <c r="AB101" i="24"/>
  <c r="AB102" i="24"/>
  <c r="X234" i="24"/>
  <c r="Z198" i="24"/>
  <c r="Y93" i="24"/>
  <c r="Y199" i="24"/>
  <c r="Y52" i="24" s="1"/>
  <c r="AO213" i="24"/>
  <c r="W7" i="24"/>
  <c r="X75" i="24"/>
  <c r="X73" i="24"/>
  <c r="X83" i="24" s="1"/>
  <c r="AB193" i="24"/>
  <c r="X75" i="23"/>
  <c r="X73" i="23"/>
  <c r="X83" i="23" s="1"/>
  <c r="Z191" i="23"/>
  <c r="AA101" i="23"/>
  <c r="AC102" i="23"/>
  <c r="X234" i="23"/>
  <c r="Z198" i="23"/>
  <c r="AO213" i="23"/>
  <c r="W7" i="23"/>
  <c r="Z193" i="23"/>
  <c r="Y199" i="23"/>
  <c r="Y51" i="23" s="1"/>
  <c r="Y52" i="23" s="1"/>
  <c r="Y93" i="23"/>
  <c r="W83" i="23"/>
  <c r="X75" i="22"/>
  <c r="X73" i="22"/>
  <c r="AO213" i="22"/>
  <c r="W7" i="22"/>
  <c r="W83" i="22"/>
  <c r="AC102" i="22"/>
  <c r="Y191" i="22"/>
  <c r="Z101" i="22"/>
  <c r="Y199" i="22"/>
  <c r="Y52" i="22" s="1"/>
  <c r="Z193" i="22"/>
  <c r="AA234" i="22"/>
  <c r="AC198" i="22"/>
  <c r="X73" i="21"/>
  <c r="X75" i="21"/>
  <c r="AD102" i="21"/>
  <c r="Z193" i="21"/>
  <c r="Y199" i="21"/>
  <c r="Y191" i="21"/>
  <c r="Z101" i="21"/>
  <c r="AA198" i="21"/>
  <c r="Y234" i="21"/>
  <c r="AO213" i="21"/>
  <c r="W7" i="21"/>
  <c r="AB193" i="20"/>
  <c r="AA102" i="20"/>
  <c r="AO213" i="20"/>
  <c r="W7" i="20"/>
  <c r="Z198" i="20"/>
  <c r="Z93" i="20" s="1"/>
  <c r="X234" i="20"/>
  <c r="Y199" i="20"/>
  <c r="Y52" i="20" s="1"/>
  <c r="Y191" i="20"/>
  <c r="Z101" i="20"/>
  <c r="X75" i="20"/>
  <c r="X73" i="20"/>
  <c r="W83" i="20"/>
  <c r="Z234" i="29" l="1"/>
  <c r="AB198" i="29"/>
  <c r="AA93" i="29"/>
  <c r="AB102" i="29"/>
  <c r="Z191" i="29"/>
  <c r="AA101" i="29"/>
  <c r="AB199" i="29"/>
  <c r="AB51" i="29" s="1"/>
  <c r="AB52" i="29" s="1"/>
  <c r="AC193" i="29"/>
  <c r="AA199" i="29"/>
  <c r="AA51" i="29" s="1"/>
  <c r="AA52" i="29" s="1"/>
  <c r="AC102" i="28"/>
  <c r="X83" i="28"/>
  <c r="AA191" i="28"/>
  <c r="AB101" i="28"/>
  <c r="Z199" i="28"/>
  <c r="AA193" i="28"/>
  <c r="Z93" i="28"/>
  <c r="AP213" i="28"/>
  <c r="X7" i="28"/>
  <c r="Y75" i="28"/>
  <c r="Y73" i="28"/>
  <c r="Y83" i="28" s="1"/>
  <c r="AB198" i="28"/>
  <c r="Z234" i="28"/>
  <c r="Y83" i="27"/>
  <c r="Z191" i="27"/>
  <c r="AA101" i="27"/>
  <c r="AQ213" i="27"/>
  <c r="Y7" i="27"/>
  <c r="AA199" i="27"/>
  <c r="AA51" i="27" s="1"/>
  <c r="AA52" i="27" s="1"/>
  <c r="AB193" i="27"/>
  <c r="AB102" i="27"/>
  <c r="AA93" i="27"/>
  <c r="AA198" i="27"/>
  <c r="Y234" i="27"/>
  <c r="X83" i="26"/>
  <c r="AA198" i="26"/>
  <c r="Y234" i="26"/>
  <c r="AB102" i="26"/>
  <c r="AA93" i="26"/>
  <c r="AB191" i="26"/>
  <c r="AC101" i="26"/>
  <c r="AP213" i="26"/>
  <c r="X7" i="26"/>
  <c r="Z199" i="26"/>
  <c r="AA193" i="26"/>
  <c r="AA191" i="26"/>
  <c r="AP213" i="25"/>
  <c r="X7" i="25"/>
  <c r="AA194" i="25"/>
  <c r="Z199" i="25"/>
  <c r="AA123" i="25"/>
  <c r="Z93" i="25"/>
  <c r="AC193" i="25"/>
  <c r="AA198" i="25"/>
  <c r="Y234" i="25"/>
  <c r="Y73" i="25"/>
  <c r="Y75" i="25"/>
  <c r="AE102" i="25"/>
  <c r="X83" i="25"/>
  <c r="AA191" i="25"/>
  <c r="AB101" i="25"/>
  <c r="Y75" i="24"/>
  <c r="Y73" i="24"/>
  <c r="AC193" i="24"/>
  <c r="AA198" i="24"/>
  <c r="Y234" i="24"/>
  <c r="Z199" i="24"/>
  <c r="Z93" i="24"/>
  <c r="AP213" i="24"/>
  <c r="X7" i="24"/>
  <c r="AC102" i="24"/>
  <c r="AB191" i="24"/>
  <c r="AC101" i="24"/>
  <c r="Y75" i="23"/>
  <c r="Y73" i="23"/>
  <c r="Y83" i="23" s="1"/>
  <c r="AA191" i="23"/>
  <c r="AB101" i="23"/>
  <c r="AA198" i="23"/>
  <c r="Y234" i="23"/>
  <c r="AD102" i="23"/>
  <c r="Z199" i="23"/>
  <c r="AA193" i="23"/>
  <c r="Z93" i="23"/>
  <c r="AP213" i="23"/>
  <c r="X7" i="23"/>
  <c r="X83" i="22"/>
  <c r="AD102" i="22"/>
  <c r="AB234" i="22"/>
  <c r="AD198" i="22"/>
  <c r="Z199" i="22"/>
  <c r="AA193" i="22"/>
  <c r="Z93" i="22"/>
  <c r="Y73" i="22"/>
  <c r="Y75" i="22"/>
  <c r="Z191" i="22"/>
  <c r="AA101" i="22"/>
  <c r="AP213" i="22"/>
  <c r="X7" i="22"/>
  <c r="Z199" i="21"/>
  <c r="AA193" i="21"/>
  <c r="Z93" i="21"/>
  <c r="AP213" i="21"/>
  <c r="X7" i="21"/>
  <c r="AE102" i="21"/>
  <c r="Z234" i="21"/>
  <c r="AB198" i="21"/>
  <c r="Z191" i="21"/>
  <c r="AA101" i="21"/>
  <c r="X83" i="21"/>
  <c r="X83" i="20"/>
  <c r="Y234" i="20"/>
  <c r="AA198" i="20"/>
  <c r="Z199" i="20"/>
  <c r="AP213" i="20"/>
  <c r="X7" i="20"/>
  <c r="Z191" i="20"/>
  <c r="AA101" i="20"/>
  <c r="AB102" i="20"/>
  <c r="AC193" i="20"/>
  <c r="Y75" i="20"/>
  <c r="Y73" i="20"/>
  <c r="Y83" i="20" s="1"/>
  <c r="AA191" i="29" l="1"/>
  <c r="AB101" i="29"/>
  <c r="AD193" i="29"/>
  <c r="AC199" i="29"/>
  <c r="AC51" i="29" s="1"/>
  <c r="AC52" i="29" s="1"/>
  <c r="AC102" i="29"/>
  <c r="AB93" i="29"/>
  <c r="AB75" i="29"/>
  <c r="AB73" i="29"/>
  <c r="AB83" i="29" s="1"/>
  <c r="AA234" i="29"/>
  <c r="AC198" i="29"/>
  <c r="AA73" i="29"/>
  <c r="AA75" i="29"/>
  <c r="AA199" i="28"/>
  <c r="AA51" i="28" s="1"/>
  <c r="AA52" i="28" s="1"/>
  <c r="AB193" i="28"/>
  <c r="AA93" i="28"/>
  <c r="AC198" i="28"/>
  <c r="AA234" i="28"/>
  <c r="AB191" i="28"/>
  <c r="AC101" i="28"/>
  <c r="AQ213" i="28"/>
  <c r="Y7" i="28"/>
  <c r="AD102" i="28"/>
  <c r="AB93" i="27"/>
  <c r="AC102" i="27"/>
  <c r="AA75" i="27"/>
  <c r="AA73" i="27"/>
  <c r="AA83" i="27" s="1"/>
  <c r="AA191" i="27"/>
  <c r="AB101" i="27"/>
  <c r="AB199" i="27"/>
  <c r="AB51" i="27" s="1"/>
  <c r="AB52" i="27" s="1"/>
  <c r="AC193" i="27"/>
  <c r="Z234" i="27"/>
  <c r="AB198" i="27"/>
  <c r="Z234" i="26"/>
  <c r="AB198" i="26"/>
  <c r="AA199" i="26"/>
  <c r="AA52" i="26" s="1"/>
  <c r="AB193" i="26"/>
  <c r="AC102" i="26"/>
  <c r="AB93" i="26"/>
  <c r="AQ213" i="26"/>
  <c r="Y7" i="26"/>
  <c r="AD101" i="26"/>
  <c r="AF102" i="25"/>
  <c r="AD193" i="25"/>
  <c r="Y83" i="25"/>
  <c r="AQ213" i="25"/>
  <c r="AB123" i="25"/>
  <c r="AA93" i="25"/>
  <c r="AB194" i="25"/>
  <c r="AA199" i="25"/>
  <c r="AA51" i="25" s="1"/>
  <c r="AA52" i="25" s="1"/>
  <c r="AC101" i="25"/>
  <c r="Z234" i="25"/>
  <c r="AB198" i="25"/>
  <c r="Y83" i="24"/>
  <c r="AD102" i="24"/>
  <c r="AD193" i="24"/>
  <c r="AC191" i="24"/>
  <c r="AD101" i="24"/>
  <c r="Z234" i="24"/>
  <c r="AB198" i="24"/>
  <c r="AA199" i="24"/>
  <c r="AA51" i="24" s="1"/>
  <c r="AA52" i="24" s="1"/>
  <c r="AA93" i="24"/>
  <c r="AQ213" i="24"/>
  <c r="Y7" i="24"/>
  <c r="AE102" i="23"/>
  <c r="Z234" i="23"/>
  <c r="AB198" i="23"/>
  <c r="AB191" i="23"/>
  <c r="AC101" i="23"/>
  <c r="AA199" i="23"/>
  <c r="AA51" i="23" s="1"/>
  <c r="AA52" i="23" s="1"/>
  <c r="AB193" i="23"/>
  <c r="AA93" i="23"/>
  <c r="AQ213" i="23"/>
  <c r="Y7" i="23"/>
  <c r="Y83" i="22"/>
  <c r="AC234" i="22"/>
  <c r="AE198" i="22"/>
  <c r="AA191" i="22"/>
  <c r="AB101" i="22"/>
  <c r="AA199" i="22"/>
  <c r="AA51" i="22" s="1"/>
  <c r="AA52" i="22" s="1"/>
  <c r="AB193" i="22"/>
  <c r="AA93" i="22"/>
  <c r="AQ213" i="22"/>
  <c r="Y7" i="22"/>
  <c r="AE102" i="22"/>
  <c r="AC198" i="21"/>
  <c r="AA234" i="21"/>
  <c r="AA199" i="21"/>
  <c r="AA51" i="21" s="1"/>
  <c r="AA52" i="21" s="1"/>
  <c r="AB193" i="21"/>
  <c r="AA93" i="21"/>
  <c r="AF102" i="21"/>
  <c r="AQ213" i="21"/>
  <c r="Y7" i="21"/>
  <c r="AA191" i="21"/>
  <c r="AB101" i="21"/>
  <c r="AC102" i="20"/>
  <c r="AA191" i="20"/>
  <c r="AB101" i="20"/>
  <c r="Z234" i="20"/>
  <c r="AB198" i="20"/>
  <c r="AA199" i="20"/>
  <c r="AA51" i="20" s="1"/>
  <c r="AA52" i="20" s="1"/>
  <c r="AQ213" i="20"/>
  <c r="Y7" i="20"/>
  <c r="AD193" i="20"/>
  <c r="AA93" i="20"/>
  <c r="AT213" i="29" l="1"/>
  <c r="AB7" i="29"/>
  <c r="AD102" i="29"/>
  <c r="AC93" i="29"/>
  <c r="AS213" i="29"/>
  <c r="AA7" i="29"/>
  <c r="AC73" i="29"/>
  <c r="AC75" i="29"/>
  <c r="AA83" i="29"/>
  <c r="AE193" i="29"/>
  <c r="AB234" i="29"/>
  <c r="AD198" i="29"/>
  <c r="AB191" i="29"/>
  <c r="AC101" i="29"/>
  <c r="AC191" i="28"/>
  <c r="AD101" i="28"/>
  <c r="AD198" i="28"/>
  <c r="AB234" i="28"/>
  <c r="AE102" i="28"/>
  <c r="AC193" i="28"/>
  <c r="AB199" i="28"/>
  <c r="AB51" i="28" s="1"/>
  <c r="AB52" i="28" s="1"/>
  <c r="AB93" i="28"/>
  <c r="AA73" i="28"/>
  <c r="AA75" i="28"/>
  <c r="AB73" i="27"/>
  <c r="AB75" i="27"/>
  <c r="AB191" i="27"/>
  <c r="AC101" i="27"/>
  <c r="AC199" i="27"/>
  <c r="AC51" i="27" s="1"/>
  <c r="AC52" i="27" s="1"/>
  <c r="AD193" i="27"/>
  <c r="AS213" i="27"/>
  <c r="AA7" i="27"/>
  <c r="AA234" i="27"/>
  <c r="AC198" i="27"/>
  <c r="AD102" i="27"/>
  <c r="AC93" i="27"/>
  <c r="AB199" i="26"/>
  <c r="AB52" i="26" s="1"/>
  <c r="AC193" i="26"/>
  <c r="AD102" i="26"/>
  <c r="AC93" i="26"/>
  <c r="AA75" i="26"/>
  <c r="AA73" i="26"/>
  <c r="AD191" i="26"/>
  <c r="AE101" i="26"/>
  <c r="AA234" i="26"/>
  <c r="AC198" i="26"/>
  <c r="AC191" i="26"/>
  <c r="AC123" i="25"/>
  <c r="AB93" i="25"/>
  <c r="AA234" i="25"/>
  <c r="AC198" i="25"/>
  <c r="AC191" i="25"/>
  <c r="AD101" i="25"/>
  <c r="AB191" i="25"/>
  <c r="AA75" i="25"/>
  <c r="AA73" i="25"/>
  <c r="AE193" i="25"/>
  <c r="AC194" i="25"/>
  <c r="AB199" i="25"/>
  <c r="AB51" i="25" s="1"/>
  <c r="AB52" i="25" s="1"/>
  <c r="B102" i="25"/>
  <c r="AA234" i="24"/>
  <c r="AC198" i="24"/>
  <c r="AB199" i="24"/>
  <c r="AB51" i="24" s="1"/>
  <c r="AB52" i="24" s="1"/>
  <c r="AB93" i="24"/>
  <c r="AE193" i="24"/>
  <c r="AD191" i="24"/>
  <c r="AE101" i="24"/>
  <c r="AA73" i="24"/>
  <c r="AA75" i="24"/>
  <c r="AE102" i="24"/>
  <c r="AC191" i="23"/>
  <c r="AD101" i="23"/>
  <c r="AB199" i="23"/>
  <c r="AB51" i="23" s="1"/>
  <c r="AB52" i="23" s="1"/>
  <c r="AC193" i="23"/>
  <c r="AB93" i="23"/>
  <c r="AC198" i="23"/>
  <c r="AA234" i="23"/>
  <c r="AA73" i="23"/>
  <c r="AA83" i="23" s="1"/>
  <c r="AA75" i="23"/>
  <c r="AF102" i="23"/>
  <c r="AA75" i="22"/>
  <c r="AA73" i="22"/>
  <c r="AC193" i="22"/>
  <c r="AB199" i="22"/>
  <c r="AB51" i="22" s="1"/>
  <c r="AB52" i="22" s="1"/>
  <c r="AB93" i="22"/>
  <c r="AB191" i="22"/>
  <c r="AC101" i="22"/>
  <c r="AD234" i="22"/>
  <c r="AF198" i="22"/>
  <c r="AF102" i="22"/>
  <c r="B102" i="21"/>
  <c r="AB199" i="21"/>
  <c r="AB51" i="21" s="1"/>
  <c r="AB52" i="21" s="1"/>
  <c r="AC193" i="21"/>
  <c r="AB93" i="21"/>
  <c r="AB191" i="21"/>
  <c r="AC101" i="21"/>
  <c r="AA73" i="21"/>
  <c r="AA75" i="21"/>
  <c r="AB234" i="21"/>
  <c r="AD198" i="21"/>
  <c r="AA73" i="20"/>
  <c r="AA75" i="20"/>
  <c r="AA234" i="20"/>
  <c r="AC198" i="20"/>
  <c r="AC93" i="20" s="1"/>
  <c r="AB199" i="20"/>
  <c r="AB51" i="20" s="1"/>
  <c r="AB52" i="20" s="1"/>
  <c r="AB191" i="20"/>
  <c r="AC101" i="20"/>
  <c r="AB93" i="20"/>
  <c r="AE193" i="20"/>
  <c r="AD102" i="20"/>
  <c r="AU213" i="29" l="1"/>
  <c r="AC7" i="29"/>
  <c r="AC191" i="29"/>
  <c r="AD101" i="29"/>
  <c r="AC83" i="29"/>
  <c r="AC234" i="29"/>
  <c r="AE198" i="29"/>
  <c r="AD199" i="29"/>
  <c r="AD51" i="29" s="1"/>
  <c r="AD52" i="29" s="1"/>
  <c r="AE102" i="29"/>
  <c r="AD93" i="29"/>
  <c r="AF193" i="29"/>
  <c r="AC199" i="28"/>
  <c r="AC51" i="28" s="1"/>
  <c r="AC52" i="28" s="1"/>
  <c r="AD193" i="28"/>
  <c r="AC93" i="28"/>
  <c r="AF102" i="28"/>
  <c r="AB75" i="28"/>
  <c r="AB73" i="28"/>
  <c r="AB83" i="28" s="1"/>
  <c r="AS213" i="28"/>
  <c r="AA7" i="28"/>
  <c r="AE198" i="28"/>
  <c r="AC234" i="28"/>
  <c r="AA83" i="28"/>
  <c r="AD191" i="28"/>
  <c r="AE101" i="28"/>
  <c r="AE193" i="27"/>
  <c r="AC73" i="27"/>
  <c r="AC75" i="27"/>
  <c r="AC191" i="27"/>
  <c r="AD101" i="27"/>
  <c r="AE102" i="27"/>
  <c r="AD93" i="27"/>
  <c r="AB234" i="27"/>
  <c r="AD198" i="27"/>
  <c r="AT213" i="27"/>
  <c r="AB7" i="27"/>
  <c r="AB83" i="27"/>
  <c r="AA83" i="26"/>
  <c r="AS213" i="26"/>
  <c r="AA7" i="26"/>
  <c r="AE102" i="26"/>
  <c r="AB234" i="26"/>
  <c r="AD198" i="26"/>
  <c r="AD193" i="26"/>
  <c r="AC199" i="26"/>
  <c r="AC52" i="26" s="1"/>
  <c r="AF101" i="26"/>
  <c r="AB75" i="26"/>
  <c r="AB73" i="26"/>
  <c r="AS213" i="25"/>
  <c r="AA7" i="25"/>
  <c r="AD194" i="25"/>
  <c r="AC199" i="25"/>
  <c r="AC51" i="25" s="1"/>
  <c r="AC52" i="25" s="1"/>
  <c r="AB234" i="25"/>
  <c r="AD198" i="25"/>
  <c r="AB75" i="25"/>
  <c r="AB73" i="25"/>
  <c r="AE101" i="25"/>
  <c r="AF193" i="25"/>
  <c r="AA83" i="25"/>
  <c r="AD123" i="25"/>
  <c r="AC93" i="25"/>
  <c r="AE191" i="24"/>
  <c r="AF101" i="24"/>
  <c r="AF193" i="24"/>
  <c r="AB73" i="24"/>
  <c r="AB75" i="24"/>
  <c r="AS213" i="24"/>
  <c r="AA7" i="24"/>
  <c r="AB234" i="24"/>
  <c r="AD198" i="24"/>
  <c r="AC93" i="24"/>
  <c r="AC199" i="24"/>
  <c r="AC51" i="24" s="1"/>
  <c r="AC52" i="24" s="1"/>
  <c r="AF102" i="24"/>
  <c r="AA83" i="24"/>
  <c r="AB234" i="23"/>
  <c r="AD198" i="23"/>
  <c r="AC199" i="23"/>
  <c r="AC51" i="23" s="1"/>
  <c r="AC52" i="23" s="1"/>
  <c r="AD193" i="23"/>
  <c r="AC93" i="23"/>
  <c r="AB73" i="23"/>
  <c r="AB75" i="23"/>
  <c r="B102" i="23"/>
  <c r="AD191" i="23"/>
  <c r="AE101" i="23"/>
  <c r="AS213" i="23"/>
  <c r="AA7" i="23"/>
  <c r="AA83" i="22"/>
  <c r="AB73" i="22"/>
  <c r="AB75" i="22"/>
  <c r="AD193" i="22"/>
  <c r="AC199" i="22"/>
  <c r="AC51" i="22" s="1"/>
  <c r="AC52" i="22" s="1"/>
  <c r="AC93" i="22"/>
  <c r="B102" i="22"/>
  <c r="AC191" i="22"/>
  <c r="AD101" i="22"/>
  <c r="AE234" i="22"/>
  <c r="B198" i="22"/>
  <c r="AF234" i="22" s="1"/>
  <c r="AS213" i="22"/>
  <c r="AA7" i="22"/>
  <c r="AC191" i="21"/>
  <c r="AD101" i="21"/>
  <c r="AC199" i="21"/>
  <c r="AC51" i="21" s="1"/>
  <c r="AC52" i="21" s="1"/>
  <c r="AD193" i="21"/>
  <c r="AC93" i="21"/>
  <c r="AC234" i="21"/>
  <c r="AE198" i="21"/>
  <c r="AB73" i="21"/>
  <c r="AB75" i="21"/>
  <c r="AS213" i="21"/>
  <c r="AA7" i="21"/>
  <c r="AE102" i="20"/>
  <c r="AD93" i="20"/>
  <c r="AC191" i="20"/>
  <c r="AD101" i="20"/>
  <c r="AF193" i="20"/>
  <c r="AS213" i="20"/>
  <c r="AA7" i="20"/>
  <c r="AB73" i="20"/>
  <c r="AB75" i="20"/>
  <c r="AD198" i="20"/>
  <c r="AB234" i="20"/>
  <c r="AC199" i="20"/>
  <c r="AC51" i="20" s="1"/>
  <c r="AC52" i="20" s="1"/>
  <c r="AA83" i="20"/>
  <c r="AD234" i="29" l="1"/>
  <c r="AF198" i="29"/>
  <c r="AE199" i="29"/>
  <c r="AE51" i="29" s="1"/>
  <c r="AE52" i="29" s="1"/>
  <c r="AD191" i="29"/>
  <c r="AE101" i="29"/>
  <c r="AF199" i="29"/>
  <c r="AF51" i="29" s="1"/>
  <c r="AF52" i="29" s="1"/>
  <c r="B193" i="29"/>
  <c r="AD75" i="29"/>
  <c r="AD73" i="29"/>
  <c r="AF102" i="29"/>
  <c r="AE93" i="29"/>
  <c r="AE191" i="28"/>
  <c r="AF101" i="28"/>
  <c r="B102" i="28"/>
  <c r="AD234" i="28"/>
  <c r="AF198" i="28"/>
  <c r="AD199" i="28"/>
  <c r="AD51" i="28" s="1"/>
  <c r="AD52" i="28" s="1"/>
  <c r="AE193" i="28"/>
  <c r="AD93" i="28"/>
  <c r="AT213" i="28"/>
  <c r="AB7" i="28"/>
  <c r="AC75" i="28"/>
  <c r="AC73" i="28"/>
  <c r="AF102" i="27"/>
  <c r="AD191" i="27"/>
  <c r="AE101" i="27"/>
  <c r="AU213" i="27"/>
  <c r="AC7" i="27"/>
  <c r="AC83" i="27"/>
  <c r="AE198" i="27"/>
  <c r="AE199" i="27" s="1"/>
  <c r="AE51" i="27" s="1"/>
  <c r="AE52" i="27" s="1"/>
  <c r="AC234" i="27"/>
  <c r="AF193" i="27"/>
  <c r="AD199" i="27"/>
  <c r="AD51" i="27" s="1"/>
  <c r="AD52" i="27" s="1"/>
  <c r="AB83" i="26"/>
  <c r="AE193" i="26"/>
  <c r="AD199" i="26"/>
  <c r="AD52" i="26" s="1"/>
  <c r="AD93" i="26"/>
  <c r="AC234" i="26"/>
  <c r="AE198" i="26"/>
  <c r="AT213" i="26"/>
  <c r="AB7" i="26"/>
  <c r="AF102" i="26"/>
  <c r="B101" i="26"/>
  <c r="AC73" i="26"/>
  <c r="AC75" i="26"/>
  <c r="AE191" i="26"/>
  <c r="AT213" i="25"/>
  <c r="AB7" i="25"/>
  <c r="AC234" i="25"/>
  <c r="AE198" i="25"/>
  <c r="AC75" i="25"/>
  <c r="AC73" i="25"/>
  <c r="AC83" i="25" s="1"/>
  <c r="AE123" i="25"/>
  <c r="AD93" i="25"/>
  <c r="B193" i="25"/>
  <c r="AE194" i="25"/>
  <c r="AD199" i="25"/>
  <c r="AD51" i="25" s="1"/>
  <c r="AD52" i="25" s="1"/>
  <c r="AD191" i="25"/>
  <c r="AE191" i="25"/>
  <c r="AF101" i="25"/>
  <c r="AB83" i="25"/>
  <c r="AB83" i="24"/>
  <c r="B102" i="24"/>
  <c r="AT213" i="24"/>
  <c r="AB7" i="24"/>
  <c r="AC73" i="24"/>
  <c r="AC83" i="24" s="1"/>
  <c r="AC75" i="24"/>
  <c r="B193" i="24"/>
  <c r="AC234" i="24"/>
  <c r="AE198" i="24"/>
  <c r="AD93" i="24"/>
  <c r="AD199" i="24"/>
  <c r="AD51" i="24" s="1"/>
  <c r="AD52" i="24" s="1"/>
  <c r="AF191" i="24"/>
  <c r="B101" i="24"/>
  <c r="B191" i="24" s="1"/>
  <c r="AB83" i="23"/>
  <c r="AE193" i="23"/>
  <c r="AD199" i="23"/>
  <c r="AD51" i="23" s="1"/>
  <c r="AD52" i="23" s="1"/>
  <c r="AD93" i="23"/>
  <c r="AT213" i="23"/>
  <c r="AB7" i="23"/>
  <c r="AE191" i="23"/>
  <c r="AF101" i="23"/>
  <c r="AC75" i="23"/>
  <c r="AC73" i="23"/>
  <c r="AC234" i="23"/>
  <c r="AE198" i="23"/>
  <c r="AE193" i="22"/>
  <c r="AD199" i="22"/>
  <c r="AD51" i="22" s="1"/>
  <c r="AD52" i="22" s="1"/>
  <c r="AD93" i="22"/>
  <c r="AT213" i="22"/>
  <c r="AB7" i="22"/>
  <c r="AC73" i="22"/>
  <c r="AC75" i="22"/>
  <c r="AD191" i="22"/>
  <c r="AE101" i="22"/>
  <c r="AB83" i="22"/>
  <c r="AE193" i="21"/>
  <c r="AD199" i="21"/>
  <c r="AD51" i="21" s="1"/>
  <c r="AD52" i="21" s="1"/>
  <c r="AD93" i="21"/>
  <c r="AC75" i="21"/>
  <c r="AC73" i="21"/>
  <c r="AC83" i="21" s="1"/>
  <c r="AD234" i="21"/>
  <c r="AF198" i="21"/>
  <c r="AD191" i="21"/>
  <c r="AE101" i="21"/>
  <c r="AT213" i="21"/>
  <c r="AB7" i="21"/>
  <c r="AC75" i="20"/>
  <c r="AC73" i="20"/>
  <c r="AC83" i="20" s="1"/>
  <c r="B193" i="20"/>
  <c r="AD191" i="20"/>
  <c r="AE101" i="20"/>
  <c r="AC234" i="20"/>
  <c r="AE198" i="20"/>
  <c r="AD199" i="20"/>
  <c r="AD51" i="20" s="1"/>
  <c r="AD52" i="20" s="1"/>
  <c r="AT213" i="20"/>
  <c r="AB7" i="20"/>
  <c r="AB83" i="20"/>
  <c r="AE93" i="20"/>
  <c r="AF102" i="20"/>
  <c r="AF73" i="29" l="1"/>
  <c r="AF75" i="29"/>
  <c r="AE191" i="29"/>
  <c r="AF101" i="29"/>
  <c r="AE73" i="29"/>
  <c r="AE75" i="29"/>
  <c r="AV213" i="29"/>
  <c r="AD7" i="29"/>
  <c r="B102" i="29"/>
  <c r="B93" i="29" s="1"/>
  <c r="AF93" i="29"/>
  <c r="B198" i="29"/>
  <c r="AF234" i="29" s="1"/>
  <c r="AE234" i="29"/>
  <c r="AD83" i="29"/>
  <c r="AD73" i="28"/>
  <c r="AD75" i="28"/>
  <c r="AE234" i="28"/>
  <c r="B198" i="28"/>
  <c r="AF234" i="28" s="1"/>
  <c r="AC83" i="28"/>
  <c r="AF193" i="28"/>
  <c r="AE199" i="28"/>
  <c r="AE51" i="28" s="1"/>
  <c r="AE52" i="28" s="1"/>
  <c r="AE93" i="28"/>
  <c r="AU213" i="28"/>
  <c r="AC7" i="28"/>
  <c r="AF191" i="28"/>
  <c r="B101" i="28"/>
  <c r="B191" i="28" s="1"/>
  <c r="AE73" i="27"/>
  <c r="AE75" i="27"/>
  <c r="AD73" i="27"/>
  <c r="AD75" i="27"/>
  <c r="AE191" i="27"/>
  <c r="AF101" i="27"/>
  <c r="AD234" i="27"/>
  <c r="AF198" i="27"/>
  <c r="AE93" i="27"/>
  <c r="B193" i="27"/>
  <c r="B102" i="27"/>
  <c r="AC83" i="26"/>
  <c r="B102" i="26"/>
  <c r="AU213" i="26"/>
  <c r="AC7" i="26"/>
  <c r="AD234" i="26"/>
  <c r="AF198" i="26"/>
  <c r="B191" i="26"/>
  <c r="AF191" i="26"/>
  <c r="AD75" i="26"/>
  <c r="AD73" i="26"/>
  <c r="AE93" i="26"/>
  <c r="AF193" i="26"/>
  <c r="AE199" i="26"/>
  <c r="AE52" i="26" s="1"/>
  <c r="B101" i="25"/>
  <c r="AF123" i="25"/>
  <c r="AE93" i="25"/>
  <c r="AU213" i="25"/>
  <c r="AC7" i="25"/>
  <c r="AD73" i="25"/>
  <c r="AD75" i="25"/>
  <c r="AD234" i="25"/>
  <c r="AF198" i="25"/>
  <c r="AF194" i="25"/>
  <c r="AE199" i="25"/>
  <c r="AE51" i="25" s="1"/>
  <c r="AE52" i="25" s="1"/>
  <c r="AU213" i="24"/>
  <c r="AC7" i="24"/>
  <c r="AD75" i="24"/>
  <c r="AD73" i="24"/>
  <c r="AD83" i="24" s="1"/>
  <c r="AD234" i="24"/>
  <c r="AF198" i="24"/>
  <c r="AE93" i="24"/>
  <c r="AE199" i="24"/>
  <c r="AE51" i="24" s="1"/>
  <c r="AE52" i="24" s="1"/>
  <c r="AC83" i="23"/>
  <c r="AF191" i="23"/>
  <c r="B101" i="23"/>
  <c r="B191" i="23" s="1"/>
  <c r="AD234" i="23"/>
  <c r="AF198" i="23"/>
  <c r="AD73" i="23"/>
  <c r="AD75" i="23"/>
  <c r="AF193" i="23"/>
  <c r="AE199" i="23"/>
  <c r="AE51" i="23" s="1"/>
  <c r="AE52" i="23" s="1"/>
  <c r="AE93" i="23"/>
  <c r="AU213" i="23"/>
  <c r="AC7" i="23"/>
  <c r="AU213" i="22"/>
  <c r="AC7" i="22"/>
  <c r="AD75" i="22"/>
  <c r="AD73" i="22"/>
  <c r="AC83" i="22"/>
  <c r="AE191" i="22"/>
  <c r="AF101" i="22"/>
  <c r="AF193" i="22"/>
  <c r="AE199" i="22"/>
  <c r="AE51" i="22" s="1"/>
  <c r="AE52" i="22" s="1"/>
  <c r="AE93" i="22"/>
  <c r="B198" i="21"/>
  <c r="AF234" i="21" s="1"/>
  <c r="AE234" i="21"/>
  <c r="AU213" i="21"/>
  <c r="AC7" i="21"/>
  <c r="AD73" i="21"/>
  <c r="AD75" i="21"/>
  <c r="AE191" i="21"/>
  <c r="AF101" i="21"/>
  <c r="AF193" i="21"/>
  <c r="AE199" i="21"/>
  <c r="AE51" i="21" s="1"/>
  <c r="AE52" i="21" s="1"/>
  <c r="AE93" i="21"/>
  <c r="AD234" i="20"/>
  <c r="AF198" i="20"/>
  <c r="AE199" i="20"/>
  <c r="AE51" i="20" s="1"/>
  <c r="AE52" i="20" s="1"/>
  <c r="B102" i="20"/>
  <c r="AF93" i="20"/>
  <c r="AE191" i="20"/>
  <c r="AF101" i="20"/>
  <c r="AD75" i="20"/>
  <c r="AD73" i="20"/>
  <c r="AU213" i="20"/>
  <c r="AC7" i="20"/>
  <c r="AF191" i="29" l="1"/>
  <c r="B101" i="29"/>
  <c r="B191" i="29" s="1"/>
  <c r="AW213" i="29"/>
  <c r="AE7" i="29"/>
  <c r="AE83" i="29"/>
  <c r="AI93" i="29"/>
  <c r="AH93" i="29"/>
  <c r="AX213" i="29"/>
  <c r="AF7" i="29"/>
  <c r="AF83" i="29"/>
  <c r="B199" i="29"/>
  <c r="AE75" i="28"/>
  <c r="AE73" i="28"/>
  <c r="AF199" i="28"/>
  <c r="AF51" i="28" s="1"/>
  <c r="AF52" i="28" s="1"/>
  <c r="B193" i="28"/>
  <c r="AF93" i="28"/>
  <c r="AV213" i="28"/>
  <c r="AD7" i="28"/>
  <c r="AD83" i="28"/>
  <c r="B198" i="27"/>
  <c r="AF234" i="27" s="1"/>
  <c r="AE234" i="27"/>
  <c r="AF191" i="27"/>
  <c r="B101" i="27"/>
  <c r="B191" i="27" s="1"/>
  <c r="AF93" i="27"/>
  <c r="AV213" i="27"/>
  <c r="AD7" i="27"/>
  <c r="B199" i="27"/>
  <c r="AD83" i="27"/>
  <c r="AF199" i="27"/>
  <c r="AF51" i="27" s="1"/>
  <c r="AF52" i="27" s="1"/>
  <c r="AW213" i="27"/>
  <c r="AE7" i="27"/>
  <c r="B93" i="27"/>
  <c r="AE83" i="27"/>
  <c r="AD83" i="26"/>
  <c r="B198" i="26"/>
  <c r="AF234" i="26" s="1"/>
  <c r="AE234" i="26"/>
  <c r="AE73" i="26"/>
  <c r="AE75" i="26"/>
  <c r="AF199" i="26"/>
  <c r="AF52" i="26" s="1"/>
  <c r="B193" i="26"/>
  <c r="B199" i="26" s="1"/>
  <c r="B51" i="26" s="1"/>
  <c r="B93" i="26"/>
  <c r="AV213" i="26"/>
  <c r="AD7" i="26"/>
  <c r="AF93" i="26"/>
  <c r="AV213" i="25"/>
  <c r="AD7" i="25"/>
  <c r="AD83" i="25"/>
  <c r="B194" i="25"/>
  <c r="B199" i="25" s="1"/>
  <c r="B51" i="25" s="1"/>
  <c r="AF199" i="25"/>
  <c r="AF51" i="25" s="1"/>
  <c r="AF52" i="25" s="1"/>
  <c r="B123" i="25"/>
  <c r="B93" i="25" s="1"/>
  <c r="AF93" i="25"/>
  <c r="AE73" i="25"/>
  <c r="AE75" i="25"/>
  <c r="B198" i="25"/>
  <c r="AF234" i="25" s="1"/>
  <c r="AE234" i="25"/>
  <c r="AF191" i="25"/>
  <c r="AV213" i="24"/>
  <c r="AD7" i="24"/>
  <c r="B198" i="24"/>
  <c r="AE234" i="24"/>
  <c r="AF93" i="24"/>
  <c r="AF199" i="24"/>
  <c r="AF51" i="24" s="1"/>
  <c r="AF52" i="24" s="1"/>
  <c r="AE73" i="24"/>
  <c r="AE75" i="24"/>
  <c r="AF199" i="23"/>
  <c r="AF51" i="23" s="1"/>
  <c r="AF52" i="23" s="1"/>
  <c r="B193" i="23"/>
  <c r="AF93" i="23"/>
  <c r="AV213" i="23"/>
  <c r="AD7" i="23"/>
  <c r="AE73" i="23"/>
  <c r="AE75" i="23"/>
  <c r="AD83" i="23"/>
  <c r="B198" i="23"/>
  <c r="AF234" i="23" s="1"/>
  <c r="AE234" i="23"/>
  <c r="AD83" i="22"/>
  <c r="AF191" i="22"/>
  <c r="B101" i="22"/>
  <c r="B191" i="22" s="1"/>
  <c r="B193" i="22"/>
  <c r="AF199" i="22"/>
  <c r="AF51" i="22" s="1"/>
  <c r="AF52" i="22" s="1"/>
  <c r="AF93" i="22"/>
  <c r="AV213" i="22"/>
  <c r="AD7" i="22"/>
  <c r="AE73" i="22"/>
  <c r="AE75" i="22"/>
  <c r="AD83" i="21"/>
  <c r="AF191" i="21"/>
  <c r="B101" i="21"/>
  <c r="B191" i="21" s="1"/>
  <c r="AV213" i="21"/>
  <c r="AD7" i="21"/>
  <c r="AE73" i="21"/>
  <c r="AE75" i="21"/>
  <c r="AF199" i="21"/>
  <c r="AF51" i="21" s="1"/>
  <c r="AF52" i="21" s="1"/>
  <c r="B193" i="21"/>
  <c r="AF93" i="21"/>
  <c r="AD83" i="20"/>
  <c r="AF191" i="20"/>
  <c r="B101" i="20"/>
  <c r="B191" i="20" s="1"/>
  <c r="AH93" i="20"/>
  <c r="AI93" i="20"/>
  <c r="AE234" i="20"/>
  <c r="B198" i="20"/>
  <c r="AF199" i="20"/>
  <c r="AF51" i="20" s="1"/>
  <c r="AF52" i="20" s="1"/>
  <c r="B93" i="20"/>
  <c r="AE73" i="20"/>
  <c r="AE75" i="20"/>
  <c r="AV213" i="20"/>
  <c r="AD7" i="20"/>
  <c r="B52" i="29" l="1"/>
  <c r="AI51" i="29"/>
  <c r="AH51" i="29"/>
  <c r="AE83" i="28"/>
  <c r="AH93" i="28"/>
  <c r="AI93" i="28"/>
  <c r="B199" i="28"/>
  <c r="AF73" i="28"/>
  <c r="AF75" i="28"/>
  <c r="AW213" i="28"/>
  <c r="AE7" i="28"/>
  <c r="AI93" i="27"/>
  <c r="AH93" i="27"/>
  <c r="AF75" i="27"/>
  <c r="AF73" i="27"/>
  <c r="AF83" i="27" s="1"/>
  <c r="AH51" i="27"/>
  <c r="B52" i="27"/>
  <c r="AI51" i="27"/>
  <c r="AE83" i="25"/>
  <c r="AI51" i="26"/>
  <c r="B52" i="26"/>
  <c r="AF73" i="26"/>
  <c r="AF75" i="26"/>
  <c r="AW213" i="26"/>
  <c r="AE7" i="26"/>
  <c r="AE83" i="26"/>
  <c r="AI93" i="26"/>
  <c r="AH93" i="25"/>
  <c r="AI93" i="25"/>
  <c r="AF73" i="25"/>
  <c r="AF75" i="25"/>
  <c r="B191" i="25"/>
  <c r="B52" i="25"/>
  <c r="AI51" i="25"/>
  <c r="AH51" i="25"/>
  <c r="AW213" i="25"/>
  <c r="AE7" i="25"/>
  <c r="AW213" i="24"/>
  <c r="AE7" i="24"/>
  <c r="AF75" i="24"/>
  <c r="AF73" i="24"/>
  <c r="AF83" i="24" s="1"/>
  <c r="AF234" i="24"/>
  <c r="B93" i="24"/>
  <c r="B199" i="24"/>
  <c r="B51" i="24" s="1"/>
  <c r="AE83" i="24"/>
  <c r="AI93" i="24"/>
  <c r="AH93" i="24"/>
  <c r="AE83" i="23"/>
  <c r="AW213" i="23"/>
  <c r="AE7" i="23"/>
  <c r="AH93" i="23"/>
  <c r="AI93" i="23"/>
  <c r="B199" i="23"/>
  <c r="AF73" i="23"/>
  <c r="AF75" i="23"/>
  <c r="AE83" i="22"/>
  <c r="B199" i="22"/>
  <c r="B93" i="22"/>
  <c r="AI93" i="22"/>
  <c r="AH93" i="22"/>
  <c r="AF75" i="22"/>
  <c r="AF73" i="22"/>
  <c r="AW213" i="22"/>
  <c r="AE7" i="22"/>
  <c r="AE83" i="21"/>
  <c r="AF73" i="21"/>
  <c r="AF75" i="21"/>
  <c r="AW213" i="21"/>
  <c r="AE7" i="21"/>
  <c r="AH93" i="21"/>
  <c r="AI93" i="21"/>
  <c r="B199" i="21"/>
  <c r="B51" i="21" s="1"/>
  <c r="B93" i="21"/>
  <c r="AE83" i="20"/>
  <c r="AF75" i="20"/>
  <c r="AF73" i="20"/>
  <c r="AF83" i="20" s="1"/>
  <c r="AF234" i="20"/>
  <c r="B199" i="20"/>
  <c r="B51" i="20" s="1"/>
  <c r="AW213" i="20"/>
  <c r="AE7" i="20"/>
  <c r="B73" i="29" l="1"/>
  <c r="AI52" i="29"/>
  <c r="AH52" i="29"/>
  <c r="B75" i="29"/>
  <c r="AF83" i="28"/>
  <c r="AX213" i="28"/>
  <c r="AF7" i="28"/>
  <c r="AI51" i="28"/>
  <c r="AH51" i="28"/>
  <c r="AI52" i="27"/>
  <c r="AH52" i="27"/>
  <c r="B75" i="27"/>
  <c r="B73" i="27"/>
  <c r="AX213" i="27"/>
  <c r="AF7" i="27"/>
  <c r="AI52" i="26"/>
  <c r="B75" i="26"/>
  <c r="B73" i="26"/>
  <c r="AX213" i="26"/>
  <c r="AF7" i="26"/>
  <c r="AF83" i="26"/>
  <c r="AF83" i="25"/>
  <c r="AI52" i="25"/>
  <c r="AH52" i="25"/>
  <c r="B75" i="25"/>
  <c r="B73" i="25"/>
  <c r="AX213" i="25"/>
  <c r="AF7" i="25"/>
  <c r="B52" i="24"/>
  <c r="AI51" i="24"/>
  <c r="AH51" i="24"/>
  <c r="AX213" i="24"/>
  <c r="AF7" i="24"/>
  <c r="AF83" i="23"/>
  <c r="AI51" i="23"/>
  <c r="AH51" i="23"/>
  <c r="AX213" i="23"/>
  <c r="AF7" i="23"/>
  <c r="AX213" i="22"/>
  <c r="AF7" i="22"/>
  <c r="AF83" i="22"/>
  <c r="AH51" i="22"/>
  <c r="AI51" i="22"/>
  <c r="AF83" i="21"/>
  <c r="AI51" i="21"/>
  <c r="B52" i="21"/>
  <c r="AH51" i="21"/>
  <c r="AX213" i="21"/>
  <c r="AF7" i="21"/>
  <c r="AH51" i="20"/>
  <c r="B52" i="20"/>
  <c r="AI51" i="20"/>
  <c r="AX213" i="20"/>
  <c r="AF7" i="20"/>
  <c r="T213" i="29" l="1"/>
  <c r="B7" i="29"/>
  <c r="A7" i="29" s="1"/>
  <c r="AI75" i="29"/>
  <c r="AH75" i="29"/>
  <c r="AI73" i="29"/>
  <c r="AH73" i="29"/>
  <c r="B83" i="29"/>
  <c r="AI52" i="28"/>
  <c r="AH52" i="28"/>
  <c r="AI73" i="27"/>
  <c r="AH73" i="27"/>
  <c r="B83" i="27"/>
  <c r="T213" i="27"/>
  <c r="AH75" i="27"/>
  <c r="B7" i="27"/>
  <c r="A7" i="27" s="1"/>
  <c r="AI75" i="27"/>
  <c r="AI73" i="26"/>
  <c r="B83" i="26"/>
  <c r="T213" i="26"/>
  <c r="AI75" i="26"/>
  <c r="B7" i="26"/>
  <c r="A7" i="26" s="1"/>
  <c r="T213" i="25"/>
  <c r="B7" i="25"/>
  <c r="A7" i="25" s="1"/>
  <c r="AH75" i="25"/>
  <c r="AI75" i="25"/>
  <c r="AI73" i="25"/>
  <c r="AH73" i="25"/>
  <c r="B83" i="25"/>
  <c r="AI52" i="24"/>
  <c r="AH52" i="24"/>
  <c r="B73" i="24"/>
  <c r="B75" i="24"/>
  <c r="AI52" i="23"/>
  <c r="AH52" i="23"/>
  <c r="AI52" i="22"/>
  <c r="AH52" i="22"/>
  <c r="B73" i="22"/>
  <c r="B75" i="22"/>
  <c r="AI52" i="21"/>
  <c r="AH52" i="21"/>
  <c r="B73" i="21"/>
  <c r="B75" i="21"/>
  <c r="B75" i="20"/>
  <c r="AH52" i="20"/>
  <c r="B73" i="20"/>
  <c r="AI52" i="20"/>
  <c r="AI83" i="29" l="1"/>
  <c r="AH83" i="29"/>
  <c r="AI73" i="28"/>
  <c r="AH73" i="28"/>
  <c r="T213" i="28"/>
  <c r="B7" i="28"/>
  <c r="A7" i="28" s="1"/>
  <c r="AI75" i="28"/>
  <c r="AH75" i="28"/>
  <c r="AI83" i="27"/>
  <c r="AH83" i="27"/>
  <c r="AI83" i="26"/>
  <c r="AH83" i="25"/>
  <c r="AI83" i="25"/>
  <c r="AI73" i="24"/>
  <c r="AH73" i="24"/>
  <c r="B83" i="24"/>
  <c r="T213" i="24"/>
  <c r="AI75" i="24"/>
  <c r="B7" i="24"/>
  <c r="A7" i="24" s="1"/>
  <c r="AH75" i="24"/>
  <c r="AI73" i="23"/>
  <c r="AH73" i="23"/>
  <c r="T213" i="23"/>
  <c r="AI75" i="23"/>
  <c r="AH75" i="23"/>
  <c r="B7" i="23"/>
  <c r="A7" i="23" s="1"/>
  <c r="T213" i="22"/>
  <c r="AH75" i="22"/>
  <c r="B7" i="22"/>
  <c r="A7" i="22" s="1"/>
  <c r="AI75" i="22"/>
  <c r="AI73" i="22"/>
  <c r="B83" i="22"/>
  <c r="AH73" i="22"/>
  <c r="AI73" i="21"/>
  <c r="AH73" i="21"/>
  <c r="B83" i="21"/>
  <c r="T213" i="21"/>
  <c r="AI75" i="21"/>
  <c r="AH75" i="21"/>
  <c r="B7" i="21"/>
  <c r="A7" i="21" s="1"/>
  <c r="AI73" i="20"/>
  <c r="B83" i="20"/>
  <c r="AH73" i="20"/>
  <c r="T213" i="20"/>
  <c r="AH75" i="20"/>
  <c r="B7" i="20"/>
  <c r="A7" i="20" s="1"/>
  <c r="AI75" i="20"/>
  <c r="AI83" i="28" l="1"/>
  <c r="AH83" i="28"/>
  <c r="AI83" i="24"/>
  <c r="AH83" i="24"/>
  <c r="AH83" i="23"/>
  <c r="AI83" i="23"/>
  <c r="AI83" i="22"/>
  <c r="AH83" i="22"/>
  <c r="AH83" i="21"/>
  <c r="AI83" i="21"/>
  <c r="AH83" i="20"/>
  <c r="AI83" i="20"/>
  <c r="M37" i="19" l="1"/>
  <c r="L37" i="19"/>
  <c r="K37" i="19"/>
  <c r="J37" i="19"/>
  <c r="I37" i="19"/>
  <c r="H37" i="19"/>
  <c r="G37" i="19"/>
  <c r="F37" i="19"/>
  <c r="E37" i="19"/>
  <c r="D37" i="19"/>
  <c r="AH99" i="19"/>
  <c r="AI99" i="19" s="1"/>
  <c r="C37" i="19"/>
  <c r="B51" i="19"/>
  <c r="B37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C234" i="19"/>
  <c r="B234" i="19"/>
  <c r="S209" i="19"/>
  <c r="AG199" i="19"/>
  <c r="C199" i="19"/>
  <c r="G198" i="19"/>
  <c r="F198" i="19"/>
  <c r="E234" i="19" s="1"/>
  <c r="E198" i="19"/>
  <c r="D234" i="19" s="1"/>
  <c r="D198" i="19"/>
  <c r="I197" i="19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B197" i="19" s="1"/>
  <c r="E197" i="19"/>
  <c r="F197" i="19" s="1"/>
  <c r="G197" i="19" s="1"/>
  <c r="H197" i="19" s="1"/>
  <c r="D197" i="19"/>
  <c r="E196" i="19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D196" i="19"/>
  <c r="G195" i="19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D195" i="19"/>
  <c r="E195" i="19" s="1"/>
  <c r="F195" i="19" s="1"/>
  <c r="E194" i="19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T194" i="19" s="1"/>
  <c r="U194" i="19" s="1"/>
  <c r="V194" i="19" s="1"/>
  <c r="W194" i="19" s="1"/>
  <c r="X194" i="19" s="1"/>
  <c r="Y194" i="19" s="1"/>
  <c r="Z194" i="19" s="1"/>
  <c r="AA194" i="19" s="1"/>
  <c r="AB194" i="19" s="1"/>
  <c r="AC194" i="19" s="1"/>
  <c r="AD194" i="19" s="1"/>
  <c r="AE194" i="19" s="1"/>
  <c r="AF194" i="19" s="1"/>
  <c r="B194" i="19" s="1"/>
  <c r="D194" i="19"/>
  <c r="D193" i="19"/>
  <c r="AG191" i="19"/>
  <c r="C191" i="19"/>
  <c r="F190" i="19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E190" i="19"/>
  <c r="D190" i="19"/>
  <c r="E189" i="19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D189" i="19"/>
  <c r="E188" i="19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D188" i="19"/>
  <c r="K187" i="19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D187" i="19"/>
  <c r="E187" i="19" s="1"/>
  <c r="F187" i="19" s="1"/>
  <c r="G187" i="19" s="1"/>
  <c r="H187" i="19" s="1"/>
  <c r="I187" i="19" s="1"/>
  <c r="J187" i="19" s="1"/>
  <c r="I186" i="19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E186" i="19"/>
  <c r="F186" i="19" s="1"/>
  <c r="G186" i="19" s="1"/>
  <c r="H186" i="19" s="1"/>
  <c r="D186" i="19"/>
  <c r="D185" i="19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B185" i="19" s="1"/>
  <c r="Q184" i="19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F184" i="19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E184" i="19"/>
  <c r="D184" i="19"/>
  <c r="E183" i="19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D183" i="19"/>
  <c r="F182" i="19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B182" i="19" s="1"/>
  <c r="E182" i="19"/>
  <c r="D182" i="19"/>
  <c r="M181" i="19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E181" i="19"/>
  <c r="F181" i="19" s="1"/>
  <c r="G181" i="19" s="1"/>
  <c r="H181" i="19" s="1"/>
  <c r="I181" i="19" s="1"/>
  <c r="J181" i="19" s="1"/>
  <c r="K181" i="19" s="1"/>
  <c r="L181" i="19" s="1"/>
  <c r="D181" i="19"/>
  <c r="E180" i="19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D180" i="19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AD178" i="19"/>
  <c r="AE178" i="19" s="1"/>
  <c r="AF178" i="19" s="1"/>
  <c r="B178" i="19" s="1"/>
  <c r="I178" i="19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Z178" i="19" s="1"/>
  <c r="AA178" i="19" s="1"/>
  <c r="AB178" i="19" s="1"/>
  <c r="AC178" i="19" s="1"/>
  <c r="E178" i="19"/>
  <c r="F178" i="19" s="1"/>
  <c r="G178" i="19" s="1"/>
  <c r="H178" i="19" s="1"/>
  <c r="D178" i="19"/>
  <c r="L176" i="19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H176" i="19"/>
  <c r="I176" i="19" s="1"/>
  <c r="J176" i="19" s="1"/>
  <c r="K176" i="19" s="1"/>
  <c r="D176" i="19"/>
  <c r="E176" i="19" s="1"/>
  <c r="F176" i="19" s="1"/>
  <c r="G176" i="19" s="1"/>
  <c r="Y175" i="19"/>
  <c r="Z175" i="19" s="1"/>
  <c r="AA175" i="19" s="1"/>
  <c r="AB175" i="19" s="1"/>
  <c r="AC175" i="19" s="1"/>
  <c r="AD175" i="19" s="1"/>
  <c r="AE175" i="19" s="1"/>
  <c r="AF175" i="19" s="1"/>
  <c r="B175" i="19" s="1"/>
  <c r="L175" i="19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D175" i="19"/>
  <c r="E175" i="19" s="1"/>
  <c r="F175" i="19" s="1"/>
  <c r="G175" i="19" s="1"/>
  <c r="H175" i="19" s="1"/>
  <c r="I175" i="19" s="1"/>
  <c r="J175" i="19" s="1"/>
  <c r="K175" i="19" s="1"/>
  <c r="F174" i="19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E174" i="19"/>
  <c r="D174" i="19"/>
  <c r="I173" i="19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E173" i="19"/>
  <c r="F173" i="19" s="1"/>
  <c r="G173" i="19" s="1"/>
  <c r="H173" i="19" s="1"/>
  <c r="D173" i="19"/>
  <c r="N172" i="19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F172" i="19"/>
  <c r="G172" i="19" s="1"/>
  <c r="H172" i="19" s="1"/>
  <c r="I172" i="19" s="1"/>
  <c r="J172" i="19" s="1"/>
  <c r="K172" i="19" s="1"/>
  <c r="L172" i="19" s="1"/>
  <c r="M172" i="19" s="1"/>
  <c r="E172" i="19"/>
  <c r="D172" i="19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AE170" i="19"/>
  <c r="AF170" i="19" s="1"/>
  <c r="B170" i="19" s="1"/>
  <c r="F170" i="19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E170" i="19"/>
  <c r="D170" i="19"/>
  <c r="P169" i="19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B169" i="19" s="1"/>
  <c r="G169" i="19"/>
  <c r="H169" i="19" s="1"/>
  <c r="I169" i="19" s="1"/>
  <c r="J169" i="19" s="1"/>
  <c r="K169" i="19" s="1"/>
  <c r="L169" i="19" s="1"/>
  <c r="M169" i="19" s="1"/>
  <c r="N169" i="19" s="1"/>
  <c r="O169" i="19" s="1"/>
  <c r="E169" i="19"/>
  <c r="F169" i="19" s="1"/>
  <c r="D169" i="19"/>
  <c r="AB167" i="19"/>
  <c r="AC167" i="19" s="1"/>
  <c r="AD167" i="19" s="1"/>
  <c r="AE167" i="19" s="1"/>
  <c r="AF167" i="19" s="1"/>
  <c r="B167" i="19" s="1"/>
  <c r="S167" i="19"/>
  <c r="T167" i="19" s="1"/>
  <c r="U167" i="19" s="1"/>
  <c r="V167" i="19" s="1"/>
  <c r="W167" i="19" s="1"/>
  <c r="X167" i="19" s="1"/>
  <c r="Y167" i="19" s="1"/>
  <c r="Z167" i="19" s="1"/>
  <c r="AA167" i="19" s="1"/>
  <c r="K167" i="19"/>
  <c r="L167" i="19" s="1"/>
  <c r="M167" i="19" s="1"/>
  <c r="N167" i="19" s="1"/>
  <c r="O167" i="19" s="1"/>
  <c r="P167" i="19" s="1"/>
  <c r="Q167" i="19" s="1"/>
  <c r="R167" i="19" s="1"/>
  <c r="E167" i="19"/>
  <c r="F167" i="19" s="1"/>
  <c r="G167" i="19" s="1"/>
  <c r="H167" i="19" s="1"/>
  <c r="I167" i="19" s="1"/>
  <c r="J167" i="19" s="1"/>
  <c r="D167" i="19"/>
  <c r="D166" i="19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G165" i="19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E165" i="19"/>
  <c r="F165" i="19" s="1"/>
  <c r="D165" i="19"/>
  <c r="G164" i="19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B164" i="19" s="1"/>
  <c r="E164" i="19"/>
  <c r="F164" i="19" s="1"/>
  <c r="D164" i="19"/>
  <c r="K163" i="19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E163" i="19"/>
  <c r="F163" i="19" s="1"/>
  <c r="G163" i="19" s="1"/>
  <c r="H163" i="19" s="1"/>
  <c r="I163" i="19" s="1"/>
  <c r="J163" i="19" s="1"/>
  <c r="D163" i="19"/>
  <c r="K162" i="19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D162" i="19"/>
  <c r="E162" i="19" s="1"/>
  <c r="F162" i="19" s="1"/>
  <c r="G162" i="19" s="1"/>
  <c r="H162" i="19" s="1"/>
  <c r="I162" i="19" s="1"/>
  <c r="J162" i="19" s="1"/>
  <c r="O161" i="19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B161" i="19" s="1"/>
  <c r="E161" i="19"/>
  <c r="F161" i="19" s="1"/>
  <c r="G161" i="19" s="1"/>
  <c r="H161" i="19" s="1"/>
  <c r="I161" i="19" s="1"/>
  <c r="J161" i="19" s="1"/>
  <c r="K161" i="19" s="1"/>
  <c r="L161" i="19" s="1"/>
  <c r="M161" i="19" s="1"/>
  <c r="N161" i="19" s="1"/>
  <c r="D161" i="19"/>
  <c r="E160" i="19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D160" i="19"/>
  <c r="AA159" i="19"/>
  <c r="AB159" i="19" s="1"/>
  <c r="AC159" i="19" s="1"/>
  <c r="AD159" i="19" s="1"/>
  <c r="AE159" i="19" s="1"/>
  <c r="AF159" i="19" s="1"/>
  <c r="B159" i="19" s="1"/>
  <c r="K159" i="19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E159" i="19"/>
  <c r="F159" i="19" s="1"/>
  <c r="G159" i="19" s="1"/>
  <c r="H159" i="19" s="1"/>
  <c r="I159" i="19" s="1"/>
  <c r="J159" i="19" s="1"/>
  <c r="D159" i="19"/>
  <c r="I158" i="19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B158" i="19" s="1"/>
  <c r="D158" i="19"/>
  <c r="E158" i="19" s="1"/>
  <c r="F158" i="19" s="1"/>
  <c r="G158" i="19" s="1"/>
  <c r="H158" i="19" s="1"/>
  <c r="E157" i="19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B157" i="19" s="1"/>
  <c r="D157" i="19"/>
  <c r="E156" i="19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D156" i="19"/>
  <c r="I155" i="19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B155" i="19" s="1"/>
  <c r="E155" i="19"/>
  <c r="F155" i="19" s="1"/>
  <c r="G155" i="19" s="1"/>
  <c r="H155" i="19" s="1"/>
  <c r="D155" i="19"/>
  <c r="K153" i="19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B153" i="19" s="1"/>
  <c r="G153" i="19"/>
  <c r="H153" i="19" s="1"/>
  <c r="I153" i="19" s="1"/>
  <c r="J153" i="19" s="1"/>
  <c r="D153" i="19"/>
  <c r="E153" i="19" s="1"/>
  <c r="F153" i="19" s="1"/>
  <c r="E152" i="19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D152" i="19"/>
  <c r="E151" i="19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D151" i="19"/>
  <c r="G150" i="19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B150" i="19" s="1"/>
  <c r="E150" i="19"/>
  <c r="F150" i="19" s="1"/>
  <c r="D150" i="19"/>
  <c r="Z148" i="19"/>
  <c r="AA148" i="19" s="1"/>
  <c r="AB148" i="19" s="1"/>
  <c r="AC148" i="19" s="1"/>
  <c r="AD148" i="19" s="1"/>
  <c r="AE148" i="19" s="1"/>
  <c r="AF148" i="19" s="1"/>
  <c r="B148" i="19" s="1"/>
  <c r="D148" i="19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I147" i="19"/>
  <c r="J147" i="19" s="1"/>
  <c r="K147" i="19" s="1"/>
  <c r="L147" i="19" s="1"/>
  <c r="M147" i="19" s="1"/>
  <c r="N147" i="19" s="1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B147" i="19" s="1"/>
  <c r="E147" i="19"/>
  <c r="F147" i="19" s="1"/>
  <c r="G147" i="19" s="1"/>
  <c r="H147" i="19" s="1"/>
  <c r="D147" i="19"/>
  <c r="R145" i="19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F145" i="19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D145" i="19"/>
  <c r="E145" i="19" s="1"/>
  <c r="F144" i="19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E144" i="19"/>
  <c r="D144" i="19"/>
  <c r="W143" i="19"/>
  <c r="X143" i="19" s="1"/>
  <c r="Y143" i="19" s="1"/>
  <c r="Z143" i="19" s="1"/>
  <c r="AA143" i="19" s="1"/>
  <c r="AB143" i="19" s="1"/>
  <c r="AC143" i="19" s="1"/>
  <c r="AD143" i="19" s="1"/>
  <c r="AE143" i="19" s="1"/>
  <c r="AF143" i="19" s="1"/>
  <c r="B143" i="19" s="1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K142" i="19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B142" i="19" s="1"/>
  <c r="E142" i="19"/>
  <c r="F142" i="19" s="1"/>
  <c r="G142" i="19" s="1"/>
  <c r="H142" i="19" s="1"/>
  <c r="I142" i="19" s="1"/>
  <c r="J142" i="19" s="1"/>
  <c r="D142" i="19"/>
  <c r="I141" i="19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D141" i="19"/>
  <c r="E141" i="19" s="1"/>
  <c r="F141" i="19" s="1"/>
  <c r="G141" i="19" s="1"/>
  <c r="H141" i="19" s="1"/>
  <c r="I140" i="19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D140" i="19"/>
  <c r="E140" i="19" s="1"/>
  <c r="F140" i="19" s="1"/>
  <c r="G140" i="19" s="1"/>
  <c r="H140" i="19" s="1"/>
  <c r="F139" i="19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B139" i="19" s="1"/>
  <c r="D139" i="19"/>
  <c r="E139" i="19" s="1"/>
  <c r="J137" i="19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E137" i="19"/>
  <c r="F137" i="19" s="1"/>
  <c r="G137" i="19" s="1"/>
  <c r="H137" i="19" s="1"/>
  <c r="I137" i="19" s="1"/>
  <c r="D137" i="19"/>
  <c r="F136" i="19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B136" i="19" s="1"/>
  <c r="D136" i="19"/>
  <c r="E136" i="19" s="1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O134" i="19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G134" i="19"/>
  <c r="H134" i="19" s="1"/>
  <c r="I134" i="19" s="1"/>
  <c r="J134" i="19" s="1"/>
  <c r="K134" i="19" s="1"/>
  <c r="L134" i="19" s="1"/>
  <c r="M134" i="19" s="1"/>
  <c r="N134" i="19" s="1"/>
  <c r="E134" i="19"/>
  <c r="F134" i="19" s="1"/>
  <c r="D134" i="19"/>
  <c r="B134" i="19"/>
  <c r="S133" i="19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E133" i="19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D133" i="19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D130" i="19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B130" i="19" s="1"/>
  <c r="AB128" i="19"/>
  <c r="AC128" i="19" s="1"/>
  <c r="AD128" i="19" s="1"/>
  <c r="AE128" i="19" s="1"/>
  <c r="AF128" i="19" s="1"/>
  <c r="B128" i="19" s="1"/>
  <c r="J128" i="19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D128" i="19"/>
  <c r="E128" i="19" s="1"/>
  <c r="F128" i="19" s="1"/>
  <c r="G128" i="19" s="1"/>
  <c r="H128" i="19" s="1"/>
  <c r="I128" i="19" s="1"/>
  <c r="F127" i="19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D127" i="19"/>
  <c r="E127" i="19" s="1"/>
  <c r="R126" i="19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G126" i="19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E126" i="19"/>
  <c r="F126" i="19" s="1"/>
  <c r="D126" i="19"/>
  <c r="K125" i="19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G125" i="19"/>
  <c r="H125" i="19" s="1"/>
  <c r="I125" i="19" s="1"/>
  <c r="J125" i="19" s="1"/>
  <c r="E125" i="19"/>
  <c r="F125" i="19" s="1"/>
  <c r="D125" i="19"/>
  <c r="J124" i="19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E124" i="19"/>
  <c r="F124" i="19" s="1"/>
  <c r="G124" i="19" s="1"/>
  <c r="H124" i="19" s="1"/>
  <c r="I124" i="19" s="1"/>
  <c r="D124" i="19"/>
  <c r="D123" i="19"/>
  <c r="E123" i="19" s="1"/>
  <c r="F123" i="19" s="1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F122" i="19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D122" i="19"/>
  <c r="E122" i="19" s="1"/>
  <c r="M121" i="19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D121" i="19"/>
  <c r="E121" i="19" s="1"/>
  <c r="F121" i="19" s="1"/>
  <c r="G121" i="19" s="1"/>
  <c r="H121" i="19" s="1"/>
  <c r="I121" i="19" s="1"/>
  <c r="J121" i="19" s="1"/>
  <c r="K121" i="19" s="1"/>
  <c r="L121" i="19" s="1"/>
  <c r="J120" i="19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D120" i="19"/>
  <c r="E120" i="19" s="1"/>
  <c r="F120" i="19" s="1"/>
  <c r="G120" i="19" s="1"/>
  <c r="H120" i="19" s="1"/>
  <c r="I120" i="19" s="1"/>
  <c r="D119" i="19"/>
  <c r="E119" i="19" s="1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J117" i="19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E117" i="19"/>
  <c r="F117" i="19" s="1"/>
  <c r="G117" i="19" s="1"/>
  <c r="H117" i="19" s="1"/>
  <c r="I117" i="19" s="1"/>
  <c r="D117" i="19"/>
  <c r="I116" i="19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F116" i="19"/>
  <c r="G116" i="19" s="1"/>
  <c r="H116" i="19" s="1"/>
  <c r="D116" i="19"/>
  <c r="E116" i="19" s="1"/>
  <c r="I115" i="19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F115" i="19"/>
  <c r="G115" i="19" s="1"/>
  <c r="H115" i="19" s="1"/>
  <c r="D115" i="19"/>
  <c r="E115" i="19" s="1"/>
  <c r="O114" i="19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K114" i="19"/>
  <c r="L114" i="19" s="1"/>
  <c r="M114" i="19" s="1"/>
  <c r="N114" i="19" s="1"/>
  <c r="D114" i="19"/>
  <c r="E114" i="19" s="1"/>
  <c r="F114" i="19" s="1"/>
  <c r="G114" i="19" s="1"/>
  <c r="H114" i="19" s="1"/>
  <c r="I114" i="19" s="1"/>
  <c r="J114" i="19" s="1"/>
  <c r="K113" i="19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H113" i="19"/>
  <c r="I113" i="19" s="1"/>
  <c r="G113" i="19"/>
  <c r="D113" i="19"/>
  <c r="E113" i="19" s="1"/>
  <c r="F113" i="19" s="1"/>
  <c r="E112" i="19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B112" i="19" s="1"/>
  <c r="D112" i="19"/>
  <c r="F111" i="19"/>
  <c r="G111" i="19" s="1"/>
  <c r="H111" i="19" s="1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B111" i="19" s="1"/>
  <c r="D111" i="19"/>
  <c r="E111" i="19" s="1"/>
  <c r="D109" i="19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D108" i="19"/>
  <c r="E108" i="19" s="1"/>
  <c r="F108" i="19" s="1"/>
  <c r="G108" i="19" s="1"/>
  <c r="H108" i="19" s="1"/>
  <c r="I108" i="19" s="1"/>
  <c r="J108" i="19" s="1"/>
  <c r="K108" i="19" s="1"/>
  <c r="L108" i="19" s="1"/>
  <c r="M108" i="19" s="1"/>
  <c r="N108" i="19" s="1"/>
  <c r="O108" i="19" s="1"/>
  <c r="P108" i="19" s="1"/>
  <c r="Q108" i="19" s="1"/>
  <c r="R108" i="19" s="1"/>
  <c r="S108" i="19" s="1"/>
  <c r="T108" i="19" s="1"/>
  <c r="U108" i="19" s="1"/>
  <c r="V108" i="19" s="1"/>
  <c r="W108" i="19" s="1"/>
  <c r="X108" i="19" s="1"/>
  <c r="Y108" i="19" s="1"/>
  <c r="Z108" i="19" s="1"/>
  <c r="AA108" i="19" s="1"/>
  <c r="AB108" i="19" s="1"/>
  <c r="AC108" i="19" s="1"/>
  <c r="AD108" i="19" s="1"/>
  <c r="AE108" i="19" s="1"/>
  <c r="AF108" i="19" s="1"/>
  <c r="B108" i="19" s="1"/>
  <c r="E106" i="19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D106" i="19"/>
  <c r="E105" i="19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D105" i="19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G103" i="19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B103" i="19" s="1"/>
  <c r="D103" i="19"/>
  <c r="E103" i="19" s="1"/>
  <c r="F103" i="19" s="1"/>
  <c r="D102" i="19"/>
  <c r="E102" i="19" s="1"/>
  <c r="D101" i="19"/>
  <c r="AH98" i="19"/>
  <c r="AI98" i="19" s="1"/>
  <c r="AH97" i="19"/>
  <c r="AI97" i="19" s="1"/>
  <c r="AH96" i="19"/>
  <c r="AI96" i="19" s="1"/>
  <c r="AH95" i="19"/>
  <c r="AI95" i="19" s="1"/>
  <c r="AH94" i="19"/>
  <c r="AI94" i="19" s="1"/>
  <c r="D93" i="19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F80" i="19"/>
  <c r="AE80" i="19"/>
  <c r="AD80" i="19"/>
  <c r="AC80" i="19"/>
  <c r="AB80" i="19"/>
  <c r="AA80" i="19"/>
  <c r="Z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F79" i="19"/>
  <c r="AE79" i="19"/>
  <c r="AD79" i="19"/>
  <c r="AC79" i="19"/>
  <c r="AB79" i="19"/>
  <c r="AA79" i="19"/>
  <c r="Z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F78" i="19"/>
  <c r="AE78" i="19"/>
  <c r="AD78" i="19"/>
  <c r="AC78" i="19"/>
  <c r="AB78" i="19"/>
  <c r="AA78" i="19"/>
  <c r="Z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F77" i="19"/>
  <c r="AE77" i="19"/>
  <c r="AD77" i="19"/>
  <c r="AC77" i="19"/>
  <c r="AB77" i="19"/>
  <c r="AA77" i="19"/>
  <c r="Z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F76" i="19"/>
  <c r="AE76" i="19"/>
  <c r="AD76" i="19"/>
  <c r="AC76" i="19"/>
  <c r="AB76" i="19"/>
  <c r="AA76" i="19"/>
  <c r="Z76" i="19"/>
  <c r="X76" i="19"/>
  <c r="X82" i="19" s="1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J82" i="19" s="1"/>
  <c r="I76" i="19"/>
  <c r="H76" i="19"/>
  <c r="G76" i="19"/>
  <c r="F76" i="19"/>
  <c r="E76" i="19"/>
  <c r="D76" i="19"/>
  <c r="C76" i="19"/>
  <c r="B76" i="19"/>
  <c r="AI74" i="19"/>
  <c r="AH74" i="19"/>
  <c r="AG72" i="19"/>
  <c r="AF72" i="19"/>
  <c r="AE72" i="19"/>
  <c r="AD72" i="19"/>
  <c r="AC72" i="19"/>
  <c r="AB72" i="19"/>
  <c r="AA72" i="19"/>
  <c r="Z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AI71" i="19"/>
  <c r="AH71" i="19"/>
  <c r="AI70" i="19"/>
  <c r="AH70" i="19"/>
  <c r="AI69" i="19"/>
  <c r="AH69" i="19"/>
  <c r="AG68" i="19"/>
  <c r="AF68" i="19"/>
  <c r="AE68" i="19"/>
  <c r="AD68" i="19"/>
  <c r="AC68" i="19"/>
  <c r="AB68" i="19"/>
  <c r="AA5" i="19" s="1"/>
  <c r="AA68" i="19"/>
  <c r="Z5" i="19" s="1"/>
  <c r="Z68" i="19"/>
  <c r="Y5" i="19" s="1"/>
  <c r="X68" i="19"/>
  <c r="W5" i="19" s="1"/>
  <c r="W68" i="19"/>
  <c r="V68" i="19"/>
  <c r="U68" i="19"/>
  <c r="T68" i="19"/>
  <c r="S68" i="19"/>
  <c r="R68" i="19"/>
  <c r="Q5" i="19" s="1"/>
  <c r="Q68" i="19"/>
  <c r="P5" i="19" s="1"/>
  <c r="P68" i="19"/>
  <c r="O68" i="19"/>
  <c r="N68" i="19"/>
  <c r="M5" i="19" s="1"/>
  <c r="M68" i="19"/>
  <c r="L5" i="19" s="1"/>
  <c r="L68" i="19"/>
  <c r="K5" i="19" s="1"/>
  <c r="K68" i="19"/>
  <c r="J5" i="19" s="1"/>
  <c r="J68" i="19"/>
  <c r="I5" i="19" s="1"/>
  <c r="I68" i="19"/>
  <c r="H5" i="19" s="1"/>
  <c r="H68" i="19"/>
  <c r="G68" i="19"/>
  <c r="F68" i="19"/>
  <c r="E68" i="19"/>
  <c r="D5" i="19" s="1"/>
  <c r="D68" i="19"/>
  <c r="C5" i="19" s="1"/>
  <c r="C68" i="19"/>
  <c r="B5" i="19" s="1"/>
  <c r="B68" i="19"/>
  <c r="AF5" i="19" s="1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I55" i="19"/>
  <c r="AH55" i="19"/>
  <c r="AI54" i="19"/>
  <c r="AH54" i="19"/>
  <c r="AI53" i="19"/>
  <c r="AH53" i="19"/>
  <c r="Z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AG51" i="19"/>
  <c r="AG52" i="19" s="1"/>
  <c r="AG75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E5" i="19"/>
  <c r="AC5" i="19"/>
  <c r="AB5" i="19"/>
  <c r="X5" i="19"/>
  <c r="U5" i="19"/>
  <c r="T5" i="19"/>
  <c r="R5" i="19"/>
  <c r="E5" i="19"/>
  <c r="AG4" i="19"/>
  <c r="K4" i="19"/>
  <c r="B4" i="19"/>
  <c r="AG3" i="19"/>
  <c r="AG6" i="19" s="1"/>
  <c r="AG2" i="19"/>
  <c r="AF37" i="18"/>
  <c r="E4" i="19"/>
  <c r="AF82" i="19" l="1"/>
  <c r="AD82" i="19"/>
  <c r="AC82" i="19"/>
  <c r="AB82" i="19"/>
  <c r="Z75" i="19"/>
  <c r="AR213" i="19" s="1"/>
  <c r="Z73" i="19"/>
  <c r="Z83" i="19" s="1"/>
  <c r="V82" i="19"/>
  <c r="U82" i="19"/>
  <c r="T73" i="19"/>
  <c r="S82" i="19"/>
  <c r="S73" i="19"/>
  <c r="S75" i="19"/>
  <c r="AK213" i="19" s="1"/>
  <c r="R82" i="19"/>
  <c r="R73" i="19"/>
  <c r="R75" i="19"/>
  <c r="AJ213" i="19" s="1"/>
  <c r="Q82" i="19"/>
  <c r="Q75" i="19"/>
  <c r="AI213" i="19" s="1"/>
  <c r="P82" i="19"/>
  <c r="P73" i="19"/>
  <c r="N82" i="19"/>
  <c r="N73" i="19"/>
  <c r="M82" i="19"/>
  <c r="M73" i="19"/>
  <c r="K82" i="19"/>
  <c r="K73" i="19"/>
  <c r="J73" i="19"/>
  <c r="I82" i="19"/>
  <c r="I75" i="19"/>
  <c r="AA213" i="19" s="1"/>
  <c r="H82" i="19"/>
  <c r="AH78" i="19"/>
  <c r="F82" i="19"/>
  <c r="F75" i="19"/>
  <c r="X213" i="19" s="1"/>
  <c r="L73" i="19"/>
  <c r="J75" i="19"/>
  <c r="H73" i="19"/>
  <c r="K75" i="19"/>
  <c r="E82" i="19"/>
  <c r="E73" i="19"/>
  <c r="AI76" i="19"/>
  <c r="D73" i="19"/>
  <c r="AI56" i="19"/>
  <c r="C73" i="19"/>
  <c r="C75" i="19" s="1"/>
  <c r="U213" i="19" s="1"/>
  <c r="AH79" i="19"/>
  <c r="H4" i="19"/>
  <c r="I7" i="19"/>
  <c r="E93" i="19"/>
  <c r="N5" i="19"/>
  <c r="O73" i="19"/>
  <c r="I73" i="19"/>
  <c r="Q73" i="19"/>
  <c r="AG73" i="19"/>
  <c r="AG83" i="19" s="1"/>
  <c r="G82" i="19"/>
  <c r="O82" i="19"/>
  <c r="W82" i="19"/>
  <c r="AE82" i="19"/>
  <c r="AI78" i="19"/>
  <c r="F5" i="19"/>
  <c r="G73" i="19"/>
  <c r="G83" i="19" s="1"/>
  <c r="AD5" i="19"/>
  <c r="O5" i="19"/>
  <c r="Z7" i="19"/>
  <c r="AI68" i="19"/>
  <c r="D75" i="19"/>
  <c r="L75" i="19"/>
  <c r="T75" i="19"/>
  <c r="F73" i="19"/>
  <c r="AI79" i="19"/>
  <c r="AI80" i="19"/>
  <c r="D191" i="19"/>
  <c r="E101" i="19"/>
  <c r="D210" i="19"/>
  <c r="S210" i="19"/>
  <c r="G5" i="19"/>
  <c r="N75" i="19"/>
  <c r="N83" i="19" s="1"/>
  <c r="AI77" i="19"/>
  <c r="AH80" i="19"/>
  <c r="V5" i="19"/>
  <c r="AH38" i="19"/>
  <c r="C82" i="19"/>
  <c r="AH77" i="19"/>
  <c r="G75" i="19"/>
  <c r="O75" i="19"/>
  <c r="F102" i="19"/>
  <c r="S5" i="19"/>
  <c r="H75" i="19"/>
  <c r="H83" i="19" s="1"/>
  <c r="P75" i="19"/>
  <c r="D82" i="19"/>
  <c r="L82" i="19"/>
  <c r="T82" i="19"/>
  <c r="AH76" i="19"/>
  <c r="B82" i="19"/>
  <c r="AI38" i="19"/>
  <c r="AH56" i="19"/>
  <c r="AH68" i="19"/>
  <c r="AH72" i="19"/>
  <c r="AI72" i="19"/>
  <c r="E75" i="19"/>
  <c r="M75" i="19"/>
  <c r="E193" i="19"/>
  <c r="D199" i="19"/>
  <c r="F234" i="19"/>
  <c r="H198" i="19"/>
  <c r="S7" i="19" l="1"/>
  <c r="S83" i="19"/>
  <c r="R7" i="19"/>
  <c r="R83" i="19"/>
  <c r="Q7" i="19"/>
  <c r="Q83" i="19"/>
  <c r="P83" i="19"/>
  <c r="J83" i="19"/>
  <c r="I83" i="19"/>
  <c r="F7" i="19"/>
  <c r="F83" i="19"/>
  <c r="AB213" i="19"/>
  <c r="J7" i="19"/>
  <c r="AC213" i="19"/>
  <c r="K7" i="19"/>
  <c r="K83" i="19"/>
  <c r="E83" i="19"/>
  <c r="D83" i="19"/>
  <c r="C83" i="19"/>
  <c r="C7" i="19"/>
  <c r="AE213" i="19"/>
  <c r="M7" i="19"/>
  <c r="AL213" i="19"/>
  <c r="T7" i="19"/>
  <c r="G234" i="19"/>
  <c r="I198" i="19"/>
  <c r="W213" i="19"/>
  <c r="E7" i="19"/>
  <c r="G102" i="19"/>
  <c r="AF213" i="19"/>
  <c r="N7" i="19"/>
  <c r="E191" i="19"/>
  <c r="F101" i="19"/>
  <c r="T83" i="19"/>
  <c r="AH213" i="19"/>
  <c r="P7" i="19"/>
  <c r="AD213" i="19"/>
  <c r="L7" i="19"/>
  <c r="L83" i="19"/>
  <c r="O83" i="19"/>
  <c r="AI82" i="19"/>
  <c r="AH82" i="19"/>
  <c r="F193" i="19"/>
  <c r="F93" i="19" s="1"/>
  <c r="E199" i="19"/>
  <c r="Z213" i="19"/>
  <c r="H7" i="19"/>
  <c r="AG213" i="19"/>
  <c r="O7" i="19"/>
  <c r="M83" i="19"/>
  <c r="V213" i="19"/>
  <c r="D7" i="19"/>
  <c r="C208" i="19"/>
  <c r="B208" i="19"/>
  <c r="Y213" i="19"/>
  <c r="G7" i="19"/>
  <c r="K6" i="19" l="1"/>
  <c r="H234" i="19"/>
  <c r="J198" i="19"/>
  <c r="F191" i="19"/>
  <c r="G101" i="19"/>
  <c r="F199" i="19"/>
  <c r="G193" i="19"/>
  <c r="H102" i="19"/>
  <c r="G191" i="19" l="1"/>
  <c r="H101" i="19"/>
  <c r="G199" i="19"/>
  <c r="H193" i="19"/>
  <c r="I234" i="19"/>
  <c r="K198" i="19"/>
  <c r="G93" i="19"/>
  <c r="I102" i="19"/>
  <c r="H191" i="19" l="1"/>
  <c r="I101" i="19"/>
  <c r="J102" i="19"/>
  <c r="I93" i="19"/>
  <c r="J234" i="19"/>
  <c r="L198" i="19"/>
  <c r="H199" i="19"/>
  <c r="I193" i="19"/>
  <c r="H93" i="19"/>
  <c r="J93" i="19" l="1"/>
  <c r="K102" i="19"/>
  <c r="I199" i="19"/>
  <c r="J193" i="19"/>
  <c r="K234" i="19"/>
  <c r="M198" i="19"/>
  <c r="I191" i="19"/>
  <c r="J101" i="19"/>
  <c r="L234" i="19" l="1"/>
  <c r="N198" i="19"/>
  <c r="J199" i="19"/>
  <c r="K193" i="19"/>
  <c r="K93" i="19"/>
  <c r="L102" i="19"/>
  <c r="J191" i="19"/>
  <c r="K101" i="19"/>
  <c r="K191" i="19" l="1"/>
  <c r="L101" i="19"/>
  <c r="M102" i="19"/>
  <c r="L93" i="19"/>
  <c r="K199" i="19"/>
  <c r="L193" i="19"/>
  <c r="M234" i="19"/>
  <c r="O198" i="19"/>
  <c r="L191" i="19" l="1"/>
  <c r="M101" i="19"/>
  <c r="N234" i="19"/>
  <c r="P198" i="19"/>
  <c r="L199" i="19"/>
  <c r="M193" i="19"/>
  <c r="N102" i="19"/>
  <c r="M93" i="19"/>
  <c r="O102" i="19" l="1"/>
  <c r="O234" i="19"/>
  <c r="Q198" i="19"/>
  <c r="N193" i="19"/>
  <c r="M199" i="19"/>
  <c r="M191" i="19"/>
  <c r="N101" i="19"/>
  <c r="N191" i="19" l="1"/>
  <c r="O101" i="19"/>
  <c r="N199" i="19"/>
  <c r="O193" i="19"/>
  <c r="P234" i="19"/>
  <c r="R198" i="19"/>
  <c r="P102" i="19"/>
  <c r="O93" i="19"/>
  <c r="N93" i="19"/>
  <c r="Q102" i="19" l="1"/>
  <c r="P93" i="19"/>
  <c r="Q234" i="19"/>
  <c r="S198" i="19"/>
  <c r="P193" i="19"/>
  <c r="O199" i="19"/>
  <c r="O191" i="19"/>
  <c r="P101" i="19"/>
  <c r="P191" i="19" l="1"/>
  <c r="Q101" i="19"/>
  <c r="P199" i="19"/>
  <c r="Q193" i="19"/>
  <c r="R234" i="19"/>
  <c r="T198" i="19"/>
  <c r="R102" i="19"/>
  <c r="Q93" i="19"/>
  <c r="S102" i="19" l="1"/>
  <c r="S234" i="19"/>
  <c r="U198" i="19"/>
  <c r="Q199" i="19"/>
  <c r="R193" i="19"/>
  <c r="Q191" i="19"/>
  <c r="R101" i="19"/>
  <c r="R191" i="19" l="1"/>
  <c r="S101" i="19"/>
  <c r="R199" i="19"/>
  <c r="S193" i="19"/>
  <c r="T234" i="19"/>
  <c r="V198" i="19"/>
  <c r="S93" i="19"/>
  <c r="T102" i="19"/>
  <c r="R93" i="19"/>
  <c r="S199" i="19" l="1"/>
  <c r="T193" i="19"/>
  <c r="U102" i="19"/>
  <c r="T93" i="19"/>
  <c r="U234" i="19"/>
  <c r="W198" i="19"/>
  <c r="S191" i="19"/>
  <c r="T101" i="19"/>
  <c r="T191" i="19" l="1"/>
  <c r="U101" i="19"/>
  <c r="V234" i="19"/>
  <c r="X198" i="19"/>
  <c r="V102" i="19"/>
  <c r="U93" i="19"/>
  <c r="T199" i="19"/>
  <c r="U193" i="19"/>
  <c r="V193" i="19" l="1"/>
  <c r="U199" i="19"/>
  <c r="U51" i="19" s="1"/>
  <c r="U52" i="19" s="1"/>
  <c r="W102" i="19"/>
  <c r="V93" i="19"/>
  <c r="U191" i="19"/>
  <c r="V101" i="19"/>
  <c r="W234" i="19"/>
  <c r="Y198" i="19"/>
  <c r="X234" i="19" l="1"/>
  <c r="Z198" i="19"/>
  <c r="V191" i="19"/>
  <c r="W101" i="19"/>
  <c r="W93" i="19"/>
  <c r="X102" i="19"/>
  <c r="U73" i="19"/>
  <c r="U75" i="19"/>
  <c r="V199" i="19"/>
  <c r="V51" i="19" s="1"/>
  <c r="V52" i="19" s="1"/>
  <c r="W193" i="19"/>
  <c r="U83" i="19" l="1"/>
  <c r="Y102" i="19"/>
  <c r="W191" i="19"/>
  <c r="X101" i="19"/>
  <c r="AM213" i="19"/>
  <c r="U7" i="19"/>
  <c r="W199" i="19"/>
  <c r="W51" i="19" s="1"/>
  <c r="W52" i="19" s="1"/>
  <c r="X193" i="19"/>
  <c r="Y234" i="19"/>
  <c r="AA198" i="19"/>
  <c r="V75" i="19"/>
  <c r="V73" i="19"/>
  <c r="V83" i="19" s="1"/>
  <c r="X191" i="19" l="1"/>
  <c r="Y101" i="19"/>
  <c r="AN213" i="19"/>
  <c r="V7" i="19"/>
  <c r="Z234" i="19"/>
  <c r="AB198" i="19"/>
  <c r="W73" i="19"/>
  <c r="W75" i="19"/>
  <c r="Z102" i="19"/>
  <c r="X199" i="19"/>
  <c r="X51" i="19" s="1"/>
  <c r="X52" i="19" s="1"/>
  <c r="Y193" i="19"/>
  <c r="AO213" i="19" l="1"/>
  <c r="W7" i="19"/>
  <c r="AA234" i="19"/>
  <c r="AC198" i="19"/>
  <c r="W83" i="19"/>
  <c r="Y199" i="19"/>
  <c r="Z193" i="19"/>
  <c r="X73" i="19"/>
  <c r="X75" i="19"/>
  <c r="Y191" i="19"/>
  <c r="Z101" i="19"/>
  <c r="AA102" i="19"/>
  <c r="AA193" i="19" l="1"/>
  <c r="Z199" i="19"/>
  <c r="AA93" i="19"/>
  <c r="AB102" i="19"/>
  <c r="AB234" i="19"/>
  <c r="AD198" i="19"/>
  <c r="Z191" i="19"/>
  <c r="AA101" i="19"/>
  <c r="AP213" i="19"/>
  <c r="X7" i="19"/>
  <c r="AQ213" i="19" l="1"/>
  <c r="Y7" i="19"/>
  <c r="AA191" i="19"/>
  <c r="AB101" i="19"/>
  <c r="AC234" i="19"/>
  <c r="AE198" i="19"/>
  <c r="AB93" i="19"/>
  <c r="AC102" i="19"/>
  <c r="AA199" i="19"/>
  <c r="AA51" i="19" s="1"/>
  <c r="AA52" i="19" s="1"/>
  <c r="AB193" i="19"/>
  <c r="AD102" i="19" l="1"/>
  <c r="AD234" i="19"/>
  <c r="AF198" i="19"/>
  <c r="AB191" i="19"/>
  <c r="AC101" i="19"/>
  <c r="AB199" i="19"/>
  <c r="AB51" i="19" s="1"/>
  <c r="AB52" i="19" s="1"/>
  <c r="AC193" i="19"/>
  <c r="AA73" i="19"/>
  <c r="AA75" i="19"/>
  <c r="AB73" i="19" l="1"/>
  <c r="AB75" i="19"/>
  <c r="AE234" i="19"/>
  <c r="B198" i="19"/>
  <c r="AF234" i="19" s="1"/>
  <c r="AS213" i="19"/>
  <c r="AA7" i="19"/>
  <c r="AD193" i="19"/>
  <c r="AC199" i="19"/>
  <c r="AC51" i="19" s="1"/>
  <c r="AC52" i="19" s="1"/>
  <c r="AC191" i="19"/>
  <c r="AD101" i="19"/>
  <c r="AC93" i="19"/>
  <c r="AA83" i="19"/>
  <c r="AE102" i="19"/>
  <c r="AD93" i="19"/>
  <c r="AC73" i="19" l="1"/>
  <c r="AC75" i="19"/>
  <c r="AD199" i="19"/>
  <c r="AD51" i="19" s="1"/>
  <c r="AD52" i="19" s="1"/>
  <c r="AE193" i="19"/>
  <c r="AF102" i="19"/>
  <c r="AE93" i="19"/>
  <c r="AD191" i="19"/>
  <c r="AE101" i="19"/>
  <c r="AT213" i="19"/>
  <c r="AB7" i="19"/>
  <c r="AB83" i="19"/>
  <c r="AE191" i="19" l="1"/>
  <c r="AF101" i="19"/>
  <c r="AE199" i="19"/>
  <c r="AE51" i="19" s="1"/>
  <c r="AE52" i="19" s="1"/>
  <c r="AF193" i="19"/>
  <c r="AF93" i="19"/>
  <c r="B102" i="19"/>
  <c r="AD73" i="19"/>
  <c r="AD75" i="19"/>
  <c r="AU213" i="19"/>
  <c r="AC7" i="19"/>
  <c r="AC83" i="19"/>
  <c r="AV213" i="19" l="1"/>
  <c r="AD7" i="19"/>
  <c r="B93" i="19"/>
  <c r="AH93" i="19"/>
  <c r="AI93" i="19"/>
  <c r="AE73" i="19"/>
  <c r="AE75" i="19"/>
  <c r="AF191" i="19"/>
  <c r="B101" i="19"/>
  <c r="B191" i="19" s="1"/>
  <c r="AD83" i="19"/>
  <c r="AF199" i="19"/>
  <c r="AF51" i="19" s="1"/>
  <c r="AF52" i="19" s="1"/>
  <c r="B193" i="19"/>
  <c r="B199" i="19" s="1"/>
  <c r="AW213" i="19" l="1"/>
  <c r="AE7" i="19"/>
  <c r="B52" i="19"/>
  <c r="AI51" i="19"/>
  <c r="AH51" i="19"/>
  <c r="AE83" i="19"/>
  <c r="AF73" i="19"/>
  <c r="AF75" i="19"/>
  <c r="AX213" i="19" l="1"/>
  <c r="AF7" i="19"/>
  <c r="AF83" i="19"/>
  <c r="AI52" i="19"/>
  <c r="AH52" i="19"/>
  <c r="B73" i="19"/>
  <c r="B75" i="19"/>
  <c r="T213" i="19" l="1"/>
  <c r="AI75" i="19"/>
  <c r="AH75" i="19"/>
  <c r="B7" i="19"/>
  <c r="A7" i="19" s="1"/>
  <c r="AI73" i="19"/>
  <c r="AH73" i="19"/>
  <c r="B83" i="19"/>
  <c r="AH83" i="19" l="1"/>
  <c r="AI83" i="19"/>
  <c r="AE37" i="18" l="1"/>
  <c r="AD37" i="18"/>
  <c r="AC37" i="18"/>
  <c r="AB37" i="18"/>
  <c r="AA37" i="18"/>
  <c r="Z37" i="18"/>
  <c r="X37" i="18"/>
  <c r="W37" i="18"/>
  <c r="V37" i="18"/>
  <c r="U37" i="18"/>
  <c r="T37" i="18" l="1"/>
  <c r="AH99" i="18"/>
  <c r="AI99" i="18" s="1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C234" i="18"/>
  <c r="B234" i="18"/>
  <c r="S209" i="18"/>
  <c r="AG199" i="18"/>
  <c r="C199" i="18"/>
  <c r="E198" i="18"/>
  <c r="F198" i="18" s="1"/>
  <c r="D198" i="18"/>
  <c r="D197" i="18"/>
  <c r="E197" i="18" s="1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G196" i="18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F196" i="18"/>
  <c r="D196" i="18"/>
  <c r="E196" i="18" s="1"/>
  <c r="E195" i="18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D195" i="18"/>
  <c r="D199" i="18" s="1"/>
  <c r="F194" i="18"/>
  <c r="G194" i="18" s="1"/>
  <c r="H194" i="18" s="1"/>
  <c r="I194" i="18" s="1"/>
  <c r="J194" i="18" s="1"/>
  <c r="K194" i="18" s="1"/>
  <c r="L194" i="18" s="1"/>
  <c r="M194" i="18" s="1"/>
  <c r="N194" i="18" s="1"/>
  <c r="O194" i="18" s="1"/>
  <c r="P194" i="18" s="1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B194" i="18" s="1"/>
  <c r="E194" i="18"/>
  <c r="D194" i="18"/>
  <c r="E193" i="18"/>
  <c r="E199" i="18" s="1"/>
  <c r="D193" i="18"/>
  <c r="AG191" i="18"/>
  <c r="C191" i="18"/>
  <c r="I190" i="18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B190" i="18" s="1"/>
  <c r="H190" i="18"/>
  <c r="G190" i="18"/>
  <c r="F190" i="18"/>
  <c r="D190" i="18"/>
  <c r="E190" i="18" s="1"/>
  <c r="F189" i="18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E189" i="18"/>
  <c r="D189" i="18"/>
  <c r="R188" i="18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D188" i="18"/>
  <c r="E188" i="18" s="1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K187" i="18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B187" i="18" s="1"/>
  <c r="H187" i="18"/>
  <c r="I187" i="18" s="1"/>
  <c r="J187" i="18" s="1"/>
  <c r="F187" i="18"/>
  <c r="G187" i="18" s="1"/>
  <c r="E187" i="18"/>
  <c r="D187" i="18"/>
  <c r="D186" i="18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D185" i="18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J184" i="18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F184" i="18"/>
  <c r="G184" i="18" s="1"/>
  <c r="H184" i="18" s="1"/>
  <c r="I184" i="18" s="1"/>
  <c r="E184" i="18"/>
  <c r="D184" i="18"/>
  <c r="Y183" i="18"/>
  <c r="Z183" i="18" s="1"/>
  <c r="AA183" i="18" s="1"/>
  <c r="AB183" i="18" s="1"/>
  <c r="AC183" i="18" s="1"/>
  <c r="AD183" i="18" s="1"/>
  <c r="AE183" i="18" s="1"/>
  <c r="AF183" i="18" s="1"/>
  <c r="B183" i="18" s="1"/>
  <c r="F183" i="18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E183" i="18"/>
  <c r="D183" i="18"/>
  <c r="F182" i="18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D182" i="18"/>
  <c r="E182" i="18" s="1"/>
  <c r="Q181" i="18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D181" i="18"/>
  <c r="E181" i="18" s="1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K180" i="18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G180" i="18"/>
  <c r="H180" i="18" s="1"/>
  <c r="I180" i="18" s="1"/>
  <c r="J180" i="18" s="1"/>
  <c r="F180" i="18"/>
  <c r="E180" i="18"/>
  <c r="D180" i="18"/>
  <c r="I179" i="18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H179" i="18"/>
  <c r="F179" i="18"/>
  <c r="G179" i="18" s="1"/>
  <c r="D179" i="18"/>
  <c r="E179" i="18" s="1"/>
  <c r="D178" i="18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B178" i="18" s="1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N175" i="18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E175" i="18"/>
  <c r="F175" i="18" s="1"/>
  <c r="G175" i="18" s="1"/>
  <c r="H175" i="18" s="1"/>
  <c r="I175" i="18" s="1"/>
  <c r="J175" i="18" s="1"/>
  <c r="K175" i="18" s="1"/>
  <c r="L175" i="18" s="1"/>
  <c r="M175" i="18" s="1"/>
  <c r="D175" i="18"/>
  <c r="M174" i="18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B174" i="18" s="1"/>
  <c r="L174" i="18"/>
  <c r="D174" i="18"/>
  <c r="E174" i="18" s="1"/>
  <c r="F174" i="18" s="1"/>
  <c r="G174" i="18" s="1"/>
  <c r="H174" i="18" s="1"/>
  <c r="I174" i="18" s="1"/>
  <c r="J174" i="18" s="1"/>
  <c r="K174" i="18" s="1"/>
  <c r="D173" i="18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B173" i="18" s="1"/>
  <c r="D172" i="18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E171" i="18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D171" i="18"/>
  <c r="G170" i="18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F170" i="18"/>
  <c r="E170" i="18"/>
  <c r="D170" i="18"/>
  <c r="D169" i="18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B169" i="18" s="1"/>
  <c r="U167" i="18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F167" i="18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E167" i="18"/>
  <c r="D167" i="18"/>
  <c r="E166" i="18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D166" i="18"/>
  <c r="L165" i="18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J165" i="18"/>
  <c r="K165" i="18" s="1"/>
  <c r="I165" i="18"/>
  <c r="D165" i="18"/>
  <c r="E165" i="18" s="1"/>
  <c r="F165" i="18" s="1"/>
  <c r="G165" i="18" s="1"/>
  <c r="H165" i="18" s="1"/>
  <c r="J164" i="18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H164" i="18"/>
  <c r="I164" i="18" s="1"/>
  <c r="G164" i="18"/>
  <c r="D164" i="18"/>
  <c r="E164" i="18" s="1"/>
  <c r="F164" i="18" s="1"/>
  <c r="P163" i="18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F163" i="18"/>
  <c r="G163" i="18" s="1"/>
  <c r="H163" i="18" s="1"/>
  <c r="I163" i="18" s="1"/>
  <c r="J163" i="18" s="1"/>
  <c r="K163" i="18" s="1"/>
  <c r="L163" i="18" s="1"/>
  <c r="M163" i="18" s="1"/>
  <c r="N163" i="18" s="1"/>
  <c r="O163" i="18" s="1"/>
  <c r="E163" i="18"/>
  <c r="D163" i="18"/>
  <c r="J162" i="18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B162" i="18" s="1"/>
  <c r="E162" i="18"/>
  <c r="F162" i="18" s="1"/>
  <c r="G162" i="18" s="1"/>
  <c r="H162" i="18" s="1"/>
  <c r="I162" i="18" s="1"/>
  <c r="D162" i="18"/>
  <c r="J161" i="18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H161" i="18"/>
  <c r="I161" i="18" s="1"/>
  <c r="D161" i="18"/>
  <c r="E161" i="18" s="1"/>
  <c r="F161" i="18" s="1"/>
  <c r="G161" i="18" s="1"/>
  <c r="D160" i="18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E159" i="18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B159" i="18" s="1"/>
  <c r="D159" i="18"/>
  <c r="G158" i="18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E158" i="18"/>
  <c r="F158" i="18" s="1"/>
  <c r="D158" i="18"/>
  <c r="E157" i="18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B157" i="18" s="1"/>
  <c r="D157" i="18"/>
  <c r="N156" i="18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B156" i="18" s="1"/>
  <c r="I156" i="18"/>
  <c r="J156" i="18" s="1"/>
  <c r="K156" i="18" s="1"/>
  <c r="L156" i="18" s="1"/>
  <c r="M156" i="18" s="1"/>
  <c r="F156" i="18"/>
  <c r="G156" i="18" s="1"/>
  <c r="H156" i="18" s="1"/>
  <c r="E156" i="18"/>
  <c r="D156" i="18"/>
  <c r="D155" i="18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B155" i="18" s="1"/>
  <c r="E153" i="18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D153" i="18"/>
  <c r="G152" i="18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E152" i="18"/>
  <c r="F152" i="18" s="1"/>
  <c r="D152" i="18"/>
  <c r="Q151" i="18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K151" i="18"/>
  <c r="L151" i="18" s="1"/>
  <c r="M151" i="18" s="1"/>
  <c r="N151" i="18" s="1"/>
  <c r="O151" i="18" s="1"/>
  <c r="P151" i="18" s="1"/>
  <c r="E151" i="18"/>
  <c r="F151" i="18" s="1"/>
  <c r="G151" i="18" s="1"/>
  <c r="H151" i="18" s="1"/>
  <c r="I151" i="18" s="1"/>
  <c r="J151" i="18" s="1"/>
  <c r="D151" i="18"/>
  <c r="D150" i="18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N148" i="18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I148" i="18"/>
  <c r="J148" i="18" s="1"/>
  <c r="K148" i="18" s="1"/>
  <c r="L148" i="18" s="1"/>
  <c r="M148" i="18" s="1"/>
  <c r="E148" i="18"/>
  <c r="F148" i="18" s="1"/>
  <c r="G148" i="18" s="1"/>
  <c r="H148" i="18" s="1"/>
  <c r="D148" i="18"/>
  <c r="E147" i="18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D147" i="18"/>
  <c r="F145" i="18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E145" i="18"/>
  <c r="D145" i="18"/>
  <c r="L144" i="18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D144" i="18"/>
  <c r="E144" i="18" s="1"/>
  <c r="F144" i="18" s="1"/>
  <c r="G144" i="18" s="1"/>
  <c r="H144" i="18" s="1"/>
  <c r="I144" i="18" s="1"/>
  <c r="J144" i="18" s="1"/>
  <c r="K144" i="18" s="1"/>
  <c r="G143" i="18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E143" i="18"/>
  <c r="F143" i="18" s="1"/>
  <c r="D143" i="18"/>
  <c r="D142" i="18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E141" i="18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D141" i="18"/>
  <c r="T140" i="18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I139" i="18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H139" i="18"/>
  <c r="F139" i="18"/>
  <c r="G139" i="18" s="1"/>
  <c r="E139" i="18"/>
  <c r="D139" i="18"/>
  <c r="AB137" i="18"/>
  <c r="AC137" i="18" s="1"/>
  <c r="AD137" i="18" s="1"/>
  <c r="AE137" i="18" s="1"/>
  <c r="AF137" i="18" s="1"/>
  <c r="F137" i="18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D137" i="18"/>
  <c r="E137" i="18" s="1"/>
  <c r="H136" i="18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F136" i="18"/>
  <c r="G136" i="18" s="1"/>
  <c r="E136" i="18"/>
  <c r="D136" i="18"/>
  <c r="H135" i="18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F135" i="18"/>
  <c r="G135" i="18" s="1"/>
  <c r="D135" i="18"/>
  <c r="E135" i="18" s="1"/>
  <c r="F134" i="18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D134" i="18"/>
  <c r="E134" i="18" s="1"/>
  <c r="K133" i="18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D133" i="18"/>
  <c r="E133" i="18" s="1"/>
  <c r="F133" i="18" s="1"/>
  <c r="G133" i="18" s="1"/>
  <c r="H133" i="18" s="1"/>
  <c r="I133" i="18" s="1"/>
  <c r="J133" i="18" s="1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H131" i="18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G131" i="18"/>
  <c r="F131" i="18"/>
  <c r="D131" i="18"/>
  <c r="E131" i="18" s="1"/>
  <c r="F130" i="18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E130" i="18"/>
  <c r="D130" i="18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D127" i="18"/>
  <c r="E127" i="18" s="1"/>
  <c r="F127" i="18" s="1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I126" i="18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D126" i="18"/>
  <c r="E126" i="18" s="1"/>
  <c r="F126" i="18" s="1"/>
  <c r="G126" i="18" s="1"/>
  <c r="H126" i="18" s="1"/>
  <c r="X125" i="18"/>
  <c r="Y125" i="18" s="1"/>
  <c r="Z125" i="18" s="1"/>
  <c r="AA125" i="18" s="1"/>
  <c r="AB125" i="18" s="1"/>
  <c r="AC125" i="18" s="1"/>
  <c r="AD125" i="18" s="1"/>
  <c r="AE125" i="18" s="1"/>
  <c r="AF125" i="18" s="1"/>
  <c r="W125" i="18"/>
  <c r="D125" i="18"/>
  <c r="E125" i="18" s="1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F124" i="18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E124" i="18"/>
  <c r="D124" i="18"/>
  <c r="D123" i="18"/>
  <c r="D122" i="18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W121" i="18"/>
  <c r="X121" i="18" s="1"/>
  <c r="Y121" i="18" s="1"/>
  <c r="Z121" i="18" s="1"/>
  <c r="AA121" i="18" s="1"/>
  <c r="AB121" i="18" s="1"/>
  <c r="AC121" i="18" s="1"/>
  <c r="AD121" i="18" s="1"/>
  <c r="AE121" i="18" s="1"/>
  <c r="AF121" i="18" s="1"/>
  <c r="R121" i="18"/>
  <c r="S121" i="18" s="1"/>
  <c r="T121" i="18" s="1"/>
  <c r="U121" i="18" s="1"/>
  <c r="V121" i="18" s="1"/>
  <c r="G121" i="18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D121" i="18"/>
  <c r="E121" i="18" s="1"/>
  <c r="F121" i="18" s="1"/>
  <c r="E120" i="18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D120" i="18"/>
  <c r="F119" i="18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D119" i="18"/>
  <c r="E119" i="18" s="1"/>
  <c r="J118" i="18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I118" i="18"/>
  <c r="D118" i="18"/>
  <c r="E118" i="18" s="1"/>
  <c r="F118" i="18" s="1"/>
  <c r="G118" i="18" s="1"/>
  <c r="H118" i="18" s="1"/>
  <c r="P117" i="18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D117" i="18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M116" i="18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I116" i="18"/>
  <c r="J116" i="18" s="1"/>
  <c r="K116" i="18" s="1"/>
  <c r="L116" i="18" s="1"/>
  <c r="F116" i="18"/>
  <c r="G116" i="18" s="1"/>
  <c r="H116" i="18" s="1"/>
  <c r="E116" i="18"/>
  <c r="D116" i="18"/>
  <c r="K115" i="18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F115" i="18"/>
  <c r="G115" i="18" s="1"/>
  <c r="H115" i="18" s="1"/>
  <c r="I115" i="18" s="1"/>
  <c r="J115" i="18" s="1"/>
  <c r="D115" i="18"/>
  <c r="E115" i="18" s="1"/>
  <c r="E114" i="18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D114" i="18"/>
  <c r="L113" i="18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K113" i="18"/>
  <c r="F113" i="18"/>
  <c r="G113" i="18" s="1"/>
  <c r="H113" i="18" s="1"/>
  <c r="I113" i="18" s="1"/>
  <c r="D113" i="18"/>
  <c r="E113" i="18" s="1"/>
  <c r="G112" i="18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E112" i="18"/>
  <c r="F112" i="18" s="1"/>
  <c r="D112" i="18"/>
  <c r="F111" i="18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E111" i="18"/>
  <c r="D111" i="18"/>
  <c r="Q109" i="18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P109" i="18"/>
  <c r="D109" i="18"/>
  <c r="E109" i="18" s="1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I108" i="18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G108" i="18"/>
  <c r="H108" i="18" s="1"/>
  <c r="D108" i="18"/>
  <c r="E108" i="18" s="1"/>
  <c r="F108" i="18" s="1"/>
  <c r="M106" i="18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I106" i="18"/>
  <c r="J106" i="18" s="1"/>
  <c r="K106" i="18" s="1"/>
  <c r="L106" i="18" s="1"/>
  <c r="G106" i="18"/>
  <c r="H106" i="18" s="1"/>
  <c r="E106" i="18"/>
  <c r="F106" i="18" s="1"/>
  <c r="D106" i="18"/>
  <c r="E105" i="18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D105" i="18"/>
  <c r="H104" i="18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D104" i="18"/>
  <c r="E104" i="18" s="1"/>
  <c r="F104" i="18" s="1"/>
  <c r="G104" i="18" s="1"/>
  <c r="K103" i="18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I103" i="18"/>
  <c r="J103" i="18" s="1"/>
  <c r="D103" i="18"/>
  <c r="E103" i="18" s="1"/>
  <c r="F103" i="18" s="1"/>
  <c r="G103" i="18" s="1"/>
  <c r="H103" i="18" s="1"/>
  <c r="E102" i="18"/>
  <c r="F102" i="18" s="1"/>
  <c r="D102" i="18"/>
  <c r="F101" i="18"/>
  <c r="E101" i="18"/>
  <c r="D101" i="18"/>
  <c r="AH98" i="18"/>
  <c r="AI98" i="18" s="1"/>
  <c r="AH97" i="18"/>
  <c r="AI97" i="18" s="1"/>
  <c r="AH96" i="18"/>
  <c r="AI96" i="18" s="1"/>
  <c r="AH95" i="18"/>
  <c r="AI95" i="18" s="1"/>
  <c r="AH94" i="18"/>
  <c r="AI94" i="18" s="1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G82" i="18"/>
  <c r="AI81" i="18"/>
  <c r="AH81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H82" i="18" s="1"/>
  <c r="G77" i="18"/>
  <c r="F77" i="18"/>
  <c r="E77" i="18"/>
  <c r="D77" i="18"/>
  <c r="C77" i="18"/>
  <c r="AF76" i="18"/>
  <c r="AE76" i="18"/>
  <c r="AD76" i="18"/>
  <c r="AC76" i="18"/>
  <c r="AB76" i="18"/>
  <c r="AA76" i="18"/>
  <c r="Z76" i="18"/>
  <c r="Y76" i="18"/>
  <c r="Y82" i="18" s="1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I74" i="18"/>
  <c r="AH74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AI71" i="18"/>
  <c r="AH71" i="18"/>
  <c r="AI70" i="18"/>
  <c r="AH70" i="18"/>
  <c r="AI69" i="18"/>
  <c r="AH69" i="18"/>
  <c r="AG68" i="18"/>
  <c r="AF68" i="18"/>
  <c r="AE5" i="18" s="1"/>
  <c r="AE68" i="18"/>
  <c r="AD5" i="18" s="1"/>
  <c r="AD68" i="18"/>
  <c r="AC68" i="18"/>
  <c r="AB68" i="18"/>
  <c r="AA5" i="18" s="1"/>
  <c r="AA68" i="18"/>
  <c r="Z5" i="18" s="1"/>
  <c r="Z68" i="18"/>
  <c r="Y68" i="18"/>
  <c r="X5" i="18" s="1"/>
  <c r="X68" i="18"/>
  <c r="W5" i="18" s="1"/>
  <c r="W68" i="18"/>
  <c r="V68" i="18"/>
  <c r="U68" i="18"/>
  <c r="T68" i="18"/>
  <c r="S5" i="18" s="1"/>
  <c r="S68" i="18"/>
  <c r="R5" i="18" s="1"/>
  <c r="R68" i="18"/>
  <c r="Q5" i="18" s="1"/>
  <c r="Q68" i="18"/>
  <c r="P5" i="18" s="1"/>
  <c r="P68" i="18"/>
  <c r="O5" i="18" s="1"/>
  <c r="O68" i="18"/>
  <c r="N5" i="18" s="1"/>
  <c r="N68" i="18"/>
  <c r="M68" i="18"/>
  <c r="L68" i="18"/>
  <c r="K5" i="18" s="1"/>
  <c r="K68" i="18"/>
  <c r="J5" i="18" s="1"/>
  <c r="J68" i="18"/>
  <c r="I5" i="18" s="1"/>
  <c r="I68" i="18"/>
  <c r="H5" i="18" s="1"/>
  <c r="H68" i="18"/>
  <c r="G5" i="18" s="1"/>
  <c r="G68" i="18"/>
  <c r="F5" i="18" s="1"/>
  <c r="F68" i="18"/>
  <c r="E68" i="18"/>
  <c r="D5" i="18" s="1"/>
  <c r="D68" i="18"/>
  <c r="C5" i="18" s="1"/>
  <c r="C68" i="18"/>
  <c r="B5" i="18" s="1"/>
  <c r="AF5" i="18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AG52" i="18"/>
  <c r="AG3" i="18" s="1"/>
  <c r="AG6" i="18" s="1"/>
  <c r="Z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AG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B5" i="18"/>
  <c r="T5" i="18"/>
  <c r="L5" i="18"/>
  <c r="AG4" i="18"/>
  <c r="K4" i="18"/>
  <c r="B4" i="18"/>
  <c r="AG2" i="18"/>
  <c r="AA37" i="17"/>
  <c r="Z37" i="17"/>
  <c r="X37" i="17"/>
  <c r="W37" i="17"/>
  <c r="V37" i="17"/>
  <c r="E4" i="18"/>
  <c r="AF82" i="18" l="1"/>
  <c r="AE82" i="18"/>
  <c r="AB82" i="18"/>
  <c r="AA82" i="18"/>
  <c r="Z73" i="18"/>
  <c r="X82" i="18"/>
  <c r="W82" i="18"/>
  <c r="T82" i="18"/>
  <c r="T75" i="18"/>
  <c r="S82" i="18"/>
  <c r="S75" i="18"/>
  <c r="R73" i="18"/>
  <c r="Q82" i="18"/>
  <c r="P82" i="18"/>
  <c r="P75" i="18"/>
  <c r="P73" i="18"/>
  <c r="O82" i="18"/>
  <c r="O73" i="18"/>
  <c r="N75" i="18"/>
  <c r="N7" i="18" s="1"/>
  <c r="M82" i="18"/>
  <c r="M73" i="18"/>
  <c r="L82" i="18"/>
  <c r="K82" i="18"/>
  <c r="K75" i="18"/>
  <c r="AC213" i="18" s="1"/>
  <c r="I82" i="18"/>
  <c r="H73" i="18"/>
  <c r="G82" i="18"/>
  <c r="F75" i="18"/>
  <c r="X213" i="18" s="1"/>
  <c r="AH78" i="18"/>
  <c r="E82" i="18"/>
  <c r="E73" i="18"/>
  <c r="L75" i="18"/>
  <c r="AD213" i="18" s="1"/>
  <c r="G73" i="18"/>
  <c r="L73" i="18"/>
  <c r="J73" i="18"/>
  <c r="I75" i="18"/>
  <c r="I7" i="18" s="1"/>
  <c r="AH76" i="18"/>
  <c r="D82" i="18"/>
  <c r="D73" i="18"/>
  <c r="C82" i="18"/>
  <c r="AH79" i="18"/>
  <c r="AI79" i="18"/>
  <c r="AI56" i="18"/>
  <c r="AH38" i="18"/>
  <c r="AI38" i="18"/>
  <c r="H4" i="18"/>
  <c r="AL213" i="18"/>
  <c r="T7" i="18"/>
  <c r="AH213" i="18"/>
  <c r="P7" i="18"/>
  <c r="AF213" i="18"/>
  <c r="AH56" i="18"/>
  <c r="C73" i="18"/>
  <c r="C75" i="18" s="1"/>
  <c r="C83" i="18" s="1"/>
  <c r="K73" i="18"/>
  <c r="S73" i="18"/>
  <c r="S83" i="18" s="1"/>
  <c r="E75" i="18"/>
  <c r="M75" i="18"/>
  <c r="M83" i="18" s="1"/>
  <c r="H75" i="18"/>
  <c r="H83" i="18" s="1"/>
  <c r="AG75" i="18"/>
  <c r="T73" i="18"/>
  <c r="T83" i="18" s="1"/>
  <c r="G101" i="18"/>
  <c r="V5" i="18"/>
  <c r="E5" i="18"/>
  <c r="F73" i="18"/>
  <c r="M5" i="18"/>
  <c r="N73" i="18"/>
  <c r="U5" i="18"/>
  <c r="AC5" i="18"/>
  <c r="G75" i="18"/>
  <c r="O75" i="18"/>
  <c r="O83" i="18" s="1"/>
  <c r="J82" i="18"/>
  <c r="R82" i="18"/>
  <c r="Z82" i="18"/>
  <c r="AI76" i="18"/>
  <c r="AH77" i="18"/>
  <c r="AI78" i="18"/>
  <c r="AI77" i="18"/>
  <c r="AI80" i="18"/>
  <c r="G102" i="18"/>
  <c r="AK213" i="18"/>
  <c r="S7" i="18"/>
  <c r="AH80" i="18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D93" i="18"/>
  <c r="Y5" i="18"/>
  <c r="I73" i="18"/>
  <c r="Q73" i="18"/>
  <c r="AG73" i="18"/>
  <c r="AG83" i="18" s="1"/>
  <c r="AI72" i="18"/>
  <c r="J75" i="18"/>
  <c r="R75" i="18"/>
  <c r="Z75" i="18"/>
  <c r="AH72" i="18"/>
  <c r="U82" i="18"/>
  <c r="AC82" i="18"/>
  <c r="E93" i="18"/>
  <c r="AI68" i="18"/>
  <c r="AH68" i="18"/>
  <c r="D75" i="18"/>
  <c r="Q75" i="18"/>
  <c r="F82" i="18"/>
  <c r="N82" i="18"/>
  <c r="V82" i="18"/>
  <c r="AD82" i="18"/>
  <c r="P83" i="18"/>
  <c r="E191" i="18"/>
  <c r="S210" i="18"/>
  <c r="D210" i="18"/>
  <c r="D191" i="18"/>
  <c r="E234" i="18"/>
  <c r="G198" i="18"/>
  <c r="D234" i="18"/>
  <c r="F193" i="18"/>
  <c r="F93" i="18" s="1"/>
  <c r="R83" i="18" l="1"/>
  <c r="N83" i="18"/>
  <c r="K7" i="18"/>
  <c r="K83" i="18"/>
  <c r="AA213" i="18"/>
  <c r="J83" i="18"/>
  <c r="E83" i="18"/>
  <c r="F7" i="18"/>
  <c r="F83" i="18"/>
  <c r="L83" i="18"/>
  <c r="G83" i="18"/>
  <c r="L7" i="18"/>
  <c r="I83" i="18"/>
  <c r="AI213" i="18"/>
  <c r="Q7" i="18"/>
  <c r="AB213" i="18"/>
  <c r="J7" i="18"/>
  <c r="V213" i="18"/>
  <c r="D7" i="18"/>
  <c r="Q83" i="18"/>
  <c r="D83" i="18"/>
  <c r="H102" i="18"/>
  <c r="AG213" i="18"/>
  <c r="O7" i="18"/>
  <c r="AE213" i="18"/>
  <c r="M7" i="18"/>
  <c r="C208" i="18"/>
  <c r="B208" i="18"/>
  <c r="Y213" i="18"/>
  <c r="G7" i="18"/>
  <c r="W213" i="18"/>
  <c r="E7" i="18"/>
  <c r="AJ213" i="18"/>
  <c r="R7" i="18"/>
  <c r="G191" i="18"/>
  <c r="H101" i="18"/>
  <c r="G193" i="18"/>
  <c r="F199" i="18"/>
  <c r="AR213" i="18"/>
  <c r="Z7" i="18"/>
  <c r="F234" i="18"/>
  <c r="H198" i="18"/>
  <c r="Z83" i="18"/>
  <c r="AH82" i="18"/>
  <c r="AI82" i="18"/>
  <c r="F191" i="18"/>
  <c r="Z213" i="18"/>
  <c r="H7" i="18"/>
  <c r="U213" i="18"/>
  <c r="C7" i="18"/>
  <c r="K6" i="18" l="1"/>
  <c r="G234" i="18"/>
  <c r="I198" i="18"/>
  <c r="G199" i="18"/>
  <c r="H193" i="18"/>
  <c r="H93" i="18"/>
  <c r="I102" i="18"/>
  <c r="H191" i="18"/>
  <c r="I101" i="18"/>
  <c r="G93" i="18"/>
  <c r="J102" i="18" l="1"/>
  <c r="J198" i="18"/>
  <c r="H234" i="18"/>
  <c r="I191" i="18"/>
  <c r="J101" i="18"/>
  <c r="H199" i="18"/>
  <c r="I193" i="18"/>
  <c r="J191" i="18" l="1"/>
  <c r="K101" i="18"/>
  <c r="K198" i="18"/>
  <c r="I234" i="18"/>
  <c r="I199" i="18"/>
  <c r="J193" i="18"/>
  <c r="I93" i="18"/>
  <c r="K102" i="18"/>
  <c r="L102" i="18" l="1"/>
  <c r="J199" i="18"/>
  <c r="K193" i="18"/>
  <c r="J234" i="18"/>
  <c r="L198" i="18"/>
  <c r="K191" i="18"/>
  <c r="L101" i="18"/>
  <c r="J93" i="18"/>
  <c r="R37" i="17"/>
  <c r="Q37" i="17"/>
  <c r="P37" i="17"/>
  <c r="M198" i="18" l="1"/>
  <c r="K234" i="18"/>
  <c r="L193" i="18"/>
  <c r="K199" i="18"/>
  <c r="L191" i="18"/>
  <c r="M101" i="18"/>
  <c r="M102" i="18"/>
  <c r="K93" i="18"/>
  <c r="O37" i="17"/>
  <c r="N37" i="17"/>
  <c r="M37" i="17"/>
  <c r="B93" i="17"/>
  <c r="B80" i="17"/>
  <c r="B79" i="17"/>
  <c r="B78" i="17"/>
  <c r="B77" i="17"/>
  <c r="B76" i="17"/>
  <c r="B82" i="17" s="1"/>
  <c r="B72" i="17"/>
  <c r="B68" i="17"/>
  <c r="B73" i="17" s="1"/>
  <c r="B56" i="17"/>
  <c r="B52" i="17"/>
  <c r="B51" i="17"/>
  <c r="B38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C234" i="17"/>
  <c r="B234" i="17"/>
  <c r="S209" i="17"/>
  <c r="AG199" i="17"/>
  <c r="C199" i="17"/>
  <c r="D198" i="17"/>
  <c r="E198" i="17" s="1"/>
  <c r="E197" i="17"/>
  <c r="F197" i="17" s="1"/>
  <c r="G197" i="17" s="1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D197" i="17"/>
  <c r="J196" i="17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E196" i="17" s="1"/>
  <c r="F196" i="17" s="1"/>
  <c r="G196" i="17" s="1"/>
  <c r="H196" i="17" s="1"/>
  <c r="I196" i="17" s="1"/>
  <c r="E195" i="17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B195" i="17" s="1"/>
  <c r="D195" i="17"/>
  <c r="G194" i="17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X194" i="17" s="1"/>
  <c r="Y194" i="17" s="1"/>
  <c r="Z194" i="17" s="1"/>
  <c r="AA194" i="17" s="1"/>
  <c r="AB194" i="17" s="1"/>
  <c r="AC194" i="17" s="1"/>
  <c r="AD194" i="17" s="1"/>
  <c r="AE194" i="17" s="1"/>
  <c r="AF194" i="17" s="1"/>
  <c r="B194" i="17" s="1"/>
  <c r="D194" i="17"/>
  <c r="E194" i="17" s="1"/>
  <c r="F194" i="17" s="1"/>
  <c r="E193" i="17"/>
  <c r="D193" i="17"/>
  <c r="D199" i="17" s="1"/>
  <c r="AG191" i="17"/>
  <c r="C191" i="17"/>
  <c r="AA190" i="17"/>
  <c r="AB190" i="17" s="1"/>
  <c r="AC190" i="17" s="1"/>
  <c r="AD190" i="17" s="1"/>
  <c r="AE190" i="17" s="1"/>
  <c r="AF190" i="17" s="1"/>
  <c r="B190" i="17" s="1"/>
  <c r="L190" i="17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K190" i="17"/>
  <c r="E190" i="17"/>
  <c r="F190" i="17" s="1"/>
  <c r="G190" i="17" s="1"/>
  <c r="H190" i="17" s="1"/>
  <c r="I190" i="17" s="1"/>
  <c r="J190" i="17" s="1"/>
  <c r="D190" i="17"/>
  <c r="E189" i="17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9" i="17"/>
  <c r="G188" i="17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E188" i="17"/>
  <c r="F188" i="17" s="1"/>
  <c r="D188" i="17"/>
  <c r="M187" i="17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I187" i="17"/>
  <c r="J187" i="17" s="1"/>
  <c r="K187" i="17" s="1"/>
  <c r="L187" i="17" s="1"/>
  <c r="G187" i="17"/>
  <c r="H187" i="17" s="1"/>
  <c r="D187" i="17"/>
  <c r="E187" i="17" s="1"/>
  <c r="F187" i="17" s="1"/>
  <c r="D186" i="17"/>
  <c r="E186" i="17" s="1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P185" i="17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F185" i="17"/>
  <c r="G185" i="17" s="1"/>
  <c r="H185" i="17" s="1"/>
  <c r="I185" i="17" s="1"/>
  <c r="J185" i="17" s="1"/>
  <c r="K185" i="17" s="1"/>
  <c r="L185" i="17" s="1"/>
  <c r="M185" i="17" s="1"/>
  <c r="N185" i="17" s="1"/>
  <c r="O185" i="17" s="1"/>
  <c r="E185" i="17"/>
  <c r="D185" i="17"/>
  <c r="I184" i="17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H184" i="17"/>
  <c r="D184" i="17"/>
  <c r="E184" i="17" s="1"/>
  <c r="F184" i="17" s="1"/>
  <c r="G184" i="17" s="1"/>
  <c r="M183" i="17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D183" i="17"/>
  <c r="E183" i="17" s="1"/>
  <c r="F183" i="17" s="1"/>
  <c r="G183" i="17" s="1"/>
  <c r="H183" i="17" s="1"/>
  <c r="I183" i="17" s="1"/>
  <c r="J183" i="17" s="1"/>
  <c r="K183" i="17" s="1"/>
  <c r="L183" i="17" s="1"/>
  <c r="L182" i="17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I182" i="17"/>
  <c r="J182" i="17" s="1"/>
  <c r="K182" i="17" s="1"/>
  <c r="H182" i="17"/>
  <c r="G182" i="17"/>
  <c r="E182" i="17"/>
  <c r="F182" i="17" s="1"/>
  <c r="D182" i="17"/>
  <c r="G181" i="17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F181" i="17"/>
  <c r="E181" i="17"/>
  <c r="D181" i="17"/>
  <c r="D180" i="17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E179" i="17"/>
  <c r="F179" i="17" s="1"/>
  <c r="G179" i="17" s="1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D179" i="17"/>
  <c r="E178" i="17"/>
  <c r="F178" i="17" s="1"/>
  <c r="G178" i="17" s="1"/>
  <c r="H178" i="17" s="1"/>
  <c r="I178" i="17" s="1"/>
  <c r="J178" i="17" s="1"/>
  <c r="K178" i="17" s="1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B178" i="17" s="1"/>
  <c r="D178" i="17"/>
  <c r="J176" i="17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E176" i="17"/>
  <c r="F176" i="17" s="1"/>
  <c r="G176" i="17" s="1"/>
  <c r="H176" i="17" s="1"/>
  <c r="I176" i="17" s="1"/>
  <c r="D176" i="17"/>
  <c r="D175" i="17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/>
  <c r="E174" i="17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D174" i="17"/>
  <c r="L173" i="17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F173" i="17"/>
  <c r="G173" i="17" s="1"/>
  <c r="H173" i="17" s="1"/>
  <c r="I173" i="17" s="1"/>
  <c r="J173" i="17" s="1"/>
  <c r="K173" i="17" s="1"/>
  <c r="E173" i="17"/>
  <c r="D173" i="17"/>
  <c r="V172" i="17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D172" i="17"/>
  <c r="E172" i="17" s="1"/>
  <c r="F172" i="17" s="1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S171" i="17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J171" i="17"/>
  <c r="K171" i="17" s="1"/>
  <c r="L171" i="17" s="1"/>
  <c r="M171" i="17" s="1"/>
  <c r="N171" i="17" s="1"/>
  <c r="O171" i="17" s="1"/>
  <c r="P171" i="17" s="1"/>
  <c r="Q171" i="17" s="1"/>
  <c r="R171" i="17" s="1"/>
  <c r="H171" i="17"/>
  <c r="I171" i="17" s="1"/>
  <c r="G171" i="17"/>
  <c r="D171" i="17"/>
  <c r="E171" i="17" s="1"/>
  <c r="F171" i="17" s="1"/>
  <c r="U170" i="17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F170" i="17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E170" i="17"/>
  <c r="D170" i="17"/>
  <c r="E169" i="17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B169" i="17" s="1"/>
  <c r="D169" i="17"/>
  <c r="N167" i="17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J167" i="17"/>
  <c r="K167" i="17" s="1"/>
  <c r="L167" i="17" s="1"/>
  <c r="M167" i="17" s="1"/>
  <c r="D167" i="17"/>
  <c r="E167" i="17" s="1"/>
  <c r="F167" i="17" s="1"/>
  <c r="G167" i="17" s="1"/>
  <c r="H167" i="17" s="1"/>
  <c r="I167" i="17" s="1"/>
  <c r="D166" i="17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F165" i="17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E165" i="17"/>
  <c r="D165" i="17"/>
  <c r="M164" i="17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D164" i="17"/>
  <c r="E164" i="17" s="1"/>
  <c r="F164" i="17" s="1"/>
  <c r="G164" i="17" s="1"/>
  <c r="H164" i="17" s="1"/>
  <c r="I164" i="17" s="1"/>
  <c r="J164" i="17" s="1"/>
  <c r="K164" i="17" s="1"/>
  <c r="L164" i="17" s="1"/>
  <c r="D163" i="17"/>
  <c r="E163" i="17" s="1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L162" i="17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D162" i="17"/>
  <c r="E162" i="17" s="1"/>
  <c r="F162" i="17" s="1"/>
  <c r="G162" i="17" s="1"/>
  <c r="H162" i="17" s="1"/>
  <c r="I162" i="17" s="1"/>
  <c r="J162" i="17" s="1"/>
  <c r="K162" i="17" s="1"/>
  <c r="T161" i="17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K161" i="17"/>
  <c r="L161" i="17" s="1"/>
  <c r="M161" i="17" s="1"/>
  <c r="N161" i="17" s="1"/>
  <c r="O161" i="17" s="1"/>
  <c r="P161" i="17" s="1"/>
  <c r="Q161" i="17" s="1"/>
  <c r="R161" i="17" s="1"/>
  <c r="S161" i="17" s="1"/>
  <c r="D161" i="17"/>
  <c r="E161" i="17" s="1"/>
  <c r="F161" i="17" s="1"/>
  <c r="G161" i="17" s="1"/>
  <c r="H161" i="17" s="1"/>
  <c r="I161" i="17" s="1"/>
  <c r="J161" i="17" s="1"/>
  <c r="H160" i="17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F160" i="17"/>
  <c r="G160" i="17" s="1"/>
  <c r="E160" i="17"/>
  <c r="D160" i="17"/>
  <c r="S159" i="17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H159" i="17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E159" i="17"/>
  <c r="F159" i="17" s="1"/>
  <c r="G159" i="17" s="1"/>
  <c r="D159" i="17"/>
  <c r="F158" i="17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E158" i="17"/>
  <c r="D158" i="17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M156" i="17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E156" i="17"/>
  <c r="F156" i="17" s="1"/>
  <c r="G156" i="17" s="1"/>
  <c r="H156" i="17" s="1"/>
  <c r="I156" i="17" s="1"/>
  <c r="J156" i="17" s="1"/>
  <c r="K156" i="17" s="1"/>
  <c r="L156" i="17" s="1"/>
  <c r="D156" i="17"/>
  <c r="M155" i="17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B155" i="17" s="1"/>
  <c r="D155" i="17"/>
  <c r="E155" i="17" s="1"/>
  <c r="F155" i="17" s="1"/>
  <c r="G155" i="17" s="1"/>
  <c r="H155" i="17" s="1"/>
  <c r="I155" i="17" s="1"/>
  <c r="J155" i="17" s="1"/>
  <c r="K155" i="17" s="1"/>
  <c r="L155" i="17" s="1"/>
  <c r="J153" i="17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F153" i="17"/>
  <c r="G153" i="17" s="1"/>
  <c r="H153" i="17" s="1"/>
  <c r="I153" i="17" s="1"/>
  <c r="E153" i="17"/>
  <c r="D153" i="17"/>
  <c r="D152" i="17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M151" i="17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D151" i="17"/>
  <c r="E151" i="17" s="1"/>
  <c r="F151" i="17" s="1"/>
  <c r="G151" i="17" s="1"/>
  <c r="H151" i="17" s="1"/>
  <c r="I151" i="17" s="1"/>
  <c r="J151" i="17" s="1"/>
  <c r="K151" i="17" s="1"/>
  <c r="L151" i="17" s="1"/>
  <c r="H150" i="17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B150" i="17" s="1"/>
  <c r="D150" i="17"/>
  <c r="E150" i="17" s="1"/>
  <c r="F150" i="17" s="1"/>
  <c r="G150" i="17" s="1"/>
  <c r="Q148" i="17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N148" i="17"/>
  <c r="O148" i="17" s="1"/>
  <c r="P148" i="17" s="1"/>
  <c r="H148" i="17"/>
  <c r="I148" i="17" s="1"/>
  <c r="J148" i="17" s="1"/>
  <c r="K148" i="17" s="1"/>
  <c r="L148" i="17" s="1"/>
  <c r="M148" i="17" s="1"/>
  <c r="F148" i="17"/>
  <c r="G148" i="17" s="1"/>
  <c r="E148" i="17"/>
  <c r="D148" i="17"/>
  <c r="AE147" i="17"/>
  <c r="AF147" i="17" s="1"/>
  <c r="B147" i="17" s="1"/>
  <c r="N147" i="17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L147" i="17"/>
  <c r="M147" i="17" s="1"/>
  <c r="F147" i="17"/>
  <c r="G147" i="17" s="1"/>
  <c r="H147" i="17" s="1"/>
  <c r="I147" i="17" s="1"/>
  <c r="J147" i="17" s="1"/>
  <c r="K147" i="17" s="1"/>
  <c r="D147" i="17"/>
  <c r="E147" i="17" s="1"/>
  <c r="M145" i="17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B145" i="17" s="1"/>
  <c r="D145" i="17"/>
  <c r="E145" i="17" s="1"/>
  <c r="F145" i="17" s="1"/>
  <c r="G145" i="17" s="1"/>
  <c r="H145" i="17" s="1"/>
  <c r="I145" i="17" s="1"/>
  <c r="J145" i="17" s="1"/>
  <c r="K145" i="17" s="1"/>
  <c r="L145" i="17" s="1"/>
  <c r="H144" i="17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D144" i="17"/>
  <c r="E144" i="17" s="1"/>
  <c r="F144" i="17" s="1"/>
  <c r="G144" i="17" s="1"/>
  <c r="Q143" i="17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N143" i="17"/>
  <c r="O143" i="17" s="1"/>
  <c r="P143" i="17" s="1"/>
  <c r="H143" i="17"/>
  <c r="I143" i="17" s="1"/>
  <c r="J143" i="17" s="1"/>
  <c r="K143" i="17" s="1"/>
  <c r="L143" i="17" s="1"/>
  <c r="M143" i="17" s="1"/>
  <c r="F143" i="17"/>
  <c r="G143" i="17" s="1"/>
  <c r="E143" i="17"/>
  <c r="D143" i="17"/>
  <c r="AE142" i="17"/>
  <c r="AF142" i="17" s="1"/>
  <c r="B142" i="17" s="1"/>
  <c r="F142" i="17"/>
  <c r="G142" i="17" s="1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D142" i="17"/>
  <c r="E142" i="17" s="1"/>
  <c r="E141" i="17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D141" i="17"/>
  <c r="P140" i="17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H140" i="17"/>
  <c r="I140" i="17" s="1"/>
  <c r="J140" i="17" s="1"/>
  <c r="K140" i="17" s="1"/>
  <c r="L140" i="17" s="1"/>
  <c r="M140" i="17" s="1"/>
  <c r="N140" i="17" s="1"/>
  <c r="O140" i="17" s="1"/>
  <c r="G140" i="17"/>
  <c r="D140" i="17"/>
  <c r="E140" i="17" s="1"/>
  <c r="F140" i="17" s="1"/>
  <c r="E139" i="17"/>
  <c r="F139" i="17" s="1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B139" i="17" s="1"/>
  <c r="D139" i="17"/>
  <c r="E137" i="17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D137" i="17"/>
  <c r="H136" i="17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E136" i="17"/>
  <c r="F136" i="17" s="1"/>
  <c r="G136" i="17" s="1"/>
  <c r="D136" i="17"/>
  <c r="S135" i="17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F135" i="17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D135" i="17"/>
  <c r="E135" i="17" s="1"/>
  <c r="E134" i="17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D134" i="17"/>
  <c r="D133" i="17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D132" i="17"/>
  <c r="E132" i="17" s="1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L131" i="17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D131" i="17"/>
  <c r="E131" i="17" s="1"/>
  <c r="F131" i="17" s="1"/>
  <c r="G131" i="17" s="1"/>
  <c r="H131" i="17" s="1"/>
  <c r="I131" i="17" s="1"/>
  <c r="J131" i="17" s="1"/>
  <c r="K131" i="17" s="1"/>
  <c r="I130" i="17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B130" i="17" s="1"/>
  <c r="E130" i="17"/>
  <c r="F130" i="17" s="1"/>
  <c r="G130" i="17" s="1"/>
  <c r="H130" i="17" s="1"/>
  <c r="D130" i="17"/>
  <c r="H128" i="17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F128" i="17"/>
  <c r="G128" i="17" s="1"/>
  <c r="D128" i="17"/>
  <c r="E128" i="17" s="1"/>
  <c r="D127" i="17"/>
  <c r="E127" i="17" s="1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R126" i="17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E126" i="17" s="1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5" i="17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P125" i="17"/>
  <c r="Q125" i="17" s="1"/>
  <c r="D125" i="17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N123" i="17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F123" i="17"/>
  <c r="G123" i="17" s="1"/>
  <c r="H123" i="17" s="1"/>
  <c r="I123" i="17" s="1"/>
  <c r="J123" i="17" s="1"/>
  <c r="K123" i="17" s="1"/>
  <c r="L123" i="17" s="1"/>
  <c r="M123" i="17" s="1"/>
  <c r="D123" i="17"/>
  <c r="E123" i="17" s="1"/>
  <c r="M122" i="17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L122" i="17"/>
  <c r="D122" i="17"/>
  <c r="E122" i="17" s="1"/>
  <c r="F122" i="17" s="1"/>
  <c r="G122" i="17" s="1"/>
  <c r="H122" i="17" s="1"/>
  <c r="I122" i="17" s="1"/>
  <c r="J122" i="17" s="1"/>
  <c r="K122" i="17" s="1"/>
  <c r="F121" i="17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D121" i="17"/>
  <c r="E121" i="17" s="1"/>
  <c r="F120" i="17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D120" i="17"/>
  <c r="E120" i="17" s="1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E118" i="17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D118" i="17"/>
  <c r="F117" i="17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D117" i="17"/>
  <c r="E117" i="17" s="1"/>
  <c r="D116" i="17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D115" i="17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D114" i="17"/>
  <c r="D93" i="17" s="1"/>
  <c r="N113" i="17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K113" i="17"/>
  <c r="L113" i="17" s="1"/>
  <c r="M113" i="17" s="1"/>
  <c r="E113" i="17"/>
  <c r="F113" i="17" s="1"/>
  <c r="G113" i="17" s="1"/>
  <c r="H113" i="17" s="1"/>
  <c r="I113" i="17" s="1"/>
  <c r="D113" i="17"/>
  <c r="E112" i="17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D112" i="17"/>
  <c r="M111" i="17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B111" i="17" s="1"/>
  <c r="E111" i="17"/>
  <c r="F111" i="17" s="1"/>
  <c r="G111" i="17" s="1"/>
  <c r="H111" i="17" s="1"/>
  <c r="I111" i="17" s="1"/>
  <c r="J111" i="17" s="1"/>
  <c r="K111" i="17" s="1"/>
  <c r="L111" i="17" s="1"/>
  <c r="D111" i="17"/>
  <c r="D109" i="17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J108" i="17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B108" i="17" s="1"/>
  <c r="G108" i="17"/>
  <c r="H108" i="17" s="1"/>
  <c r="I108" i="17" s="1"/>
  <c r="E108" i="17"/>
  <c r="F108" i="17" s="1"/>
  <c r="D108" i="17"/>
  <c r="G106" i="17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E106" i="17"/>
  <c r="F106" i="17" s="1"/>
  <c r="D106" i="17"/>
  <c r="M105" i="17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K105" i="17"/>
  <c r="L105" i="17" s="1"/>
  <c r="F105" i="17"/>
  <c r="G105" i="17" s="1"/>
  <c r="H105" i="17" s="1"/>
  <c r="I105" i="17" s="1"/>
  <c r="J105" i="17" s="1"/>
  <c r="E105" i="17"/>
  <c r="D105" i="17"/>
  <c r="K104" i="17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G104" i="17"/>
  <c r="H104" i="17" s="1"/>
  <c r="I104" i="17" s="1"/>
  <c r="J104" i="17" s="1"/>
  <c r="D104" i="17"/>
  <c r="E104" i="17" s="1"/>
  <c r="F104" i="17" s="1"/>
  <c r="E103" i="17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B103" i="17" s="1"/>
  <c r="D103" i="17"/>
  <c r="E102" i="17"/>
  <c r="F102" i="17" s="1"/>
  <c r="D102" i="17"/>
  <c r="E101" i="17"/>
  <c r="D101" i="17"/>
  <c r="AH99" i="17"/>
  <c r="AI99" i="17" s="1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F76" i="17"/>
  <c r="AF82" i="17" s="1"/>
  <c r="AE76" i="17"/>
  <c r="AD76" i="17"/>
  <c r="AC76" i="17"/>
  <c r="AB76" i="17"/>
  <c r="AA76" i="17"/>
  <c r="Z76" i="17"/>
  <c r="Y76" i="17"/>
  <c r="Y82" i="17" s="1"/>
  <c r="X76" i="17"/>
  <c r="W76" i="17"/>
  <c r="V76" i="17"/>
  <c r="V82" i="17" s="1"/>
  <c r="U76" i="17"/>
  <c r="T76" i="17"/>
  <c r="S76" i="17"/>
  <c r="R76" i="17"/>
  <c r="Q76" i="17"/>
  <c r="P76" i="17"/>
  <c r="P82" i="17" s="1"/>
  <c r="O76" i="17"/>
  <c r="N76" i="17"/>
  <c r="N82" i="17" s="1"/>
  <c r="M76" i="17"/>
  <c r="L76" i="17"/>
  <c r="K76" i="17"/>
  <c r="J76" i="17"/>
  <c r="I76" i="17"/>
  <c r="H76" i="17"/>
  <c r="G76" i="17"/>
  <c r="F76" i="17"/>
  <c r="F82" i="17" s="1"/>
  <c r="E76" i="17"/>
  <c r="D76" i="17"/>
  <c r="C76" i="17"/>
  <c r="AI74" i="17"/>
  <c r="AH74" i="17"/>
  <c r="AG72" i="17"/>
  <c r="AG75" i="17" s="1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I72" i="17"/>
  <c r="AI71" i="17"/>
  <c r="AH71" i="17"/>
  <c r="AI70" i="17"/>
  <c r="AH70" i="17"/>
  <c r="AI69" i="17"/>
  <c r="AH69" i="17"/>
  <c r="AG68" i="17"/>
  <c r="AF68" i="17"/>
  <c r="AE5" i="17" s="1"/>
  <c r="AE68" i="17"/>
  <c r="AD5" i="17" s="1"/>
  <c r="AD68" i="17"/>
  <c r="AC5" i="17" s="1"/>
  <c r="AC68" i="17"/>
  <c r="AB5" i="17" s="1"/>
  <c r="AB68" i="17"/>
  <c r="AA68" i="17"/>
  <c r="Z5" i="17" s="1"/>
  <c r="Z68" i="17"/>
  <c r="Y5" i="17" s="1"/>
  <c r="Y68" i="17"/>
  <c r="X68" i="17"/>
  <c r="W5" i="17" s="1"/>
  <c r="W68" i="17"/>
  <c r="V5" i="17" s="1"/>
  <c r="V68" i="17"/>
  <c r="U5" i="17" s="1"/>
  <c r="U68" i="17"/>
  <c r="T5" i="17" s="1"/>
  <c r="T68" i="17"/>
  <c r="S5" i="17" s="1"/>
  <c r="S68" i="17"/>
  <c r="R68" i="17"/>
  <c r="Q68" i="17"/>
  <c r="P5" i="17" s="1"/>
  <c r="P68" i="17"/>
  <c r="O5" i="17" s="1"/>
  <c r="O68" i="17"/>
  <c r="N5" i="17" s="1"/>
  <c r="N68" i="17"/>
  <c r="M5" i="17" s="1"/>
  <c r="M68" i="17"/>
  <c r="L5" i="17" s="1"/>
  <c r="L68" i="17"/>
  <c r="K5" i="17" s="1"/>
  <c r="K68" i="17"/>
  <c r="J5" i="17" s="1"/>
  <c r="J68" i="17"/>
  <c r="I5" i="17" s="1"/>
  <c r="I68" i="17"/>
  <c r="H68" i="17"/>
  <c r="G5" i="17" s="1"/>
  <c r="G68" i="17"/>
  <c r="F5" i="17" s="1"/>
  <c r="F68" i="17"/>
  <c r="E68" i="17"/>
  <c r="D5" i="17" s="1"/>
  <c r="D68" i="17"/>
  <c r="C5" i="17" s="1"/>
  <c r="C68" i="17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I55" i="17"/>
  <c r="AH55" i="17"/>
  <c r="AI54" i="17"/>
  <c r="AH54" i="17"/>
  <c r="AI53" i="17"/>
  <c r="AH53" i="17"/>
  <c r="AG52" i="17"/>
  <c r="AG3" i="17" s="1"/>
  <c r="Z52" i="17"/>
  <c r="Y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G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I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A5" i="17"/>
  <c r="X5" i="17"/>
  <c r="R5" i="17"/>
  <c r="H5" i="17"/>
  <c r="E5" i="17"/>
  <c r="B5" i="17"/>
  <c r="AG4" i="17"/>
  <c r="K4" i="17"/>
  <c r="B4" i="17"/>
  <c r="AG2" i="17"/>
  <c r="AG6" i="17" s="1"/>
  <c r="S37" i="16"/>
  <c r="R37" i="16"/>
  <c r="Q37" i="16"/>
  <c r="P37" i="16"/>
  <c r="O37" i="16"/>
  <c r="N37" i="16"/>
  <c r="E4" i="17"/>
  <c r="N102" i="18" l="1"/>
  <c r="M191" i="18"/>
  <c r="N101" i="18"/>
  <c r="M193" i="18"/>
  <c r="L199" i="18"/>
  <c r="L234" i="18"/>
  <c r="N198" i="18"/>
  <c r="L93" i="18"/>
  <c r="AD82" i="17"/>
  <c r="X82" i="17"/>
  <c r="S82" i="17"/>
  <c r="S73" i="17"/>
  <c r="Q82" i="17"/>
  <c r="K75" i="17"/>
  <c r="AC213" i="17" s="1"/>
  <c r="I82" i="17"/>
  <c r="H82" i="17"/>
  <c r="E82" i="17"/>
  <c r="AI56" i="17"/>
  <c r="D73" i="17"/>
  <c r="AF5" i="17"/>
  <c r="B75" i="17"/>
  <c r="Z82" i="17"/>
  <c r="U82" i="17"/>
  <c r="G82" i="17"/>
  <c r="O82" i="17"/>
  <c r="W82" i="17"/>
  <c r="AE82" i="17"/>
  <c r="M73" i="17"/>
  <c r="G75" i="17"/>
  <c r="Y213" i="17" s="1"/>
  <c r="O73" i="17"/>
  <c r="H73" i="17"/>
  <c r="P73" i="17"/>
  <c r="K73" i="17"/>
  <c r="S75" i="17"/>
  <c r="AK213" i="17" s="1"/>
  <c r="H75" i="17"/>
  <c r="Z213" i="17" s="1"/>
  <c r="Q75" i="17"/>
  <c r="AI213" i="17" s="1"/>
  <c r="R75" i="17"/>
  <c r="AJ213" i="17" s="1"/>
  <c r="G73" i="17"/>
  <c r="R73" i="17"/>
  <c r="D75" i="17"/>
  <c r="V213" i="17" s="1"/>
  <c r="T75" i="17"/>
  <c r="T7" i="17" s="1"/>
  <c r="K7" i="17"/>
  <c r="T73" i="17"/>
  <c r="E73" i="17"/>
  <c r="O75" i="17"/>
  <c r="AG213" i="17" s="1"/>
  <c r="B83" i="17"/>
  <c r="AI38" i="17"/>
  <c r="H4" i="17"/>
  <c r="J73" i="17"/>
  <c r="Z73" i="17"/>
  <c r="I73" i="17"/>
  <c r="Q73" i="17"/>
  <c r="Y73" i="17"/>
  <c r="AG73" i="17"/>
  <c r="AG83" i="17" s="1"/>
  <c r="Y75" i="17"/>
  <c r="AH77" i="17"/>
  <c r="K82" i="17"/>
  <c r="AA82" i="17"/>
  <c r="AH56" i="17"/>
  <c r="AH68" i="17"/>
  <c r="AH72" i="17"/>
  <c r="Q5" i="17"/>
  <c r="AH37" i="17"/>
  <c r="C73" i="17"/>
  <c r="C75" i="17" s="1"/>
  <c r="AI68" i="17"/>
  <c r="I75" i="17"/>
  <c r="D82" i="17"/>
  <c r="L82" i="17"/>
  <c r="T82" i="17"/>
  <c r="AB82" i="17"/>
  <c r="S210" i="17"/>
  <c r="D210" i="17"/>
  <c r="H7" i="17"/>
  <c r="L73" i="17"/>
  <c r="L75" i="17"/>
  <c r="J75" i="17"/>
  <c r="Z75" i="17"/>
  <c r="M82" i="17"/>
  <c r="AC82" i="17"/>
  <c r="AH38" i="17"/>
  <c r="AI80" i="17"/>
  <c r="AH80" i="17"/>
  <c r="F73" i="17"/>
  <c r="N73" i="17"/>
  <c r="F75" i="17"/>
  <c r="N75" i="17"/>
  <c r="AH79" i="17"/>
  <c r="C82" i="17"/>
  <c r="P75" i="17"/>
  <c r="AH76" i="17"/>
  <c r="J82" i="17"/>
  <c r="R82" i="17"/>
  <c r="AI77" i="17"/>
  <c r="AH78" i="17"/>
  <c r="AI79" i="17"/>
  <c r="F101" i="17"/>
  <c r="G102" i="17"/>
  <c r="E75" i="17"/>
  <c r="M75" i="17"/>
  <c r="E114" i="17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AI76" i="17"/>
  <c r="AI78" i="17"/>
  <c r="E93" i="17"/>
  <c r="D191" i="17"/>
  <c r="E199" i="17"/>
  <c r="F193" i="17"/>
  <c r="F93" i="17" s="1"/>
  <c r="D234" i="17"/>
  <c r="F198" i="17"/>
  <c r="M37" i="16"/>
  <c r="B4" i="14"/>
  <c r="B4" i="15"/>
  <c r="B4" i="5"/>
  <c r="B4" i="16"/>
  <c r="D37" i="16"/>
  <c r="AH99" i="16"/>
  <c r="AI99" i="16" s="1"/>
  <c r="C37" i="16"/>
  <c r="B37" i="16"/>
  <c r="AF51" i="15"/>
  <c r="AF52" i="15"/>
  <c r="AF56" i="15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C234" i="16"/>
  <c r="B234" i="16"/>
  <c r="S209" i="16"/>
  <c r="AG199" i="16"/>
  <c r="C199" i="16"/>
  <c r="E198" i="16"/>
  <c r="D234" i="16" s="1"/>
  <c r="D198" i="16"/>
  <c r="G197" i="16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D197" i="16"/>
  <c r="E197" i="16" s="1"/>
  <c r="F197" i="16" s="1"/>
  <c r="E196" i="16"/>
  <c r="F196" i="16" s="1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D196" i="16"/>
  <c r="Q195" i="16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G195" i="16"/>
  <c r="H195" i="16" s="1"/>
  <c r="I195" i="16" s="1"/>
  <c r="J195" i="16" s="1"/>
  <c r="K195" i="16" s="1"/>
  <c r="L195" i="16" s="1"/>
  <c r="M195" i="16" s="1"/>
  <c r="N195" i="16" s="1"/>
  <c r="O195" i="16" s="1"/>
  <c r="P195" i="16" s="1"/>
  <c r="E195" i="16"/>
  <c r="F195" i="16" s="1"/>
  <c r="D195" i="16"/>
  <c r="H194" i="16"/>
  <c r="I194" i="16" s="1"/>
  <c r="J194" i="16" s="1"/>
  <c r="K194" i="16" s="1"/>
  <c r="L194" i="16" s="1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B194" i="16" s="1"/>
  <c r="F194" i="16"/>
  <c r="G194" i="16" s="1"/>
  <c r="E194" i="16"/>
  <c r="D194" i="16"/>
  <c r="E193" i="16"/>
  <c r="D193" i="16"/>
  <c r="AG191" i="16"/>
  <c r="C191" i="16"/>
  <c r="W190" i="16"/>
  <c r="X190" i="16" s="1"/>
  <c r="Y190" i="16" s="1"/>
  <c r="Z190" i="16" s="1"/>
  <c r="AA190" i="16" s="1"/>
  <c r="AB190" i="16" s="1"/>
  <c r="AC190" i="16" s="1"/>
  <c r="AD190" i="16" s="1"/>
  <c r="AE190" i="16" s="1"/>
  <c r="AF190" i="16" s="1"/>
  <c r="B190" i="16" s="1"/>
  <c r="O190" i="16"/>
  <c r="P190" i="16" s="1"/>
  <c r="Q190" i="16" s="1"/>
  <c r="R190" i="16" s="1"/>
  <c r="S190" i="16" s="1"/>
  <c r="T190" i="16" s="1"/>
  <c r="U190" i="16" s="1"/>
  <c r="V190" i="16" s="1"/>
  <c r="D190" i="16"/>
  <c r="E190" i="16" s="1"/>
  <c r="F190" i="16" s="1"/>
  <c r="G190" i="16" s="1"/>
  <c r="H190" i="16" s="1"/>
  <c r="I190" i="16" s="1"/>
  <c r="J190" i="16" s="1"/>
  <c r="K190" i="16" s="1"/>
  <c r="L190" i="16" s="1"/>
  <c r="M190" i="16" s="1"/>
  <c r="N190" i="16" s="1"/>
  <c r="E189" i="16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D189" i="16"/>
  <c r="AE188" i="16"/>
  <c r="AF188" i="16" s="1"/>
  <c r="B188" i="16" s="1"/>
  <c r="W188" i="16"/>
  <c r="X188" i="16" s="1"/>
  <c r="Y188" i="16" s="1"/>
  <c r="Z188" i="16" s="1"/>
  <c r="AA188" i="16" s="1"/>
  <c r="AB188" i="16" s="1"/>
  <c r="AC188" i="16" s="1"/>
  <c r="AD188" i="16" s="1"/>
  <c r="M188" i="16"/>
  <c r="N188" i="16" s="1"/>
  <c r="O188" i="16" s="1"/>
  <c r="P188" i="16" s="1"/>
  <c r="Q188" i="16" s="1"/>
  <c r="R188" i="16" s="1"/>
  <c r="S188" i="16" s="1"/>
  <c r="T188" i="16" s="1"/>
  <c r="U188" i="16" s="1"/>
  <c r="V188" i="16" s="1"/>
  <c r="I188" i="16"/>
  <c r="J188" i="16" s="1"/>
  <c r="K188" i="16" s="1"/>
  <c r="L188" i="16" s="1"/>
  <c r="E188" i="16"/>
  <c r="F188" i="16" s="1"/>
  <c r="G188" i="16" s="1"/>
  <c r="H188" i="16" s="1"/>
  <c r="D188" i="16"/>
  <c r="I187" i="16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D187" i="16"/>
  <c r="E187" i="16" s="1"/>
  <c r="F187" i="16" s="1"/>
  <c r="G187" i="16" s="1"/>
  <c r="H187" i="16" s="1"/>
  <c r="AE186" i="16"/>
  <c r="AF186" i="16" s="1"/>
  <c r="B186" i="16" s="1"/>
  <c r="J186" i="16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D186" i="16"/>
  <c r="E186" i="16" s="1"/>
  <c r="F186" i="16" s="1"/>
  <c r="G186" i="16" s="1"/>
  <c r="H186" i="16" s="1"/>
  <c r="I186" i="16" s="1"/>
  <c r="H185" i="16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B185" i="16" s="1"/>
  <c r="E185" i="16"/>
  <c r="F185" i="16" s="1"/>
  <c r="G185" i="16" s="1"/>
  <c r="D185" i="16"/>
  <c r="U184" i="16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B184" i="16" s="1"/>
  <c r="O184" i="16"/>
  <c r="P184" i="16" s="1"/>
  <c r="Q184" i="16" s="1"/>
  <c r="R184" i="16" s="1"/>
  <c r="S184" i="16" s="1"/>
  <c r="T184" i="16" s="1"/>
  <c r="E184" i="16"/>
  <c r="F184" i="16" s="1"/>
  <c r="G184" i="16" s="1"/>
  <c r="H184" i="16" s="1"/>
  <c r="I184" i="16" s="1"/>
  <c r="J184" i="16" s="1"/>
  <c r="K184" i="16" s="1"/>
  <c r="L184" i="16" s="1"/>
  <c r="M184" i="16" s="1"/>
  <c r="N184" i="16" s="1"/>
  <c r="D184" i="16"/>
  <c r="I183" i="16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F183" i="16"/>
  <c r="G183" i="16" s="1"/>
  <c r="H183" i="16" s="1"/>
  <c r="D183" i="16"/>
  <c r="E183" i="16" s="1"/>
  <c r="E182" i="16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B182" i="16" s="1"/>
  <c r="D182" i="16"/>
  <c r="F181" i="16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E181" i="16"/>
  <c r="D181" i="16"/>
  <c r="E180" i="16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D180" i="16"/>
  <c r="B180" i="16"/>
  <c r="R179" i="16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N179" i="16"/>
  <c r="O179" i="16" s="1"/>
  <c r="P179" i="16" s="1"/>
  <c r="Q179" i="16" s="1"/>
  <c r="G179" i="16"/>
  <c r="H179" i="16" s="1"/>
  <c r="I179" i="16" s="1"/>
  <c r="J179" i="16" s="1"/>
  <c r="K179" i="16" s="1"/>
  <c r="L179" i="16" s="1"/>
  <c r="M179" i="16" s="1"/>
  <c r="E179" i="16"/>
  <c r="F179" i="16" s="1"/>
  <c r="D179" i="16"/>
  <c r="J178" i="16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B178" i="16" s="1"/>
  <c r="E178" i="16"/>
  <c r="F178" i="16" s="1"/>
  <c r="G178" i="16" s="1"/>
  <c r="H178" i="16" s="1"/>
  <c r="I178" i="16" s="1"/>
  <c r="D178" i="16"/>
  <c r="F176" i="16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E176" i="16"/>
  <c r="D176" i="16"/>
  <c r="G175" i="16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D175" i="16"/>
  <c r="E175" i="16" s="1"/>
  <c r="F175" i="16" s="1"/>
  <c r="I174" i="16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E174" i="16"/>
  <c r="F174" i="16" s="1"/>
  <c r="G174" i="16" s="1"/>
  <c r="H174" i="16" s="1"/>
  <c r="D174" i="16"/>
  <c r="E173" i="16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B173" i="16" s="1"/>
  <c r="D173" i="16"/>
  <c r="Y172" i="16"/>
  <c r="Z172" i="16" s="1"/>
  <c r="AA172" i="16" s="1"/>
  <c r="AB172" i="16" s="1"/>
  <c r="AC172" i="16" s="1"/>
  <c r="AD172" i="16" s="1"/>
  <c r="AE172" i="16" s="1"/>
  <c r="AF172" i="16" s="1"/>
  <c r="B172" i="16" s="1"/>
  <c r="U172" i="16"/>
  <c r="V172" i="16" s="1"/>
  <c r="W172" i="16" s="1"/>
  <c r="X172" i="16" s="1"/>
  <c r="I172" i="16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F172" i="16"/>
  <c r="G172" i="16" s="1"/>
  <c r="H172" i="16" s="1"/>
  <c r="E172" i="16"/>
  <c r="D172" i="16"/>
  <c r="Z171" i="16"/>
  <c r="AA171" i="16" s="1"/>
  <c r="AB171" i="16" s="1"/>
  <c r="AC171" i="16" s="1"/>
  <c r="AD171" i="16" s="1"/>
  <c r="AE171" i="16" s="1"/>
  <c r="AF171" i="16" s="1"/>
  <c r="B171" i="16" s="1"/>
  <c r="D171" i="16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S170" i="16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B170" i="16" s="1"/>
  <c r="L170" i="16"/>
  <c r="M170" i="16" s="1"/>
  <c r="N170" i="16" s="1"/>
  <c r="O170" i="16" s="1"/>
  <c r="P170" i="16" s="1"/>
  <c r="Q170" i="16" s="1"/>
  <c r="R170" i="16" s="1"/>
  <c r="J170" i="16"/>
  <c r="K170" i="16" s="1"/>
  <c r="G170" i="16"/>
  <c r="H170" i="16" s="1"/>
  <c r="I170" i="16" s="1"/>
  <c r="E170" i="16"/>
  <c r="F170" i="16" s="1"/>
  <c r="D170" i="16"/>
  <c r="F169" i="16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B169" i="16" s="1"/>
  <c r="E169" i="16"/>
  <c r="D169" i="16"/>
  <c r="L167" i="16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I167" i="16"/>
  <c r="J167" i="16" s="1"/>
  <c r="K167" i="16" s="1"/>
  <c r="F167" i="16"/>
  <c r="G167" i="16" s="1"/>
  <c r="H167" i="16" s="1"/>
  <c r="D167" i="16"/>
  <c r="E167" i="16" s="1"/>
  <c r="D166" i="16"/>
  <c r="E166" i="16" s="1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B166" i="16" s="1"/>
  <c r="AC165" i="16"/>
  <c r="AD165" i="16" s="1"/>
  <c r="AE165" i="16" s="1"/>
  <c r="AF165" i="16" s="1"/>
  <c r="B165" i="16" s="1"/>
  <c r="M165" i="16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D165" i="16"/>
  <c r="E165" i="16" s="1"/>
  <c r="F165" i="16" s="1"/>
  <c r="G165" i="16" s="1"/>
  <c r="H165" i="16" s="1"/>
  <c r="I165" i="16" s="1"/>
  <c r="J165" i="16" s="1"/>
  <c r="K165" i="16" s="1"/>
  <c r="L165" i="16" s="1"/>
  <c r="N164" i="16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K164" i="16"/>
  <c r="L164" i="16" s="1"/>
  <c r="M164" i="16" s="1"/>
  <c r="J164" i="16"/>
  <c r="H164" i="16"/>
  <c r="I164" i="16" s="1"/>
  <c r="F164" i="16"/>
  <c r="G164" i="16" s="1"/>
  <c r="E164" i="16"/>
  <c r="D164" i="16"/>
  <c r="AD163" i="16"/>
  <c r="AE163" i="16" s="1"/>
  <c r="AF163" i="16" s="1"/>
  <c r="B163" i="16" s="1"/>
  <c r="N163" i="16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D163" i="16"/>
  <c r="E163" i="16" s="1"/>
  <c r="F163" i="16" s="1"/>
  <c r="G163" i="16" s="1"/>
  <c r="H163" i="16" s="1"/>
  <c r="I163" i="16" s="1"/>
  <c r="J163" i="16" s="1"/>
  <c r="K163" i="16" s="1"/>
  <c r="L163" i="16" s="1"/>
  <c r="M163" i="16" s="1"/>
  <c r="D162" i="16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B162" i="16" s="1"/>
  <c r="Z161" i="16"/>
  <c r="AA161" i="16" s="1"/>
  <c r="AB161" i="16" s="1"/>
  <c r="AC161" i="16" s="1"/>
  <c r="AD161" i="16" s="1"/>
  <c r="AE161" i="16" s="1"/>
  <c r="AF161" i="16" s="1"/>
  <c r="B161" i="16" s="1"/>
  <c r="J161" i="16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H161" i="16"/>
  <c r="I161" i="16" s="1"/>
  <c r="E161" i="16"/>
  <c r="F161" i="16" s="1"/>
  <c r="G161" i="16" s="1"/>
  <c r="D161" i="16"/>
  <c r="J160" i="16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F160" i="16"/>
  <c r="G160" i="16" s="1"/>
  <c r="H160" i="16" s="1"/>
  <c r="I160" i="16" s="1"/>
  <c r="E160" i="16"/>
  <c r="D160" i="16"/>
  <c r="H159" i="16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F159" i="16"/>
  <c r="G159" i="16" s="1"/>
  <c r="D159" i="16"/>
  <c r="E159" i="16" s="1"/>
  <c r="J158" i="16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B158" i="16" s="1"/>
  <c r="F158" i="16"/>
  <c r="G158" i="16" s="1"/>
  <c r="H158" i="16" s="1"/>
  <c r="I158" i="16" s="1"/>
  <c r="E158" i="16"/>
  <c r="D158" i="16"/>
  <c r="L157" i="16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B157" i="16" s="1"/>
  <c r="D157" i="16"/>
  <c r="E157" i="16" s="1"/>
  <c r="F157" i="16" s="1"/>
  <c r="G157" i="16" s="1"/>
  <c r="H157" i="16" s="1"/>
  <c r="I157" i="16" s="1"/>
  <c r="J157" i="16" s="1"/>
  <c r="K157" i="16" s="1"/>
  <c r="D156" i="16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V155" i="16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B155" i="16" s="1"/>
  <c r="D155" i="16"/>
  <c r="E155" i="16" s="1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D153" i="16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M152" i="16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E152" i="16"/>
  <c r="F152" i="16" s="1"/>
  <c r="G152" i="16" s="1"/>
  <c r="H152" i="16" s="1"/>
  <c r="I152" i="16" s="1"/>
  <c r="J152" i="16" s="1"/>
  <c r="K152" i="16" s="1"/>
  <c r="L152" i="16" s="1"/>
  <c r="D152" i="16"/>
  <c r="Q151" i="16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F151" i="16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E151" i="16"/>
  <c r="D151" i="16"/>
  <c r="D150" i="16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B150" i="16" s="1"/>
  <c r="M148" i="16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E148" i="16"/>
  <c r="F148" i="16" s="1"/>
  <c r="G148" i="16" s="1"/>
  <c r="H148" i="16" s="1"/>
  <c r="I148" i="16" s="1"/>
  <c r="J148" i="16" s="1"/>
  <c r="K148" i="16" s="1"/>
  <c r="L148" i="16" s="1"/>
  <c r="D148" i="16"/>
  <c r="S147" i="16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B147" i="16" s="1"/>
  <c r="D147" i="16"/>
  <c r="E147" i="16" s="1"/>
  <c r="F147" i="16" s="1"/>
  <c r="G147" i="16" s="1"/>
  <c r="H147" i="16" s="1"/>
  <c r="I147" i="16" s="1"/>
  <c r="J147" i="16" s="1"/>
  <c r="K147" i="16" s="1"/>
  <c r="L147" i="16" s="1"/>
  <c r="M147" i="16" s="1"/>
  <c r="N147" i="16" s="1"/>
  <c r="O147" i="16" s="1"/>
  <c r="P147" i="16" s="1"/>
  <c r="Q147" i="16" s="1"/>
  <c r="R147" i="16" s="1"/>
  <c r="I145" i="16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B145" i="16" s="1"/>
  <c r="G145" i="16"/>
  <c r="H145" i="16" s="1"/>
  <c r="F145" i="16"/>
  <c r="E145" i="16"/>
  <c r="D145" i="16"/>
  <c r="F144" i="16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B144" i="16" s="1"/>
  <c r="E144" i="16"/>
  <c r="D144" i="16"/>
  <c r="S143" i="16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B143" i="16" s="1"/>
  <c r="E143" i="16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D143" i="16"/>
  <c r="D142" i="16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B142" i="16" s="1"/>
  <c r="G141" i="16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D141" i="16"/>
  <c r="E141" i="16" s="1"/>
  <c r="F141" i="16" s="1"/>
  <c r="O140" i="16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B140" i="16" s="1"/>
  <c r="D140" i="16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F139" i="16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B139" i="16" s="1"/>
  <c r="D139" i="16"/>
  <c r="E139" i="16" s="1"/>
  <c r="Y137" i="16"/>
  <c r="Z137" i="16" s="1"/>
  <c r="AA137" i="16" s="1"/>
  <c r="AB137" i="16" s="1"/>
  <c r="AC137" i="16" s="1"/>
  <c r="AD137" i="16" s="1"/>
  <c r="AE137" i="16" s="1"/>
  <c r="AF137" i="16" s="1"/>
  <c r="B137" i="16" s="1"/>
  <c r="D137" i="16"/>
  <c r="E137" i="16" s="1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N136" i="16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G136" i="16"/>
  <c r="H136" i="16" s="1"/>
  <c r="I136" i="16" s="1"/>
  <c r="J136" i="16" s="1"/>
  <c r="K136" i="16" s="1"/>
  <c r="L136" i="16" s="1"/>
  <c r="M136" i="16" s="1"/>
  <c r="F136" i="16"/>
  <c r="E136" i="16"/>
  <c r="D136" i="16"/>
  <c r="D135" i="16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F134" i="16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B134" i="16" s="1"/>
  <c r="D134" i="16"/>
  <c r="E134" i="16" s="1"/>
  <c r="H133" i="16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D133" i="16"/>
  <c r="E133" i="16" s="1"/>
  <c r="F133" i="16" s="1"/>
  <c r="G133" i="16" s="1"/>
  <c r="F132" i="16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D132" i="16"/>
  <c r="E132" i="16" s="1"/>
  <c r="W131" i="16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M131" i="16"/>
  <c r="N131" i="16" s="1"/>
  <c r="O131" i="16" s="1"/>
  <c r="P131" i="16" s="1"/>
  <c r="Q131" i="16" s="1"/>
  <c r="R131" i="16" s="1"/>
  <c r="S131" i="16" s="1"/>
  <c r="T131" i="16" s="1"/>
  <c r="U131" i="16" s="1"/>
  <c r="V131" i="16" s="1"/>
  <c r="E131" i="16"/>
  <c r="F131" i="16" s="1"/>
  <c r="G131" i="16" s="1"/>
  <c r="H131" i="16" s="1"/>
  <c r="I131" i="16" s="1"/>
  <c r="J131" i="16" s="1"/>
  <c r="K131" i="16" s="1"/>
  <c r="L131" i="16" s="1"/>
  <c r="D131" i="16"/>
  <c r="M130" i="16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B130" i="16" s="1"/>
  <c r="E130" i="16"/>
  <c r="F130" i="16" s="1"/>
  <c r="G130" i="16" s="1"/>
  <c r="H130" i="16" s="1"/>
  <c r="I130" i="16" s="1"/>
  <c r="J130" i="16" s="1"/>
  <c r="K130" i="16" s="1"/>
  <c r="L130" i="16" s="1"/>
  <c r="D130" i="16"/>
  <c r="E128" i="16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D128" i="16"/>
  <c r="K127" i="16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G127" i="16"/>
  <c r="H127" i="16" s="1"/>
  <c r="I127" i="16" s="1"/>
  <c r="J127" i="16" s="1"/>
  <c r="D127" i="16"/>
  <c r="E127" i="16" s="1"/>
  <c r="F127" i="16" s="1"/>
  <c r="F126" i="16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D126" i="16"/>
  <c r="E126" i="16" s="1"/>
  <c r="Z125" i="16"/>
  <c r="AA125" i="16" s="1"/>
  <c r="AB125" i="16" s="1"/>
  <c r="AC125" i="16" s="1"/>
  <c r="AD125" i="16" s="1"/>
  <c r="AE125" i="16" s="1"/>
  <c r="AF125" i="16" s="1"/>
  <c r="B125" i="16" s="1"/>
  <c r="D125" i="16"/>
  <c r="E125" i="16" s="1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4" i="16"/>
  <c r="AA124" i="16" s="1"/>
  <c r="AB124" i="16" s="1"/>
  <c r="AC124" i="16" s="1"/>
  <c r="AD124" i="16" s="1"/>
  <c r="AE124" i="16" s="1"/>
  <c r="AF124" i="16" s="1"/>
  <c r="B124" i="16" s="1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3" i="16"/>
  <c r="AA123" i="16" s="1"/>
  <c r="AB123" i="16" s="1"/>
  <c r="AC123" i="16" s="1"/>
  <c r="AD123" i="16" s="1"/>
  <c r="AE123" i="16" s="1"/>
  <c r="AF123" i="16" s="1"/>
  <c r="F123" i="16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D123" i="16"/>
  <c r="E123" i="16" s="1"/>
  <c r="B123" i="16"/>
  <c r="E122" i="16"/>
  <c r="F122" i="16" s="1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D122" i="16"/>
  <c r="K121" i="16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B121" i="16" s="1"/>
  <c r="E121" i="16"/>
  <c r="F121" i="16" s="1"/>
  <c r="G121" i="16" s="1"/>
  <c r="H121" i="16" s="1"/>
  <c r="I121" i="16" s="1"/>
  <c r="J121" i="16" s="1"/>
  <c r="D121" i="16"/>
  <c r="E120" i="16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D120" i="16"/>
  <c r="Y119" i="16"/>
  <c r="Z119" i="16" s="1"/>
  <c r="AA119" i="16" s="1"/>
  <c r="AB119" i="16" s="1"/>
  <c r="AC119" i="16" s="1"/>
  <c r="AD119" i="16" s="1"/>
  <c r="AE119" i="16" s="1"/>
  <c r="AF119" i="16" s="1"/>
  <c r="B119" i="16" s="1"/>
  <c r="D119" i="16"/>
  <c r="E119" i="16" s="1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AB118" i="16"/>
  <c r="AC118" i="16" s="1"/>
  <c r="AD118" i="16" s="1"/>
  <c r="AE118" i="16" s="1"/>
  <c r="AF118" i="16" s="1"/>
  <c r="B118" i="16" s="1"/>
  <c r="F118" i="16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D118" i="16"/>
  <c r="E118" i="16" s="1"/>
  <c r="F117" i="16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D117" i="16"/>
  <c r="E117" i="16" s="1"/>
  <c r="D116" i="16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D115" i="16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E114" i="16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D114" i="16"/>
  <c r="K113" i="16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G113" i="16"/>
  <c r="H113" i="16" s="1"/>
  <c r="I113" i="16" s="1"/>
  <c r="D113" i="16"/>
  <c r="E113" i="16" s="1"/>
  <c r="F113" i="16" s="1"/>
  <c r="G112" i="16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E112" i="16"/>
  <c r="F112" i="16" s="1"/>
  <c r="D112" i="16"/>
  <c r="F111" i="16"/>
  <c r="G111" i="16" s="1"/>
  <c r="H111" i="16" s="1"/>
  <c r="I111" i="16" s="1"/>
  <c r="J111" i="16" s="1"/>
  <c r="K111" i="16" s="1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B111" i="16" s="1"/>
  <c r="E111" i="16"/>
  <c r="D111" i="16"/>
  <c r="M109" i="16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D109" i="16"/>
  <c r="E109" i="16" s="1"/>
  <c r="F109" i="16" s="1"/>
  <c r="G109" i="16" s="1"/>
  <c r="H109" i="16" s="1"/>
  <c r="I109" i="16" s="1"/>
  <c r="J109" i="16" s="1"/>
  <c r="K109" i="16" s="1"/>
  <c r="L109" i="16" s="1"/>
  <c r="D108" i="16"/>
  <c r="G106" i="16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E106" i="16"/>
  <c r="F106" i="16" s="1"/>
  <c r="D106" i="16"/>
  <c r="K105" i="16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F105" i="16"/>
  <c r="G105" i="16" s="1"/>
  <c r="H105" i="16" s="1"/>
  <c r="I105" i="16" s="1"/>
  <c r="J105" i="16" s="1"/>
  <c r="E105" i="16"/>
  <c r="D105" i="16"/>
  <c r="L104" i="16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E104" i="16"/>
  <c r="F104" i="16" s="1"/>
  <c r="G104" i="16" s="1"/>
  <c r="H104" i="16" s="1"/>
  <c r="I104" i="16" s="1"/>
  <c r="J104" i="16" s="1"/>
  <c r="K104" i="16" s="1"/>
  <c r="D104" i="16"/>
  <c r="E103" i="16"/>
  <c r="F103" i="16" s="1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B103" i="16" s="1"/>
  <c r="D103" i="16"/>
  <c r="H102" i="16"/>
  <c r="I102" i="16" s="1"/>
  <c r="E102" i="16"/>
  <c r="F102" i="16" s="1"/>
  <c r="G102" i="16" s="1"/>
  <c r="D102" i="16"/>
  <c r="F101" i="16"/>
  <c r="E101" i="16"/>
  <c r="D101" i="16"/>
  <c r="AH98" i="16"/>
  <c r="AI98" i="16" s="1"/>
  <c r="AH97" i="16"/>
  <c r="AI97" i="16" s="1"/>
  <c r="AH96" i="16"/>
  <c r="AI96" i="16" s="1"/>
  <c r="AH95" i="16"/>
  <c r="AI95" i="16" s="1"/>
  <c r="AH94" i="16"/>
  <c r="AI94" i="16" s="1"/>
  <c r="C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G82" i="16"/>
  <c r="N82" i="16"/>
  <c r="AI81" i="16"/>
  <c r="AH81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AF78" i="16"/>
  <c r="AE78" i="16"/>
  <c r="AD78" i="16"/>
  <c r="AC78" i="16"/>
  <c r="AB78" i="16"/>
  <c r="AA78" i="16"/>
  <c r="Z78" i="16"/>
  <c r="Y78" i="16"/>
  <c r="X78" i="16"/>
  <c r="W78" i="16"/>
  <c r="V78" i="16"/>
  <c r="V82" i="16" s="1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L82" i="16" s="1"/>
  <c r="K76" i="16"/>
  <c r="K82" i="16" s="1"/>
  <c r="J76" i="16"/>
  <c r="I76" i="16"/>
  <c r="H76" i="16"/>
  <c r="G76" i="16"/>
  <c r="F76" i="16"/>
  <c r="E76" i="16"/>
  <c r="E82" i="16" s="1"/>
  <c r="D76" i="16"/>
  <c r="C76" i="16"/>
  <c r="B76" i="16"/>
  <c r="AI74" i="16"/>
  <c r="AH74" i="16"/>
  <c r="AG73" i="16"/>
  <c r="AI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AH72" i="16" s="1"/>
  <c r="AI71" i="16"/>
  <c r="AH71" i="16"/>
  <c r="AI70" i="16"/>
  <c r="AH70" i="16"/>
  <c r="AI69" i="16"/>
  <c r="AH69" i="16"/>
  <c r="AG68" i="16"/>
  <c r="AF68" i="16"/>
  <c r="AE5" i="16" s="1"/>
  <c r="AE68" i="16"/>
  <c r="AD68" i="16"/>
  <c r="AC5" i="16" s="1"/>
  <c r="AC68" i="16"/>
  <c r="AB68" i="16"/>
  <c r="AA5" i="16" s="1"/>
  <c r="AA68" i="16"/>
  <c r="Z68" i="16"/>
  <c r="Y5" i="16" s="1"/>
  <c r="Y68" i="16"/>
  <c r="X68" i="16"/>
  <c r="W5" i="16" s="1"/>
  <c r="W68" i="16"/>
  <c r="V68" i="16"/>
  <c r="U5" i="16" s="1"/>
  <c r="U68" i="16"/>
  <c r="T68" i="16"/>
  <c r="S68" i="16"/>
  <c r="R68" i="16"/>
  <c r="Q5" i="16" s="1"/>
  <c r="Q68" i="16"/>
  <c r="P68" i="16"/>
  <c r="O5" i="16" s="1"/>
  <c r="O68" i="16"/>
  <c r="N68" i="16"/>
  <c r="M5" i="16" s="1"/>
  <c r="M68" i="16"/>
  <c r="L68" i="16"/>
  <c r="K5" i="16" s="1"/>
  <c r="K68" i="16"/>
  <c r="J68" i="16"/>
  <c r="I68" i="16"/>
  <c r="H68" i="16"/>
  <c r="G5" i="16" s="1"/>
  <c r="G68" i="16"/>
  <c r="F68" i="16"/>
  <c r="E68" i="16"/>
  <c r="D68" i="16"/>
  <c r="C5" i="16" s="1"/>
  <c r="C68" i="16"/>
  <c r="B68" i="16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AI55" i="16"/>
  <c r="AH55" i="16"/>
  <c r="AI54" i="16"/>
  <c r="AH54" i="16"/>
  <c r="AI53" i="16"/>
  <c r="AH53" i="16"/>
  <c r="Z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G51" i="16"/>
  <c r="AG52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O75" i="16" s="1"/>
  <c r="AG213" i="16" s="1"/>
  <c r="N38" i="16"/>
  <c r="M38" i="16"/>
  <c r="L38" i="16"/>
  <c r="K38" i="16"/>
  <c r="J38" i="16"/>
  <c r="J73" i="16" s="1"/>
  <c r="I38" i="16"/>
  <c r="I75" i="16" s="1"/>
  <c r="H38" i="16"/>
  <c r="G38" i="16"/>
  <c r="G75" i="16" s="1"/>
  <c r="F38" i="16"/>
  <c r="F75" i="16" s="1"/>
  <c r="E38" i="16"/>
  <c r="E75" i="16" s="1"/>
  <c r="D38" i="16"/>
  <c r="C38" i="16"/>
  <c r="B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X5" i="16"/>
  <c r="S5" i="16"/>
  <c r="P5" i="16"/>
  <c r="I5" i="16"/>
  <c r="H5" i="16"/>
  <c r="E5" i="16"/>
  <c r="AG4" i="16"/>
  <c r="K4" i="16"/>
  <c r="AG2" i="16"/>
  <c r="AF37" i="15"/>
  <c r="AE37" i="15"/>
  <c r="AD37" i="15"/>
  <c r="AC37" i="15"/>
  <c r="AB37" i="15"/>
  <c r="R37" i="15"/>
  <c r="Q37" i="15"/>
  <c r="P37" i="15"/>
  <c r="O37" i="15"/>
  <c r="L37" i="15"/>
  <c r="K37" i="15"/>
  <c r="J37" i="15"/>
  <c r="I37" i="15"/>
  <c r="H38" i="15"/>
  <c r="I38" i="15"/>
  <c r="J38" i="15"/>
  <c r="K38" i="15"/>
  <c r="L38" i="15"/>
  <c r="H37" i="15"/>
  <c r="G37" i="15"/>
  <c r="F37" i="15"/>
  <c r="E37" i="15"/>
  <c r="D37" i="15"/>
  <c r="AH99" i="15"/>
  <c r="AI99" i="15" s="1"/>
  <c r="C37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B234" i="15"/>
  <c r="S209" i="15"/>
  <c r="AG199" i="15"/>
  <c r="C199" i="15"/>
  <c r="E198" i="15"/>
  <c r="D234" i="15" s="1"/>
  <c r="D198" i="15"/>
  <c r="C234" i="15" s="1"/>
  <c r="N197" i="15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B197" i="15" s="1"/>
  <c r="J197" i="15"/>
  <c r="K197" i="15" s="1"/>
  <c r="L197" i="15" s="1"/>
  <c r="M197" i="15" s="1"/>
  <c r="D197" i="15"/>
  <c r="E197" i="15" s="1"/>
  <c r="F197" i="15" s="1"/>
  <c r="G197" i="15" s="1"/>
  <c r="H197" i="15" s="1"/>
  <c r="I197" i="15" s="1"/>
  <c r="D196" i="15"/>
  <c r="E196" i="15" s="1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Q195" i="15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D195" i="15"/>
  <c r="E195" i="15" s="1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L194" i="15"/>
  <c r="M194" i="15" s="1"/>
  <c r="N194" i="15" s="1"/>
  <c r="O194" i="15" s="1"/>
  <c r="P194" i="15" s="1"/>
  <c r="Q194" i="15" s="1"/>
  <c r="R194" i="15" s="1"/>
  <c r="S194" i="15" s="1"/>
  <c r="T194" i="15" s="1"/>
  <c r="U194" i="15" s="1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B194" i="15" s="1"/>
  <c r="D194" i="15"/>
  <c r="E194" i="15" s="1"/>
  <c r="F194" i="15" s="1"/>
  <c r="G194" i="15" s="1"/>
  <c r="H194" i="15" s="1"/>
  <c r="I194" i="15" s="1"/>
  <c r="J194" i="15" s="1"/>
  <c r="K194" i="15" s="1"/>
  <c r="D193" i="15"/>
  <c r="D199" i="15" s="1"/>
  <c r="AG191" i="15"/>
  <c r="C191" i="15"/>
  <c r="N190" i="15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D190" i="15"/>
  <c r="E190" i="15" s="1"/>
  <c r="F190" i="15" s="1"/>
  <c r="G190" i="15" s="1"/>
  <c r="H190" i="15" s="1"/>
  <c r="I190" i="15" s="1"/>
  <c r="J190" i="15" s="1"/>
  <c r="K190" i="15" s="1"/>
  <c r="L190" i="15" s="1"/>
  <c r="M190" i="15" s="1"/>
  <c r="E189" i="15"/>
  <c r="F189" i="15" s="1"/>
  <c r="G189" i="15" s="1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D189" i="15"/>
  <c r="P188" i="15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B188" i="15" s="1"/>
  <c r="F188" i="15"/>
  <c r="G188" i="15" s="1"/>
  <c r="H188" i="15" s="1"/>
  <c r="I188" i="15" s="1"/>
  <c r="J188" i="15" s="1"/>
  <c r="K188" i="15" s="1"/>
  <c r="L188" i="15" s="1"/>
  <c r="M188" i="15" s="1"/>
  <c r="N188" i="15" s="1"/>
  <c r="O188" i="15" s="1"/>
  <c r="E188" i="15"/>
  <c r="D188" i="15"/>
  <c r="J187" i="15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H187" i="15"/>
  <c r="I187" i="15" s="1"/>
  <c r="E187" i="15"/>
  <c r="F187" i="15" s="1"/>
  <c r="G187" i="15" s="1"/>
  <c r="D187" i="15"/>
  <c r="B187" i="15"/>
  <c r="F186" i="15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D186" i="15"/>
  <c r="E186" i="15" s="1"/>
  <c r="M185" i="15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D185" i="15"/>
  <c r="E185" i="15" s="1"/>
  <c r="F185" i="15" s="1"/>
  <c r="G185" i="15" s="1"/>
  <c r="H185" i="15" s="1"/>
  <c r="I185" i="15" s="1"/>
  <c r="J185" i="15" s="1"/>
  <c r="K185" i="15" s="1"/>
  <c r="L185" i="15" s="1"/>
  <c r="T184" i="15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D184" i="15"/>
  <c r="E184" i="15" s="1"/>
  <c r="F184" i="15" s="1"/>
  <c r="G184" i="15" s="1"/>
  <c r="H184" i="15" s="1"/>
  <c r="I184" i="15" s="1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F183" i="15"/>
  <c r="G183" i="15" s="1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D183" i="15"/>
  <c r="E183" i="15" s="1"/>
  <c r="D182" i="15"/>
  <c r="E182" i="15" s="1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F181" i="15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E181" i="15"/>
  <c r="D181" i="15"/>
  <c r="G180" i="15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E180" i="15"/>
  <c r="F180" i="15" s="1"/>
  <c r="D180" i="15"/>
  <c r="M179" i="15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K179" i="15"/>
  <c r="L179" i="15" s="1"/>
  <c r="D179" i="15"/>
  <c r="E179" i="15" s="1"/>
  <c r="F179" i="15" s="1"/>
  <c r="G179" i="15" s="1"/>
  <c r="H179" i="15" s="1"/>
  <c r="I179" i="15" s="1"/>
  <c r="J179" i="15" s="1"/>
  <c r="D178" i="15"/>
  <c r="E178" i="15" s="1"/>
  <c r="F178" i="15" s="1"/>
  <c r="G178" i="15" s="1"/>
  <c r="H178" i="15" s="1"/>
  <c r="I178" i="15" s="1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B178" i="15" s="1"/>
  <c r="O176" i="15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E176" i="15"/>
  <c r="F176" i="15" s="1"/>
  <c r="G176" i="15" s="1"/>
  <c r="H176" i="15" s="1"/>
  <c r="I176" i="15" s="1"/>
  <c r="J176" i="15" s="1"/>
  <c r="K176" i="15" s="1"/>
  <c r="L176" i="15" s="1"/>
  <c r="M176" i="15" s="1"/>
  <c r="N176" i="15" s="1"/>
  <c r="D176" i="15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P174" i="15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L174" i="15"/>
  <c r="M174" i="15" s="1"/>
  <c r="N174" i="15" s="1"/>
  <c r="O174" i="15" s="1"/>
  <c r="D174" i="15"/>
  <c r="E174" i="15" s="1"/>
  <c r="F174" i="15" s="1"/>
  <c r="G174" i="15" s="1"/>
  <c r="H174" i="15" s="1"/>
  <c r="I174" i="15" s="1"/>
  <c r="J174" i="15" s="1"/>
  <c r="K174" i="15" s="1"/>
  <c r="D173" i="15"/>
  <c r="E173" i="15" s="1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F172" i="15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D172" i="15"/>
  <c r="E172" i="15" s="1"/>
  <c r="E171" i="15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D171" i="15"/>
  <c r="AD170" i="15"/>
  <c r="AE170" i="15" s="1"/>
  <c r="AF170" i="15" s="1"/>
  <c r="B170" i="15" s="1"/>
  <c r="E170" i="15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D170" i="15"/>
  <c r="Z169" i="15"/>
  <c r="AA169" i="15" s="1"/>
  <c r="AB169" i="15" s="1"/>
  <c r="AC169" i="15" s="1"/>
  <c r="AD169" i="15" s="1"/>
  <c r="AE169" i="15" s="1"/>
  <c r="AF169" i="15" s="1"/>
  <c r="B169" i="15" s="1"/>
  <c r="L169" i="15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W169" i="15" s="1"/>
  <c r="X169" i="15" s="1"/>
  <c r="Y169" i="15" s="1"/>
  <c r="H169" i="15"/>
  <c r="I169" i="15" s="1"/>
  <c r="J169" i="15" s="1"/>
  <c r="K169" i="15" s="1"/>
  <c r="D169" i="15"/>
  <c r="E169" i="15" s="1"/>
  <c r="F169" i="15" s="1"/>
  <c r="G169" i="15" s="1"/>
  <c r="Q167" i="15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F167" i="15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D167" i="15"/>
  <c r="E167" i="15" s="1"/>
  <c r="L166" i="15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G166" i="15"/>
  <c r="H166" i="15" s="1"/>
  <c r="I166" i="15" s="1"/>
  <c r="J166" i="15" s="1"/>
  <c r="K166" i="15" s="1"/>
  <c r="E166" i="15"/>
  <c r="F166" i="15" s="1"/>
  <c r="D166" i="15"/>
  <c r="E165" i="15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D165" i="15"/>
  <c r="H164" i="15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D164" i="15"/>
  <c r="E164" i="15" s="1"/>
  <c r="F164" i="15" s="1"/>
  <c r="G164" i="15" s="1"/>
  <c r="F163" i="15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D163" i="15"/>
  <c r="E163" i="15" s="1"/>
  <c r="F162" i="15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D162" i="15"/>
  <c r="E162" i="15" s="1"/>
  <c r="E161" i="15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D161" i="15"/>
  <c r="H160" i="15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F160" i="15"/>
  <c r="G160" i="15" s="1"/>
  <c r="D160" i="15"/>
  <c r="E160" i="15" s="1"/>
  <c r="D159" i="15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I158" i="15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G158" i="15"/>
  <c r="H158" i="15" s="1"/>
  <c r="E158" i="15"/>
  <c r="F158" i="15" s="1"/>
  <c r="D158" i="15"/>
  <c r="G157" i="15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E157" i="15"/>
  <c r="F157" i="15" s="1"/>
  <c r="D157" i="15"/>
  <c r="Y156" i="15"/>
  <c r="Z156" i="15" s="1"/>
  <c r="AA156" i="15" s="1"/>
  <c r="AB156" i="15" s="1"/>
  <c r="AC156" i="15" s="1"/>
  <c r="AD156" i="15" s="1"/>
  <c r="AE156" i="15" s="1"/>
  <c r="AF156" i="15" s="1"/>
  <c r="B156" i="15" s="1"/>
  <c r="W156" i="15"/>
  <c r="X156" i="15" s="1"/>
  <c r="G156" i="15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E156" i="15"/>
  <c r="F156" i="15" s="1"/>
  <c r="D156" i="15"/>
  <c r="S155" i="15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B155" i="15" s="1"/>
  <c r="G155" i="15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E155" i="15"/>
  <c r="F155" i="15" s="1"/>
  <c r="D155" i="15"/>
  <c r="E153" i="15"/>
  <c r="F153" i="15" s="1"/>
  <c r="G153" i="15" s="1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D153" i="15"/>
  <c r="U152" i="15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B152" i="15" s="1"/>
  <c r="K152" i="15"/>
  <c r="L152" i="15" s="1"/>
  <c r="M152" i="15" s="1"/>
  <c r="N152" i="15" s="1"/>
  <c r="O152" i="15" s="1"/>
  <c r="P152" i="15" s="1"/>
  <c r="Q152" i="15" s="1"/>
  <c r="R152" i="15" s="1"/>
  <c r="S152" i="15" s="1"/>
  <c r="T152" i="15" s="1"/>
  <c r="H152" i="15"/>
  <c r="I152" i="15" s="1"/>
  <c r="J152" i="15" s="1"/>
  <c r="D152" i="15"/>
  <c r="E152" i="15" s="1"/>
  <c r="F152" i="15" s="1"/>
  <c r="G152" i="15" s="1"/>
  <c r="T151" i="15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N151" i="15"/>
  <c r="O151" i="15" s="1"/>
  <c r="P151" i="15" s="1"/>
  <c r="Q151" i="15" s="1"/>
  <c r="R151" i="15" s="1"/>
  <c r="S151" i="15" s="1"/>
  <c r="E151" i="15"/>
  <c r="F151" i="15" s="1"/>
  <c r="G151" i="15" s="1"/>
  <c r="H151" i="15" s="1"/>
  <c r="I151" i="15" s="1"/>
  <c r="J151" i="15" s="1"/>
  <c r="K151" i="15" s="1"/>
  <c r="L151" i="15" s="1"/>
  <c r="M151" i="15" s="1"/>
  <c r="D151" i="15"/>
  <c r="D150" i="15"/>
  <c r="E150" i="15" s="1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B150" i="15" s="1"/>
  <c r="AC148" i="15"/>
  <c r="AD148" i="15" s="1"/>
  <c r="AE148" i="15" s="1"/>
  <c r="AF148" i="15" s="1"/>
  <c r="B148" i="15" s="1"/>
  <c r="AA148" i="15"/>
  <c r="AB148" i="15" s="1"/>
  <c r="G148" i="15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E148" i="15"/>
  <c r="F148" i="15" s="1"/>
  <c r="D148" i="15"/>
  <c r="F147" i="15"/>
  <c r="G147" i="15" s="1"/>
  <c r="H147" i="15" s="1"/>
  <c r="I147" i="15" s="1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T147" i="15" s="1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B147" i="15" s="1"/>
  <c r="D147" i="15"/>
  <c r="E147" i="15" s="1"/>
  <c r="R145" i="15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M145" i="15"/>
  <c r="N145" i="15" s="1"/>
  <c r="O145" i="15" s="1"/>
  <c r="P145" i="15" s="1"/>
  <c r="Q145" i="15" s="1"/>
  <c r="E145" i="15"/>
  <c r="F145" i="15" s="1"/>
  <c r="G145" i="15" s="1"/>
  <c r="H145" i="15" s="1"/>
  <c r="I145" i="15" s="1"/>
  <c r="J145" i="15" s="1"/>
  <c r="K145" i="15" s="1"/>
  <c r="L145" i="15" s="1"/>
  <c r="D145" i="15"/>
  <c r="D144" i="15"/>
  <c r="E144" i="15" s="1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D143" i="15"/>
  <c r="E143" i="15" s="1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B143" i="15" s="1"/>
  <c r="AB142" i="15"/>
  <c r="AC142" i="15" s="1"/>
  <c r="AD142" i="15" s="1"/>
  <c r="AE142" i="15" s="1"/>
  <c r="AF142" i="15" s="1"/>
  <c r="B142" i="15" s="1"/>
  <c r="W142" i="15"/>
  <c r="X142" i="15" s="1"/>
  <c r="Y142" i="15" s="1"/>
  <c r="Z142" i="15" s="1"/>
  <c r="AA142" i="15" s="1"/>
  <c r="F142" i="15"/>
  <c r="G142" i="15" s="1"/>
  <c r="H142" i="15" s="1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D142" i="15"/>
  <c r="E142" i="15" s="1"/>
  <c r="M141" i="15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L141" i="15"/>
  <c r="D141" i="15"/>
  <c r="E141" i="15" s="1"/>
  <c r="F141" i="15" s="1"/>
  <c r="G141" i="15" s="1"/>
  <c r="H141" i="15" s="1"/>
  <c r="I141" i="15" s="1"/>
  <c r="J141" i="15" s="1"/>
  <c r="K141" i="15" s="1"/>
  <c r="J140" i="15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D140" i="15"/>
  <c r="E140" i="15" s="1"/>
  <c r="F140" i="15" s="1"/>
  <c r="G140" i="15" s="1"/>
  <c r="H140" i="15" s="1"/>
  <c r="I140" i="15" s="1"/>
  <c r="F139" i="15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B139" i="15" s="1"/>
  <c r="E139" i="15"/>
  <c r="D139" i="15"/>
  <c r="D137" i="15"/>
  <c r="E137" i="15" s="1"/>
  <c r="F137" i="15" s="1"/>
  <c r="G137" i="15" s="1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U136" i="15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D136" i="15"/>
  <c r="E136" i="15" s="1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J135" i="15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D135" i="15"/>
  <c r="E135" i="15" s="1"/>
  <c r="F135" i="15" s="1"/>
  <c r="G135" i="15" s="1"/>
  <c r="H135" i="15" s="1"/>
  <c r="I135" i="15" s="1"/>
  <c r="D134" i="15"/>
  <c r="E134" i="15" s="1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D133" i="15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B133" i="15" s="1"/>
  <c r="J132" i="15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D132" i="15"/>
  <c r="E132" i="15" s="1"/>
  <c r="F132" i="15" s="1"/>
  <c r="G132" i="15" s="1"/>
  <c r="H132" i="15" s="1"/>
  <c r="I132" i="15" s="1"/>
  <c r="H131" i="15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D131" i="15"/>
  <c r="E131" i="15" s="1"/>
  <c r="F131" i="15" s="1"/>
  <c r="G131" i="15" s="1"/>
  <c r="V130" i="15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B130" i="15" s="1"/>
  <c r="H130" i="15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F130" i="15"/>
  <c r="G130" i="15" s="1"/>
  <c r="D130" i="15"/>
  <c r="E130" i="15" s="1"/>
  <c r="H128" i="15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F128" i="15"/>
  <c r="G128" i="15" s="1"/>
  <c r="D128" i="15"/>
  <c r="E128" i="15" s="1"/>
  <c r="D127" i="15"/>
  <c r="E127" i="15" s="1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E126" i="15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D126" i="15"/>
  <c r="Q125" i="15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D125" i="15"/>
  <c r="E125" i="15" s="1"/>
  <c r="F125" i="15" s="1"/>
  <c r="G125" i="15" s="1"/>
  <c r="H125" i="15" s="1"/>
  <c r="I125" i="15" s="1"/>
  <c r="J125" i="15" s="1"/>
  <c r="K125" i="15" s="1"/>
  <c r="L125" i="15" s="1"/>
  <c r="M125" i="15" s="1"/>
  <c r="N125" i="15" s="1"/>
  <c r="O125" i="15" s="1"/>
  <c r="P125" i="15" s="1"/>
  <c r="H124" i="15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D124" i="15"/>
  <c r="E124" i="15" s="1"/>
  <c r="F124" i="15" s="1"/>
  <c r="G124" i="15" s="1"/>
  <c r="D123" i="15"/>
  <c r="E123" i="15" s="1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D122" i="15"/>
  <c r="E122" i="15" s="1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I121" i="15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H121" i="15"/>
  <c r="D121" i="15"/>
  <c r="E121" i="15" s="1"/>
  <c r="F121" i="15" s="1"/>
  <c r="G121" i="15" s="1"/>
  <c r="D120" i="15"/>
  <c r="E120" i="15" s="1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E119" i="15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D119" i="15"/>
  <c r="Q118" i="15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P118" i="15"/>
  <c r="D118" i="15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K117" i="15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D117" i="15"/>
  <c r="E117" i="15" s="1"/>
  <c r="F117" i="15" s="1"/>
  <c r="G117" i="15" s="1"/>
  <c r="H117" i="15" s="1"/>
  <c r="I117" i="15" s="1"/>
  <c r="J117" i="15" s="1"/>
  <c r="G116" i="15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F116" i="15"/>
  <c r="D116" i="15"/>
  <c r="E116" i="15" s="1"/>
  <c r="D115" i="15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H114" i="15"/>
  <c r="I114" i="15" s="1"/>
  <c r="J114" i="15" s="1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E114" i="15"/>
  <c r="F114" i="15" s="1"/>
  <c r="G114" i="15" s="1"/>
  <c r="D114" i="15"/>
  <c r="R113" i="15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Q113" i="15"/>
  <c r="L113" i="15"/>
  <c r="M113" i="15" s="1"/>
  <c r="N113" i="15" s="1"/>
  <c r="O113" i="15" s="1"/>
  <c r="P113" i="15" s="1"/>
  <c r="K113" i="15"/>
  <c r="H113" i="15"/>
  <c r="I113" i="15" s="1"/>
  <c r="G113" i="15"/>
  <c r="F113" i="15"/>
  <c r="D113" i="15"/>
  <c r="E113" i="15" s="1"/>
  <c r="G112" i="15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D112" i="15"/>
  <c r="E112" i="15" s="1"/>
  <c r="F112" i="15" s="1"/>
  <c r="D111" i="15"/>
  <c r="E111" i="15" s="1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B111" i="15" s="1"/>
  <c r="L109" i="15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E109" i="15"/>
  <c r="F109" i="15" s="1"/>
  <c r="G109" i="15" s="1"/>
  <c r="H109" i="15" s="1"/>
  <c r="I109" i="15" s="1"/>
  <c r="J109" i="15" s="1"/>
  <c r="K109" i="15" s="1"/>
  <c r="D109" i="15"/>
  <c r="I108" i="15"/>
  <c r="J108" i="15" s="1"/>
  <c r="K108" i="15" s="1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B108" i="15" s="1"/>
  <c r="D108" i="15"/>
  <c r="E108" i="15" s="1"/>
  <c r="F108" i="15" s="1"/>
  <c r="G108" i="15" s="1"/>
  <c r="H108" i="15" s="1"/>
  <c r="H106" i="15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G106" i="15"/>
  <c r="D106" i="15"/>
  <c r="E106" i="15" s="1"/>
  <c r="F106" i="15" s="1"/>
  <c r="G105" i="15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F105" i="15"/>
  <c r="E105" i="15"/>
  <c r="D105" i="15"/>
  <c r="K104" i="15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E104" i="15"/>
  <c r="F104" i="15" s="1"/>
  <c r="G104" i="15" s="1"/>
  <c r="H104" i="15" s="1"/>
  <c r="I104" i="15" s="1"/>
  <c r="J104" i="15" s="1"/>
  <c r="D104" i="15"/>
  <c r="I103" i="15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B103" i="15" s="1"/>
  <c r="D103" i="15"/>
  <c r="E103" i="15" s="1"/>
  <c r="F103" i="15" s="1"/>
  <c r="G103" i="15" s="1"/>
  <c r="H103" i="15" s="1"/>
  <c r="D102" i="15"/>
  <c r="E102" i="15" s="1"/>
  <c r="E101" i="15"/>
  <c r="F101" i="15" s="1"/>
  <c r="D101" i="15"/>
  <c r="AH98" i="15"/>
  <c r="AI98" i="15" s="1"/>
  <c r="AH97" i="15"/>
  <c r="AI97" i="15" s="1"/>
  <c r="AH96" i="15"/>
  <c r="AI96" i="15" s="1"/>
  <c r="AH95" i="15"/>
  <c r="AI95" i="15" s="1"/>
  <c r="AH94" i="15"/>
  <c r="AI94" i="15" s="1"/>
  <c r="D93" i="15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E82" i="15"/>
  <c r="AI81" i="15"/>
  <c r="AH81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F77" i="15"/>
  <c r="AE77" i="15"/>
  <c r="AD77" i="15"/>
  <c r="AD82" i="15" s="1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B76" i="15"/>
  <c r="AB82" i="15" s="1"/>
  <c r="AA76" i="15"/>
  <c r="Z76" i="15"/>
  <c r="Y76" i="15"/>
  <c r="X76" i="15"/>
  <c r="W76" i="15"/>
  <c r="V76" i="15"/>
  <c r="V82" i="15" s="1"/>
  <c r="U76" i="15"/>
  <c r="T76" i="15"/>
  <c r="S76" i="15"/>
  <c r="R76" i="15"/>
  <c r="Q76" i="15"/>
  <c r="P76" i="15"/>
  <c r="O76" i="15"/>
  <c r="N76" i="15"/>
  <c r="N82" i="15" s="1"/>
  <c r="M76" i="15"/>
  <c r="L76" i="15"/>
  <c r="K76" i="15"/>
  <c r="J76" i="15"/>
  <c r="I76" i="15"/>
  <c r="H76" i="15"/>
  <c r="G76" i="15"/>
  <c r="F76" i="15"/>
  <c r="E76" i="15"/>
  <c r="D76" i="15"/>
  <c r="C76" i="15"/>
  <c r="B76" i="15"/>
  <c r="AI74" i="15"/>
  <c r="AH74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AI72" i="15" s="1"/>
  <c r="B72" i="15"/>
  <c r="AH72" i="15" s="1"/>
  <c r="AI71" i="15"/>
  <c r="AH71" i="15"/>
  <c r="AI70" i="15"/>
  <c r="AH70" i="15"/>
  <c r="AI69" i="15"/>
  <c r="AH69" i="15"/>
  <c r="AG68" i="15"/>
  <c r="AF68" i="15"/>
  <c r="AE5" i="15" s="1"/>
  <c r="AE68" i="15"/>
  <c r="AD68" i="15"/>
  <c r="AC5" i="15" s="1"/>
  <c r="AC68" i="15"/>
  <c r="AB68" i="15"/>
  <c r="AA68" i="15"/>
  <c r="Z5" i="15" s="1"/>
  <c r="Z68" i="15"/>
  <c r="Y5" i="15" s="1"/>
  <c r="Y68" i="15"/>
  <c r="X68" i="15"/>
  <c r="W68" i="15"/>
  <c r="V68" i="15"/>
  <c r="U5" i="15" s="1"/>
  <c r="U68" i="15"/>
  <c r="T5" i="15" s="1"/>
  <c r="T68" i="15"/>
  <c r="S5" i="15" s="1"/>
  <c r="S68" i="15"/>
  <c r="R5" i="15" s="1"/>
  <c r="R68" i="15"/>
  <c r="Q5" i="15" s="1"/>
  <c r="Q68" i="15"/>
  <c r="P5" i="15" s="1"/>
  <c r="P68" i="15"/>
  <c r="O68" i="15"/>
  <c r="N68" i="15"/>
  <c r="M68" i="15"/>
  <c r="L5" i="15" s="1"/>
  <c r="L68" i="15"/>
  <c r="K5" i="15" s="1"/>
  <c r="K68" i="15"/>
  <c r="J5" i="15" s="1"/>
  <c r="J68" i="15"/>
  <c r="I5" i="15" s="1"/>
  <c r="I68" i="15"/>
  <c r="H68" i="15"/>
  <c r="G5" i="15" s="1"/>
  <c r="G68" i="15"/>
  <c r="F68" i="15"/>
  <c r="E5" i="15" s="1"/>
  <c r="E68" i="15"/>
  <c r="D5" i="15" s="1"/>
  <c r="D68" i="15"/>
  <c r="C5" i="15" s="1"/>
  <c r="C68" i="15"/>
  <c r="B5" i="15" s="1"/>
  <c r="B68" i="15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I55" i="15"/>
  <c r="AH55" i="15"/>
  <c r="AI54" i="15"/>
  <c r="AH54" i="15"/>
  <c r="AI53" i="15"/>
  <c r="AH53" i="15"/>
  <c r="Z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G51" i="15"/>
  <c r="AG52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Z38" i="15"/>
  <c r="Z73" i="15" s="1"/>
  <c r="Y38" i="15"/>
  <c r="X38" i="15"/>
  <c r="W38" i="15"/>
  <c r="V38" i="15"/>
  <c r="U38" i="15"/>
  <c r="T38" i="15"/>
  <c r="S38" i="15"/>
  <c r="R38" i="15"/>
  <c r="R73" i="15" s="1"/>
  <c r="Q38" i="15"/>
  <c r="P38" i="15"/>
  <c r="O38" i="15"/>
  <c r="N38" i="15"/>
  <c r="M38" i="15"/>
  <c r="G38" i="15"/>
  <c r="F38" i="15"/>
  <c r="E38" i="15"/>
  <c r="D38" i="15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B5" i="15"/>
  <c r="AA5" i="15"/>
  <c r="X5" i="15"/>
  <c r="W5" i="15"/>
  <c r="O5" i="15"/>
  <c r="M5" i="15"/>
  <c r="H5" i="15"/>
  <c r="AG4" i="15"/>
  <c r="K4" i="15"/>
  <c r="AG2" i="15"/>
  <c r="AF37" i="14"/>
  <c r="AE37" i="14"/>
  <c r="AD37" i="14"/>
  <c r="AC37" i="14"/>
  <c r="AB37" i="14"/>
  <c r="E4" i="15"/>
  <c r="E4" i="16"/>
  <c r="O198" i="18" l="1"/>
  <c r="M234" i="18"/>
  <c r="N193" i="18"/>
  <c r="M199" i="18"/>
  <c r="N191" i="18"/>
  <c r="O101" i="18"/>
  <c r="M93" i="18"/>
  <c r="N93" i="18"/>
  <c r="O102" i="18"/>
  <c r="AL213" i="17"/>
  <c r="T83" i="17"/>
  <c r="S83" i="17"/>
  <c r="P83" i="17"/>
  <c r="G7" i="17"/>
  <c r="R83" i="17"/>
  <c r="K83" i="17"/>
  <c r="Y83" i="17"/>
  <c r="G83" i="17"/>
  <c r="H83" i="17"/>
  <c r="E83" i="17"/>
  <c r="S7" i="17"/>
  <c r="D83" i="17"/>
  <c r="L83" i="17"/>
  <c r="B208" i="17"/>
  <c r="D7" i="17"/>
  <c r="I83" i="17"/>
  <c r="N83" i="17"/>
  <c r="O7" i="17"/>
  <c r="R7" i="17"/>
  <c r="Q7" i="17"/>
  <c r="M83" i="17"/>
  <c r="O83" i="17"/>
  <c r="Q83" i="17"/>
  <c r="X213" i="17"/>
  <c r="F7" i="17"/>
  <c r="F191" i="17"/>
  <c r="G101" i="17"/>
  <c r="F83" i="17"/>
  <c r="U213" i="17"/>
  <c r="C7" i="17"/>
  <c r="AH82" i="17"/>
  <c r="AI82" i="17"/>
  <c r="E191" i="17"/>
  <c r="AH213" i="17"/>
  <c r="P7" i="17"/>
  <c r="AF213" i="17"/>
  <c r="N7" i="17"/>
  <c r="AR213" i="17"/>
  <c r="Z7" i="17"/>
  <c r="Z83" i="17"/>
  <c r="AQ213" i="17"/>
  <c r="Y7" i="17"/>
  <c r="H102" i="17"/>
  <c r="E234" i="17"/>
  <c r="G198" i="17"/>
  <c r="AE213" i="17"/>
  <c r="M7" i="17"/>
  <c r="AB213" i="17"/>
  <c r="J7" i="17"/>
  <c r="AA213" i="17"/>
  <c r="I7" i="17"/>
  <c r="J83" i="17"/>
  <c r="AD213" i="17"/>
  <c r="L7" i="17"/>
  <c r="C208" i="17"/>
  <c r="F199" i="17"/>
  <c r="G193" i="17"/>
  <c r="W213" i="17"/>
  <c r="E7" i="17"/>
  <c r="C83" i="17"/>
  <c r="AF82" i="16"/>
  <c r="AD82" i="16"/>
  <c r="AC82" i="16"/>
  <c r="AB82" i="16"/>
  <c r="AA82" i="16"/>
  <c r="Z73" i="16"/>
  <c r="Z75" i="16"/>
  <c r="X82" i="16"/>
  <c r="AH78" i="16"/>
  <c r="U82" i="16"/>
  <c r="T82" i="16"/>
  <c r="S82" i="16"/>
  <c r="R73" i="16"/>
  <c r="Q73" i="16"/>
  <c r="P82" i="16"/>
  <c r="P73" i="16"/>
  <c r="Q75" i="16"/>
  <c r="O73" i="16"/>
  <c r="AI56" i="16"/>
  <c r="N75" i="16"/>
  <c r="N73" i="16"/>
  <c r="M82" i="16"/>
  <c r="M75" i="16"/>
  <c r="M7" i="16" s="1"/>
  <c r="M73" i="16"/>
  <c r="R75" i="16"/>
  <c r="AJ213" i="16" s="1"/>
  <c r="J75" i="16"/>
  <c r="AB213" i="16" s="1"/>
  <c r="AA213" i="16"/>
  <c r="I7" i="16"/>
  <c r="I73" i="16"/>
  <c r="H82" i="16"/>
  <c r="H73" i="16"/>
  <c r="AI77" i="16"/>
  <c r="G73" i="16"/>
  <c r="F82" i="16"/>
  <c r="F73" i="16"/>
  <c r="F83" i="16" s="1"/>
  <c r="E73" i="16"/>
  <c r="D82" i="16"/>
  <c r="AH68" i="16"/>
  <c r="AH77" i="16"/>
  <c r="AF5" i="16"/>
  <c r="AI68" i="16"/>
  <c r="AH80" i="16"/>
  <c r="H4" i="16"/>
  <c r="AG75" i="16"/>
  <c r="AG3" i="16"/>
  <c r="W82" i="16"/>
  <c r="AE213" i="16"/>
  <c r="O82" i="16"/>
  <c r="O83" i="16" s="1"/>
  <c r="AF213" i="16"/>
  <c r="N7" i="16"/>
  <c r="AR213" i="16"/>
  <c r="Z7" i="16"/>
  <c r="K75" i="16"/>
  <c r="S75" i="16"/>
  <c r="I82" i="16"/>
  <c r="Q82" i="16"/>
  <c r="Q83" i="16" s="1"/>
  <c r="Y82" i="16"/>
  <c r="AI78" i="16"/>
  <c r="AI79" i="16"/>
  <c r="G82" i="16"/>
  <c r="X213" i="16"/>
  <c r="F7" i="16"/>
  <c r="AI80" i="16"/>
  <c r="AH56" i="16"/>
  <c r="B5" i="16"/>
  <c r="C73" i="16"/>
  <c r="C75" i="16" s="1"/>
  <c r="J5" i="16"/>
  <c r="K73" i="16"/>
  <c r="R5" i="16"/>
  <c r="S73" i="16"/>
  <c r="S83" i="16" s="1"/>
  <c r="Z5" i="16"/>
  <c r="D75" i="16"/>
  <c r="L75" i="16"/>
  <c r="T75" i="16"/>
  <c r="W213" i="16"/>
  <c r="E7" i="16"/>
  <c r="AI76" i="16"/>
  <c r="J82" i="16"/>
  <c r="R82" i="16"/>
  <c r="Z82" i="16"/>
  <c r="Z83" i="16" s="1"/>
  <c r="AE82" i="16"/>
  <c r="AG6" i="16"/>
  <c r="D73" i="16"/>
  <c r="L73" i="16"/>
  <c r="T73" i="16"/>
  <c r="E83" i="16"/>
  <c r="C82" i="16"/>
  <c r="AH76" i="16"/>
  <c r="J102" i="16"/>
  <c r="E108" i="16"/>
  <c r="D93" i="16"/>
  <c r="AG83" i="16"/>
  <c r="S210" i="16"/>
  <c r="D210" i="16"/>
  <c r="AI38" i="16"/>
  <c r="D5" i="16"/>
  <c r="L5" i="16"/>
  <c r="T5" i="16"/>
  <c r="AB5" i="16"/>
  <c r="AH79" i="16"/>
  <c r="F5" i="16"/>
  <c r="N5" i="16"/>
  <c r="V5" i="16"/>
  <c r="AD5" i="16"/>
  <c r="H75" i="16"/>
  <c r="P75" i="16"/>
  <c r="E191" i="16"/>
  <c r="Y213" i="16"/>
  <c r="G101" i="16"/>
  <c r="AH38" i="16"/>
  <c r="B82" i="16"/>
  <c r="G7" i="16"/>
  <c r="O7" i="16"/>
  <c r="D191" i="16"/>
  <c r="E199" i="16"/>
  <c r="F193" i="16"/>
  <c r="D199" i="16"/>
  <c r="F198" i="16"/>
  <c r="AF82" i="15"/>
  <c r="AC82" i="15"/>
  <c r="AA82" i="15"/>
  <c r="Y82" i="15"/>
  <c r="Z75" i="15"/>
  <c r="AR213" i="15" s="1"/>
  <c r="Z7" i="15"/>
  <c r="X82" i="15"/>
  <c r="U82" i="15"/>
  <c r="T82" i="15"/>
  <c r="T75" i="15"/>
  <c r="T73" i="15"/>
  <c r="S82" i="15"/>
  <c r="S75" i="15"/>
  <c r="R75" i="15"/>
  <c r="Q82" i="15"/>
  <c r="Q73" i="15"/>
  <c r="Q75" i="15"/>
  <c r="P82" i="15"/>
  <c r="P75" i="15"/>
  <c r="P73" i="15"/>
  <c r="O73" i="15"/>
  <c r="N73" i="15"/>
  <c r="N75" i="15"/>
  <c r="AF213" i="15" s="1"/>
  <c r="M82" i="15"/>
  <c r="M73" i="15"/>
  <c r="M75" i="15"/>
  <c r="AE213" i="15" s="1"/>
  <c r="L82" i="15"/>
  <c r="AH76" i="15"/>
  <c r="K82" i="15"/>
  <c r="J73" i="15"/>
  <c r="J75" i="15"/>
  <c r="AB213" i="15" s="1"/>
  <c r="AH77" i="15"/>
  <c r="I75" i="15"/>
  <c r="H82" i="15"/>
  <c r="AA213" i="15"/>
  <c r="I7" i="15"/>
  <c r="I73" i="15"/>
  <c r="L75" i="15"/>
  <c r="L7" i="15" s="1"/>
  <c r="L73" i="15"/>
  <c r="H75" i="15"/>
  <c r="H7" i="15" s="1"/>
  <c r="H73" i="15"/>
  <c r="H83" i="15" s="1"/>
  <c r="G82" i="15"/>
  <c r="G73" i="15"/>
  <c r="F82" i="15"/>
  <c r="F75" i="15"/>
  <c r="X213" i="15" s="1"/>
  <c r="F73" i="15"/>
  <c r="AI80" i="15"/>
  <c r="E73" i="15"/>
  <c r="E75" i="15"/>
  <c r="W213" i="15" s="1"/>
  <c r="AH79" i="15"/>
  <c r="D82" i="15"/>
  <c r="D75" i="15"/>
  <c r="D7" i="15" s="1"/>
  <c r="D73" i="15"/>
  <c r="AH78" i="15"/>
  <c r="AI78" i="15"/>
  <c r="AI79" i="15"/>
  <c r="C82" i="15"/>
  <c r="AH68" i="15"/>
  <c r="AH56" i="15"/>
  <c r="AH38" i="15"/>
  <c r="AI56" i="15"/>
  <c r="AI38" i="15"/>
  <c r="H4" i="15"/>
  <c r="AH213" i="15"/>
  <c r="P7" i="15"/>
  <c r="G101" i="15"/>
  <c r="AG83" i="15"/>
  <c r="AK213" i="15"/>
  <c r="S7" i="15"/>
  <c r="AG73" i="15"/>
  <c r="AG3" i="15"/>
  <c r="AG75" i="15"/>
  <c r="AL213" i="15"/>
  <c r="T7" i="15"/>
  <c r="AG6" i="15"/>
  <c r="Q83" i="15"/>
  <c r="D210" i="15"/>
  <c r="S210" i="15"/>
  <c r="E83" i="15"/>
  <c r="C73" i="15"/>
  <c r="C75" i="15" s="1"/>
  <c r="K73" i="15"/>
  <c r="S73" i="15"/>
  <c r="S83" i="15" s="1"/>
  <c r="G75" i="15"/>
  <c r="G83" i="15" s="1"/>
  <c r="O75" i="15"/>
  <c r="AH80" i="15"/>
  <c r="D83" i="15"/>
  <c r="F5" i="15"/>
  <c r="N5" i="15"/>
  <c r="V5" i="15"/>
  <c r="AD5" i="15"/>
  <c r="E191" i="15"/>
  <c r="O82" i="15"/>
  <c r="W82" i="15"/>
  <c r="AE82" i="15"/>
  <c r="I82" i="15"/>
  <c r="P83" i="15"/>
  <c r="AI68" i="15"/>
  <c r="AI77" i="15"/>
  <c r="N83" i="15"/>
  <c r="F102" i="15"/>
  <c r="E93" i="15"/>
  <c r="F7" i="15"/>
  <c r="K75" i="15"/>
  <c r="T83" i="15"/>
  <c r="B82" i="15"/>
  <c r="J82" i="15"/>
  <c r="R82" i="15"/>
  <c r="R83" i="15" s="1"/>
  <c r="Z82" i="15"/>
  <c r="Z83" i="15" s="1"/>
  <c r="AI76" i="15"/>
  <c r="D191" i="15"/>
  <c r="F198" i="15"/>
  <c r="E193" i="15"/>
  <c r="O191" i="18" l="1"/>
  <c r="P101" i="18"/>
  <c r="O193" i="18"/>
  <c r="N199" i="18"/>
  <c r="P102" i="18"/>
  <c r="O93" i="18"/>
  <c r="N234" i="18"/>
  <c r="P198" i="18"/>
  <c r="K6" i="17"/>
  <c r="I102" i="17"/>
  <c r="H93" i="17"/>
  <c r="H193" i="17"/>
  <c r="G199" i="17"/>
  <c r="G93" i="17"/>
  <c r="G191" i="17"/>
  <c r="H101" i="17"/>
  <c r="F234" i="17"/>
  <c r="H198" i="17"/>
  <c r="T83" i="16"/>
  <c r="R83" i="16"/>
  <c r="R7" i="16"/>
  <c r="AI213" i="16"/>
  <c r="Q7" i="16"/>
  <c r="N83" i="16"/>
  <c r="M83" i="16"/>
  <c r="L83" i="16"/>
  <c r="K83" i="16"/>
  <c r="C208" i="16"/>
  <c r="J83" i="16"/>
  <c r="J7" i="16"/>
  <c r="I83" i="16"/>
  <c r="H83" i="16"/>
  <c r="B208" i="16"/>
  <c r="G83" i="16"/>
  <c r="C83" i="16"/>
  <c r="F199" i="16"/>
  <c r="G193" i="16"/>
  <c r="AH213" i="16"/>
  <c r="P7" i="16"/>
  <c r="Z213" i="16"/>
  <c r="H7" i="16"/>
  <c r="D83" i="16"/>
  <c r="AK213" i="16"/>
  <c r="S7" i="16"/>
  <c r="AC213" i="16"/>
  <c r="K7" i="16"/>
  <c r="F108" i="16"/>
  <c r="E93" i="16"/>
  <c r="AI82" i="16"/>
  <c r="AH82" i="16"/>
  <c r="AL213" i="16"/>
  <c r="T7" i="16"/>
  <c r="G198" i="16"/>
  <c r="E234" i="16"/>
  <c r="K102" i="16"/>
  <c r="AD213" i="16"/>
  <c r="L7" i="16"/>
  <c r="U213" i="16"/>
  <c r="C7" i="16"/>
  <c r="H101" i="16"/>
  <c r="V213" i="16"/>
  <c r="D7" i="16"/>
  <c r="P83" i="16"/>
  <c r="J83" i="15"/>
  <c r="N7" i="15"/>
  <c r="AJ213" i="15"/>
  <c r="R7" i="15"/>
  <c r="AI213" i="15"/>
  <c r="Q7" i="15"/>
  <c r="O83" i="15"/>
  <c r="M7" i="15"/>
  <c r="M83" i="15"/>
  <c r="L83" i="15"/>
  <c r="J7" i="15"/>
  <c r="I83" i="15"/>
  <c r="K83" i="15"/>
  <c r="AD213" i="15"/>
  <c r="Z213" i="15"/>
  <c r="F83" i="15"/>
  <c r="E7" i="15"/>
  <c r="V213" i="15"/>
  <c r="C83" i="15"/>
  <c r="AH82" i="15"/>
  <c r="AI82" i="15"/>
  <c r="Y213" i="15"/>
  <c r="C208" i="15"/>
  <c r="B208" i="15"/>
  <c r="G7" i="15"/>
  <c r="H101" i="15"/>
  <c r="AG213" i="15"/>
  <c r="O7" i="15"/>
  <c r="F193" i="15"/>
  <c r="E199" i="15"/>
  <c r="G198" i="15"/>
  <c r="E234" i="15"/>
  <c r="G102" i="15"/>
  <c r="F191" i="15"/>
  <c r="AC213" i="15"/>
  <c r="K7" i="15"/>
  <c r="U213" i="15"/>
  <c r="C7" i="15"/>
  <c r="Q102" i="18" l="1"/>
  <c r="O234" i="18"/>
  <c r="Q198" i="18"/>
  <c r="O199" i="18"/>
  <c r="P193" i="18"/>
  <c r="P191" i="18"/>
  <c r="Q101" i="18"/>
  <c r="H191" i="17"/>
  <c r="I101" i="17"/>
  <c r="I193" i="17"/>
  <c r="H199" i="17"/>
  <c r="G234" i="17"/>
  <c r="I198" i="17"/>
  <c r="J102" i="17"/>
  <c r="K6" i="16"/>
  <c r="F93" i="16"/>
  <c r="G108" i="16"/>
  <c r="F191" i="16"/>
  <c r="I101" i="16"/>
  <c r="F234" i="16"/>
  <c r="H198" i="16"/>
  <c r="L102" i="16"/>
  <c r="H193" i="16"/>
  <c r="G199" i="16"/>
  <c r="K6" i="15"/>
  <c r="G193" i="15"/>
  <c r="F199" i="15"/>
  <c r="G93" i="15"/>
  <c r="H102" i="15"/>
  <c r="H191" i="15"/>
  <c r="I101" i="15"/>
  <c r="F234" i="15"/>
  <c r="H198" i="15"/>
  <c r="F93" i="15"/>
  <c r="G191" i="15"/>
  <c r="Q191" i="18" l="1"/>
  <c r="R101" i="18"/>
  <c r="P199" i="18"/>
  <c r="Q193" i="18"/>
  <c r="R198" i="18"/>
  <c r="P234" i="18"/>
  <c r="R102" i="18"/>
  <c r="Q93" i="18"/>
  <c r="P93" i="18"/>
  <c r="H234" i="17"/>
  <c r="J198" i="17"/>
  <c r="J193" i="17"/>
  <c r="I199" i="17"/>
  <c r="I93" i="17"/>
  <c r="I191" i="17"/>
  <c r="J101" i="17"/>
  <c r="K102" i="17"/>
  <c r="J93" i="17"/>
  <c r="G234" i="16"/>
  <c r="I198" i="16"/>
  <c r="J101" i="16"/>
  <c r="I193" i="16"/>
  <c r="H199" i="16"/>
  <c r="H108" i="16"/>
  <c r="G93" i="16"/>
  <c r="G191" i="16"/>
  <c r="M102" i="16"/>
  <c r="J101" i="15"/>
  <c r="I102" i="15"/>
  <c r="G199" i="15"/>
  <c r="H193" i="15"/>
  <c r="G234" i="15"/>
  <c r="I198" i="15"/>
  <c r="S102" i="18" l="1"/>
  <c r="S198" i="18"/>
  <c r="Q234" i="18"/>
  <c r="Q199" i="18"/>
  <c r="R193" i="18"/>
  <c r="R191" i="18"/>
  <c r="S101" i="18"/>
  <c r="L102" i="17"/>
  <c r="J191" i="17"/>
  <c r="K101" i="17"/>
  <c r="K193" i="17"/>
  <c r="J199" i="17"/>
  <c r="I234" i="17"/>
  <c r="K198" i="17"/>
  <c r="J193" i="16"/>
  <c r="I199" i="16"/>
  <c r="K101" i="16"/>
  <c r="N102" i="16"/>
  <c r="H234" i="16"/>
  <c r="J198" i="16"/>
  <c r="I108" i="16"/>
  <c r="H93" i="16"/>
  <c r="H191" i="16"/>
  <c r="H199" i="15"/>
  <c r="I193" i="15"/>
  <c r="I93" i="15"/>
  <c r="J102" i="15"/>
  <c r="H93" i="15"/>
  <c r="H234" i="15"/>
  <c r="J198" i="15"/>
  <c r="J191" i="15"/>
  <c r="K101" i="15"/>
  <c r="I191" i="15"/>
  <c r="S191" i="18" l="1"/>
  <c r="T101" i="18"/>
  <c r="R199" i="18"/>
  <c r="S193" i="18"/>
  <c r="T198" i="18"/>
  <c r="R234" i="18"/>
  <c r="R93" i="18"/>
  <c r="S93" i="18"/>
  <c r="T102" i="18"/>
  <c r="K199" i="17"/>
  <c r="L193" i="17"/>
  <c r="K191" i="17"/>
  <c r="L101" i="17"/>
  <c r="J234" i="17"/>
  <c r="L198" i="17"/>
  <c r="K93" i="17"/>
  <c r="L93" i="17"/>
  <c r="M102" i="17"/>
  <c r="O102" i="16"/>
  <c r="I234" i="16"/>
  <c r="K198" i="16"/>
  <c r="L101" i="16"/>
  <c r="J108" i="16"/>
  <c r="I93" i="16"/>
  <c r="I191" i="16"/>
  <c r="K193" i="16"/>
  <c r="J199" i="16"/>
  <c r="K102" i="15"/>
  <c r="J93" i="15"/>
  <c r="I234" i="15"/>
  <c r="K198" i="15"/>
  <c r="I199" i="15"/>
  <c r="J193" i="15"/>
  <c r="L101" i="15"/>
  <c r="S234" i="18" l="1"/>
  <c r="U198" i="18"/>
  <c r="T193" i="18"/>
  <c r="S199" i="18"/>
  <c r="T191" i="18"/>
  <c r="U101" i="18"/>
  <c r="T93" i="18"/>
  <c r="U102" i="18"/>
  <c r="L191" i="17"/>
  <c r="M101" i="17"/>
  <c r="L199" i="17"/>
  <c r="M193" i="17"/>
  <c r="K234" i="17"/>
  <c r="M198" i="17"/>
  <c r="N102" i="17"/>
  <c r="J234" i="16"/>
  <c r="L198" i="16"/>
  <c r="K108" i="16"/>
  <c r="J93" i="16"/>
  <c r="J191" i="16"/>
  <c r="M101" i="16"/>
  <c r="K199" i="16"/>
  <c r="L193" i="16"/>
  <c r="P102" i="16"/>
  <c r="J199" i="15"/>
  <c r="K193" i="15"/>
  <c r="L102" i="15"/>
  <c r="K93" i="15"/>
  <c r="L191" i="15"/>
  <c r="M101" i="15"/>
  <c r="J234" i="15"/>
  <c r="L198" i="15"/>
  <c r="K191" i="15"/>
  <c r="V102" i="18" l="1"/>
  <c r="U93" i="18"/>
  <c r="U193" i="18"/>
  <c r="T199" i="18"/>
  <c r="T234" i="18"/>
  <c r="V198" i="18"/>
  <c r="U191" i="18"/>
  <c r="V101" i="18"/>
  <c r="O102" i="17"/>
  <c r="M199" i="17"/>
  <c r="N193" i="17"/>
  <c r="L234" i="17"/>
  <c r="N198" i="17"/>
  <c r="M191" i="17"/>
  <c r="N101" i="17"/>
  <c r="M93" i="17"/>
  <c r="N101" i="16"/>
  <c r="L108" i="16"/>
  <c r="K93" i="16"/>
  <c r="K191" i="16"/>
  <c r="Q102" i="16"/>
  <c r="K234" i="16"/>
  <c r="M198" i="16"/>
  <c r="L199" i="16"/>
  <c r="M193" i="16"/>
  <c r="M102" i="15"/>
  <c r="M191" i="15"/>
  <c r="N101" i="15"/>
  <c r="K199" i="15"/>
  <c r="L193" i="15"/>
  <c r="K234" i="15"/>
  <c r="M198" i="15"/>
  <c r="V191" i="18" l="1"/>
  <c r="W101" i="18"/>
  <c r="U234" i="18"/>
  <c r="W198" i="18"/>
  <c r="V193" i="18"/>
  <c r="U199" i="18"/>
  <c r="U51" i="18" s="1"/>
  <c r="U52" i="18" s="1"/>
  <c r="V93" i="18"/>
  <c r="W102" i="18"/>
  <c r="M234" i="17"/>
  <c r="O198" i="17"/>
  <c r="N199" i="17"/>
  <c r="O193" i="17"/>
  <c r="N191" i="17"/>
  <c r="O101" i="17"/>
  <c r="P102" i="17"/>
  <c r="O93" i="17"/>
  <c r="N93" i="17"/>
  <c r="R102" i="16"/>
  <c r="M199" i="16"/>
  <c r="N193" i="16"/>
  <c r="M108" i="16"/>
  <c r="L93" i="16"/>
  <c r="L191" i="16"/>
  <c r="O101" i="16"/>
  <c r="L234" i="16"/>
  <c r="N198" i="16"/>
  <c r="L234" i="15"/>
  <c r="N198" i="15"/>
  <c r="O101" i="15"/>
  <c r="L199" i="15"/>
  <c r="M193" i="15"/>
  <c r="L93" i="15"/>
  <c r="N102" i="15"/>
  <c r="N191" i="15" s="1"/>
  <c r="M93" i="15"/>
  <c r="V234" i="18" l="1"/>
  <c r="X198" i="18"/>
  <c r="X102" i="18"/>
  <c r="W93" i="18"/>
  <c r="W193" i="18"/>
  <c r="V199" i="18"/>
  <c r="V51" i="18" s="1"/>
  <c r="V52" i="18" s="1"/>
  <c r="W191" i="18"/>
  <c r="X101" i="18"/>
  <c r="U73" i="18"/>
  <c r="U75" i="18"/>
  <c r="Q102" i="17"/>
  <c r="O191" i="17"/>
  <c r="P101" i="17"/>
  <c r="P193" i="17"/>
  <c r="O199" i="17"/>
  <c r="N234" i="17"/>
  <c r="P198" i="17"/>
  <c r="N108" i="16"/>
  <c r="M93" i="16"/>
  <c r="M191" i="16"/>
  <c r="N199" i="16"/>
  <c r="O193" i="16"/>
  <c r="O198" i="16"/>
  <c r="M234" i="16"/>
  <c r="P101" i="16"/>
  <c r="S102" i="16"/>
  <c r="M199" i="15"/>
  <c r="N193" i="15"/>
  <c r="P101" i="15"/>
  <c r="M234" i="15"/>
  <c r="O198" i="15"/>
  <c r="N93" i="15"/>
  <c r="O102" i="15"/>
  <c r="X193" i="18" l="1"/>
  <c r="W199" i="18"/>
  <c r="W51" i="18" s="1"/>
  <c r="W52" i="18" s="1"/>
  <c r="V75" i="18"/>
  <c r="V73" i="18"/>
  <c r="Y102" i="18"/>
  <c r="X93" i="18"/>
  <c r="AM213" i="18"/>
  <c r="U7" i="18"/>
  <c r="W234" i="18"/>
  <c r="Y198" i="18"/>
  <c r="X191" i="18"/>
  <c r="Y101" i="18"/>
  <c r="U83" i="18"/>
  <c r="P199" i="17"/>
  <c r="Q193" i="17"/>
  <c r="O234" i="17"/>
  <c r="Q198" i="17"/>
  <c r="P191" i="17"/>
  <c r="Q101" i="17"/>
  <c r="P93" i="17"/>
  <c r="R102" i="17"/>
  <c r="Q93" i="17"/>
  <c r="P198" i="16"/>
  <c r="N234" i="16"/>
  <c r="P193" i="16"/>
  <c r="O199" i="16"/>
  <c r="T102" i="16"/>
  <c r="Q101" i="16"/>
  <c r="O108" i="16"/>
  <c r="N93" i="16"/>
  <c r="N191" i="16"/>
  <c r="P102" i="15"/>
  <c r="N234" i="15"/>
  <c r="P198" i="15"/>
  <c r="P191" i="15"/>
  <c r="Q101" i="15"/>
  <c r="O193" i="15"/>
  <c r="N199" i="15"/>
  <c r="O191" i="15"/>
  <c r="V83" i="18" l="1"/>
  <c r="Y191" i="18"/>
  <c r="Z101" i="18"/>
  <c r="Z102" i="18"/>
  <c r="Y93" i="18"/>
  <c r="AN213" i="18"/>
  <c r="V7" i="18"/>
  <c r="Z198" i="18"/>
  <c r="X234" i="18"/>
  <c r="W73" i="18"/>
  <c r="W75" i="18"/>
  <c r="X199" i="18"/>
  <c r="X51" i="18" s="1"/>
  <c r="X52" i="18" s="1"/>
  <c r="Y193" i="18"/>
  <c r="S102" i="17"/>
  <c r="Q191" i="17"/>
  <c r="R101" i="17"/>
  <c r="P234" i="17"/>
  <c r="R198" i="17"/>
  <c r="R193" i="17"/>
  <c r="R93" i="17" s="1"/>
  <c r="Q199" i="17"/>
  <c r="U102" i="16"/>
  <c r="R101" i="16"/>
  <c r="P199" i="16"/>
  <c r="Q193" i="16"/>
  <c r="P108" i="16"/>
  <c r="O93" i="16"/>
  <c r="O191" i="16"/>
  <c r="O234" i="16"/>
  <c r="Q198" i="16"/>
  <c r="R101" i="15"/>
  <c r="O199" i="15"/>
  <c r="P193" i="15"/>
  <c r="O93" i="15"/>
  <c r="O234" i="15"/>
  <c r="Q198" i="15"/>
  <c r="Q102" i="15"/>
  <c r="P93" i="15"/>
  <c r="W83" i="18" l="1"/>
  <c r="AA198" i="18"/>
  <c r="Y234" i="18"/>
  <c r="X73" i="18"/>
  <c r="X75" i="18"/>
  <c r="AA102" i="18"/>
  <c r="Z93" i="18"/>
  <c r="Y199" i="18"/>
  <c r="Y52" i="18" s="1"/>
  <c r="Z193" i="18"/>
  <c r="AO213" i="18"/>
  <c r="W7" i="18"/>
  <c r="Z191" i="18"/>
  <c r="AA101" i="18"/>
  <c r="R191" i="17"/>
  <c r="S101" i="17"/>
  <c r="Q234" i="17"/>
  <c r="S198" i="17"/>
  <c r="S193" i="17"/>
  <c r="R199" i="17"/>
  <c r="T102" i="17"/>
  <c r="S93" i="17"/>
  <c r="S101" i="16"/>
  <c r="P234" i="16"/>
  <c r="R198" i="16"/>
  <c r="Q108" i="16"/>
  <c r="P93" i="16"/>
  <c r="P191" i="16"/>
  <c r="R193" i="16"/>
  <c r="Q199" i="16"/>
  <c r="V102" i="16"/>
  <c r="Q193" i="15"/>
  <c r="P199" i="15"/>
  <c r="R102" i="15"/>
  <c r="Q93" i="15"/>
  <c r="P234" i="15"/>
  <c r="R198" i="15"/>
  <c r="R191" i="15"/>
  <c r="S101" i="15"/>
  <c r="Q191" i="15"/>
  <c r="Y75" i="18" l="1"/>
  <c r="Y73" i="18"/>
  <c r="Y83" i="18" s="1"/>
  <c r="AA191" i="18"/>
  <c r="AB101" i="18"/>
  <c r="AA93" i="18"/>
  <c r="AB102" i="18"/>
  <c r="Z199" i="18"/>
  <c r="AA193" i="18"/>
  <c r="AP213" i="18"/>
  <c r="X7" i="18"/>
  <c r="X83" i="18"/>
  <c r="AB198" i="18"/>
  <c r="Z234" i="18"/>
  <c r="R234" i="17"/>
  <c r="T198" i="17"/>
  <c r="S191" i="17"/>
  <c r="T101" i="17"/>
  <c r="T93" i="17"/>
  <c r="U102" i="17"/>
  <c r="S199" i="17"/>
  <c r="T193" i="17"/>
  <c r="S193" i="16"/>
  <c r="R199" i="16"/>
  <c r="R108" i="16"/>
  <c r="Q93" i="16"/>
  <c r="Q191" i="16"/>
  <c r="Q234" i="16"/>
  <c r="S198" i="16"/>
  <c r="W102" i="16"/>
  <c r="T101" i="16"/>
  <c r="T101" i="15"/>
  <c r="Q234" i="15"/>
  <c r="S198" i="15"/>
  <c r="S102" i="15"/>
  <c r="R93" i="15"/>
  <c r="R193" i="15"/>
  <c r="Q199" i="15"/>
  <c r="AB191" i="18" l="1"/>
  <c r="AC101" i="18"/>
  <c r="AA199" i="18"/>
  <c r="AA51" i="18" s="1"/>
  <c r="AA52" i="18" s="1"/>
  <c r="AB193" i="18"/>
  <c r="AC102" i="18"/>
  <c r="AB93" i="18"/>
  <c r="AC198" i="18"/>
  <c r="AA234" i="18"/>
  <c r="AQ213" i="18"/>
  <c r="Y7" i="18"/>
  <c r="T199" i="17"/>
  <c r="U193" i="17"/>
  <c r="V102" i="17"/>
  <c r="U93" i="17"/>
  <c r="S234" i="17"/>
  <c r="U198" i="17"/>
  <c r="T191" i="17"/>
  <c r="U101" i="17"/>
  <c r="U101" i="16"/>
  <c r="S108" i="16"/>
  <c r="R93" i="16"/>
  <c r="R191" i="16"/>
  <c r="R234" i="16"/>
  <c r="T198" i="16"/>
  <c r="X102" i="16"/>
  <c r="S199" i="16"/>
  <c r="T193" i="16"/>
  <c r="R199" i="15"/>
  <c r="S193" i="15"/>
  <c r="T102" i="15"/>
  <c r="S93" i="15"/>
  <c r="T198" i="15"/>
  <c r="R234" i="15"/>
  <c r="T191" i="15"/>
  <c r="U101" i="15"/>
  <c r="S191" i="15"/>
  <c r="AB234" i="18" l="1"/>
  <c r="AD198" i="18"/>
  <c r="AC193" i="18"/>
  <c r="AB199" i="18"/>
  <c r="AB51" i="18" s="1"/>
  <c r="AB52" i="18" s="1"/>
  <c r="AA75" i="18"/>
  <c r="AA73" i="18"/>
  <c r="AA83" i="18" s="1"/>
  <c r="AD102" i="18"/>
  <c r="AC93" i="18"/>
  <c r="AC191" i="18"/>
  <c r="AD101" i="18"/>
  <c r="U191" i="17"/>
  <c r="V101" i="17"/>
  <c r="V198" i="17"/>
  <c r="T234" i="17"/>
  <c r="U199" i="17"/>
  <c r="U51" i="17" s="1"/>
  <c r="U52" i="17" s="1"/>
  <c r="V193" i="17"/>
  <c r="V93" i="17"/>
  <c r="W102" i="17"/>
  <c r="S234" i="16"/>
  <c r="U198" i="16"/>
  <c r="U193" i="16"/>
  <c r="T199" i="16"/>
  <c r="T108" i="16"/>
  <c r="S93" i="16"/>
  <c r="S191" i="16"/>
  <c r="V101" i="16"/>
  <c r="Y102" i="16"/>
  <c r="V101" i="15"/>
  <c r="U102" i="15"/>
  <c r="T93" i="15"/>
  <c r="S199" i="15"/>
  <c r="T193" i="15"/>
  <c r="U198" i="15"/>
  <c r="S234" i="15"/>
  <c r="AS213" i="18" l="1"/>
  <c r="AA7" i="18"/>
  <c r="AD193" i="18"/>
  <c r="AC199" i="18"/>
  <c r="AC51" i="18" s="1"/>
  <c r="AC52" i="18" s="1"/>
  <c r="AD93" i="18"/>
  <c r="AE102" i="18"/>
  <c r="AD191" i="18"/>
  <c r="AE101" i="18"/>
  <c r="AC234" i="18"/>
  <c r="AE198" i="18"/>
  <c r="AB73" i="18"/>
  <c r="AB75" i="18"/>
  <c r="U75" i="17"/>
  <c r="U73" i="17"/>
  <c r="W198" i="17"/>
  <c r="U234" i="17"/>
  <c r="V191" i="17"/>
  <c r="W101" i="17"/>
  <c r="W93" i="17"/>
  <c r="X102" i="17"/>
  <c r="V199" i="17"/>
  <c r="V51" i="17" s="1"/>
  <c r="V52" i="17" s="1"/>
  <c r="W193" i="17"/>
  <c r="Z102" i="16"/>
  <c r="U108" i="16"/>
  <c r="T93" i="16"/>
  <c r="T191" i="16"/>
  <c r="U199" i="16"/>
  <c r="U51" i="16" s="1"/>
  <c r="U52" i="16" s="1"/>
  <c r="V193" i="16"/>
  <c r="T234" i="16"/>
  <c r="V198" i="16"/>
  <c r="W101" i="16"/>
  <c r="T234" i="15"/>
  <c r="V198" i="15"/>
  <c r="T199" i="15"/>
  <c r="U193" i="15"/>
  <c r="W101" i="15"/>
  <c r="V102" i="15"/>
  <c r="V191" i="15" s="1"/>
  <c r="U93" i="15"/>
  <c r="U191" i="15"/>
  <c r="AT213" i="18" l="1"/>
  <c r="AB7" i="18"/>
  <c r="AB83" i="18"/>
  <c r="AE193" i="18"/>
  <c r="AD199" i="18"/>
  <c r="AD51" i="18" s="1"/>
  <c r="AD52" i="18" s="1"/>
  <c r="AD234" i="18"/>
  <c r="AF198" i="18"/>
  <c r="AE191" i="18"/>
  <c r="AF101" i="18"/>
  <c r="AF102" i="18"/>
  <c r="AE93" i="18"/>
  <c r="AC73" i="18"/>
  <c r="AC75" i="18"/>
  <c r="U83" i="17"/>
  <c r="V234" i="17"/>
  <c r="X198" i="17"/>
  <c r="Y102" i="17"/>
  <c r="X93" i="17"/>
  <c r="W191" i="17"/>
  <c r="X101" i="17"/>
  <c r="X193" i="17"/>
  <c r="W199" i="17"/>
  <c r="W51" i="17" s="1"/>
  <c r="W52" i="17" s="1"/>
  <c r="V73" i="17"/>
  <c r="V75" i="17"/>
  <c r="AM213" i="17"/>
  <c r="U7" i="17"/>
  <c r="U75" i="16"/>
  <c r="U73" i="16"/>
  <c r="W193" i="16"/>
  <c r="V199" i="16"/>
  <c r="V51" i="16" s="1"/>
  <c r="V52" i="16" s="1"/>
  <c r="AA102" i="16"/>
  <c r="X101" i="16"/>
  <c r="V108" i="16"/>
  <c r="U93" i="16"/>
  <c r="U191" i="16"/>
  <c r="U234" i="16"/>
  <c r="W198" i="16"/>
  <c r="W198" i="15"/>
  <c r="U234" i="15"/>
  <c r="W102" i="15"/>
  <c r="W191" i="15"/>
  <c r="X101" i="15"/>
  <c r="U199" i="15"/>
  <c r="U51" i="15" s="1"/>
  <c r="U52" i="15" s="1"/>
  <c r="V193" i="15"/>
  <c r="AC83" i="18" l="1"/>
  <c r="AU213" i="18"/>
  <c r="AC7" i="18"/>
  <c r="AF193" i="18"/>
  <c r="AE199" i="18"/>
  <c r="AE51" i="18" s="1"/>
  <c r="AE52" i="18" s="1"/>
  <c r="AF93" i="18"/>
  <c r="AE234" i="18"/>
  <c r="B198" i="18"/>
  <c r="AF234" i="18" s="1"/>
  <c r="AD75" i="18"/>
  <c r="AD73" i="18"/>
  <c r="AF191" i="18"/>
  <c r="X199" i="17"/>
  <c r="X51" i="17" s="1"/>
  <c r="X52" i="17" s="1"/>
  <c r="Y193" i="17"/>
  <c r="Z102" i="17"/>
  <c r="Y93" i="17"/>
  <c r="W75" i="17"/>
  <c r="W73" i="17"/>
  <c r="X191" i="17"/>
  <c r="Y101" i="17"/>
  <c r="W234" i="17"/>
  <c r="Y198" i="17"/>
  <c r="AN213" i="17"/>
  <c r="V7" i="17"/>
  <c r="V83" i="17"/>
  <c r="U83" i="16"/>
  <c r="AB102" i="16"/>
  <c r="X193" i="16"/>
  <c r="W199" i="16"/>
  <c r="W51" i="16" s="1"/>
  <c r="W52" i="16" s="1"/>
  <c r="Y101" i="16"/>
  <c r="V234" i="16"/>
  <c r="X198" i="16"/>
  <c r="V75" i="16"/>
  <c r="V73" i="16"/>
  <c r="W108" i="16"/>
  <c r="V93" i="16"/>
  <c r="V191" i="16"/>
  <c r="AM213" i="16"/>
  <c r="U7" i="16"/>
  <c r="W193" i="15"/>
  <c r="V199" i="15"/>
  <c r="V51" i="15" s="1"/>
  <c r="V52" i="15" s="1"/>
  <c r="U75" i="15"/>
  <c r="U73" i="15"/>
  <c r="U83" i="15" s="1"/>
  <c r="Y101" i="15"/>
  <c r="W93" i="15"/>
  <c r="X102" i="15"/>
  <c r="X191" i="15" s="1"/>
  <c r="V93" i="15"/>
  <c r="V234" i="15"/>
  <c r="X198" i="15"/>
  <c r="AE73" i="18" l="1"/>
  <c r="AE75" i="18"/>
  <c r="AF199" i="18"/>
  <c r="AF51" i="18" s="1"/>
  <c r="AF52" i="18" s="1"/>
  <c r="B193" i="18"/>
  <c r="B199" i="18" s="1"/>
  <c r="AD83" i="18"/>
  <c r="AI93" i="18"/>
  <c r="AH93" i="18"/>
  <c r="B191" i="18"/>
  <c r="AV213" i="18"/>
  <c r="AD7" i="18"/>
  <c r="W83" i="17"/>
  <c r="Y191" i="17"/>
  <c r="Z101" i="17"/>
  <c r="AO213" i="17"/>
  <c r="W7" i="17"/>
  <c r="Z93" i="17"/>
  <c r="AA102" i="17"/>
  <c r="X234" i="17"/>
  <c r="Z198" i="17"/>
  <c r="Z193" i="17"/>
  <c r="Y199" i="17"/>
  <c r="X73" i="17"/>
  <c r="X75" i="17"/>
  <c r="V83" i="16"/>
  <c r="W234" i="16"/>
  <c r="Y198" i="16"/>
  <c r="X108" i="16"/>
  <c r="W93" i="16"/>
  <c r="W191" i="16"/>
  <c r="X199" i="16"/>
  <c r="X51" i="16" s="1"/>
  <c r="X52" i="16" s="1"/>
  <c r="Y193" i="16"/>
  <c r="Z101" i="16"/>
  <c r="W75" i="16"/>
  <c r="W73" i="16"/>
  <c r="AN213" i="16"/>
  <c r="V7" i="16"/>
  <c r="AC102" i="16"/>
  <c r="Y102" i="15"/>
  <c r="Y191" i="15"/>
  <c r="Z101" i="15"/>
  <c r="W234" i="15"/>
  <c r="Y198" i="15"/>
  <c r="AM213" i="15"/>
  <c r="U7" i="15"/>
  <c r="V75" i="15"/>
  <c r="V73" i="15"/>
  <c r="W199" i="15"/>
  <c r="W51" i="15" s="1"/>
  <c r="W52" i="15" s="1"/>
  <c r="X193" i="15"/>
  <c r="AH51" i="18" l="1"/>
  <c r="AI51" i="18"/>
  <c r="B52" i="18"/>
  <c r="AF75" i="18"/>
  <c r="AF73" i="18"/>
  <c r="AW213" i="18"/>
  <c r="AE7" i="18"/>
  <c r="AE83" i="18"/>
  <c r="X83" i="17"/>
  <c r="AB102" i="17"/>
  <c r="Z191" i="17"/>
  <c r="AA101" i="17"/>
  <c r="Y234" i="17"/>
  <c r="AA198" i="17"/>
  <c r="AA93" i="17" s="1"/>
  <c r="AP213" i="17"/>
  <c r="X7" i="17"/>
  <c r="AA193" i="17"/>
  <c r="Z199" i="17"/>
  <c r="W83" i="16"/>
  <c r="Z193" i="16"/>
  <c r="Y199" i="16"/>
  <c r="Y52" i="16" s="1"/>
  <c r="AD102" i="16"/>
  <c r="Y108" i="16"/>
  <c r="X93" i="16"/>
  <c r="X191" i="16"/>
  <c r="AO213" i="16"/>
  <c r="W7" i="16"/>
  <c r="X75" i="16"/>
  <c r="X73" i="16"/>
  <c r="X234" i="16"/>
  <c r="Z198" i="16"/>
  <c r="AA101" i="16"/>
  <c r="V83" i="15"/>
  <c r="Z102" i="15"/>
  <c r="X234" i="15"/>
  <c r="Z198" i="15"/>
  <c r="X199" i="15"/>
  <c r="X51" i="15" s="1"/>
  <c r="X52" i="15" s="1"/>
  <c r="Y193" i="15"/>
  <c r="Z191" i="15"/>
  <c r="AA101" i="15"/>
  <c r="W73" i="15"/>
  <c r="W75" i="15"/>
  <c r="AN213" i="15"/>
  <c r="V7" i="15"/>
  <c r="X93" i="15"/>
  <c r="AF83" i="18" l="1"/>
  <c r="AX213" i="18"/>
  <c r="AF7" i="18"/>
  <c r="AI52" i="18"/>
  <c r="AH52" i="18"/>
  <c r="Z234" i="17"/>
  <c r="AB198" i="17"/>
  <c r="AA191" i="17"/>
  <c r="AB101" i="17"/>
  <c r="AA199" i="17"/>
  <c r="AA51" i="17" s="1"/>
  <c r="AA52" i="17" s="1"/>
  <c r="AB193" i="17"/>
  <c r="AB93" i="17"/>
  <c r="AC102" i="17"/>
  <c r="X83" i="16"/>
  <c r="Y234" i="16"/>
  <c r="AA198" i="16"/>
  <c r="AB101" i="16"/>
  <c r="AP213" i="16"/>
  <c r="X7" i="16"/>
  <c r="Z108" i="16"/>
  <c r="Y93" i="16"/>
  <c r="Y191" i="16"/>
  <c r="AE102" i="16"/>
  <c r="Y75" i="16"/>
  <c r="Y73" i="16"/>
  <c r="Y83" i="16" s="1"/>
  <c r="Z199" i="16"/>
  <c r="AA193" i="16"/>
  <c r="Z193" i="15"/>
  <c r="Y199" i="15"/>
  <c r="Y52" i="15" s="1"/>
  <c r="Y234" i="15"/>
  <c r="AA198" i="15"/>
  <c r="X75" i="15"/>
  <c r="X73" i="15"/>
  <c r="X83" i="15" s="1"/>
  <c r="AO213" i="15"/>
  <c r="W7" i="15"/>
  <c r="W83" i="15"/>
  <c r="AA102" i="15"/>
  <c r="Z93" i="15"/>
  <c r="Y93" i="15"/>
  <c r="AA191" i="15"/>
  <c r="AB101" i="15"/>
  <c r="AI73" i="18" l="1"/>
  <c r="AH73" i="18"/>
  <c r="T213" i="18"/>
  <c r="AH75" i="18"/>
  <c r="B7" i="18"/>
  <c r="A7" i="18" s="1"/>
  <c r="AI75" i="18"/>
  <c r="AD102" i="17"/>
  <c r="AA75" i="17"/>
  <c r="AA73" i="17"/>
  <c r="AB199" i="17"/>
  <c r="AB51" i="17" s="1"/>
  <c r="AB52" i="17" s="1"/>
  <c r="AC193" i="17"/>
  <c r="AC93" i="17" s="1"/>
  <c r="AB191" i="17"/>
  <c r="AC101" i="17"/>
  <c r="AA234" i="17"/>
  <c r="AC198" i="17"/>
  <c r="AA108" i="16"/>
  <c r="Z93" i="16"/>
  <c r="Z191" i="16"/>
  <c r="AQ213" i="16"/>
  <c r="Y7" i="16"/>
  <c r="AF102" i="16"/>
  <c r="AA199" i="16"/>
  <c r="AA51" i="16" s="1"/>
  <c r="AA52" i="16" s="1"/>
  <c r="AB193" i="16"/>
  <c r="Z234" i="16"/>
  <c r="AB198" i="16"/>
  <c r="AC101" i="16"/>
  <c r="AB102" i="15"/>
  <c r="AA93" i="15"/>
  <c r="Y73" i="15"/>
  <c r="Y75" i="15"/>
  <c r="AB191" i="15"/>
  <c r="AC101" i="15"/>
  <c r="AP213" i="15"/>
  <c r="X7" i="15"/>
  <c r="Z234" i="15"/>
  <c r="AB198" i="15"/>
  <c r="Z199" i="15"/>
  <c r="AA193" i="15"/>
  <c r="AI83" i="18" l="1"/>
  <c r="AH83" i="18"/>
  <c r="AA83" i="17"/>
  <c r="AB75" i="17"/>
  <c r="AB73" i="17"/>
  <c r="AS213" i="17"/>
  <c r="AA7" i="17"/>
  <c r="AC191" i="17"/>
  <c r="AD101" i="17"/>
  <c r="AC199" i="17"/>
  <c r="AC51" i="17" s="1"/>
  <c r="AC52" i="17" s="1"/>
  <c r="AD193" i="17"/>
  <c r="AB234" i="17"/>
  <c r="AD198" i="17"/>
  <c r="AE102" i="17"/>
  <c r="AA75" i="16"/>
  <c r="AA73" i="16"/>
  <c r="B102" i="16"/>
  <c r="AD101" i="16"/>
  <c r="AA234" i="16"/>
  <c r="AC198" i="16"/>
  <c r="AB199" i="16"/>
  <c r="AB51" i="16" s="1"/>
  <c r="AB52" i="16" s="1"/>
  <c r="AC193" i="16"/>
  <c r="AB108" i="16"/>
  <c r="AA93" i="16"/>
  <c r="AA191" i="16"/>
  <c r="AA199" i="15"/>
  <c r="AA51" i="15" s="1"/>
  <c r="AA52" i="15" s="1"/>
  <c r="AB193" i="15"/>
  <c r="Y83" i="15"/>
  <c r="AC191" i="15"/>
  <c r="AD101" i="15"/>
  <c r="AQ213" i="15"/>
  <c r="Y7" i="15"/>
  <c r="AA234" i="15"/>
  <c r="AC198" i="15"/>
  <c r="AC102" i="15"/>
  <c r="AB93" i="15"/>
  <c r="AB83" i="17" l="1"/>
  <c r="AD199" i="17"/>
  <c r="AD51" i="17" s="1"/>
  <c r="AD52" i="17" s="1"/>
  <c r="AE193" i="17"/>
  <c r="AF102" i="17"/>
  <c r="AE93" i="17"/>
  <c r="AD93" i="17"/>
  <c r="AC73" i="17"/>
  <c r="AC75" i="17"/>
  <c r="AD191" i="17"/>
  <c r="AE101" i="17"/>
  <c r="AC234" i="17"/>
  <c r="AE198" i="17"/>
  <c r="AT213" i="17"/>
  <c r="AB7" i="17"/>
  <c r="AA83" i="16"/>
  <c r="AC108" i="16"/>
  <c r="AB93" i="16"/>
  <c r="AB191" i="16"/>
  <c r="AC199" i="16"/>
  <c r="AC51" i="16" s="1"/>
  <c r="AC52" i="16" s="1"/>
  <c r="AD193" i="16"/>
  <c r="AB234" i="16"/>
  <c r="AD198" i="16"/>
  <c r="AE101" i="16"/>
  <c r="AB73" i="16"/>
  <c r="AB75" i="16"/>
  <c r="AS213" i="16"/>
  <c r="AA7" i="16"/>
  <c r="AD102" i="15"/>
  <c r="AC93" i="15"/>
  <c r="AB199" i="15"/>
  <c r="AB51" i="15" s="1"/>
  <c r="AB52" i="15" s="1"/>
  <c r="AC193" i="15"/>
  <c r="AD191" i="15"/>
  <c r="AE101" i="15"/>
  <c r="AB234" i="15"/>
  <c r="AD198" i="15"/>
  <c r="AA75" i="15"/>
  <c r="AA73" i="15"/>
  <c r="AA83" i="15" s="1"/>
  <c r="AU213" i="17" l="1"/>
  <c r="AC7" i="17"/>
  <c r="AC83" i="17"/>
  <c r="AF93" i="17"/>
  <c r="B102" i="17"/>
  <c r="AD234" i="17"/>
  <c r="AF198" i="17"/>
  <c r="AF193" i="17"/>
  <c r="AE199" i="17"/>
  <c r="AE51" i="17" s="1"/>
  <c r="AE52" i="17" s="1"/>
  <c r="AE191" i="17"/>
  <c r="AF101" i="17"/>
  <c r="AD73" i="17"/>
  <c r="AD75" i="17"/>
  <c r="AB83" i="16"/>
  <c r="AD199" i="16"/>
  <c r="AD51" i="16" s="1"/>
  <c r="AD52" i="16" s="1"/>
  <c r="AE193" i="16"/>
  <c r="AC234" i="16"/>
  <c r="AE198" i="16"/>
  <c r="AC75" i="16"/>
  <c r="AC73" i="16"/>
  <c r="AT213" i="16"/>
  <c r="AB7" i="16"/>
  <c r="AF101" i="16"/>
  <c r="AD108" i="16"/>
  <c r="AC93" i="16"/>
  <c r="AC191" i="16"/>
  <c r="AC234" i="15"/>
  <c r="AE198" i="15"/>
  <c r="AC199" i="15"/>
  <c r="AC51" i="15" s="1"/>
  <c r="AC52" i="15" s="1"/>
  <c r="AD193" i="15"/>
  <c r="AB73" i="15"/>
  <c r="AB75" i="15"/>
  <c r="AE191" i="15"/>
  <c r="AF101" i="15"/>
  <c r="AS213" i="15"/>
  <c r="AA7" i="15"/>
  <c r="AD93" i="15"/>
  <c r="AE102" i="15"/>
  <c r="AI93" i="17" l="1"/>
  <c r="AH93" i="17"/>
  <c r="AF191" i="17"/>
  <c r="B101" i="17"/>
  <c r="B191" i="17" s="1"/>
  <c r="B193" i="17"/>
  <c r="B199" i="17" s="1"/>
  <c r="AF199" i="17"/>
  <c r="AF51" i="17" s="1"/>
  <c r="AF52" i="17" s="1"/>
  <c r="AV213" i="17"/>
  <c r="AD7" i="17"/>
  <c r="AE234" i="17"/>
  <c r="B198" i="17"/>
  <c r="AF234" i="17" s="1"/>
  <c r="AD83" i="17"/>
  <c r="AE73" i="17"/>
  <c r="AE75" i="17"/>
  <c r="AC83" i="16"/>
  <c r="AU213" i="16"/>
  <c r="AC7" i="16"/>
  <c r="B101" i="16"/>
  <c r="AD234" i="16"/>
  <c r="AF198" i="16"/>
  <c r="AD75" i="16"/>
  <c r="AD73" i="16"/>
  <c r="AE108" i="16"/>
  <c r="AD93" i="16"/>
  <c r="AD191" i="16"/>
  <c r="AF193" i="16"/>
  <c r="AE199" i="16"/>
  <c r="AE51" i="16" s="1"/>
  <c r="AE52" i="16" s="1"/>
  <c r="AB83" i="15"/>
  <c r="AE193" i="15"/>
  <c r="AD199" i="15"/>
  <c r="AD51" i="15" s="1"/>
  <c r="AD52" i="15" s="1"/>
  <c r="AD234" i="15"/>
  <c r="AF198" i="15"/>
  <c r="AF191" i="15"/>
  <c r="B101" i="15"/>
  <c r="AT213" i="15"/>
  <c r="AB7" i="15"/>
  <c r="AF102" i="15"/>
  <c r="AE93" i="15"/>
  <c r="AC75" i="15"/>
  <c r="AC73" i="15"/>
  <c r="AF73" i="17" l="1"/>
  <c r="AF75" i="17"/>
  <c r="AW213" i="17"/>
  <c r="AE7" i="17"/>
  <c r="AH51" i="17"/>
  <c r="AI51" i="17"/>
  <c r="AE83" i="17"/>
  <c r="AD83" i="16"/>
  <c r="AE75" i="16"/>
  <c r="AE73" i="16"/>
  <c r="AE83" i="16" s="1"/>
  <c r="AF199" i="16"/>
  <c r="AF51" i="16" s="1"/>
  <c r="AF52" i="16" s="1"/>
  <c r="B193" i="16"/>
  <c r="B199" i="16" s="1"/>
  <c r="B51" i="16" s="1"/>
  <c r="AV213" i="16"/>
  <c r="AD7" i="16"/>
  <c r="AE234" i="16"/>
  <c r="B198" i="16"/>
  <c r="AF234" i="16" s="1"/>
  <c r="AF108" i="16"/>
  <c r="AE93" i="16"/>
  <c r="AE191" i="16"/>
  <c r="AC83" i="15"/>
  <c r="AE234" i="15"/>
  <c r="B198" i="15"/>
  <c r="AF234" i="15" s="1"/>
  <c r="AD73" i="15"/>
  <c r="AD75" i="15"/>
  <c r="AU213" i="15"/>
  <c r="AC7" i="15"/>
  <c r="B102" i="15"/>
  <c r="AF93" i="15"/>
  <c r="AF193" i="15"/>
  <c r="AE199" i="15"/>
  <c r="AE51" i="15" s="1"/>
  <c r="AE52" i="15" s="1"/>
  <c r="AX213" i="17" l="1"/>
  <c r="AF7" i="17"/>
  <c r="AH52" i="17"/>
  <c r="AI52" i="17"/>
  <c r="AF83" i="17"/>
  <c r="AF75" i="16"/>
  <c r="AF73" i="16"/>
  <c r="AF83" i="16" s="1"/>
  <c r="B52" i="16"/>
  <c r="AI51" i="16"/>
  <c r="AH51" i="16"/>
  <c r="B108" i="16"/>
  <c r="AF93" i="16"/>
  <c r="AF191" i="16"/>
  <c r="AW213" i="16"/>
  <c r="AE7" i="16"/>
  <c r="AV213" i="15"/>
  <c r="AD7" i="15"/>
  <c r="AE75" i="15"/>
  <c r="AE73" i="15"/>
  <c r="AE83" i="15" s="1"/>
  <c r="AD83" i="15"/>
  <c r="AF199" i="15"/>
  <c r="B193" i="15"/>
  <c r="B199" i="15" s="1"/>
  <c r="B51" i="15" s="1"/>
  <c r="AI93" i="15"/>
  <c r="AH93" i="15"/>
  <c r="B191" i="15"/>
  <c r="AH73" i="17" l="1"/>
  <c r="AI73" i="17"/>
  <c r="T213" i="17"/>
  <c r="AI75" i="17"/>
  <c r="AH75" i="17"/>
  <c r="B7" i="17"/>
  <c r="A7" i="17" s="1"/>
  <c r="B93" i="16"/>
  <c r="B191" i="16"/>
  <c r="AI93" i="16"/>
  <c r="AH93" i="16"/>
  <c r="AH52" i="16"/>
  <c r="B73" i="16"/>
  <c r="AI52" i="16"/>
  <c r="B75" i="16"/>
  <c r="AX213" i="16"/>
  <c r="AF7" i="16"/>
  <c r="B52" i="15"/>
  <c r="AH51" i="15"/>
  <c r="AI51" i="15"/>
  <c r="AW213" i="15"/>
  <c r="AE7" i="15"/>
  <c r="B93" i="15"/>
  <c r="AF73" i="15"/>
  <c r="AF75" i="15"/>
  <c r="AH83" i="17" l="1"/>
  <c r="AI83" i="17"/>
  <c r="T213" i="16"/>
  <c r="AI75" i="16"/>
  <c r="AH75" i="16"/>
  <c r="B7" i="16"/>
  <c r="A7" i="16" s="1"/>
  <c r="AI73" i="16"/>
  <c r="AH73" i="16"/>
  <c r="B83" i="16"/>
  <c r="AF83" i="15"/>
  <c r="AX213" i="15"/>
  <c r="AF7" i="15"/>
  <c r="AH52" i="15"/>
  <c r="B75" i="15"/>
  <c r="AI52" i="15"/>
  <c r="B73" i="15"/>
  <c r="AI83" i="16" l="1"/>
  <c r="AH83" i="16"/>
  <c r="T213" i="15"/>
  <c r="AI75" i="15"/>
  <c r="AH75" i="15"/>
  <c r="B7" i="15"/>
  <c r="A7" i="15" s="1"/>
  <c r="AH73" i="15"/>
  <c r="B83" i="15"/>
  <c r="AI73" i="15"/>
  <c r="AH83" i="15" l="1"/>
  <c r="AI83" i="15"/>
  <c r="N37" i="14" l="1"/>
  <c r="M37" i="14"/>
  <c r="Y72" i="13"/>
  <c r="Z72" i="13"/>
  <c r="Y73" i="13"/>
  <c r="Z73" i="13"/>
  <c r="Y75" i="13"/>
  <c r="Z75" i="13"/>
  <c r="Z83" i="13" s="1"/>
  <c r="Y76" i="13"/>
  <c r="Y82" i="13" s="1"/>
  <c r="Z76" i="13"/>
  <c r="Z82" i="13" s="1"/>
  <c r="Y77" i="13"/>
  <c r="Z77" i="13"/>
  <c r="Y78" i="13"/>
  <c r="Z78" i="13"/>
  <c r="Y79" i="13"/>
  <c r="Z79" i="13"/>
  <c r="Y80" i="13"/>
  <c r="Z80" i="13"/>
  <c r="Y93" i="13"/>
  <c r="Z93" i="13"/>
  <c r="L37" i="14"/>
  <c r="K37" i="14"/>
  <c r="J37" i="14"/>
  <c r="I37" i="14"/>
  <c r="H37" i="14"/>
  <c r="G37" i="14"/>
  <c r="F37" i="14"/>
  <c r="E37" i="14"/>
  <c r="D37" i="14"/>
  <c r="AH99" i="14"/>
  <c r="AI99" i="14" s="1"/>
  <c r="C37" i="14"/>
  <c r="B51" i="14"/>
  <c r="B37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C234" i="14"/>
  <c r="B234" i="14"/>
  <c r="S209" i="14"/>
  <c r="AG199" i="14"/>
  <c r="C199" i="14"/>
  <c r="F198" i="14"/>
  <c r="G198" i="14" s="1"/>
  <c r="D198" i="14"/>
  <c r="E198" i="14" s="1"/>
  <c r="D234" i="14" s="1"/>
  <c r="D197" i="14"/>
  <c r="E197" i="14" s="1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D196" i="14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H195" i="14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E195" i="14"/>
  <c r="F195" i="14" s="1"/>
  <c r="G195" i="14" s="1"/>
  <c r="D195" i="14"/>
  <c r="B195" i="14"/>
  <c r="F194" i="14"/>
  <c r="G194" i="14" s="1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U194" i="14" s="1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B194" i="14" s="1"/>
  <c r="D194" i="14"/>
  <c r="E194" i="14" s="1"/>
  <c r="D193" i="14"/>
  <c r="D199" i="14" s="1"/>
  <c r="AG191" i="14"/>
  <c r="C191" i="14"/>
  <c r="H190" i="14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B190" i="14" s="1"/>
  <c r="E190" i="14"/>
  <c r="F190" i="14" s="1"/>
  <c r="G190" i="14" s="1"/>
  <c r="D190" i="14"/>
  <c r="H189" i="14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E189" i="14"/>
  <c r="F189" i="14" s="1"/>
  <c r="G189" i="14" s="1"/>
  <c r="D189" i="14"/>
  <c r="E188" i="14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D188" i="14"/>
  <c r="F187" i="14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B187" i="14" s="1"/>
  <c r="E187" i="14"/>
  <c r="D187" i="14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M185" i="14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E185" i="14"/>
  <c r="F185" i="14" s="1"/>
  <c r="G185" i="14" s="1"/>
  <c r="H185" i="14" s="1"/>
  <c r="I185" i="14" s="1"/>
  <c r="J185" i="14" s="1"/>
  <c r="K185" i="14" s="1"/>
  <c r="L185" i="14" s="1"/>
  <c r="D185" i="14"/>
  <c r="F184" i="14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E184" i="14"/>
  <c r="D184" i="14"/>
  <c r="G183" i="14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D183" i="14"/>
  <c r="E183" i="14" s="1"/>
  <c r="F183" i="14" s="1"/>
  <c r="L182" i="14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G182" i="14"/>
  <c r="H182" i="14" s="1"/>
  <c r="I182" i="14" s="1"/>
  <c r="J182" i="14" s="1"/>
  <c r="K182" i="14" s="1"/>
  <c r="D182" i="14"/>
  <c r="E182" i="14" s="1"/>
  <c r="F182" i="14" s="1"/>
  <c r="F181" i="14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E181" i="14"/>
  <c r="D181" i="14"/>
  <c r="AE180" i="14"/>
  <c r="AF180" i="14" s="1"/>
  <c r="B180" i="14" s="1"/>
  <c r="M180" i="14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D180" i="14"/>
  <c r="E180" i="14" s="1"/>
  <c r="F180" i="14" s="1"/>
  <c r="G180" i="14" s="1"/>
  <c r="H180" i="14" s="1"/>
  <c r="I180" i="14" s="1"/>
  <c r="J180" i="14" s="1"/>
  <c r="K180" i="14" s="1"/>
  <c r="L180" i="14" s="1"/>
  <c r="M179" i="14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D179" i="14"/>
  <c r="E179" i="14" s="1"/>
  <c r="F179" i="14" s="1"/>
  <c r="G179" i="14" s="1"/>
  <c r="H179" i="14" s="1"/>
  <c r="I179" i="14" s="1"/>
  <c r="J179" i="14" s="1"/>
  <c r="K179" i="14" s="1"/>
  <c r="L179" i="14" s="1"/>
  <c r="D178" i="14"/>
  <c r="E178" i="14" s="1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B178" i="14" s="1"/>
  <c r="G176" i="14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B176" i="14" s="1"/>
  <c r="D176" i="14"/>
  <c r="E176" i="14" s="1"/>
  <c r="F176" i="14" s="1"/>
  <c r="U175" i="14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G175" i="14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E175" i="14"/>
  <c r="F175" i="14" s="1"/>
  <c r="D175" i="14"/>
  <c r="N174" i="14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D174" i="14"/>
  <c r="E174" i="14" s="1"/>
  <c r="F174" i="14" s="1"/>
  <c r="G174" i="14" s="1"/>
  <c r="H174" i="14" s="1"/>
  <c r="I174" i="14" s="1"/>
  <c r="J174" i="14" s="1"/>
  <c r="K174" i="14" s="1"/>
  <c r="L174" i="14" s="1"/>
  <c r="M174" i="14" s="1"/>
  <c r="D173" i="14"/>
  <c r="E173" i="14" s="1"/>
  <c r="F173" i="14" s="1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T172" i="14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G172" i="14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D172" i="14"/>
  <c r="E172" i="14" s="1"/>
  <c r="F172" i="14" s="1"/>
  <c r="AD171" i="14"/>
  <c r="AE171" i="14" s="1"/>
  <c r="AF171" i="14" s="1"/>
  <c r="B171" i="14" s="1"/>
  <c r="R171" i="14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E171" i="14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D171" i="14"/>
  <c r="T170" i="14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O169" i="14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B169" i="14" s="1"/>
  <c r="D169" i="14"/>
  <c r="E169" i="14" s="1"/>
  <c r="F169" i="14" s="1"/>
  <c r="G169" i="14" s="1"/>
  <c r="H169" i="14" s="1"/>
  <c r="I169" i="14" s="1"/>
  <c r="J169" i="14" s="1"/>
  <c r="K169" i="14" s="1"/>
  <c r="L169" i="14" s="1"/>
  <c r="M169" i="14" s="1"/>
  <c r="N169" i="14" s="1"/>
  <c r="O167" i="14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B167" i="14" s="1"/>
  <c r="E167" i="14"/>
  <c r="F167" i="14" s="1"/>
  <c r="G167" i="14" s="1"/>
  <c r="H167" i="14" s="1"/>
  <c r="I167" i="14" s="1"/>
  <c r="J167" i="14" s="1"/>
  <c r="K167" i="14" s="1"/>
  <c r="L167" i="14" s="1"/>
  <c r="M167" i="14" s="1"/>
  <c r="N167" i="14" s="1"/>
  <c r="D167" i="14"/>
  <c r="E166" i="14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D166" i="14"/>
  <c r="F165" i="14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D165" i="14"/>
  <c r="E165" i="14" s="1"/>
  <c r="D164" i="14"/>
  <c r="E164" i="14" s="1"/>
  <c r="F164" i="14" s="1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E163" i="14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D163" i="14"/>
  <c r="V162" i="14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E162" i="14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D162" i="14"/>
  <c r="T161" i="14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B161" i="14" s="1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AB160" i="14"/>
  <c r="AC160" i="14" s="1"/>
  <c r="AD160" i="14" s="1"/>
  <c r="AE160" i="14" s="1"/>
  <c r="AF160" i="14" s="1"/>
  <c r="B160" i="14" s="1"/>
  <c r="D160" i="14"/>
  <c r="E160" i="14" s="1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P159" i="14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M159" i="14"/>
  <c r="N159" i="14" s="1"/>
  <c r="O159" i="14" s="1"/>
  <c r="E159" i="14"/>
  <c r="F159" i="14" s="1"/>
  <c r="G159" i="14" s="1"/>
  <c r="H159" i="14" s="1"/>
  <c r="I159" i="14" s="1"/>
  <c r="J159" i="14" s="1"/>
  <c r="K159" i="14" s="1"/>
  <c r="L159" i="14" s="1"/>
  <c r="D159" i="14"/>
  <c r="M158" i="14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B158" i="14" s="1"/>
  <c r="E158" i="14"/>
  <c r="F158" i="14" s="1"/>
  <c r="G158" i="14" s="1"/>
  <c r="H158" i="14" s="1"/>
  <c r="I158" i="14" s="1"/>
  <c r="J158" i="14" s="1"/>
  <c r="K158" i="14" s="1"/>
  <c r="L158" i="14" s="1"/>
  <c r="D158" i="14"/>
  <c r="E157" i="14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D157" i="14"/>
  <c r="G156" i="14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D156" i="14"/>
  <c r="E156" i="14" s="1"/>
  <c r="F156" i="14" s="1"/>
  <c r="AC155" i="14"/>
  <c r="AD155" i="14" s="1"/>
  <c r="AE155" i="14" s="1"/>
  <c r="AF155" i="14" s="1"/>
  <c r="B155" i="14" s="1"/>
  <c r="G155" i="14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E155" i="14"/>
  <c r="F155" i="14" s="1"/>
  <c r="D155" i="14"/>
  <c r="K153" i="14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B153" i="14" s="1"/>
  <c r="E153" i="14"/>
  <c r="F153" i="14" s="1"/>
  <c r="G153" i="14" s="1"/>
  <c r="H153" i="14" s="1"/>
  <c r="I153" i="14" s="1"/>
  <c r="J153" i="14" s="1"/>
  <c r="D153" i="14"/>
  <c r="D152" i="14"/>
  <c r="E152" i="14" s="1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B152" i="14" s="1"/>
  <c r="G151" i="14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D151" i="14"/>
  <c r="E151" i="14" s="1"/>
  <c r="F151" i="14" s="1"/>
  <c r="AE150" i="14"/>
  <c r="AF150" i="14" s="1"/>
  <c r="B150" i="14" s="1"/>
  <c r="E150" i="14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D150" i="14"/>
  <c r="U148" i="14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B148" i="14" s="1"/>
  <c r="F148" i="14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E148" i="14"/>
  <c r="D148" i="14"/>
  <c r="D147" i="14"/>
  <c r="E147" i="14" s="1"/>
  <c r="F147" i="14" s="1"/>
  <c r="G147" i="14" s="1"/>
  <c r="H147" i="14" s="1"/>
  <c r="I147" i="14" s="1"/>
  <c r="J147" i="14" s="1"/>
  <c r="K147" i="14" s="1"/>
  <c r="L147" i="14" s="1"/>
  <c r="M147" i="14" s="1"/>
  <c r="N147" i="14" s="1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B147" i="14" s="1"/>
  <c r="Z145" i="14"/>
  <c r="AA145" i="14" s="1"/>
  <c r="AB145" i="14" s="1"/>
  <c r="AC145" i="14" s="1"/>
  <c r="AD145" i="14" s="1"/>
  <c r="AE145" i="14" s="1"/>
  <c r="AF145" i="14" s="1"/>
  <c r="B145" i="14" s="1"/>
  <c r="G145" i="14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D145" i="14"/>
  <c r="E145" i="14" s="1"/>
  <c r="F145" i="14" s="1"/>
  <c r="E144" i="14"/>
  <c r="F144" i="14" s="1"/>
  <c r="G144" i="14" s="1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B144" i="14" s="1"/>
  <c r="D144" i="14"/>
  <c r="U143" i="14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N143" i="14"/>
  <c r="O143" i="14" s="1"/>
  <c r="P143" i="14" s="1"/>
  <c r="Q143" i="14" s="1"/>
  <c r="R143" i="14" s="1"/>
  <c r="S143" i="14" s="1"/>
  <c r="T143" i="14" s="1"/>
  <c r="E143" i="14"/>
  <c r="F143" i="14" s="1"/>
  <c r="G143" i="14" s="1"/>
  <c r="H143" i="14" s="1"/>
  <c r="I143" i="14" s="1"/>
  <c r="J143" i="14" s="1"/>
  <c r="K143" i="14" s="1"/>
  <c r="L143" i="14" s="1"/>
  <c r="M143" i="14" s="1"/>
  <c r="D143" i="14"/>
  <c r="N142" i="14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D142" i="14"/>
  <c r="E142" i="14" s="1"/>
  <c r="F142" i="14" s="1"/>
  <c r="G142" i="14" s="1"/>
  <c r="H142" i="14" s="1"/>
  <c r="I142" i="14" s="1"/>
  <c r="J142" i="14" s="1"/>
  <c r="K142" i="14" s="1"/>
  <c r="L142" i="14" s="1"/>
  <c r="M142" i="14" s="1"/>
  <c r="AB141" i="14"/>
  <c r="AC141" i="14" s="1"/>
  <c r="AD141" i="14" s="1"/>
  <c r="AE141" i="14" s="1"/>
  <c r="AF141" i="14" s="1"/>
  <c r="I141" i="14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G141" i="14"/>
  <c r="H141" i="14" s="1"/>
  <c r="D141" i="14"/>
  <c r="E141" i="14" s="1"/>
  <c r="F141" i="14" s="1"/>
  <c r="B141" i="14"/>
  <c r="E140" i="14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D140" i="14"/>
  <c r="N139" i="14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B139" i="14" s="1"/>
  <c r="F139" i="14"/>
  <c r="G139" i="14" s="1"/>
  <c r="H139" i="14" s="1"/>
  <c r="I139" i="14" s="1"/>
  <c r="J139" i="14" s="1"/>
  <c r="K139" i="14" s="1"/>
  <c r="L139" i="14" s="1"/>
  <c r="M139" i="14" s="1"/>
  <c r="E139" i="14"/>
  <c r="D139" i="14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O136" i="14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K136" i="14"/>
  <c r="L136" i="14" s="1"/>
  <c r="M136" i="14" s="1"/>
  <c r="N136" i="14" s="1"/>
  <c r="D136" i="14"/>
  <c r="E136" i="14" s="1"/>
  <c r="F136" i="14" s="1"/>
  <c r="G136" i="14" s="1"/>
  <c r="H136" i="14" s="1"/>
  <c r="I136" i="14" s="1"/>
  <c r="J136" i="14" s="1"/>
  <c r="D135" i="14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G134" i="14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B134" i="14" s="1"/>
  <c r="E134" i="14"/>
  <c r="F134" i="14" s="1"/>
  <c r="D134" i="14"/>
  <c r="H133" i="14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3" i="14"/>
  <c r="E133" i="14" s="1"/>
  <c r="F133" i="14" s="1"/>
  <c r="G133" i="14" s="1"/>
  <c r="N132" i="14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B132" i="14" s="1"/>
  <c r="K132" i="14"/>
  <c r="L132" i="14" s="1"/>
  <c r="M132" i="14" s="1"/>
  <c r="F132" i="14"/>
  <c r="G132" i="14" s="1"/>
  <c r="H132" i="14" s="1"/>
  <c r="I132" i="14" s="1"/>
  <c r="J132" i="14" s="1"/>
  <c r="E132" i="14"/>
  <c r="D132" i="14"/>
  <c r="G131" i="14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B131" i="14" s="1"/>
  <c r="D131" i="14"/>
  <c r="E131" i="14" s="1"/>
  <c r="F131" i="14" s="1"/>
  <c r="I130" i="14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AF130" i="14" s="1"/>
  <c r="B130" i="14" s="1"/>
  <c r="G130" i="14"/>
  <c r="H130" i="14" s="1"/>
  <c r="E130" i="14"/>
  <c r="F130" i="14" s="1"/>
  <c r="D130" i="14"/>
  <c r="E128" i="14"/>
  <c r="F128" i="14" s="1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D128" i="14"/>
  <c r="G127" i="14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F127" i="14"/>
  <c r="E127" i="14"/>
  <c r="D127" i="14"/>
  <c r="D126" i="14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E125" i="14"/>
  <c r="F125" i="14" s="1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D125" i="14"/>
  <c r="G124" i="14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E124" i="14"/>
  <c r="F124" i="14" s="1"/>
  <c r="D124" i="14"/>
  <c r="E123" i="14"/>
  <c r="F123" i="14" s="1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D123" i="14"/>
  <c r="G122" i="14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E122" i="14"/>
  <c r="F122" i="14" s="1"/>
  <c r="D122" i="14"/>
  <c r="F121" i="14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B121" i="14" s="1"/>
  <c r="E121" i="14"/>
  <c r="D121" i="14"/>
  <c r="F120" i="14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E120" i="14"/>
  <c r="D120" i="14"/>
  <c r="L119" i="14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F119" i="14"/>
  <c r="G119" i="14" s="1"/>
  <c r="H119" i="14" s="1"/>
  <c r="I119" i="14" s="1"/>
  <c r="J119" i="14" s="1"/>
  <c r="K119" i="14" s="1"/>
  <c r="D119" i="14"/>
  <c r="E119" i="14" s="1"/>
  <c r="J118" i="14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D118" i="14"/>
  <c r="E118" i="14" s="1"/>
  <c r="F118" i="14" s="1"/>
  <c r="G118" i="14" s="1"/>
  <c r="H118" i="14" s="1"/>
  <c r="I118" i="14" s="1"/>
  <c r="E117" i="14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D117" i="14"/>
  <c r="H116" i="14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F116" i="14"/>
  <c r="G116" i="14" s="1"/>
  <c r="E116" i="14"/>
  <c r="D116" i="14"/>
  <c r="D115" i="14"/>
  <c r="E115" i="14" s="1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D114" i="14"/>
  <c r="E114" i="14" s="1"/>
  <c r="F114" i="14" s="1"/>
  <c r="G114" i="14" s="1"/>
  <c r="H114" i="14" s="1"/>
  <c r="I114" i="14" s="1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B114" i="14" s="1"/>
  <c r="M113" i="14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K113" i="14"/>
  <c r="L113" i="14" s="1"/>
  <c r="G113" i="14"/>
  <c r="H113" i="14" s="1"/>
  <c r="I113" i="14" s="1"/>
  <c r="D113" i="14"/>
  <c r="E113" i="14" s="1"/>
  <c r="F113" i="14" s="1"/>
  <c r="G112" i="14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E112" i="14"/>
  <c r="F112" i="14" s="1"/>
  <c r="D112" i="14"/>
  <c r="E111" i="14"/>
  <c r="F111" i="14" s="1"/>
  <c r="G111" i="14" s="1"/>
  <c r="H111" i="14" s="1"/>
  <c r="I111" i="14" s="1"/>
  <c r="J111" i="14" s="1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B111" i="14" s="1"/>
  <c r="D111" i="14"/>
  <c r="D109" i="14"/>
  <c r="E109" i="14" s="1"/>
  <c r="F109" i="14" s="1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G108" i="14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B108" i="14" s="1"/>
  <c r="D108" i="14"/>
  <c r="E108" i="14" s="1"/>
  <c r="F108" i="14" s="1"/>
  <c r="G106" i="14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E106" i="14"/>
  <c r="F106" i="14" s="1"/>
  <c r="D106" i="14"/>
  <c r="E105" i="14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D105" i="14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D103" i="14"/>
  <c r="E103" i="14" s="1"/>
  <c r="F103" i="14" s="1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B103" i="14" s="1"/>
  <c r="F102" i="14"/>
  <c r="E102" i="14"/>
  <c r="D102" i="14"/>
  <c r="E101" i="14"/>
  <c r="D101" i="14"/>
  <c r="AH98" i="14"/>
  <c r="AI98" i="14" s="1"/>
  <c r="AH97" i="14"/>
  <c r="AI97" i="14" s="1"/>
  <c r="AH96" i="14"/>
  <c r="AI96" i="14" s="1"/>
  <c r="AH95" i="14"/>
  <c r="AI95" i="14" s="1"/>
  <c r="AH94" i="14"/>
  <c r="AI94" i="14" s="1"/>
  <c r="D93" i="14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C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F76" i="14"/>
  <c r="AE76" i="14"/>
  <c r="AE82" i="14" s="1"/>
  <c r="AD76" i="14"/>
  <c r="AC76" i="14"/>
  <c r="AB76" i="14"/>
  <c r="AA76" i="14"/>
  <c r="Z76" i="14"/>
  <c r="Y76" i="14"/>
  <c r="Y82" i="14" s="1"/>
  <c r="X76" i="14"/>
  <c r="W76" i="14"/>
  <c r="W82" i="14" s="1"/>
  <c r="V76" i="14"/>
  <c r="U76" i="14"/>
  <c r="T76" i="14"/>
  <c r="S76" i="14"/>
  <c r="R76" i="14"/>
  <c r="Q76" i="14"/>
  <c r="Q82" i="14" s="1"/>
  <c r="P76" i="14"/>
  <c r="O76" i="14"/>
  <c r="N76" i="14"/>
  <c r="N82" i="14" s="1"/>
  <c r="M76" i="14"/>
  <c r="L76" i="14"/>
  <c r="K76" i="14"/>
  <c r="J76" i="14"/>
  <c r="I76" i="14"/>
  <c r="H76" i="14"/>
  <c r="G76" i="14"/>
  <c r="F76" i="14"/>
  <c r="E76" i="14"/>
  <c r="D76" i="14"/>
  <c r="C76" i="14"/>
  <c r="B76" i="14"/>
  <c r="AI74" i="14"/>
  <c r="AH74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I71" i="14"/>
  <c r="AH71" i="14"/>
  <c r="AI70" i="14"/>
  <c r="AH70" i="14"/>
  <c r="AI69" i="14"/>
  <c r="AH69" i="14"/>
  <c r="AG68" i="14"/>
  <c r="AF68" i="14"/>
  <c r="AE5" i="14" s="1"/>
  <c r="AE68" i="14"/>
  <c r="AD68" i="14"/>
  <c r="AC5" i="14" s="1"/>
  <c r="AC68" i="14"/>
  <c r="AB5" i="14" s="1"/>
  <c r="AB68" i="14"/>
  <c r="AA68" i="14"/>
  <c r="Z68" i="14"/>
  <c r="Y68" i="14"/>
  <c r="X5" i="14" s="1"/>
  <c r="X68" i="14"/>
  <c r="W5" i="14" s="1"/>
  <c r="W68" i="14"/>
  <c r="V68" i="14"/>
  <c r="U5" i="14" s="1"/>
  <c r="U68" i="14"/>
  <c r="T5" i="14" s="1"/>
  <c r="T68" i="14"/>
  <c r="S68" i="14"/>
  <c r="R5" i="14" s="1"/>
  <c r="R68" i="14"/>
  <c r="Q5" i="14" s="1"/>
  <c r="Q68" i="14"/>
  <c r="P68" i="14"/>
  <c r="O68" i="14"/>
  <c r="N68" i="14"/>
  <c r="M5" i="14" s="1"/>
  <c r="M68" i="14"/>
  <c r="L68" i="14"/>
  <c r="K68" i="14"/>
  <c r="J5" i="14" s="1"/>
  <c r="J68" i="14"/>
  <c r="I5" i="14" s="1"/>
  <c r="I68" i="14"/>
  <c r="H5" i="14" s="1"/>
  <c r="H68" i="14"/>
  <c r="G5" i="14" s="1"/>
  <c r="G68" i="14"/>
  <c r="F68" i="14"/>
  <c r="E5" i="14" s="1"/>
  <c r="E68" i="14"/>
  <c r="D5" i="14" s="1"/>
  <c r="D68" i="14"/>
  <c r="C68" i="14"/>
  <c r="B5" i="14" s="1"/>
  <c r="B68" i="14"/>
  <c r="AF5" i="14" s="1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I55" i="14"/>
  <c r="AH55" i="14"/>
  <c r="AI54" i="14"/>
  <c r="AH54" i="14"/>
  <c r="AI53" i="14"/>
  <c r="AH53" i="14"/>
  <c r="Z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G51" i="14"/>
  <c r="AG52" i="14" s="1"/>
  <c r="AG75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P73" i="14" s="1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Z5" i="14"/>
  <c r="Y5" i="14"/>
  <c r="P5" i="14"/>
  <c r="O5" i="14"/>
  <c r="L5" i="14"/>
  <c r="AG4" i="14"/>
  <c r="K4" i="14"/>
  <c r="AG3" i="14"/>
  <c r="AG6" i="14" s="1"/>
  <c r="AG2" i="14"/>
  <c r="AF37" i="13"/>
  <c r="AE37" i="13"/>
  <c r="AD37" i="13"/>
  <c r="AC37" i="13"/>
  <c r="AB37" i="13"/>
  <c r="AA37" i="13"/>
  <c r="Z37" i="13"/>
  <c r="X37" i="13"/>
  <c r="V37" i="13"/>
  <c r="U37" i="13"/>
  <c r="T37" i="13"/>
  <c r="S37" i="13"/>
  <c r="J56" i="13"/>
  <c r="AH99" i="13"/>
  <c r="AI99" i="13" s="1"/>
  <c r="C83" i="12"/>
  <c r="B83" i="12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B234" i="13"/>
  <c r="S209" i="13"/>
  <c r="AG199" i="13"/>
  <c r="C199" i="13"/>
  <c r="E198" i="13"/>
  <c r="F198" i="13" s="1"/>
  <c r="G198" i="13" s="1"/>
  <c r="F234" i="13" s="1"/>
  <c r="D198" i="13"/>
  <c r="C234" i="13" s="1"/>
  <c r="E197" i="13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D197" i="13"/>
  <c r="D196" i="13"/>
  <c r="E196" i="13" s="1"/>
  <c r="F196" i="13" s="1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D195" i="13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E194" i="13"/>
  <c r="F194" i="13" s="1"/>
  <c r="G194" i="13" s="1"/>
  <c r="H194" i="13" s="1"/>
  <c r="I194" i="13" s="1"/>
  <c r="J194" i="13" s="1"/>
  <c r="K194" i="13" s="1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B194" i="13" s="1"/>
  <c r="D194" i="13"/>
  <c r="D193" i="13"/>
  <c r="E193" i="13" s="1"/>
  <c r="AG191" i="13"/>
  <c r="C191" i="13"/>
  <c r="D190" i="13"/>
  <c r="E190" i="13" s="1"/>
  <c r="F190" i="13" s="1"/>
  <c r="G190" i="13" s="1"/>
  <c r="H190" i="13" s="1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D189" i="13"/>
  <c r="E189" i="13" s="1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8" i="13"/>
  <c r="E188" i="13" s="1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D186" i="13"/>
  <c r="E186" i="13" s="1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D185" i="13"/>
  <c r="E185" i="13" s="1"/>
  <c r="F185" i="13" s="1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D184" i="13"/>
  <c r="E184" i="13" s="1"/>
  <c r="F184" i="13" s="1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D183" i="13"/>
  <c r="E183" i="13" s="1"/>
  <c r="F183" i="13" s="1"/>
  <c r="G183" i="13" s="1"/>
  <c r="H183" i="13" s="1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D182" i="13"/>
  <c r="E182" i="13" s="1"/>
  <c r="F182" i="13" s="1"/>
  <c r="G182" i="13" s="1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D181" i="13"/>
  <c r="E181" i="13" s="1"/>
  <c r="F181" i="13" s="1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D180" i="13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D179" i="13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D178" i="13"/>
  <c r="E178" i="13" s="1"/>
  <c r="F178" i="13" s="1"/>
  <c r="G178" i="13" s="1"/>
  <c r="H178" i="13" s="1"/>
  <c r="I178" i="13" s="1"/>
  <c r="J178" i="13" s="1"/>
  <c r="K178" i="13" s="1"/>
  <c r="L178" i="13" s="1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B178" i="13" s="1"/>
  <c r="D176" i="13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D175" i="13"/>
  <c r="E175" i="13" s="1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D174" i="13"/>
  <c r="E174" i="13" s="1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D173" i="13"/>
  <c r="E173" i="13" s="1"/>
  <c r="F173" i="13" s="1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D172" i="13"/>
  <c r="E172" i="13" s="1"/>
  <c r="F172" i="13" s="1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D171" i="13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D170" i="13"/>
  <c r="E170" i="13" s="1"/>
  <c r="F170" i="13" s="1"/>
  <c r="G170" i="13" s="1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E169" i="13"/>
  <c r="F169" i="13" s="1"/>
  <c r="G169" i="13" s="1"/>
  <c r="H169" i="13" s="1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B169" i="13" s="1"/>
  <c r="D169" i="13"/>
  <c r="D167" i="13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D166" i="13"/>
  <c r="E166" i="13" s="1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D165" i="13"/>
  <c r="E165" i="13" s="1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D164" i="13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D163" i="13"/>
  <c r="E163" i="13" s="1"/>
  <c r="F163" i="13" s="1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E162" i="13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D162" i="13"/>
  <c r="D161" i="13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E160" i="13"/>
  <c r="F160" i="13" s="1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D160" i="13"/>
  <c r="D159" i="13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D158" i="13"/>
  <c r="E158" i="13" s="1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E157" i="13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D157" i="13"/>
  <c r="G156" i="13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D156" i="13"/>
  <c r="E156" i="13" s="1"/>
  <c r="F156" i="13" s="1"/>
  <c r="E155" i="13"/>
  <c r="F155" i="13" s="1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B155" i="13" s="1"/>
  <c r="D155" i="13"/>
  <c r="D153" i="13"/>
  <c r="E153" i="13" s="1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D152" i="13"/>
  <c r="E152" i="13" s="1"/>
  <c r="F152" i="13" s="1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D151" i="13"/>
  <c r="E151" i="13" s="1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D150" i="13"/>
  <c r="E150" i="13" s="1"/>
  <c r="F150" i="13" s="1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R150" i="13" s="1"/>
  <c r="S150" i="13" s="1"/>
  <c r="T150" i="13" s="1"/>
  <c r="U150" i="13" s="1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B150" i="13" s="1"/>
  <c r="D148" i="13"/>
  <c r="E148" i="13" s="1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E147" i="13"/>
  <c r="F147" i="13" s="1"/>
  <c r="G147" i="13" s="1"/>
  <c r="H147" i="13" s="1"/>
  <c r="I147" i="13" s="1"/>
  <c r="J147" i="13" s="1"/>
  <c r="K147" i="13" s="1"/>
  <c r="L147" i="13" s="1"/>
  <c r="M147" i="13" s="1"/>
  <c r="N147" i="13" s="1"/>
  <c r="O147" i="13" s="1"/>
  <c r="P147" i="13" s="1"/>
  <c r="Q147" i="13" s="1"/>
  <c r="R147" i="13" s="1"/>
  <c r="S147" i="13" s="1"/>
  <c r="T147" i="13" s="1"/>
  <c r="U147" i="13" s="1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B147" i="13" s="1"/>
  <c r="D147" i="13"/>
  <c r="D145" i="13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D144" i="13"/>
  <c r="E144" i="13" s="1"/>
  <c r="F144" i="13" s="1"/>
  <c r="G144" i="13" s="1"/>
  <c r="H144" i="13" s="1"/>
  <c r="I144" i="13" s="1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D143" i="13"/>
  <c r="E143" i="13" s="1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D142" i="13"/>
  <c r="E142" i="13" s="1"/>
  <c r="F142" i="13" s="1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G141" i="13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D141" i="13"/>
  <c r="E141" i="13" s="1"/>
  <c r="F141" i="13" s="1"/>
  <c r="E140" i="13"/>
  <c r="F140" i="13" s="1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D140" i="13"/>
  <c r="F139" i="13"/>
  <c r="G139" i="13" s="1"/>
  <c r="H139" i="13" s="1"/>
  <c r="I139" i="13" s="1"/>
  <c r="J139" i="13" s="1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B139" i="13" s="1"/>
  <c r="D139" i="13"/>
  <c r="E139" i="13" s="1"/>
  <c r="E137" i="13"/>
  <c r="F137" i="13" s="1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D137" i="13"/>
  <c r="D136" i="13"/>
  <c r="E136" i="13" s="1"/>
  <c r="F136" i="13" s="1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E135" i="13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D135" i="13"/>
  <c r="D134" i="13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E133" i="13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D133" i="13"/>
  <c r="D132" i="13"/>
  <c r="E132" i="13" s="1"/>
  <c r="F132" i="13" s="1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E131" i="13"/>
  <c r="F131" i="13" s="1"/>
  <c r="G131" i="13" s="1"/>
  <c r="H131" i="13" s="1"/>
  <c r="I131" i="13" s="1"/>
  <c r="J131" i="13" s="1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D131" i="13"/>
  <c r="G130" i="13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B130" i="13" s="1"/>
  <c r="D130" i="13"/>
  <c r="E130" i="13" s="1"/>
  <c r="F130" i="13" s="1"/>
  <c r="E128" i="13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D128" i="13"/>
  <c r="H127" i="13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D127" i="13"/>
  <c r="E127" i="13" s="1"/>
  <c r="F127" i="13" s="1"/>
  <c r="G127" i="13" s="1"/>
  <c r="D126" i="13"/>
  <c r="E126" i="13" s="1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D125" i="13"/>
  <c r="E125" i="13" s="1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E124" i="13"/>
  <c r="F124" i="13" s="1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D124" i="13"/>
  <c r="H123" i="13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D123" i="13"/>
  <c r="E123" i="13" s="1"/>
  <c r="F123" i="13" s="1"/>
  <c r="G123" i="13" s="1"/>
  <c r="E122" i="13"/>
  <c r="F122" i="13" s="1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D122" i="13"/>
  <c r="O121" i="13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D121" i="13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E120" i="13"/>
  <c r="F120" i="13" s="1"/>
  <c r="G120" i="13" s="1"/>
  <c r="H120" i="13" s="1"/>
  <c r="I120" i="13" s="1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D120" i="13"/>
  <c r="H119" i="13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D119" i="13"/>
  <c r="E119" i="13" s="1"/>
  <c r="F119" i="13" s="1"/>
  <c r="G119" i="13" s="1"/>
  <c r="D118" i="13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D117" i="13"/>
  <c r="E117" i="13" s="1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E116" i="13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D115" i="13"/>
  <c r="E115" i="13" s="1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D114" i="13"/>
  <c r="E114" i="13" s="1"/>
  <c r="F114" i="13" s="1"/>
  <c r="G114" i="13" s="1"/>
  <c r="H114" i="13" s="1"/>
  <c r="I114" i="13" s="1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K113" i="13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D113" i="13"/>
  <c r="E113" i="13" s="1"/>
  <c r="F113" i="13" s="1"/>
  <c r="G113" i="13" s="1"/>
  <c r="H113" i="13" s="1"/>
  <c r="I113" i="13" s="1"/>
  <c r="K112" i="13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D112" i="13"/>
  <c r="E112" i="13" s="1"/>
  <c r="F112" i="13" s="1"/>
  <c r="G112" i="13" s="1"/>
  <c r="H112" i="13" s="1"/>
  <c r="I112" i="13" s="1"/>
  <c r="J112" i="13" s="1"/>
  <c r="H111" i="13"/>
  <c r="I111" i="13" s="1"/>
  <c r="J111" i="13" s="1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B111" i="13" s="1"/>
  <c r="D111" i="13"/>
  <c r="E111" i="13" s="1"/>
  <c r="F111" i="13" s="1"/>
  <c r="G111" i="13" s="1"/>
  <c r="D109" i="13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D108" i="13"/>
  <c r="E108" i="13" s="1"/>
  <c r="F108" i="13" s="1"/>
  <c r="G108" i="13" s="1"/>
  <c r="H108" i="13" s="1"/>
  <c r="I108" i="13" s="1"/>
  <c r="J108" i="13" s="1"/>
  <c r="K108" i="13" s="1"/>
  <c r="L108" i="13" s="1"/>
  <c r="M108" i="13" s="1"/>
  <c r="N108" i="13" s="1"/>
  <c r="O108" i="13" s="1"/>
  <c r="P108" i="13" s="1"/>
  <c r="Q108" i="13" s="1"/>
  <c r="R108" i="13" s="1"/>
  <c r="S108" i="13" s="1"/>
  <c r="T108" i="13" s="1"/>
  <c r="U108" i="13" s="1"/>
  <c r="V108" i="13" s="1"/>
  <c r="W108" i="13" s="1"/>
  <c r="X108" i="13" s="1"/>
  <c r="Y108" i="13" s="1"/>
  <c r="Z108" i="13" s="1"/>
  <c r="AA108" i="13" s="1"/>
  <c r="AB108" i="13" s="1"/>
  <c r="AC108" i="13" s="1"/>
  <c r="AD108" i="13" s="1"/>
  <c r="AE108" i="13" s="1"/>
  <c r="AF108" i="13" s="1"/>
  <c r="B108" i="13" s="1"/>
  <c r="E106" i="13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D106" i="13"/>
  <c r="F105" i="13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D105" i="13"/>
  <c r="E105" i="13" s="1"/>
  <c r="E104" i="13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D104" i="13"/>
  <c r="E103" i="13"/>
  <c r="F103" i="13" s="1"/>
  <c r="G103" i="13" s="1"/>
  <c r="H103" i="13" s="1"/>
  <c r="I103" i="13" s="1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B103" i="13" s="1"/>
  <c r="D103" i="13"/>
  <c r="D102" i="13"/>
  <c r="E102" i="13" s="1"/>
  <c r="D101" i="13"/>
  <c r="E101" i="13" s="1"/>
  <c r="AH98" i="13"/>
  <c r="AI98" i="13" s="1"/>
  <c r="AH97" i="13"/>
  <c r="AI97" i="13" s="1"/>
  <c r="AH96" i="13"/>
  <c r="AI96" i="13" s="1"/>
  <c r="AH95" i="13"/>
  <c r="AI95" i="13" s="1"/>
  <c r="AH94" i="13"/>
  <c r="AI94" i="13" s="1"/>
  <c r="D93" i="13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AI81" i="13"/>
  <c r="AH81" i="13"/>
  <c r="AF80" i="13"/>
  <c r="AE80" i="13"/>
  <c r="AD80" i="13"/>
  <c r="AC80" i="13"/>
  <c r="AB80" i="13"/>
  <c r="AA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F79" i="13"/>
  <c r="AE79" i="13"/>
  <c r="AD79" i="13"/>
  <c r="AC79" i="13"/>
  <c r="AB79" i="13"/>
  <c r="AA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F78" i="13"/>
  <c r="AE78" i="13"/>
  <c r="AD78" i="13"/>
  <c r="AC78" i="13"/>
  <c r="AB78" i="13"/>
  <c r="AA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F82" i="13" s="1"/>
  <c r="AE76" i="13"/>
  <c r="AD76" i="13"/>
  <c r="AC76" i="13"/>
  <c r="AB76" i="13"/>
  <c r="AA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I74" i="13"/>
  <c r="AH74" i="13"/>
  <c r="AG72" i="13"/>
  <c r="AF72" i="13"/>
  <c r="AE72" i="13"/>
  <c r="AD72" i="13"/>
  <c r="AC72" i="13"/>
  <c r="AB72" i="13"/>
  <c r="AA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I71" i="13"/>
  <c r="AH71" i="13"/>
  <c r="AI70" i="13"/>
  <c r="AH70" i="13"/>
  <c r="AI69" i="13"/>
  <c r="AH69" i="13"/>
  <c r="AG68" i="13"/>
  <c r="AF68" i="13"/>
  <c r="AE5" i="13" s="1"/>
  <c r="AE68" i="13"/>
  <c r="AD5" i="13" s="1"/>
  <c r="AD68" i="13"/>
  <c r="AC68" i="13"/>
  <c r="AB5" i="13" s="1"/>
  <c r="AB68" i="13"/>
  <c r="AA5" i="13" s="1"/>
  <c r="AA68" i="13"/>
  <c r="Z5" i="13" s="1"/>
  <c r="Z68" i="13"/>
  <c r="Y5" i="13" s="1"/>
  <c r="Y68" i="13"/>
  <c r="X68" i="13"/>
  <c r="W68" i="13"/>
  <c r="V68" i="13"/>
  <c r="U68" i="13"/>
  <c r="T5" i="13" s="1"/>
  <c r="T68" i="13"/>
  <c r="S5" i="13" s="1"/>
  <c r="S68" i="13"/>
  <c r="R5" i="13" s="1"/>
  <c r="R68" i="13"/>
  <c r="Q68" i="13"/>
  <c r="P68" i="13"/>
  <c r="O68" i="13"/>
  <c r="N68" i="13"/>
  <c r="M68" i="13"/>
  <c r="L5" i="13" s="1"/>
  <c r="L68" i="13"/>
  <c r="K5" i="13" s="1"/>
  <c r="K68" i="13"/>
  <c r="J5" i="13" s="1"/>
  <c r="J68" i="13"/>
  <c r="I68" i="13"/>
  <c r="H68" i="13"/>
  <c r="G5" i="13" s="1"/>
  <c r="G68" i="13"/>
  <c r="F68" i="13"/>
  <c r="E68" i="13"/>
  <c r="D5" i="13" s="1"/>
  <c r="D68" i="13"/>
  <c r="C5" i="13" s="1"/>
  <c r="C68" i="13"/>
  <c r="B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Z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G51" i="13"/>
  <c r="AG52" i="13" s="1"/>
  <c r="AG3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W5" i="13"/>
  <c r="V5" i="13"/>
  <c r="O5" i="13"/>
  <c r="N5" i="13"/>
  <c r="F5" i="13"/>
  <c r="B5" i="13"/>
  <c r="AG4" i="13"/>
  <c r="K4" i="13"/>
  <c r="B4" i="13"/>
  <c r="AG2" i="13"/>
  <c r="AD37" i="12"/>
  <c r="AC37" i="12"/>
  <c r="AB37" i="12"/>
  <c r="AA37" i="12"/>
  <c r="Z37" i="12"/>
  <c r="X51" i="12"/>
  <c r="X52" i="12"/>
  <c r="X56" i="12"/>
  <c r="X37" i="12"/>
  <c r="W37" i="12"/>
  <c r="V37" i="12"/>
  <c r="U37" i="12"/>
  <c r="T37" i="12"/>
  <c r="S37" i="12"/>
  <c r="Q37" i="12"/>
  <c r="P37" i="12"/>
  <c r="AH99" i="12"/>
  <c r="AI99" i="12" s="1"/>
  <c r="B51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B234" i="12"/>
  <c r="S209" i="12"/>
  <c r="AG199" i="12"/>
  <c r="C199" i="12"/>
  <c r="E198" i="12"/>
  <c r="D198" i="12"/>
  <c r="C234" i="12" s="1"/>
  <c r="F197" i="12"/>
  <c r="G197" i="12" s="1"/>
  <c r="H197" i="12" s="1"/>
  <c r="I197" i="12" s="1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E197" i="12"/>
  <c r="D197" i="12"/>
  <c r="K196" i="12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D196" i="12"/>
  <c r="E196" i="12" s="1"/>
  <c r="F196" i="12" s="1"/>
  <c r="G196" i="12" s="1"/>
  <c r="H196" i="12" s="1"/>
  <c r="I196" i="12" s="1"/>
  <c r="J196" i="12" s="1"/>
  <c r="E195" i="12"/>
  <c r="F195" i="12" s="1"/>
  <c r="G195" i="12" s="1"/>
  <c r="H195" i="12" s="1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B195" i="12" s="1"/>
  <c r="D195" i="12"/>
  <c r="T194" i="12"/>
  <c r="U194" i="12" s="1"/>
  <c r="V194" i="12" s="1"/>
  <c r="W194" i="12" s="1"/>
  <c r="X194" i="12" s="1"/>
  <c r="Y194" i="12" s="1"/>
  <c r="Z194" i="12" s="1"/>
  <c r="AA194" i="12" s="1"/>
  <c r="AB194" i="12" s="1"/>
  <c r="AC194" i="12" s="1"/>
  <c r="AD194" i="12" s="1"/>
  <c r="AE194" i="12" s="1"/>
  <c r="AF194" i="12" s="1"/>
  <c r="B194" i="12" s="1"/>
  <c r="D194" i="12"/>
  <c r="E194" i="12" s="1"/>
  <c r="F194" i="12" s="1"/>
  <c r="G194" i="12" s="1"/>
  <c r="H194" i="12" s="1"/>
  <c r="I194" i="12" s="1"/>
  <c r="J194" i="12" s="1"/>
  <c r="K194" i="12" s="1"/>
  <c r="L194" i="12" s="1"/>
  <c r="M194" i="12" s="1"/>
  <c r="N194" i="12" s="1"/>
  <c r="O194" i="12" s="1"/>
  <c r="P194" i="12" s="1"/>
  <c r="Q194" i="12" s="1"/>
  <c r="R194" i="12" s="1"/>
  <c r="S194" i="12" s="1"/>
  <c r="D193" i="12"/>
  <c r="D199" i="12" s="1"/>
  <c r="AG191" i="12"/>
  <c r="C191" i="12"/>
  <c r="D190" i="12"/>
  <c r="E190" i="12" s="1"/>
  <c r="F190" i="12" s="1"/>
  <c r="G190" i="12" s="1"/>
  <c r="H190" i="12" s="1"/>
  <c r="I190" i="12" s="1"/>
  <c r="J190" i="12" s="1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N189" i="12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B189" i="12" s="1"/>
  <c r="H189" i="12"/>
  <c r="I189" i="12" s="1"/>
  <c r="J189" i="12" s="1"/>
  <c r="K189" i="12" s="1"/>
  <c r="L189" i="12" s="1"/>
  <c r="M189" i="12" s="1"/>
  <c r="G189" i="12"/>
  <c r="F189" i="12"/>
  <c r="E189" i="12"/>
  <c r="D189" i="12"/>
  <c r="S188" i="12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M188" i="12"/>
  <c r="N188" i="12" s="1"/>
  <c r="O188" i="12" s="1"/>
  <c r="P188" i="12" s="1"/>
  <c r="Q188" i="12" s="1"/>
  <c r="R188" i="12" s="1"/>
  <c r="G188" i="12"/>
  <c r="H188" i="12" s="1"/>
  <c r="I188" i="12" s="1"/>
  <c r="J188" i="12" s="1"/>
  <c r="K188" i="12" s="1"/>
  <c r="L188" i="12" s="1"/>
  <c r="F188" i="12"/>
  <c r="E188" i="12"/>
  <c r="D188" i="12"/>
  <c r="D187" i="12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X186" i="12"/>
  <c r="Y186" i="12" s="1"/>
  <c r="Z186" i="12" s="1"/>
  <c r="AA186" i="12" s="1"/>
  <c r="AB186" i="12" s="1"/>
  <c r="AC186" i="12" s="1"/>
  <c r="AD186" i="12" s="1"/>
  <c r="AE186" i="12" s="1"/>
  <c r="AF186" i="12" s="1"/>
  <c r="B186" i="12" s="1"/>
  <c r="I186" i="12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G186" i="12"/>
  <c r="H186" i="12" s="1"/>
  <c r="D186" i="12"/>
  <c r="E186" i="12" s="1"/>
  <c r="F186" i="12" s="1"/>
  <c r="M185" i="12"/>
  <c r="N185" i="12" s="1"/>
  <c r="O185" i="12" s="1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E185" i="12"/>
  <c r="F185" i="12" s="1"/>
  <c r="G185" i="12" s="1"/>
  <c r="H185" i="12" s="1"/>
  <c r="I185" i="12" s="1"/>
  <c r="J185" i="12" s="1"/>
  <c r="K185" i="12" s="1"/>
  <c r="L185" i="12" s="1"/>
  <c r="D185" i="12"/>
  <c r="H184" i="12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F184" i="12"/>
  <c r="G184" i="12" s="1"/>
  <c r="D184" i="12"/>
  <c r="E184" i="12" s="1"/>
  <c r="S183" i="12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F183" i="12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D183" i="12"/>
  <c r="E183" i="12" s="1"/>
  <c r="G182" i="12"/>
  <c r="H182" i="12" s="1"/>
  <c r="I182" i="12" s="1"/>
  <c r="J182" i="12" s="1"/>
  <c r="K182" i="12" s="1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B182" i="12" s="1"/>
  <c r="D182" i="12"/>
  <c r="E182" i="12" s="1"/>
  <c r="F182" i="12" s="1"/>
  <c r="P181" i="12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O181" i="12"/>
  <c r="E181" i="12"/>
  <c r="F181" i="12" s="1"/>
  <c r="G181" i="12" s="1"/>
  <c r="H181" i="12" s="1"/>
  <c r="I181" i="12" s="1"/>
  <c r="J181" i="12" s="1"/>
  <c r="K181" i="12" s="1"/>
  <c r="L181" i="12" s="1"/>
  <c r="M181" i="12" s="1"/>
  <c r="N181" i="12" s="1"/>
  <c r="D181" i="12"/>
  <c r="E180" i="12"/>
  <c r="F180" i="12" s="1"/>
  <c r="G180" i="12" s="1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D180" i="12"/>
  <c r="M179" i="12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L179" i="12"/>
  <c r="E179" i="12"/>
  <c r="F179" i="12" s="1"/>
  <c r="G179" i="12" s="1"/>
  <c r="H179" i="12" s="1"/>
  <c r="I179" i="12" s="1"/>
  <c r="J179" i="12" s="1"/>
  <c r="K179" i="12" s="1"/>
  <c r="D179" i="12"/>
  <c r="M178" i="12"/>
  <c r="N178" i="12" s="1"/>
  <c r="O178" i="12" s="1"/>
  <c r="P178" i="12" s="1"/>
  <c r="Q178" i="12" s="1"/>
  <c r="R178" i="12" s="1"/>
  <c r="S178" i="12" s="1"/>
  <c r="T178" i="12" s="1"/>
  <c r="U178" i="12" s="1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B178" i="12" s="1"/>
  <c r="D178" i="12"/>
  <c r="E178" i="12" s="1"/>
  <c r="F178" i="12" s="1"/>
  <c r="G178" i="12" s="1"/>
  <c r="H178" i="12" s="1"/>
  <c r="I178" i="12" s="1"/>
  <c r="J178" i="12" s="1"/>
  <c r="K178" i="12" s="1"/>
  <c r="L178" i="12" s="1"/>
  <c r="M176" i="12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E176" i="12"/>
  <c r="F176" i="12" s="1"/>
  <c r="G176" i="12" s="1"/>
  <c r="H176" i="12" s="1"/>
  <c r="I176" i="12" s="1"/>
  <c r="J176" i="12" s="1"/>
  <c r="K176" i="12" s="1"/>
  <c r="L176" i="12" s="1"/>
  <c r="D176" i="12"/>
  <c r="H175" i="12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G175" i="12"/>
  <c r="E175" i="12"/>
  <c r="F175" i="12" s="1"/>
  <c r="D175" i="12"/>
  <c r="H174" i="12"/>
  <c r="I174" i="12" s="1"/>
  <c r="J174" i="12" s="1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B174" i="12" s="1"/>
  <c r="G174" i="12"/>
  <c r="F174" i="12"/>
  <c r="E174" i="12"/>
  <c r="D174" i="12"/>
  <c r="F173" i="12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D173" i="12"/>
  <c r="E173" i="12" s="1"/>
  <c r="E172" i="12"/>
  <c r="F172" i="12" s="1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D172" i="12"/>
  <c r="Z171" i="12"/>
  <c r="AA171" i="12" s="1"/>
  <c r="AB171" i="12" s="1"/>
  <c r="AC171" i="12" s="1"/>
  <c r="AD171" i="12" s="1"/>
  <c r="AE171" i="12" s="1"/>
  <c r="AF171" i="12" s="1"/>
  <c r="B171" i="12" s="1"/>
  <c r="D171" i="12"/>
  <c r="E171" i="12" s="1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E170" i="12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D170" i="12"/>
  <c r="D169" i="12"/>
  <c r="E169" i="12" s="1"/>
  <c r="F169" i="12" s="1"/>
  <c r="G169" i="12" s="1"/>
  <c r="H169" i="12" s="1"/>
  <c r="I169" i="12" s="1"/>
  <c r="J169" i="12" s="1"/>
  <c r="K169" i="12" s="1"/>
  <c r="L169" i="12" s="1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B169" i="12" s="1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H166" i="12"/>
  <c r="I166" i="12" s="1"/>
  <c r="J166" i="12" s="1"/>
  <c r="K166" i="12" s="1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G166" i="12"/>
  <c r="D166" i="12"/>
  <c r="E166" i="12" s="1"/>
  <c r="F166" i="12" s="1"/>
  <c r="H165" i="12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F165" i="12"/>
  <c r="G165" i="12" s="1"/>
  <c r="E165" i="12"/>
  <c r="D165" i="12"/>
  <c r="D164" i="12"/>
  <c r="E164" i="12" s="1"/>
  <c r="F164" i="12" s="1"/>
  <c r="G164" i="12" s="1"/>
  <c r="H164" i="12" s="1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J163" i="12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B163" i="12" s="1"/>
  <c r="D163" i="12"/>
  <c r="E163" i="12" s="1"/>
  <c r="F163" i="12" s="1"/>
  <c r="G163" i="12" s="1"/>
  <c r="H163" i="12" s="1"/>
  <c r="I163" i="12" s="1"/>
  <c r="D162" i="12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H161" i="12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F161" i="12"/>
  <c r="G161" i="12" s="1"/>
  <c r="E161" i="12"/>
  <c r="D161" i="12"/>
  <c r="AE160" i="12"/>
  <c r="AF160" i="12" s="1"/>
  <c r="B160" i="12" s="1"/>
  <c r="I160" i="12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D160" i="12"/>
  <c r="E160" i="12" s="1"/>
  <c r="F160" i="12" s="1"/>
  <c r="G160" i="12" s="1"/>
  <c r="H160" i="12" s="1"/>
  <c r="E159" i="12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D159" i="12"/>
  <c r="D158" i="12"/>
  <c r="E158" i="12" s="1"/>
  <c r="F158" i="12" s="1"/>
  <c r="G158" i="12" s="1"/>
  <c r="H158" i="12" s="1"/>
  <c r="I158" i="12" s="1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D157" i="12"/>
  <c r="E157" i="12" s="1"/>
  <c r="F157" i="12" s="1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E156" i="12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B156" i="12" s="1"/>
  <c r="D156" i="12"/>
  <c r="E155" i="12"/>
  <c r="F155" i="12" s="1"/>
  <c r="G155" i="12" s="1"/>
  <c r="H155" i="12" s="1"/>
  <c r="I155" i="12" s="1"/>
  <c r="J155" i="12" s="1"/>
  <c r="K155" i="12" s="1"/>
  <c r="L155" i="12" s="1"/>
  <c r="M155" i="12" s="1"/>
  <c r="N155" i="12" s="1"/>
  <c r="O155" i="12" s="1"/>
  <c r="P155" i="12" s="1"/>
  <c r="Q155" i="12" s="1"/>
  <c r="R155" i="12" s="1"/>
  <c r="S155" i="12" s="1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B155" i="12" s="1"/>
  <c r="D155" i="12"/>
  <c r="Q153" i="12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I153" i="12"/>
  <c r="J153" i="12" s="1"/>
  <c r="K153" i="12" s="1"/>
  <c r="L153" i="12" s="1"/>
  <c r="M153" i="12" s="1"/>
  <c r="N153" i="12" s="1"/>
  <c r="O153" i="12" s="1"/>
  <c r="P153" i="12" s="1"/>
  <c r="E153" i="12"/>
  <c r="F153" i="12" s="1"/>
  <c r="G153" i="12" s="1"/>
  <c r="H153" i="12" s="1"/>
  <c r="D153" i="12"/>
  <c r="G152" i="12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B152" i="12" s="1"/>
  <c r="E152" i="12"/>
  <c r="F152" i="12" s="1"/>
  <c r="D152" i="12"/>
  <c r="G151" i="12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B151" i="12" s="1"/>
  <c r="E151" i="12"/>
  <c r="F151" i="12" s="1"/>
  <c r="D151" i="12"/>
  <c r="S150" i="12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B150" i="12" s="1"/>
  <c r="I150" i="12"/>
  <c r="J150" i="12" s="1"/>
  <c r="K150" i="12" s="1"/>
  <c r="L150" i="12" s="1"/>
  <c r="M150" i="12" s="1"/>
  <c r="N150" i="12" s="1"/>
  <c r="O150" i="12" s="1"/>
  <c r="P150" i="12" s="1"/>
  <c r="Q150" i="12" s="1"/>
  <c r="R150" i="12" s="1"/>
  <c r="E150" i="12"/>
  <c r="F150" i="12" s="1"/>
  <c r="G150" i="12" s="1"/>
  <c r="H150" i="12" s="1"/>
  <c r="D150" i="12"/>
  <c r="E148" i="12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D148" i="12"/>
  <c r="E147" i="12"/>
  <c r="F147" i="12" s="1"/>
  <c r="G147" i="12" s="1"/>
  <c r="H147" i="12" s="1"/>
  <c r="I147" i="12" s="1"/>
  <c r="J147" i="12" s="1"/>
  <c r="K147" i="12" s="1"/>
  <c r="L147" i="12" s="1"/>
  <c r="M147" i="12" s="1"/>
  <c r="N147" i="12" s="1"/>
  <c r="O147" i="12" s="1"/>
  <c r="P147" i="12" s="1"/>
  <c r="Q147" i="12" s="1"/>
  <c r="R147" i="12" s="1"/>
  <c r="S147" i="12" s="1"/>
  <c r="T147" i="12" s="1"/>
  <c r="U147" i="12" s="1"/>
  <c r="V147" i="12" s="1"/>
  <c r="W147" i="12" s="1"/>
  <c r="X147" i="12" s="1"/>
  <c r="Y147" i="12" s="1"/>
  <c r="Z147" i="12" s="1"/>
  <c r="AA147" i="12" s="1"/>
  <c r="AB147" i="12" s="1"/>
  <c r="AC147" i="12" s="1"/>
  <c r="AD147" i="12" s="1"/>
  <c r="AE147" i="12" s="1"/>
  <c r="AF147" i="12" s="1"/>
  <c r="B147" i="12" s="1"/>
  <c r="D147" i="12"/>
  <c r="M145" i="12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G145" i="12"/>
  <c r="H145" i="12" s="1"/>
  <c r="I145" i="12" s="1"/>
  <c r="J145" i="12" s="1"/>
  <c r="K145" i="12" s="1"/>
  <c r="L145" i="12" s="1"/>
  <c r="E145" i="12"/>
  <c r="F145" i="12" s="1"/>
  <c r="D145" i="12"/>
  <c r="M144" i="12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E144" i="12"/>
  <c r="F144" i="12" s="1"/>
  <c r="G144" i="12" s="1"/>
  <c r="H144" i="12" s="1"/>
  <c r="I144" i="12" s="1"/>
  <c r="J144" i="12" s="1"/>
  <c r="K144" i="12" s="1"/>
  <c r="L144" i="12" s="1"/>
  <c r="D144" i="12"/>
  <c r="Y143" i="12"/>
  <c r="Z143" i="12" s="1"/>
  <c r="AA143" i="12" s="1"/>
  <c r="AB143" i="12" s="1"/>
  <c r="AC143" i="12" s="1"/>
  <c r="AD143" i="12" s="1"/>
  <c r="AE143" i="12" s="1"/>
  <c r="AF143" i="12" s="1"/>
  <c r="B143" i="12" s="1"/>
  <c r="O143" i="12"/>
  <c r="P143" i="12" s="1"/>
  <c r="Q143" i="12" s="1"/>
  <c r="R143" i="12" s="1"/>
  <c r="S143" i="12" s="1"/>
  <c r="T143" i="12" s="1"/>
  <c r="U143" i="12" s="1"/>
  <c r="V143" i="12" s="1"/>
  <c r="W143" i="12" s="1"/>
  <c r="X143" i="12" s="1"/>
  <c r="D143" i="12"/>
  <c r="E143" i="12" s="1"/>
  <c r="F143" i="12" s="1"/>
  <c r="G143" i="12" s="1"/>
  <c r="H143" i="12" s="1"/>
  <c r="I143" i="12" s="1"/>
  <c r="J143" i="12" s="1"/>
  <c r="K143" i="12" s="1"/>
  <c r="L143" i="12" s="1"/>
  <c r="M143" i="12" s="1"/>
  <c r="N143" i="12" s="1"/>
  <c r="I142" i="12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B142" i="12" s="1"/>
  <c r="F142" i="12"/>
  <c r="G142" i="12" s="1"/>
  <c r="H142" i="12" s="1"/>
  <c r="E142" i="12"/>
  <c r="D142" i="12"/>
  <c r="K141" i="12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B141" i="12" s="1"/>
  <c r="E141" i="12"/>
  <c r="F141" i="12" s="1"/>
  <c r="G141" i="12" s="1"/>
  <c r="H141" i="12" s="1"/>
  <c r="I141" i="12" s="1"/>
  <c r="J141" i="12" s="1"/>
  <c r="D141" i="12"/>
  <c r="Q140" i="12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I140" i="12"/>
  <c r="J140" i="12" s="1"/>
  <c r="K140" i="12" s="1"/>
  <c r="L140" i="12" s="1"/>
  <c r="M140" i="12" s="1"/>
  <c r="N140" i="12" s="1"/>
  <c r="O140" i="12" s="1"/>
  <c r="P140" i="12" s="1"/>
  <c r="E140" i="12"/>
  <c r="F140" i="12" s="1"/>
  <c r="G140" i="12" s="1"/>
  <c r="H140" i="12" s="1"/>
  <c r="D140" i="12"/>
  <c r="X139" i="12"/>
  <c r="Y139" i="12" s="1"/>
  <c r="Z139" i="12" s="1"/>
  <c r="AA139" i="12" s="1"/>
  <c r="AB139" i="12" s="1"/>
  <c r="AC139" i="12" s="1"/>
  <c r="AD139" i="12" s="1"/>
  <c r="AE139" i="12" s="1"/>
  <c r="AF139" i="12" s="1"/>
  <c r="B139" i="12" s="1"/>
  <c r="I139" i="12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D139" i="12"/>
  <c r="E139" i="12" s="1"/>
  <c r="F139" i="12" s="1"/>
  <c r="G139" i="12" s="1"/>
  <c r="H139" i="12" s="1"/>
  <c r="D137" i="12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B137" i="12" s="1"/>
  <c r="D136" i="12"/>
  <c r="E136" i="12" s="1"/>
  <c r="F136" i="12" s="1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D135" i="12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F134" i="12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B134" i="12" s="1"/>
  <c r="E134" i="12"/>
  <c r="D134" i="12"/>
  <c r="H133" i="12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D133" i="12"/>
  <c r="E133" i="12" s="1"/>
  <c r="F133" i="12" s="1"/>
  <c r="G133" i="12" s="1"/>
  <c r="R132" i="12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B132" i="12" s="1"/>
  <c r="F132" i="12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D132" i="12"/>
  <c r="E132" i="12" s="1"/>
  <c r="H131" i="12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D131" i="12"/>
  <c r="E131" i="12" s="1"/>
  <c r="F131" i="12" s="1"/>
  <c r="G131" i="12" s="1"/>
  <c r="F130" i="12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B130" i="12" s="1"/>
  <c r="E130" i="12"/>
  <c r="D130" i="12"/>
  <c r="X128" i="12"/>
  <c r="Y128" i="12" s="1"/>
  <c r="Z128" i="12" s="1"/>
  <c r="AA128" i="12" s="1"/>
  <c r="AB128" i="12" s="1"/>
  <c r="AC128" i="12" s="1"/>
  <c r="AD128" i="12" s="1"/>
  <c r="AE128" i="12" s="1"/>
  <c r="AF128" i="12" s="1"/>
  <c r="B128" i="12" s="1"/>
  <c r="L128" i="12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H128" i="12"/>
  <c r="I128" i="12" s="1"/>
  <c r="J128" i="12" s="1"/>
  <c r="K128" i="12" s="1"/>
  <c r="D128" i="12"/>
  <c r="E128" i="12" s="1"/>
  <c r="F128" i="12" s="1"/>
  <c r="G128" i="12" s="1"/>
  <c r="J127" i="12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D127" i="12"/>
  <c r="E127" i="12" s="1"/>
  <c r="F127" i="12" s="1"/>
  <c r="G127" i="12" s="1"/>
  <c r="H127" i="12" s="1"/>
  <c r="I127" i="12" s="1"/>
  <c r="D126" i="12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V125" i="12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B125" i="12" s="1"/>
  <c r="J125" i="12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F125" i="12"/>
  <c r="G125" i="12" s="1"/>
  <c r="H125" i="12" s="1"/>
  <c r="I125" i="12" s="1"/>
  <c r="E125" i="12"/>
  <c r="D125" i="12"/>
  <c r="L124" i="12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H124" i="12"/>
  <c r="I124" i="12" s="1"/>
  <c r="J124" i="12" s="1"/>
  <c r="K124" i="12" s="1"/>
  <c r="D124" i="12"/>
  <c r="E124" i="12" s="1"/>
  <c r="F124" i="12" s="1"/>
  <c r="G124" i="12" s="1"/>
  <c r="I123" i="12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F123" i="12"/>
  <c r="G123" i="12" s="1"/>
  <c r="H123" i="12" s="1"/>
  <c r="D123" i="12"/>
  <c r="E123" i="12" s="1"/>
  <c r="AB122" i="12"/>
  <c r="AC122" i="12" s="1"/>
  <c r="AD122" i="12" s="1"/>
  <c r="AE122" i="12" s="1"/>
  <c r="AF122" i="12" s="1"/>
  <c r="B122" i="12" s="1"/>
  <c r="L122" i="12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G122" i="12"/>
  <c r="H122" i="12" s="1"/>
  <c r="I122" i="12" s="1"/>
  <c r="J122" i="12" s="1"/>
  <c r="K122" i="12" s="1"/>
  <c r="D122" i="12"/>
  <c r="E122" i="12" s="1"/>
  <c r="F122" i="12" s="1"/>
  <c r="F121" i="12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E121" i="12"/>
  <c r="D121" i="12"/>
  <c r="L120" i="12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D120" i="12"/>
  <c r="E120" i="12" s="1"/>
  <c r="F120" i="12" s="1"/>
  <c r="G120" i="12" s="1"/>
  <c r="H120" i="12" s="1"/>
  <c r="I120" i="12" s="1"/>
  <c r="J120" i="12" s="1"/>
  <c r="K120" i="12" s="1"/>
  <c r="I119" i="12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D119" i="12"/>
  <c r="E119" i="12" s="1"/>
  <c r="F119" i="12" s="1"/>
  <c r="G119" i="12" s="1"/>
  <c r="H119" i="12" s="1"/>
  <c r="E118" i="12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D118" i="12"/>
  <c r="E117" i="12"/>
  <c r="F117" i="12" s="1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D117" i="12"/>
  <c r="AF116" i="12"/>
  <c r="B116" i="12" s="1"/>
  <c r="H116" i="12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F116" i="12"/>
  <c r="G116" i="12" s="1"/>
  <c r="E116" i="12"/>
  <c r="D116" i="12"/>
  <c r="Q115" i="12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D115" i="12"/>
  <c r="E115" i="12" s="1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L114" i="12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D114" i="12"/>
  <c r="E114" i="12" s="1"/>
  <c r="F114" i="12" s="1"/>
  <c r="G114" i="12" s="1"/>
  <c r="H114" i="12" s="1"/>
  <c r="I114" i="12" s="1"/>
  <c r="J114" i="12" s="1"/>
  <c r="K114" i="12" s="1"/>
  <c r="P113" i="12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L113" i="12"/>
  <c r="M113" i="12" s="1"/>
  <c r="N113" i="12" s="1"/>
  <c r="O113" i="12" s="1"/>
  <c r="K113" i="12"/>
  <c r="G113" i="12"/>
  <c r="H113" i="12" s="1"/>
  <c r="I113" i="12" s="1"/>
  <c r="D113" i="12"/>
  <c r="E113" i="12" s="1"/>
  <c r="F113" i="12" s="1"/>
  <c r="I112" i="12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D112" i="12"/>
  <c r="E112" i="12" s="1"/>
  <c r="F112" i="12" s="1"/>
  <c r="G112" i="12" s="1"/>
  <c r="H112" i="12" s="1"/>
  <c r="E111" i="12"/>
  <c r="F111" i="12" s="1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B111" i="12" s="1"/>
  <c r="D111" i="12"/>
  <c r="I109" i="12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F109" i="12"/>
  <c r="G109" i="12" s="1"/>
  <c r="H109" i="12" s="1"/>
  <c r="E109" i="12"/>
  <c r="D109" i="12"/>
  <c r="D108" i="12"/>
  <c r="E108" i="12" s="1"/>
  <c r="F108" i="12" s="1"/>
  <c r="G108" i="12" s="1"/>
  <c r="H108" i="12" s="1"/>
  <c r="I108" i="12" s="1"/>
  <c r="J108" i="12" s="1"/>
  <c r="K108" i="12" s="1"/>
  <c r="L108" i="12" s="1"/>
  <c r="M108" i="12" s="1"/>
  <c r="N108" i="12" s="1"/>
  <c r="O108" i="12" s="1"/>
  <c r="P108" i="12" s="1"/>
  <c r="Q108" i="12" s="1"/>
  <c r="R108" i="12" s="1"/>
  <c r="S108" i="12" s="1"/>
  <c r="T108" i="12" s="1"/>
  <c r="U108" i="12" s="1"/>
  <c r="V108" i="12" s="1"/>
  <c r="W108" i="12" s="1"/>
  <c r="X108" i="12" s="1"/>
  <c r="Y108" i="12" s="1"/>
  <c r="Z108" i="12" s="1"/>
  <c r="AA108" i="12" s="1"/>
  <c r="AB108" i="12" s="1"/>
  <c r="AC108" i="12" s="1"/>
  <c r="AD108" i="12" s="1"/>
  <c r="AE108" i="12" s="1"/>
  <c r="AF108" i="12" s="1"/>
  <c r="B108" i="12" s="1"/>
  <c r="G106" i="12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D106" i="12"/>
  <c r="E106" i="12" s="1"/>
  <c r="F106" i="12" s="1"/>
  <c r="E105" i="12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D105" i="12"/>
  <c r="N104" i="12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E104" i="12"/>
  <c r="F104" i="12" s="1"/>
  <c r="G104" i="12" s="1"/>
  <c r="H104" i="12" s="1"/>
  <c r="I104" i="12" s="1"/>
  <c r="J104" i="12" s="1"/>
  <c r="K104" i="12" s="1"/>
  <c r="L104" i="12" s="1"/>
  <c r="M104" i="12" s="1"/>
  <c r="D104" i="12"/>
  <c r="D103" i="12"/>
  <c r="E103" i="12" s="1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B103" i="12" s="1"/>
  <c r="D102" i="12"/>
  <c r="E102" i="12" s="1"/>
  <c r="F102" i="12" s="1"/>
  <c r="G102" i="12" s="1"/>
  <c r="E101" i="12"/>
  <c r="D101" i="12"/>
  <c r="AH98" i="12"/>
  <c r="AI98" i="12" s="1"/>
  <c r="AH97" i="12"/>
  <c r="AI97" i="12" s="1"/>
  <c r="AH96" i="12"/>
  <c r="AI96" i="12" s="1"/>
  <c r="AH95" i="12"/>
  <c r="AI95" i="12" s="1"/>
  <c r="AH94" i="12"/>
  <c r="AI94" i="12" s="1"/>
  <c r="D93" i="12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G82" i="12"/>
  <c r="AI81" i="12"/>
  <c r="AH81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I82" i="12" s="1"/>
  <c r="H77" i="12"/>
  <c r="G77" i="12"/>
  <c r="F77" i="12"/>
  <c r="E77" i="12"/>
  <c r="D77" i="12"/>
  <c r="C77" i="12"/>
  <c r="B77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L82" i="12" s="1"/>
  <c r="K76" i="12"/>
  <c r="J76" i="12"/>
  <c r="I76" i="12"/>
  <c r="H76" i="12"/>
  <c r="G76" i="12"/>
  <c r="F76" i="12"/>
  <c r="E76" i="12"/>
  <c r="D76" i="12"/>
  <c r="C76" i="12"/>
  <c r="B76" i="12"/>
  <c r="AI74" i="12"/>
  <c r="AH74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AI71" i="12"/>
  <c r="AH71" i="12"/>
  <c r="AI70" i="12"/>
  <c r="AH70" i="12"/>
  <c r="AI69" i="12"/>
  <c r="AH69" i="12"/>
  <c r="AG68" i="12"/>
  <c r="AF68" i="12"/>
  <c r="AE5" i="12" s="1"/>
  <c r="AE68" i="12"/>
  <c r="AD68" i="12"/>
  <c r="AC5" i="12" s="1"/>
  <c r="AC68" i="12"/>
  <c r="AB68" i="12"/>
  <c r="AA68" i="12"/>
  <c r="Z68" i="12"/>
  <c r="Y5" i="12" s="1"/>
  <c r="Y68" i="12"/>
  <c r="X5" i="12" s="1"/>
  <c r="X68" i="12"/>
  <c r="W5" i="12" s="1"/>
  <c r="W68" i="12"/>
  <c r="V68" i="12"/>
  <c r="U5" i="12" s="1"/>
  <c r="U68" i="12"/>
  <c r="T5" i="12" s="1"/>
  <c r="T68" i="12"/>
  <c r="S68" i="12"/>
  <c r="R68" i="12"/>
  <c r="Q5" i="12" s="1"/>
  <c r="Q68" i="12"/>
  <c r="P68" i="12"/>
  <c r="O5" i="12" s="1"/>
  <c r="O68" i="12"/>
  <c r="N68" i="12"/>
  <c r="M5" i="12" s="1"/>
  <c r="M68" i="12"/>
  <c r="L5" i="12" s="1"/>
  <c r="L68" i="12"/>
  <c r="K68" i="12"/>
  <c r="J5" i="12" s="1"/>
  <c r="J68" i="12"/>
  <c r="I5" i="12" s="1"/>
  <c r="I68" i="12"/>
  <c r="H5" i="12" s="1"/>
  <c r="H68" i="12"/>
  <c r="G5" i="12" s="1"/>
  <c r="G68" i="12"/>
  <c r="F68" i="12"/>
  <c r="E5" i="12" s="1"/>
  <c r="E68" i="12"/>
  <c r="D5" i="12" s="1"/>
  <c r="D68" i="12"/>
  <c r="C68" i="12"/>
  <c r="B5" i="12" s="1"/>
  <c r="B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G56" i="12"/>
  <c r="AF56" i="12"/>
  <c r="AE56" i="12"/>
  <c r="AD56" i="12"/>
  <c r="AC56" i="12"/>
  <c r="AB56" i="12"/>
  <c r="AA56" i="12"/>
  <c r="Z56" i="12"/>
  <c r="Y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I55" i="12"/>
  <c r="AH55" i="12"/>
  <c r="AI54" i="12"/>
  <c r="AH54" i="12"/>
  <c r="AI53" i="12"/>
  <c r="AH53" i="12"/>
  <c r="Z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G51" i="12"/>
  <c r="AG52" i="12" s="1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G2" i="12" s="1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I75" i="12" s="1"/>
  <c r="H38" i="12"/>
  <c r="G38" i="12"/>
  <c r="F38" i="12"/>
  <c r="E38" i="12"/>
  <c r="D38" i="12"/>
  <c r="C38" i="12"/>
  <c r="B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B5" i="12"/>
  <c r="Z5" i="12"/>
  <c r="R5" i="12"/>
  <c r="P5" i="12"/>
  <c r="AG4" i="12"/>
  <c r="K4" i="12"/>
  <c r="B4" i="12"/>
  <c r="AG3" i="12"/>
  <c r="AG6" i="12" s="1"/>
  <c r="Z95" i="11"/>
  <c r="X38" i="11"/>
  <c r="Y38" i="11"/>
  <c r="Y68" i="11"/>
  <c r="Y56" i="11"/>
  <c r="Y52" i="11"/>
  <c r="Z38" i="11"/>
  <c r="AA38" i="11"/>
  <c r="AB38" i="11"/>
  <c r="AC38" i="11"/>
  <c r="AD38" i="11"/>
  <c r="AE38" i="11"/>
  <c r="AF38" i="11"/>
  <c r="W95" i="11"/>
  <c r="W37" i="11"/>
  <c r="V95" i="11"/>
  <c r="V37" i="11"/>
  <c r="U95" i="11"/>
  <c r="U37" i="11"/>
  <c r="T95" i="11"/>
  <c r="T37" i="11"/>
  <c r="E4" i="14"/>
  <c r="E4" i="13"/>
  <c r="E4" i="12"/>
  <c r="AF82" i="14" l="1"/>
  <c r="AD82" i="14"/>
  <c r="AB82" i="14"/>
  <c r="AA82" i="14"/>
  <c r="Z82" i="14"/>
  <c r="Z73" i="14"/>
  <c r="X82" i="14"/>
  <c r="V82" i="14"/>
  <c r="U82" i="14"/>
  <c r="T82" i="14"/>
  <c r="S82" i="14"/>
  <c r="S73" i="14"/>
  <c r="S75" i="14"/>
  <c r="Q75" i="14"/>
  <c r="AI213" i="14" s="1"/>
  <c r="R82" i="14"/>
  <c r="R73" i="14"/>
  <c r="Q73" i="14"/>
  <c r="Q83" i="14" s="1"/>
  <c r="P82" i="14"/>
  <c r="O82" i="14"/>
  <c r="O73" i="14"/>
  <c r="N75" i="14"/>
  <c r="AF213" i="14" s="1"/>
  <c r="N73" i="14"/>
  <c r="Y83" i="13"/>
  <c r="AI76" i="14"/>
  <c r="M82" i="14"/>
  <c r="M73" i="14"/>
  <c r="L82" i="14"/>
  <c r="K82" i="14"/>
  <c r="K73" i="14"/>
  <c r="K75" i="14"/>
  <c r="AC213" i="14" s="1"/>
  <c r="J82" i="14"/>
  <c r="J73" i="14"/>
  <c r="I82" i="14"/>
  <c r="I75" i="14"/>
  <c r="AA213" i="14" s="1"/>
  <c r="H82" i="14"/>
  <c r="H73" i="14"/>
  <c r="I73" i="14"/>
  <c r="G82" i="14"/>
  <c r="G73" i="14"/>
  <c r="F82" i="14"/>
  <c r="F75" i="14"/>
  <c r="X213" i="14" s="1"/>
  <c r="F73" i="14"/>
  <c r="AH79" i="14"/>
  <c r="E82" i="14"/>
  <c r="E73" i="14"/>
  <c r="AH78" i="14"/>
  <c r="AI79" i="14"/>
  <c r="AI77" i="14"/>
  <c r="D82" i="14"/>
  <c r="AH38" i="14"/>
  <c r="C82" i="14"/>
  <c r="AI56" i="14"/>
  <c r="H4" i="14"/>
  <c r="AG73" i="14"/>
  <c r="AK213" i="14"/>
  <c r="S7" i="14"/>
  <c r="AI68" i="14"/>
  <c r="D75" i="14"/>
  <c r="L75" i="14"/>
  <c r="T75" i="14"/>
  <c r="E75" i="14"/>
  <c r="M75" i="14"/>
  <c r="C5" i="14"/>
  <c r="D73" i="14"/>
  <c r="K5" i="14"/>
  <c r="L73" i="14"/>
  <c r="S5" i="14"/>
  <c r="T73" i="14"/>
  <c r="T83" i="14" s="1"/>
  <c r="AA5" i="14"/>
  <c r="AI80" i="14"/>
  <c r="AG83" i="14"/>
  <c r="AH80" i="14"/>
  <c r="AI38" i="14"/>
  <c r="S83" i="14"/>
  <c r="AI78" i="14"/>
  <c r="S210" i="14"/>
  <c r="D210" i="14"/>
  <c r="C73" i="14"/>
  <c r="G75" i="14"/>
  <c r="O75" i="14"/>
  <c r="O83" i="14" s="1"/>
  <c r="F5" i="14"/>
  <c r="N5" i="14"/>
  <c r="V5" i="14"/>
  <c r="AD5" i="14"/>
  <c r="H75" i="14"/>
  <c r="P75" i="14"/>
  <c r="P83" i="14" s="1"/>
  <c r="D191" i="14"/>
  <c r="E191" i="14"/>
  <c r="N7" i="14"/>
  <c r="J75" i="14"/>
  <c r="R75" i="14"/>
  <c r="R83" i="14" s="1"/>
  <c r="Z75" i="14"/>
  <c r="Z83" i="14" s="1"/>
  <c r="F101" i="14"/>
  <c r="G102" i="14"/>
  <c r="AH76" i="14"/>
  <c r="B82" i="14"/>
  <c r="AH56" i="14"/>
  <c r="AH68" i="14"/>
  <c r="AH72" i="14"/>
  <c r="AH77" i="14"/>
  <c r="Q7" i="14"/>
  <c r="AI72" i="14"/>
  <c r="H198" i="14"/>
  <c r="F234" i="14"/>
  <c r="E234" i="14"/>
  <c r="E193" i="14"/>
  <c r="X82" i="13"/>
  <c r="T73" i="13"/>
  <c r="T75" i="13"/>
  <c r="AL213" i="13" s="1"/>
  <c r="Q82" i="13"/>
  <c r="P82" i="13"/>
  <c r="O82" i="13"/>
  <c r="M73" i="13"/>
  <c r="L73" i="13"/>
  <c r="I82" i="13"/>
  <c r="H82" i="13"/>
  <c r="G82" i="13"/>
  <c r="E73" i="13"/>
  <c r="I75" i="13"/>
  <c r="I7" i="13" s="1"/>
  <c r="Q75" i="13"/>
  <c r="K82" i="13"/>
  <c r="S82" i="13"/>
  <c r="AA82" i="13"/>
  <c r="D73" i="13"/>
  <c r="AG75" i="13"/>
  <c r="AG83" i="13" s="1"/>
  <c r="M75" i="13"/>
  <c r="AI76" i="13"/>
  <c r="J82" i="13"/>
  <c r="R82" i="13"/>
  <c r="H73" i="13"/>
  <c r="P73" i="13"/>
  <c r="I73" i="13"/>
  <c r="Q73" i="13"/>
  <c r="AG73" i="13"/>
  <c r="F82" i="13"/>
  <c r="N82" i="13"/>
  <c r="V82" i="13"/>
  <c r="AD82" i="13"/>
  <c r="AG6" i="13"/>
  <c r="H75" i="13"/>
  <c r="Z213" i="13" s="1"/>
  <c r="W82" i="13"/>
  <c r="AE82" i="13"/>
  <c r="T7" i="13"/>
  <c r="K75" i="13"/>
  <c r="AC213" i="13" s="1"/>
  <c r="S75" i="13"/>
  <c r="S7" i="13" s="1"/>
  <c r="K73" i="13"/>
  <c r="S73" i="13"/>
  <c r="AI56" i="13"/>
  <c r="L75" i="13"/>
  <c r="AH80" i="13"/>
  <c r="AI77" i="13"/>
  <c r="D75" i="13"/>
  <c r="AI78" i="13"/>
  <c r="C73" i="13"/>
  <c r="H4" i="13"/>
  <c r="AH56" i="13"/>
  <c r="F102" i="13"/>
  <c r="E93" i="13"/>
  <c r="R75" i="13"/>
  <c r="P75" i="13"/>
  <c r="AI72" i="13"/>
  <c r="AI68" i="13"/>
  <c r="AF5" i="13"/>
  <c r="E75" i="13"/>
  <c r="F75" i="13"/>
  <c r="N75" i="13"/>
  <c r="AI213" i="13"/>
  <c r="D82" i="13"/>
  <c r="L82" i="13"/>
  <c r="T82" i="13"/>
  <c r="T83" i="13" s="1"/>
  <c r="AB82" i="13"/>
  <c r="E82" i="13"/>
  <c r="AH77" i="13"/>
  <c r="M82" i="13"/>
  <c r="U82" i="13"/>
  <c r="AC82" i="13"/>
  <c r="J75" i="13"/>
  <c r="R73" i="13"/>
  <c r="Q5" i="13"/>
  <c r="AH38" i="13"/>
  <c r="AI38" i="13"/>
  <c r="E5" i="13"/>
  <c r="F73" i="13"/>
  <c r="M5" i="13"/>
  <c r="N73" i="13"/>
  <c r="U5" i="13"/>
  <c r="AC5" i="13"/>
  <c r="G75" i="13"/>
  <c r="O75" i="13"/>
  <c r="AI80" i="13"/>
  <c r="G73" i="13"/>
  <c r="O73" i="13"/>
  <c r="AH72" i="13"/>
  <c r="AH79" i="13"/>
  <c r="C82" i="13"/>
  <c r="J73" i="13"/>
  <c r="AH68" i="13"/>
  <c r="I5" i="13"/>
  <c r="AI79" i="13"/>
  <c r="H5" i="13"/>
  <c r="P5" i="13"/>
  <c r="X5" i="13"/>
  <c r="AH76" i="13"/>
  <c r="B82" i="13"/>
  <c r="D191" i="13"/>
  <c r="E191" i="13"/>
  <c r="AH78" i="13"/>
  <c r="F101" i="13"/>
  <c r="D210" i="13"/>
  <c r="S210" i="13"/>
  <c r="H198" i="13"/>
  <c r="E199" i="13"/>
  <c r="F193" i="13"/>
  <c r="D234" i="13"/>
  <c r="E234" i="13"/>
  <c r="D199" i="13"/>
  <c r="AF82" i="12"/>
  <c r="AE82" i="12"/>
  <c r="AC82" i="12"/>
  <c r="AB82" i="12"/>
  <c r="Y82" i="12"/>
  <c r="X82" i="12"/>
  <c r="W82" i="12"/>
  <c r="V82" i="12"/>
  <c r="U82" i="12"/>
  <c r="T82" i="12"/>
  <c r="T75" i="12"/>
  <c r="S82" i="12"/>
  <c r="S73" i="12"/>
  <c r="S75" i="12"/>
  <c r="S83" i="12" s="1"/>
  <c r="Q82" i="12"/>
  <c r="Q75" i="12"/>
  <c r="Q73" i="12"/>
  <c r="P82" i="12"/>
  <c r="P73" i="12"/>
  <c r="O82" i="12"/>
  <c r="N73" i="12"/>
  <c r="N75" i="12"/>
  <c r="M82" i="12"/>
  <c r="M73" i="12"/>
  <c r="AI80" i="12"/>
  <c r="K73" i="12"/>
  <c r="I73" i="12"/>
  <c r="I83" i="12" s="1"/>
  <c r="H82" i="12"/>
  <c r="AH77" i="12"/>
  <c r="H73" i="12"/>
  <c r="G82" i="12"/>
  <c r="F73" i="12"/>
  <c r="F75" i="12"/>
  <c r="F7" i="12" s="1"/>
  <c r="E73" i="12"/>
  <c r="AH38" i="12"/>
  <c r="D75" i="12"/>
  <c r="D7" i="12" s="1"/>
  <c r="AI76" i="12"/>
  <c r="AH79" i="12"/>
  <c r="C73" i="12"/>
  <c r="C75" i="12" s="1"/>
  <c r="U213" i="12" s="1"/>
  <c r="AH80" i="12"/>
  <c r="AI38" i="12"/>
  <c r="H4" i="12"/>
  <c r="AL213" i="12"/>
  <c r="T7" i="12"/>
  <c r="H102" i="12"/>
  <c r="J73" i="12"/>
  <c r="AF213" i="12"/>
  <c r="N7" i="12"/>
  <c r="AI77" i="12"/>
  <c r="AI78" i="12"/>
  <c r="V5" i="12"/>
  <c r="D73" i="12"/>
  <c r="C5" i="12"/>
  <c r="T73" i="12"/>
  <c r="T83" i="12" s="1"/>
  <c r="S5" i="12"/>
  <c r="G75" i="12"/>
  <c r="O75" i="12"/>
  <c r="AI213" i="12"/>
  <c r="Q7" i="12"/>
  <c r="C82" i="12"/>
  <c r="K82" i="12"/>
  <c r="AA82" i="12"/>
  <c r="AH78" i="12"/>
  <c r="D82" i="12"/>
  <c r="F5" i="12"/>
  <c r="G73" i="12"/>
  <c r="N5" i="12"/>
  <c r="O73" i="12"/>
  <c r="R73" i="12"/>
  <c r="E82" i="12"/>
  <c r="Q83" i="12"/>
  <c r="AG73" i="12"/>
  <c r="AI72" i="12"/>
  <c r="J75" i="12"/>
  <c r="R75" i="12"/>
  <c r="Z75" i="12"/>
  <c r="AH72" i="12"/>
  <c r="F82" i="12"/>
  <c r="N82" i="12"/>
  <c r="N83" i="12" s="1"/>
  <c r="AD82" i="12"/>
  <c r="AD5" i="12"/>
  <c r="AH68" i="12"/>
  <c r="AK213" i="12"/>
  <c r="S7" i="12"/>
  <c r="AI56" i="12"/>
  <c r="AH56" i="12"/>
  <c r="Z73" i="12"/>
  <c r="AA213" i="12"/>
  <c r="I7" i="12"/>
  <c r="AI79" i="12"/>
  <c r="AI68" i="12"/>
  <c r="AF5" i="12"/>
  <c r="L73" i="12"/>
  <c r="K5" i="12"/>
  <c r="AA5" i="12"/>
  <c r="L75" i="12"/>
  <c r="B82" i="12"/>
  <c r="AH76" i="12"/>
  <c r="J82" i="12"/>
  <c r="R82" i="12"/>
  <c r="Z82" i="12"/>
  <c r="K75" i="12"/>
  <c r="E75" i="12"/>
  <c r="M75" i="12"/>
  <c r="E191" i="12"/>
  <c r="F101" i="12"/>
  <c r="S210" i="12"/>
  <c r="D210" i="12"/>
  <c r="H75" i="12"/>
  <c r="P75" i="12"/>
  <c r="P83" i="12" s="1"/>
  <c r="AG75" i="12"/>
  <c r="AG83" i="12" s="1"/>
  <c r="D191" i="12"/>
  <c r="D234" i="12"/>
  <c r="F198" i="12"/>
  <c r="E193" i="12"/>
  <c r="I7" i="14" l="1"/>
  <c r="I83" i="14"/>
  <c r="N83" i="14"/>
  <c r="M83" i="14"/>
  <c r="L83" i="14"/>
  <c r="K83" i="14"/>
  <c r="K7" i="14"/>
  <c r="H83" i="14"/>
  <c r="G83" i="14"/>
  <c r="F7" i="14"/>
  <c r="F83" i="14"/>
  <c r="E83" i="14"/>
  <c r="D83" i="14"/>
  <c r="E199" i="14"/>
  <c r="F193" i="14"/>
  <c r="AR213" i="14"/>
  <c r="Z7" i="14"/>
  <c r="AJ213" i="14"/>
  <c r="R7" i="14"/>
  <c r="AB213" i="14"/>
  <c r="J7" i="14"/>
  <c r="AL213" i="14"/>
  <c r="T7" i="14"/>
  <c r="G234" i="14"/>
  <c r="I198" i="14"/>
  <c r="AI82" i="14"/>
  <c r="AH82" i="14"/>
  <c r="AH213" i="14"/>
  <c r="P7" i="14"/>
  <c r="AG213" i="14"/>
  <c r="O7" i="14"/>
  <c r="J83" i="14"/>
  <c r="AE213" i="14"/>
  <c r="M7" i="14"/>
  <c r="AD213" i="14"/>
  <c r="L7" i="14"/>
  <c r="E93" i="14"/>
  <c r="Z213" i="14"/>
  <c r="H7" i="14"/>
  <c r="Y213" i="14"/>
  <c r="C208" i="14"/>
  <c r="B208" i="14"/>
  <c r="G7" i="14"/>
  <c r="W213" i="14"/>
  <c r="E7" i="14"/>
  <c r="H102" i="14"/>
  <c r="C75" i="14"/>
  <c r="C83" i="14" s="1"/>
  <c r="V213" i="14"/>
  <c r="D7" i="14"/>
  <c r="F191" i="14"/>
  <c r="G101" i="14"/>
  <c r="S83" i="13"/>
  <c r="AK213" i="13"/>
  <c r="R83" i="13"/>
  <c r="Q83" i="13"/>
  <c r="Q7" i="13"/>
  <c r="P83" i="13"/>
  <c r="M83" i="13"/>
  <c r="G83" i="13"/>
  <c r="K7" i="13"/>
  <c r="J83" i="13"/>
  <c r="I83" i="13"/>
  <c r="AA213" i="13"/>
  <c r="H7" i="13"/>
  <c r="K83" i="13"/>
  <c r="N83" i="13"/>
  <c r="H83" i="13"/>
  <c r="AE213" i="13"/>
  <c r="M7" i="13"/>
  <c r="AD213" i="13"/>
  <c r="L7" i="13"/>
  <c r="O83" i="13"/>
  <c r="L83" i="13"/>
  <c r="D83" i="13"/>
  <c r="V213" i="13"/>
  <c r="D7" i="13"/>
  <c r="C75" i="13"/>
  <c r="C83" i="13" s="1"/>
  <c r="AI82" i="13"/>
  <c r="AH82" i="13"/>
  <c r="G234" i="13"/>
  <c r="I198" i="13"/>
  <c r="W213" i="13"/>
  <c r="E7" i="13"/>
  <c r="G102" i="13"/>
  <c r="F93" i="13"/>
  <c r="AG213" i="13"/>
  <c r="O7" i="13"/>
  <c r="AR213" i="13"/>
  <c r="Z7" i="13"/>
  <c r="F83" i="13"/>
  <c r="F199" i="13"/>
  <c r="G193" i="13"/>
  <c r="F191" i="13"/>
  <c r="G101" i="13"/>
  <c r="Y213" i="13"/>
  <c r="C208" i="13"/>
  <c r="B208" i="13"/>
  <c r="G7" i="13"/>
  <c r="AB213" i="13"/>
  <c r="J7" i="13"/>
  <c r="AH213" i="13"/>
  <c r="P7" i="13"/>
  <c r="AF213" i="13"/>
  <c r="N7" i="13"/>
  <c r="E83" i="13"/>
  <c r="X213" i="13"/>
  <c r="F7" i="13"/>
  <c r="AJ213" i="13"/>
  <c r="R7" i="13"/>
  <c r="Z83" i="12"/>
  <c r="R83" i="12"/>
  <c r="M83" i="12"/>
  <c r="V213" i="12"/>
  <c r="O83" i="12"/>
  <c r="X213" i="12"/>
  <c r="K83" i="12"/>
  <c r="L83" i="12"/>
  <c r="H83" i="12"/>
  <c r="G83" i="12"/>
  <c r="F83" i="12"/>
  <c r="E83" i="12"/>
  <c r="D83" i="12"/>
  <c r="C7" i="12"/>
  <c r="E199" i="12"/>
  <c r="F193" i="12"/>
  <c r="E93" i="12"/>
  <c r="AC213" i="12"/>
  <c r="K7" i="12"/>
  <c r="G198" i="12"/>
  <c r="E234" i="12"/>
  <c r="Z213" i="12"/>
  <c r="H7" i="12"/>
  <c r="AD213" i="12"/>
  <c r="L7" i="12"/>
  <c r="AR213" i="12"/>
  <c r="Z7" i="12"/>
  <c r="I102" i="12"/>
  <c r="F191" i="12"/>
  <c r="G101" i="12"/>
  <c r="AJ213" i="12"/>
  <c r="R7" i="12"/>
  <c r="AG213" i="12"/>
  <c r="O7" i="12"/>
  <c r="J83" i="12"/>
  <c r="AE213" i="12"/>
  <c r="M7" i="12"/>
  <c r="AH82" i="12"/>
  <c r="AI82" i="12"/>
  <c r="AH213" i="12"/>
  <c r="P7" i="12"/>
  <c r="W213" i="12"/>
  <c r="E7" i="12"/>
  <c r="AB213" i="12"/>
  <c r="J7" i="12"/>
  <c r="Y213" i="12"/>
  <c r="C208" i="12"/>
  <c r="B208" i="12"/>
  <c r="G7" i="12"/>
  <c r="K6" i="14" l="1"/>
  <c r="G191" i="14"/>
  <c r="H101" i="14"/>
  <c r="H234" i="14"/>
  <c r="J198" i="14"/>
  <c r="U213" i="14"/>
  <c r="C7" i="14"/>
  <c r="I102" i="14"/>
  <c r="F199" i="14"/>
  <c r="G193" i="14"/>
  <c r="F93" i="14"/>
  <c r="K6" i="13"/>
  <c r="U213" i="13"/>
  <c r="C7" i="13"/>
  <c r="H102" i="13"/>
  <c r="G93" i="13"/>
  <c r="H234" i="13"/>
  <c r="J198" i="13"/>
  <c r="G191" i="13"/>
  <c r="H101" i="13"/>
  <c r="H193" i="13"/>
  <c r="G199" i="13"/>
  <c r="K6" i="12"/>
  <c r="J102" i="12"/>
  <c r="F234" i="12"/>
  <c r="H198" i="12"/>
  <c r="G193" i="12"/>
  <c r="F199" i="12"/>
  <c r="F93" i="12"/>
  <c r="G191" i="12"/>
  <c r="H101" i="12"/>
  <c r="H193" i="14" l="1"/>
  <c r="G199" i="14"/>
  <c r="G93" i="14"/>
  <c r="I234" i="14"/>
  <c r="K198" i="14"/>
  <c r="J102" i="14"/>
  <c r="H191" i="14"/>
  <c r="I101" i="14"/>
  <c r="I193" i="13"/>
  <c r="H199" i="13"/>
  <c r="H191" i="13"/>
  <c r="I101" i="13"/>
  <c r="I234" i="13"/>
  <c r="K198" i="13"/>
  <c r="I102" i="13"/>
  <c r="H93" i="13"/>
  <c r="G234" i="12"/>
  <c r="I198" i="12"/>
  <c r="H193" i="12"/>
  <c r="G199" i="12"/>
  <c r="G93" i="12"/>
  <c r="H191" i="12"/>
  <c r="I101" i="12"/>
  <c r="K102" i="12"/>
  <c r="K102" i="14" l="1"/>
  <c r="J234" i="14"/>
  <c r="L198" i="14"/>
  <c r="I191" i="14"/>
  <c r="J101" i="14"/>
  <c r="H199" i="14"/>
  <c r="I193" i="14"/>
  <c r="H93" i="14"/>
  <c r="J102" i="13"/>
  <c r="I93" i="13"/>
  <c r="L198" i="13"/>
  <c r="J234" i="13"/>
  <c r="I191" i="13"/>
  <c r="J101" i="13"/>
  <c r="I199" i="13"/>
  <c r="J193" i="13"/>
  <c r="H199" i="12"/>
  <c r="I193" i="12"/>
  <c r="H93" i="12"/>
  <c r="H234" i="12"/>
  <c r="J198" i="12"/>
  <c r="L102" i="12"/>
  <c r="I191" i="12"/>
  <c r="J101" i="12"/>
  <c r="J191" i="14" l="1"/>
  <c r="K101" i="14"/>
  <c r="M198" i="14"/>
  <c r="K234" i="14"/>
  <c r="J193" i="14"/>
  <c r="I199" i="14"/>
  <c r="I93" i="14"/>
  <c r="L102" i="14"/>
  <c r="K193" i="13"/>
  <c r="J199" i="13"/>
  <c r="J191" i="13"/>
  <c r="K101" i="13"/>
  <c r="K234" i="13"/>
  <c r="M198" i="13"/>
  <c r="J93" i="13"/>
  <c r="K102" i="13"/>
  <c r="I199" i="12"/>
  <c r="J193" i="12"/>
  <c r="I93" i="12"/>
  <c r="K198" i="12"/>
  <c r="I234" i="12"/>
  <c r="J191" i="12"/>
  <c r="K101" i="12"/>
  <c r="M102" i="12"/>
  <c r="M102" i="14" l="1"/>
  <c r="K193" i="14"/>
  <c r="J199" i="14"/>
  <c r="J93" i="14"/>
  <c r="L234" i="14"/>
  <c r="N198" i="14"/>
  <c r="K191" i="14"/>
  <c r="L101" i="14"/>
  <c r="K191" i="13"/>
  <c r="L101" i="13"/>
  <c r="N198" i="13"/>
  <c r="L234" i="13"/>
  <c r="L102" i="13"/>
  <c r="K93" i="13"/>
  <c r="K199" i="13"/>
  <c r="L193" i="13"/>
  <c r="J199" i="12"/>
  <c r="K193" i="12"/>
  <c r="J93" i="12"/>
  <c r="N102" i="12"/>
  <c r="L198" i="12"/>
  <c r="J234" i="12"/>
  <c r="K191" i="12"/>
  <c r="L101" i="12"/>
  <c r="O198" i="14" l="1"/>
  <c r="M234" i="14"/>
  <c r="L191" i="14"/>
  <c r="M101" i="14"/>
  <c r="K199" i="14"/>
  <c r="L193" i="14"/>
  <c r="K93" i="14"/>
  <c r="N102" i="14"/>
  <c r="M234" i="13"/>
  <c r="O198" i="13"/>
  <c r="M102" i="13"/>
  <c r="L93" i="13"/>
  <c r="L191" i="13"/>
  <c r="M101" i="13"/>
  <c r="L199" i="13"/>
  <c r="M193" i="13"/>
  <c r="M198" i="12"/>
  <c r="K234" i="12"/>
  <c r="O102" i="12"/>
  <c r="K199" i="12"/>
  <c r="L193" i="12"/>
  <c r="K93" i="12"/>
  <c r="L191" i="12"/>
  <c r="M101" i="12"/>
  <c r="O102" i="14" l="1"/>
  <c r="M193" i="14"/>
  <c r="L199" i="14"/>
  <c r="L93" i="14"/>
  <c r="M191" i="14"/>
  <c r="N101" i="14"/>
  <c r="P198" i="14"/>
  <c r="N234" i="14"/>
  <c r="M199" i="13"/>
  <c r="N193" i="13"/>
  <c r="M191" i="13"/>
  <c r="N101" i="13"/>
  <c r="N234" i="13"/>
  <c r="P198" i="13"/>
  <c r="N102" i="13"/>
  <c r="M93" i="13"/>
  <c r="L199" i="12"/>
  <c r="M193" i="12"/>
  <c r="L93" i="12"/>
  <c r="P102" i="12"/>
  <c r="M191" i="12"/>
  <c r="N101" i="12"/>
  <c r="N198" i="12"/>
  <c r="L234" i="12"/>
  <c r="N191" i="14" l="1"/>
  <c r="O101" i="14"/>
  <c r="M199" i="14"/>
  <c r="N193" i="14"/>
  <c r="M93" i="14"/>
  <c r="O234" i="14"/>
  <c r="Q198" i="14"/>
  <c r="P102" i="14"/>
  <c r="O102" i="13"/>
  <c r="N93" i="13"/>
  <c r="O234" i="13"/>
  <c r="Q198" i="13"/>
  <c r="N191" i="13"/>
  <c r="O101" i="13"/>
  <c r="N199" i="13"/>
  <c r="O193" i="13"/>
  <c r="N191" i="12"/>
  <c r="O101" i="12"/>
  <c r="Q102" i="12"/>
  <c r="M234" i="12"/>
  <c r="O198" i="12"/>
  <c r="M199" i="12"/>
  <c r="N193" i="12"/>
  <c r="M93" i="12"/>
  <c r="P234" i="14" l="1"/>
  <c r="R198" i="14"/>
  <c r="Q102" i="14"/>
  <c r="N199" i="14"/>
  <c r="O193" i="14"/>
  <c r="N93" i="14"/>
  <c r="O191" i="14"/>
  <c r="P101" i="14"/>
  <c r="O191" i="13"/>
  <c r="P101" i="13"/>
  <c r="P234" i="13"/>
  <c r="R198" i="13"/>
  <c r="P193" i="13"/>
  <c r="O199" i="13"/>
  <c r="P102" i="13"/>
  <c r="O93" i="13"/>
  <c r="O193" i="12"/>
  <c r="N199" i="12"/>
  <c r="N93" i="12"/>
  <c r="N234" i="12"/>
  <c r="P198" i="12"/>
  <c r="R102" i="12"/>
  <c r="O191" i="12"/>
  <c r="P101" i="12"/>
  <c r="P193" i="14" l="1"/>
  <c r="O199" i="14"/>
  <c r="O93" i="14"/>
  <c r="R102" i="14"/>
  <c r="Q234" i="14"/>
  <c r="S198" i="14"/>
  <c r="P191" i="14"/>
  <c r="Q101" i="14"/>
  <c r="P199" i="13"/>
  <c r="Q193" i="13"/>
  <c r="Q234" i="13"/>
  <c r="S198" i="13"/>
  <c r="P191" i="13"/>
  <c r="Q101" i="13"/>
  <c r="Q102" i="13"/>
  <c r="P93" i="13"/>
  <c r="S102" i="12"/>
  <c r="O234" i="12"/>
  <c r="Q198" i="12"/>
  <c r="P191" i="12"/>
  <c r="Q101" i="12"/>
  <c r="P193" i="12"/>
  <c r="O199" i="12"/>
  <c r="O93" i="12"/>
  <c r="Q191" i="14" l="1"/>
  <c r="R101" i="14"/>
  <c r="P199" i="14"/>
  <c r="Q193" i="14"/>
  <c r="P93" i="14"/>
  <c r="R234" i="14"/>
  <c r="T198" i="14"/>
  <c r="S102" i="14"/>
  <c r="R102" i="13"/>
  <c r="Q93" i="13"/>
  <c r="Q191" i="13"/>
  <c r="R101" i="13"/>
  <c r="T198" i="13"/>
  <c r="R234" i="13"/>
  <c r="Q199" i="13"/>
  <c r="R193" i="13"/>
  <c r="Q193" i="12"/>
  <c r="P199" i="12"/>
  <c r="P93" i="12"/>
  <c r="Q191" i="12"/>
  <c r="R101" i="12"/>
  <c r="P234" i="12"/>
  <c r="R198" i="12"/>
  <c r="T102" i="12"/>
  <c r="T102" i="14" l="1"/>
  <c r="U198" i="14"/>
  <c r="S234" i="14"/>
  <c r="Q199" i="14"/>
  <c r="R193" i="14"/>
  <c r="Q93" i="14"/>
  <c r="R191" i="14"/>
  <c r="S101" i="14"/>
  <c r="S234" i="13"/>
  <c r="U198" i="13"/>
  <c r="R199" i="13"/>
  <c r="S193" i="13"/>
  <c r="R191" i="13"/>
  <c r="S101" i="13"/>
  <c r="R93" i="13"/>
  <c r="S102" i="13"/>
  <c r="R191" i="12"/>
  <c r="S101" i="12"/>
  <c r="Q234" i="12"/>
  <c r="S198" i="12"/>
  <c r="U102" i="12"/>
  <c r="Q199" i="12"/>
  <c r="R193" i="12"/>
  <c r="Q93" i="12"/>
  <c r="S193" i="14" l="1"/>
  <c r="R199" i="14"/>
  <c r="R93" i="14"/>
  <c r="S191" i="14"/>
  <c r="T101" i="14"/>
  <c r="T234" i="14"/>
  <c r="V198" i="14"/>
  <c r="U102" i="14"/>
  <c r="T102" i="13"/>
  <c r="S93" i="13"/>
  <c r="S191" i="13"/>
  <c r="T101" i="13"/>
  <c r="S199" i="13"/>
  <c r="T193" i="13"/>
  <c r="V198" i="13"/>
  <c r="T234" i="13"/>
  <c r="V102" i="12"/>
  <c r="R234" i="12"/>
  <c r="T198" i="12"/>
  <c r="S191" i="12"/>
  <c r="T101" i="12"/>
  <c r="R199" i="12"/>
  <c r="S193" i="12"/>
  <c r="R93" i="12"/>
  <c r="V102" i="14" l="1"/>
  <c r="W198" i="14"/>
  <c r="U234" i="14"/>
  <c r="T191" i="14"/>
  <c r="U101" i="14"/>
  <c r="S199" i="14"/>
  <c r="T193" i="14"/>
  <c r="S93" i="14"/>
  <c r="T199" i="13"/>
  <c r="U193" i="13"/>
  <c r="T191" i="13"/>
  <c r="U101" i="13"/>
  <c r="W198" i="13"/>
  <c r="U234" i="13"/>
  <c r="U102" i="13"/>
  <c r="T93" i="13"/>
  <c r="S199" i="12"/>
  <c r="T193" i="12"/>
  <c r="S93" i="12"/>
  <c r="T191" i="12"/>
  <c r="U101" i="12"/>
  <c r="U198" i="12"/>
  <c r="S234" i="12"/>
  <c r="W102" i="12"/>
  <c r="T199" i="14" l="1"/>
  <c r="U193" i="14"/>
  <c r="T93" i="14"/>
  <c r="U191" i="14"/>
  <c r="V101" i="14"/>
  <c r="X198" i="14"/>
  <c r="V234" i="14"/>
  <c r="W102" i="14"/>
  <c r="U191" i="13"/>
  <c r="V101" i="13"/>
  <c r="V102" i="13"/>
  <c r="U93" i="13"/>
  <c r="X198" i="13"/>
  <c r="V234" i="13"/>
  <c r="U199" i="13"/>
  <c r="U51" i="13" s="1"/>
  <c r="U52" i="13" s="1"/>
  <c r="V193" i="13"/>
  <c r="V198" i="12"/>
  <c r="T234" i="12"/>
  <c r="U191" i="12"/>
  <c r="V101" i="12"/>
  <c r="T199" i="12"/>
  <c r="U193" i="12"/>
  <c r="T93" i="12"/>
  <c r="X102" i="12"/>
  <c r="X102" i="14" l="1"/>
  <c r="W234" i="14"/>
  <c r="Y198" i="14"/>
  <c r="V191" i="14"/>
  <c r="W101" i="14"/>
  <c r="U199" i="14"/>
  <c r="U51" i="14" s="1"/>
  <c r="U52" i="14" s="1"/>
  <c r="V193" i="14"/>
  <c r="U93" i="14"/>
  <c r="U73" i="13"/>
  <c r="U75" i="13"/>
  <c r="W102" i="13"/>
  <c r="V93" i="13"/>
  <c r="V191" i="13"/>
  <c r="W101" i="13"/>
  <c r="V199" i="13"/>
  <c r="V51" i="13" s="1"/>
  <c r="V52" i="13" s="1"/>
  <c r="W193" i="13"/>
  <c r="W234" i="13"/>
  <c r="Y198" i="13"/>
  <c r="Y102" i="12"/>
  <c r="U199" i="12"/>
  <c r="U51" i="12" s="1"/>
  <c r="U52" i="12" s="1"/>
  <c r="V193" i="12"/>
  <c r="U93" i="12"/>
  <c r="V191" i="12"/>
  <c r="W101" i="12"/>
  <c r="W198" i="12"/>
  <c r="U234" i="12"/>
  <c r="V199" i="14" l="1"/>
  <c r="V51" i="14" s="1"/>
  <c r="V52" i="14" s="1"/>
  <c r="W193" i="14"/>
  <c r="V93" i="14"/>
  <c r="W191" i="14"/>
  <c r="X101" i="14"/>
  <c r="U73" i="14"/>
  <c r="U75" i="14"/>
  <c r="X234" i="14"/>
  <c r="Z198" i="14"/>
  <c r="Y102" i="14"/>
  <c r="X193" i="13"/>
  <c r="W199" i="13"/>
  <c r="W51" i="13" s="1"/>
  <c r="W52" i="13" s="1"/>
  <c r="V75" i="13"/>
  <c r="V73" i="13"/>
  <c r="V83" i="13" s="1"/>
  <c r="W191" i="13"/>
  <c r="X101" i="13"/>
  <c r="AM213" i="13"/>
  <c r="U7" i="13"/>
  <c r="X102" i="13"/>
  <c r="W93" i="13"/>
  <c r="X234" i="13"/>
  <c r="Z198" i="13"/>
  <c r="U83" i="13"/>
  <c r="W191" i="12"/>
  <c r="X101" i="12"/>
  <c r="V234" i="12"/>
  <c r="X198" i="12"/>
  <c r="U73" i="12"/>
  <c r="U75" i="12"/>
  <c r="Z102" i="12"/>
  <c r="W193" i="12"/>
  <c r="V199" i="12"/>
  <c r="V51" i="12" s="1"/>
  <c r="V52" i="12" s="1"/>
  <c r="V93" i="12"/>
  <c r="Y234" i="14" l="1"/>
  <c r="AA198" i="14"/>
  <c r="AM213" i="14"/>
  <c r="U7" i="14"/>
  <c r="U83" i="14"/>
  <c r="X191" i="14"/>
  <c r="Y101" i="14"/>
  <c r="Z102" i="14"/>
  <c r="X193" i="14"/>
  <c r="W199" i="14"/>
  <c r="W51" i="14" s="1"/>
  <c r="W52" i="14" s="1"/>
  <c r="W93" i="14"/>
  <c r="V75" i="14"/>
  <c r="V73" i="14"/>
  <c r="X191" i="13"/>
  <c r="Y101" i="13"/>
  <c r="Y234" i="13"/>
  <c r="AA198" i="13"/>
  <c r="AN213" i="13"/>
  <c r="V7" i="13"/>
  <c r="W73" i="13"/>
  <c r="W75" i="13"/>
  <c r="Y102" i="13"/>
  <c r="X93" i="13"/>
  <c r="Y193" i="13"/>
  <c r="X199" i="13"/>
  <c r="X51" i="13" s="1"/>
  <c r="X52" i="13" s="1"/>
  <c r="AM213" i="12"/>
  <c r="U7" i="12"/>
  <c r="W234" i="12"/>
  <c r="Y198" i="12"/>
  <c r="AA102" i="12"/>
  <c r="V73" i="12"/>
  <c r="V75" i="12"/>
  <c r="X191" i="12"/>
  <c r="Y101" i="12"/>
  <c r="U83" i="12"/>
  <c r="X193" i="12"/>
  <c r="W199" i="12"/>
  <c r="W51" i="12" s="1"/>
  <c r="W52" i="12" s="1"/>
  <c r="W93" i="12"/>
  <c r="V83" i="14" l="1"/>
  <c r="Y191" i="14"/>
  <c r="Z101" i="14"/>
  <c r="AN213" i="14"/>
  <c r="V7" i="14"/>
  <c r="W73" i="14"/>
  <c r="W75" i="14"/>
  <c r="X199" i="14"/>
  <c r="X51" i="14" s="1"/>
  <c r="X52" i="14" s="1"/>
  <c r="Y193" i="14"/>
  <c r="X93" i="14"/>
  <c r="Z234" i="14"/>
  <c r="AB198" i="14"/>
  <c r="AA102" i="14"/>
  <c r="AO213" i="13"/>
  <c r="W7" i="13"/>
  <c r="X75" i="13"/>
  <c r="X73" i="13"/>
  <c r="AB198" i="13"/>
  <c r="Z234" i="13"/>
  <c r="W83" i="13"/>
  <c r="Y199" i="13"/>
  <c r="Y52" i="13" s="1"/>
  <c r="Z193" i="13"/>
  <c r="Y191" i="13"/>
  <c r="Z101" i="13"/>
  <c r="Z102" i="13"/>
  <c r="V83" i="12"/>
  <c r="W73" i="12"/>
  <c r="W75" i="12"/>
  <c r="AB102" i="12"/>
  <c r="X199" i="12"/>
  <c r="Y193" i="12"/>
  <c r="X93" i="12"/>
  <c r="X234" i="12"/>
  <c r="Z198" i="12"/>
  <c r="Y191" i="12"/>
  <c r="Z101" i="12"/>
  <c r="AN213" i="12"/>
  <c r="V7" i="12"/>
  <c r="Z193" i="14" l="1"/>
  <c r="Y199" i="14"/>
  <c r="Y52" i="14" s="1"/>
  <c r="Y93" i="14"/>
  <c r="X73" i="14"/>
  <c r="X75" i="14"/>
  <c r="AC198" i="14"/>
  <c r="AA234" i="14"/>
  <c r="AO213" i="14"/>
  <c r="W7" i="14"/>
  <c r="W83" i="14"/>
  <c r="AB102" i="14"/>
  <c r="Z191" i="14"/>
  <c r="AA101" i="14"/>
  <c r="X83" i="13"/>
  <c r="AP213" i="13"/>
  <c r="X7" i="13"/>
  <c r="AA234" i="13"/>
  <c r="AC198" i="13"/>
  <c r="AA102" i="13"/>
  <c r="Z191" i="13"/>
  <c r="AA101" i="13"/>
  <c r="Z199" i="13"/>
  <c r="AA193" i="13"/>
  <c r="W83" i="12"/>
  <c r="Z193" i="12"/>
  <c r="Y199" i="12"/>
  <c r="Y52" i="12" s="1"/>
  <c r="Y93" i="12"/>
  <c r="AC102" i="12"/>
  <c r="Z191" i="12"/>
  <c r="AA101" i="12"/>
  <c r="X73" i="12"/>
  <c r="X83" i="12" s="1"/>
  <c r="X75" i="12"/>
  <c r="AO213" i="12"/>
  <c r="W7" i="12"/>
  <c r="Y234" i="12"/>
  <c r="AA198" i="12"/>
  <c r="AA191" i="14" l="1"/>
  <c r="AB101" i="14"/>
  <c r="AP213" i="14"/>
  <c r="X7" i="14"/>
  <c r="AB234" i="14"/>
  <c r="AD198" i="14"/>
  <c r="X83" i="14"/>
  <c r="AC102" i="14"/>
  <c r="Y75" i="14"/>
  <c r="Y73" i="14"/>
  <c r="AA193" i="14"/>
  <c r="Z199" i="14"/>
  <c r="Z93" i="14"/>
  <c r="AD198" i="13"/>
  <c r="AB234" i="13"/>
  <c r="AB102" i="13"/>
  <c r="AA93" i="13"/>
  <c r="AA199" i="13"/>
  <c r="AA51" i="13" s="1"/>
  <c r="AA52" i="13" s="1"/>
  <c r="AB193" i="13"/>
  <c r="AA191" i="13"/>
  <c r="AB101" i="13"/>
  <c r="AQ213" i="13"/>
  <c r="Y7" i="13"/>
  <c r="AD102" i="12"/>
  <c r="Y75" i="12"/>
  <c r="Y73" i="12"/>
  <c r="Y83" i="12" s="1"/>
  <c r="AA191" i="12"/>
  <c r="AB101" i="12"/>
  <c r="Z234" i="12"/>
  <c r="AB198" i="12"/>
  <c r="AP213" i="12"/>
  <c r="X7" i="12"/>
  <c r="Z199" i="12"/>
  <c r="AA193" i="12"/>
  <c r="Z93" i="12"/>
  <c r="AA199" i="14" l="1"/>
  <c r="AA51" i="14" s="1"/>
  <c r="AA52" i="14" s="1"/>
  <c r="AB193" i="14"/>
  <c r="AA93" i="14"/>
  <c r="Y83" i="14"/>
  <c r="AD102" i="14"/>
  <c r="AE198" i="14"/>
  <c r="AC234" i="14"/>
  <c r="AQ213" i="14"/>
  <c r="Y7" i="14"/>
  <c r="AB191" i="14"/>
  <c r="AC101" i="14"/>
  <c r="AB191" i="13"/>
  <c r="AC101" i="13"/>
  <c r="AB199" i="13"/>
  <c r="AB51" i="13" s="1"/>
  <c r="AB52" i="13" s="1"/>
  <c r="AC193" i="13"/>
  <c r="AA75" i="13"/>
  <c r="AA73" i="13"/>
  <c r="AC102" i="13"/>
  <c r="AB93" i="13"/>
  <c r="AC234" i="13"/>
  <c r="AE198" i="13"/>
  <c r="AA234" i="12"/>
  <c r="AC198" i="12"/>
  <c r="AB191" i="12"/>
  <c r="AC101" i="12"/>
  <c r="AQ213" i="12"/>
  <c r="Y7" i="12"/>
  <c r="AA199" i="12"/>
  <c r="AA51" i="12" s="1"/>
  <c r="AA52" i="12" s="1"/>
  <c r="AB193" i="12"/>
  <c r="AA93" i="12"/>
  <c r="AE102" i="12"/>
  <c r="AD234" i="14" l="1"/>
  <c r="AF198" i="14"/>
  <c r="AE102" i="14"/>
  <c r="AC191" i="14"/>
  <c r="AD101" i="14"/>
  <c r="AC193" i="14"/>
  <c r="AB199" i="14"/>
  <c r="AB51" i="14" s="1"/>
  <c r="AB52" i="14" s="1"/>
  <c r="AB93" i="14"/>
  <c r="AA75" i="14"/>
  <c r="AA73" i="14"/>
  <c r="AA83" i="14" s="1"/>
  <c r="AA83" i="13"/>
  <c r="AD102" i="13"/>
  <c r="AC93" i="13"/>
  <c r="AB75" i="13"/>
  <c r="AB73" i="13"/>
  <c r="AB83" i="13" s="1"/>
  <c r="AS213" i="13"/>
  <c r="AA7" i="13"/>
  <c r="AD234" i="13"/>
  <c r="AF198" i="13"/>
  <c r="AC191" i="13"/>
  <c r="AD101" i="13"/>
  <c r="AC199" i="13"/>
  <c r="AC51" i="13" s="1"/>
  <c r="AC52" i="13" s="1"/>
  <c r="AD193" i="13"/>
  <c r="AB199" i="12"/>
  <c r="AB51" i="12" s="1"/>
  <c r="AB52" i="12" s="1"/>
  <c r="AC193" i="12"/>
  <c r="AB93" i="12"/>
  <c r="AC191" i="12"/>
  <c r="AD101" i="12"/>
  <c r="AF102" i="12"/>
  <c r="AB234" i="12"/>
  <c r="AD198" i="12"/>
  <c r="AA73" i="12"/>
  <c r="AA75" i="12"/>
  <c r="AC199" i="14" l="1"/>
  <c r="AC51" i="14" s="1"/>
  <c r="AC52" i="14" s="1"/>
  <c r="AD193" i="14"/>
  <c r="AC93" i="14"/>
  <c r="AD191" i="14"/>
  <c r="AE101" i="14"/>
  <c r="AF102" i="14"/>
  <c r="AB73" i="14"/>
  <c r="AB75" i="14"/>
  <c r="AS213" i="14"/>
  <c r="AA7" i="14"/>
  <c r="AE234" i="14"/>
  <c r="B198" i="14"/>
  <c r="AF234" i="14" s="1"/>
  <c r="AE234" i="13"/>
  <c r="B198" i="13"/>
  <c r="AF234" i="13" s="1"/>
  <c r="AD199" i="13"/>
  <c r="AD51" i="13" s="1"/>
  <c r="AD52" i="13" s="1"/>
  <c r="AE193" i="13"/>
  <c r="AC73" i="13"/>
  <c r="AC75" i="13"/>
  <c r="AT213" i="13"/>
  <c r="AB7" i="13"/>
  <c r="AD191" i="13"/>
  <c r="AE101" i="13"/>
  <c r="AE102" i="13"/>
  <c r="AD93" i="13"/>
  <c r="B102" i="12"/>
  <c r="AD191" i="12"/>
  <c r="AE101" i="12"/>
  <c r="AA83" i="12"/>
  <c r="AC199" i="12"/>
  <c r="AC51" i="12" s="1"/>
  <c r="AC52" i="12" s="1"/>
  <c r="AD193" i="12"/>
  <c r="AC93" i="12"/>
  <c r="AS213" i="12"/>
  <c r="AA7" i="12"/>
  <c r="AC234" i="12"/>
  <c r="AE198" i="12"/>
  <c r="AB73" i="12"/>
  <c r="AB75" i="12"/>
  <c r="AB83" i="14" l="1"/>
  <c r="B102" i="14"/>
  <c r="AE191" i="14"/>
  <c r="AF101" i="14"/>
  <c r="AD199" i="14"/>
  <c r="AD51" i="14" s="1"/>
  <c r="AD52" i="14" s="1"/>
  <c r="AE193" i="14"/>
  <c r="AD93" i="14"/>
  <c r="AT213" i="14"/>
  <c r="AB7" i="14"/>
  <c r="AC73" i="14"/>
  <c r="AC75" i="14"/>
  <c r="AC83" i="13"/>
  <c r="AU213" i="13"/>
  <c r="AC7" i="13"/>
  <c r="AD73" i="13"/>
  <c r="AD75" i="13"/>
  <c r="AF193" i="13"/>
  <c r="AE199" i="13"/>
  <c r="AE51" i="13" s="1"/>
  <c r="AE52" i="13" s="1"/>
  <c r="AF102" i="13"/>
  <c r="AE93" i="13"/>
  <c r="AE191" i="13"/>
  <c r="AF101" i="13"/>
  <c r="AC73" i="12"/>
  <c r="AC75" i="12"/>
  <c r="AD234" i="12"/>
  <c r="AF198" i="12"/>
  <c r="AT213" i="12"/>
  <c r="AB7" i="12"/>
  <c r="AB83" i="12"/>
  <c r="AE193" i="12"/>
  <c r="AD199" i="12"/>
  <c r="AD51" i="12" s="1"/>
  <c r="AD52" i="12" s="1"/>
  <c r="AD93" i="12"/>
  <c r="AE191" i="12"/>
  <c r="AF101" i="12"/>
  <c r="AC83" i="14" l="1"/>
  <c r="AF193" i="14"/>
  <c r="AE199" i="14"/>
  <c r="AE51" i="14" s="1"/>
  <c r="AE52" i="14" s="1"/>
  <c r="AE93" i="14"/>
  <c r="AD75" i="14"/>
  <c r="AD73" i="14"/>
  <c r="AU213" i="14"/>
  <c r="AC7" i="14"/>
  <c r="AF191" i="14"/>
  <c r="B101" i="14"/>
  <c r="B191" i="14" s="1"/>
  <c r="AV213" i="13"/>
  <c r="AD7" i="13"/>
  <c r="AD83" i="13"/>
  <c r="AE75" i="13"/>
  <c r="AE73" i="13"/>
  <c r="AE83" i="13" s="1"/>
  <c r="B193" i="13"/>
  <c r="B199" i="13" s="1"/>
  <c r="B51" i="13" s="1"/>
  <c r="AF199" i="13"/>
  <c r="AF51" i="13" s="1"/>
  <c r="AF52" i="13" s="1"/>
  <c r="AF191" i="13"/>
  <c r="B101" i="13"/>
  <c r="AF93" i="13"/>
  <c r="B102" i="13"/>
  <c r="B93" i="13" s="1"/>
  <c r="AF193" i="12"/>
  <c r="AE199" i="12"/>
  <c r="AE51" i="12" s="1"/>
  <c r="AE52" i="12" s="1"/>
  <c r="AE93" i="12"/>
  <c r="AF191" i="12"/>
  <c r="B101" i="12"/>
  <c r="B191" i="12" s="1"/>
  <c r="AE234" i="12"/>
  <c r="B198" i="12"/>
  <c r="AF234" i="12" s="1"/>
  <c r="AU213" i="12"/>
  <c r="AC7" i="12"/>
  <c r="AD75" i="12"/>
  <c r="AD73" i="12"/>
  <c r="AC83" i="12"/>
  <c r="AD83" i="14" l="1"/>
  <c r="AV213" i="14"/>
  <c r="AD7" i="14"/>
  <c r="AE73" i="14"/>
  <c r="AE75" i="14"/>
  <c r="AF199" i="14"/>
  <c r="AF51" i="14" s="1"/>
  <c r="AF52" i="14" s="1"/>
  <c r="B193" i="14"/>
  <c r="AF93" i="14"/>
  <c r="AF75" i="13"/>
  <c r="AF73" i="13"/>
  <c r="AW213" i="13"/>
  <c r="AE7" i="13"/>
  <c r="AI51" i="13"/>
  <c r="AH51" i="13"/>
  <c r="B52" i="13"/>
  <c r="AI93" i="13"/>
  <c r="AH93" i="13"/>
  <c r="B191" i="13"/>
  <c r="AD83" i="12"/>
  <c r="AV213" i="12"/>
  <c r="AD7" i="12"/>
  <c r="AE75" i="12"/>
  <c r="AE73" i="12"/>
  <c r="AF199" i="12"/>
  <c r="AF51" i="12" s="1"/>
  <c r="AF52" i="12" s="1"/>
  <c r="B193" i="12"/>
  <c r="AF93" i="12"/>
  <c r="AH93" i="14" l="1"/>
  <c r="AI93" i="14"/>
  <c r="B199" i="14"/>
  <c r="B93" i="14"/>
  <c r="AF73" i="14"/>
  <c r="AF75" i="14"/>
  <c r="AW213" i="14"/>
  <c r="AE7" i="14"/>
  <c r="AE83" i="14"/>
  <c r="AF83" i="13"/>
  <c r="AI52" i="13"/>
  <c r="AH52" i="13"/>
  <c r="B75" i="13"/>
  <c r="B73" i="13"/>
  <c r="B83" i="13" s="1"/>
  <c r="AX213" i="13"/>
  <c r="AF7" i="13"/>
  <c r="AE83" i="12"/>
  <c r="AH93" i="12"/>
  <c r="AI93" i="12"/>
  <c r="B199" i="12"/>
  <c r="B93" i="12"/>
  <c r="AF73" i="12"/>
  <c r="AF75" i="12"/>
  <c r="AW213" i="12"/>
  <c r="AE7" i="12"/>
  <c r="AF83" i="14" l="1"/>
  <c r="AX213" i="14"/>
  <c r="AF7" i="14"/>
  <c r="B52" i="14"/>
  <c r="AI51" i="14"/>
  <c r="AH51" i="14"/>
  <c r="AI73" i="13"/>
  <c r="AH73" i="13"/>
  <c r="T213" i="13"/>
  <c r="AI75" i="13"/>
  <c r="AH75" i="13"/>
  <c r="B7" i="13"/>
  <c r="A7" i="13" s="1"/>
  <c r="AX213" i="12"/>
  <c r="AF7" i="12"/>
  <c r="AF83" i="12"/>
  <c r="AI51" i="12"/>
  <c r="AH51" i="12"/>
  <c r="B52" i="12"/>
  <c r="AI52" i="14" l="1"/>
  <c r="AH52" i="14"/>
  <c r="B73" i="14"/>
  <c r="B75" i="14"/>
  <c r="AI83" i="13"/>
  <c r="AH83" i="13"/>
  <c r="AI52" i="12"/>
  <c r="AH52" i="12"/>
  <c r="B75" i="12"/>
  <c r="B73" i="12"/>
  <c r="AH73" i="14" l="1"/>
  <c r="AI73" i="14"/>
  <c r="B83" i="14"/>
  <c r="T213" i="14"/>
  <c r="AI75" i="14"/>
  <c r="AH75" i="14"/>
  <c r="B7" i="14"/>
  <c r="A7" i="14" s="1"/>
  <c r="AI73" i="12"/>
  <c r="AH73" i="12"/>
  <c r="T213" i="12"/>
  <c r="AI75" i="12"/>
  <c r="AH75" i="12"/>
  <c r="B7" i="12"/>
  <c r="A7" i="12" s="1"/>
  <c r="AH83" i="14" l="1"/>
  <c r="AI83" i="14"/>
  <c r="AI83" i="12"/>
  <c r="AH83" i="12"/>
  <c r="M37" i="11" l="1"/>
  <c r="L37" i="11"/>
  <c r="K37" i="11"/>
  <c r="J37" i="11"/>
  <c r="I37" i="11"/>
  <c r="H37" i="11"/>
  <c r="G37" i="11"/>
  <c r="F37" i="11"/>
  <c r="E37" i="11"/>
  <c r="D37" i="11"/>
  <c r="AH99" i="11"/>
  <c r="AI99" i="11" s="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B234" i="11"/>
  <c r="S209" i="11"/>
  <c r="AG199" i="11"/>
  <c r="C199" i="11"/>
  <c r="D198" i="11"/>
  <c r="E198" i="11" s="1"/>
  <c r="E197" i="11"/>
  <c r="F197" i="11" s="1"/>
  <c r="G197" i="11" s="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D197" i="11"/>
  <c r="G196" i="1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F196" i="11"/>
  <c r="D196" i="11"/>
  <c r="E196" i="11" s="1"/>
  <c r="D195" i="11"/>
  <c r="E195" i="11" s="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D194" i="11"/>
  <c r="E194" i="11" s="1"/>
  <c r="F194" i="11" s="1"/>
  <c r="G194" i="11" s="1"/>
  <c r="H194" i="11" s="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B194" i="11" s="1"/>
  <c r="E193" i="11"/>
  <c r="D193" i="11"/>
  <c r="D199" i="11" s="1"/>
  <c r="AG191" i="11"/>
  <c r="C191" i="11"/>
  <c r="K190" i="1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G190" i="11"/>
  <c r="H190" i="11" s="1"/>
  <c r="I190" i="11" s="1"/>
  <c r="J190" i="11" s="1"/>
  <c r="F190" i="11"/>
  <c r="D190" i="11"/>
  <c r="E190" i="11" s="1"/>
  <c r="E189" i="1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9" i="11"/>
  <c r="E188" i="1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D188" i="11"/>
  <c r="D187" i="1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P186" i="1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D186" i="1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D185" i="11"/>
  <c r="E185" i="11" s="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U184" i="1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4" i="11"/>
  <c r="E184" i="11" s="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E183" i="11"/>
  <c r="F183" i="11" s="1"/>
  <c r="G183" i="11" s="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D183" i="11"/>
  <c r="F182" i="1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D182" i="11"/>
  <c r="E182" i="11" s="1"/>
  <c r="Q181" i="1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G181" i="11"/>
  <c r="H181" i="11" s="1"/>
  <c r="I181" i="11" s="1"/>
  <c r="J181" i="11" s="1"/>
  <c r="K181" i="11" s="1"/>
  <c r="L181" i="11" s="1"/>
  <c r="M181" i="11" s="1"/>
  <c r="N181" i="11" s="1"/>
  <c r="O181" i="11" s="1"/>
  <c r="P181" i="11" s="1"/>
  <c r="E181" i="11"/>
  <c r="F181" i="11" s="1"/>
  <c r="D181" i="11"/>
  <c r="S180" i="1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L180" i="11"/>
  <c r="M180" i="11" s="1"/>
  <c r="N180" i="11" s="1"/>
  <c r="O180" i="11" s="1"/>
  <c r="P180" i="11" s="1"/>
  <c r="Q180" i="11" s="1"/>
  <c r="R180" i="11" s="1"/>
  <c r="E180" i="11"/>
  <c r="F180" i="11" s="1"/>
  <c r="G180" i="11" s="1"/>
  <c r="H180" i="11" s="1"/>
  <c r="I180" i="11" s="1"/>
  <c r="J180" i="11" s="1"/>
  <c r="K180" i="11" s="1"/>
  <c r="D180" i="11"/>
  <c r="S179" i="1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E179" i="1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D179" i="11"/>
  <c r="H178" i="1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B178" i="11" s="1"/>
  <c r="D178" i="11"/>
  <c r="E178" i="11" s="1"/>
  <c r="F178" i="11" s="1"/>
  <c r="G178" i="11" s="1"/>
  <c r="Z176" i="11"/>
  <c r="AA176" i="11" s="1"/>
  <c r="AB176" i="11" s="1"/>
  <c r="AC176" i="11" s="1"/>
  <c r="AD176" i="11" s="1"/>
  <c r="AE176" i="11" s="1"/>
  <c r="AF176" i="11" s="1"/>
  <c r="B176" i="11" s="1"/>
  <c r="F176" i="1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D176" i="11"/>
  <c r="E176" i="11" s="1"/>
  <c r="AE175" i="11"/>
  <c r="AF175" i="11" s="1"/>
  <c r="B175" i="11" s="1"/>
  <c r="D175" i="1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D174" i="11"/>
  <c r="E174" i="11" s="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D173" i="11"/>
  <c r="E173" i="11" s="1"/>
  <c r="F173" i="11" s="1"/>
  <c r="G173" i="11" s="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G172" i="1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F172" i="11"/>
  <c r="E172" i="11"/>
  <c r="D172" i="11"/>
  <c r="U171" i="1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D171" i="11"/>
  <c r="E171" i="11" s="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F170" i="1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E170" i="11"/>
  <c r="D170" i="11"/>
  <c r="L169" i="1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B169" i="11" s="1"/>
  <c r="E169" i="11"/>
  <c r="F169" i="11" s="1"/>
  <c r="G169" i="11" s="1"/>
  <c r="H169" i="11" s="1"/>
  <c r="I169" i="11" s="1"/>
  <c r="J169" i="11" s="1"/>
  <c r="K169" i="11" s="1"/>
  <c r="D169" i="11"/>
  <c r="O167" i="1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E167" i="11"/>
  <c r="F167" i="11" s="1"/>
  <c r="G167" i="11" s="1"/>
  <c r="H167" i="11" s="1"/>
  <c r="I167" i="11" s="1"/>
  <c r="J167" i="11" s="1"/>
  <c r="K167" i="11" s="1"/>
  <c r="L167" i="11" s="1"/>
  <c r="M167" i="11" s="1"/>
  <c r="N167" i="11" s="1"/>
  <c r="D167" i="11"/>
  <c r="K166" i="1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E166" i="11"/>
  <c r="F166" i="11" s="1"/>
  <c r="G166" i="11" s="1"/>
  <c r="H166" i="11" s="1"/>
  <c r="I166" i="11" s="1"/>
  <c r="J166" i="11" s="1"/>
  <c r="D166" i="11"/>
  <c r="U165" i="1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K165" i="11"/>
  <c r="L165" i="11" s="1"/>
  <c r="M165" i="11" s="1"/>
  <c r="N165" i="11" s="1"/>
  <c r="O165" i="11" s="1"/>
  <c r="P165" i="11" s="1"/>
  <c r="Q165" i="11" s="1"/>
  <c r="R165" i="11" s="1"/>
  <c r="S165" i="11" s="1"/>
  <c r="T165" i="11" s="1"/>
  <c r="E165" i="11"/>
  <c r="F165" i="11" s="1"/>
  <c r="G165" i="11" s="1"/>
  <c r="H165" i="11" s="1"/>
  <c r="I165" i="11" s="1"/>
  <c r="J165" i="11" s="1"/>
  <c r="D165" i="11"/>
  <c r="O164" i="1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4" i="1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D163" i="11"/>
  <c r="O162" i="1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G162" i="11"/>
  <c r="H162" i="11" s="1"/>
  <c r="I162" i="11" s="1"/>
  <c r="J162" i="11" s="1"/>
  <c r="K162" i="11" s="1"/>
  <c r="L162" i="11" s="1"/>
  <c r="M162" i="11" s="1"/>
  <c r="N162" i="11" s="1"/>
  <c r="E162" i="11"/>
  <c r="F162" i="11" s="1"/>
  <c r="D162" i="11"/>
  <c r="P161" i="1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H161" i="11"/>
  <c r="I161" i="11" s="1"/>
  <c r="J161" i="11" s="1"/>
  <c r="K161" i="11" s="1"/>
  <c r="L161" i="11" s="1"/>
  <c r="M161" i="11" s="1"/>
  <c r="N161" i="11" s="1"/>
  <c r="O161" i="11" s="1"/>
  <c r="E161" i="11"/>
  <c r="F161" i="11" s="1"/>
  <c r="G161" i="11" s="1"/>
  <c r="D161" i="11"/>
  <c r="K160" i="1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F160" i="11"/>
  <c r="G160" i="11" s="1"/>
  <c r="H160" i="11" s="1"/>
  <c r="I160" i="11" s="1"/>
  <c r="J160" i="11" s="1"/>
  <c r="D160" i="11"/>
  <c r="E160" i="11" s="1"/>
  <c r="L159" i="1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B159" i="11" s="1"/>
  <c r="I159" i="11"/>
  <c r="J159" i="11" s="1"/>
  <c r="K159" i="11" s="1"/>
  <c r="D159" i="11"/>
  <c r="E159" i="11" s="1"/>
  <c r="F159" i="11" s="1"/>
  <c r="G159" i="11" s="1"/>
  <c r="H159" i="11" s="1"/>
  <c r="R158" i="1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H158" i="11"/>
  <c r="I158" i="11" s="1"/>
  <c r="J158" i="11" s="1"/>
  <c r="K158" i="11" s="1"/>
  <c r="L158" i="11" s="1"/>
  <c r="M158" i="11" s="1"/>
  <c r="N158" i="11" s="1"/>
  <c r="O158" i="11" s="1"/>
  <c r="P158" i="11" s="1"/>
  <c r="Q158" i="11" s="1"/>
  <c r="E158" i="11"/>
  <c r="F158" i="11" s="1"/>
  <c r="G158" i="11" s="1"/>
  <c r="D158" i="11"/>
  <c r="P157" i="1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D157" i="11"/>
  <c r="F156" i="1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D156" i="11"/>
  <c r="E156" i="11" s="1"/>
  <c r="AB155" i="11"/>
  <c r="AC155" i="11" s="1"/>
  <c r="AD155" i="11" s="1"/>
  <c r="AE155" i="11" s="1"/>
  <c r="AF155" i="11" s="1"/>
  <c r="B155" i="11" s="1"/>
  <c r="I155" i="11"/>
  <c r="J155" i="11" s="1"/>
  <c r="K155" i="11" s="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D155" i="11"/>
  <c r="E155" i="11" s="1"/>
  <c r="F155" i="11" s="1"/>
  <c r="G155" i="11" s="1"/>
  <c r="H155" i="11" s="1"/>
  <c r="Z153" i="11"/>
  <c r="AA153" i="11" s="1"/>
  <c r="AB153" i="11" s="1"/>
  <c r="AC153" i="11" s="1"/>
  <c r="AD153" i="11" s="1"/>
  <c r="AE153" i="11" s="1"/>
  <c r="AF153" i="11" s="1"/>
  <c r="B153" i="11" s="1"/>
  <c r="R153" i="11"/>
  <c r="S153" i="11" s="1"/>
  <c r="T153" i="11" s="1"/>
  <c r="U153" i="11" s="1"/>
  <c r="V153" i="11" s="1"/>
  <c r="W153" i="11" s="1"/>
  <c r="X153" i="11" s="1"/>
  <c r="Y153" i="11" s="1"/>
  <c r="J153" i="11"/>
  <c r="K153" i="11" s="1"/>
  <c r="L153" i="11" s="1"/>
  <c r="M153" i="11" s="1"/>
  <c r="N153" i="11" s="1"/>
  <c r="O153" i="11" s="1"/>
  <c r="P153" i="11" s="1"/>
  <c r="Q153" i="11" s="1"/>
  <c r="G153" i="11"/>
  <c r="H153" i="11" s="1"/>
  <c r="I153" i="11" s="1"/>
  <c r="E153" i="11"/>
  <c r="F153" i="11" s="1"/>
  <c r="D153" i="11"/>
  <c r="M152" i="1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B152" i="11" s="1"/>
  <c r="H152" i="11"/>
  <c r="I152" i="11" s="1"/>
  <c r="J152" i="11" s="1"/>
  <c r="K152" i="11" s="1"/>
  <c r="L152" i="11" s="1"/>
  <c r="E152" i="11"/>
  <c r="F152" i="11" s="1"/>
  <c r="G152" i="11" s="1"/>
  <c r="D152" i="11"/>
  <c r="G151" i="1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B151" i="11" s="1"/>
  <c r="D151" i="11"/>
  <c r="E151" i="11" s="1"/>
  <c r="F151" i="11" s="1"/>
  <c r="E150" i="11"/>
  <c r="F150" i="11" s="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B150" i="11" s="1"/>
  <c r="D150" i="11"/>
  <c r="AF148" i="11"/>
  <c r="B148" i="11" s="1"/>
  <c r="P148" i="1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H148" i="11"/>
  <c r="I148" i="11" s="1"/>
  <c r="J148" i="11" s="1"/>
  <c r="K148" i="11" s="1"/>
  <c r="L148" i="11" s="1"/>
  <c r="M148" i="11" s="1"/>
  <c r="N148" i="11" s="1"/>
  <c r="O148" i="11" s="1"/>
  <c r="E148" i="11"/>
  <c r="F148" i="11" s="1"/>
  <c r="G148" i="11" s="1"/>
  <c r="D148" i="11"/>
  <c r="I147" i="11"/>
  <c r="J147" i="11" s="1"/>
  <c r="K147" i="11" s="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B147" i="11" s="1"/>
  <c r="G147" i="11"/>
  <c r="H147" i="11" s="1"/>
  <c r="E147" i="11"/>
  <c r="F147" i="11" s="1"/>
  <c r="D147" i="11"/>
  <c r="M145" i="1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K145" i="11"/>
  <c r="L145" i="11" s="1"/>
  <c r="E145" i="11"/>
  <c r="F145" i="11" s="1"/>
  <c r="G145" i="11" s="1"/>
  <c r="H145" i="11" s="1"/>
  <c r="I145" i="11" s="1"/>
  <c r="J145" i="11" s="1"/>
  <c r="D145" i="11"/>
  <c r="S144" i="1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I144" i="11"/>
  <c r="J144" i="11" s="1"/>
  <c r="K144" i="11" s="1"/>
  <c r="L144" i="11" s="1"/>
  <c r="M144" i="11" s="1"/>
  <c r="N144" i="11" s="1"/>
  <c r="O144" i="11" s="1"/>
  <c r="P144" i="11" s="1"/>
  <c r="Q144" i="11" s="1"/>
  <c r="R144" i="11" s="1"/>
  <c r="D144" i="11"/>
  <c r="E144" i="11" s="1"/>
  <c r="F144" i="11" s="1"/>
  <c r="G144" i="11" s="1"/>
  <c r="H144" i="11" s="1"/>
  <c r="G143" i="1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E143" i="11"/>
  <c r="F143" i="11" s="1"/>
  <c r="D143" i="11"/>
  <c r="K142" i="1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G142" i="11"/>
  <c r="H142" i="11" s="1"/>
  <c r="I142" i="11" s="1"/>
  <c r="J142" i="11" s="1"/>
  <c r="E142" i="11"/>
  <c r="F142" i="11" s="1"/>
  <c r="D142" i="11"/>
  <c r="I141" i="1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E141" i="11"/>
  <c r="F141" i="11" s="1"/>
  <c r="G141" i="11" s="1"/>
  <c r="H141" i="11" s="1"/>
  <c r="D141" i="11"/>
  <c r="S140" i="1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K140" i="11"/>
  <c r="L140" i="11" s="1"/>
  <c r="M140" i="11" s="1"/>
  <c r="N140" i="11" s="1"/>
  <c r="O140" i="11" s="1"/>
  <c r="P140" i="11" s="1"/>
  <c r="Q140" i="11" s="1"/>
  <c r="R140" i="11" s="1"/>
  <c r="D140" i="11"/>
  <c r="E140" i="11" s="1"/>
  <c r="F140" i="11" s="1"/>
  <c r="G140" i="11" s="1"/>
  <c r="H140" i="11" s="1"/>
  <c r="I140" i="11" s="1"/>
  <c r="J140" i="11" s="1"/>
  <c r="I139" i="1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B139" i="11" s="1"/>
  <c r="G139" i="11"/>
  <c r="H139" i="11" s="1"/>
  <c r="E139" i="11"/>
  <c r="F139" i="11" s="1"/>
  <c r="D139" i="11"/>
  <c r="M137" i="1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E137" i="11"/>
  <c r="F137" i="11" s="1"/>
  <c r="G137" i="11" s="1"/>
  <c r="H137" i="11" s="1"/>
  <c r="I137" i="11" s="1"/>
  <c r="J137" i="11" s="1"/>
  <c r="K137" i="11" s="1"/>
  <c r="L137" i="11" s="1"/>
  <c r="D137" i="11"/>
  <c r="Y136" i="11"/>
  <c r="Z136" i="11" s="1"/>
  <c r="AA136" i="11" s="1"/>
  <c r="AB136" i="11" s="1"/>
  <c r="AC136" i="11" s="1"/>
  <c r="AD136" i="11" s="1"/>
  <c r="AE136" i="11" s="1"/>
  <c r="AF136" i="11" s="1"/>
  <c r="B136" i="11" s="1"/>
  <c r="Q136" i="11"/>
  <c r="R136" i="11" s="1"/>
  <c r="S136" i="11" s="1"/>
  <c r="T136" i="11" s="1"/>
  <c r="U136" i="11" s="1"/>
  <c r="V136" i="11" s="1"/>
  <c r="W136" i="11" s="1"/>
  <c r="X136" i="11" s="1"/>
  <c r="K136" i="11"/>
  <c r="L136" i="11" s="1"/>
  <c r="M136" i="11" s="1"/>
  <c r="N136" i="11" s="1"/>
  <c r="O136" i="11" s="1"/>
  <c r="P136" i="11" s="1"/>
  <c r="I136" i="11"/>
  <c r="J136" i="11" s="1"/>
  <c r="E136" i="11"/>
  <c r="F136" i="11" s="1"/>
  <c r="G136" i="11" s="1"/>
  <c r="H136" i="11" s="1"/>
  <c r="D136" i="11"/>
  <c r="O135" i="1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G135" i="11"/>
  <c r="H135" i="11" s="1"/>
  <c r="I135" i="11" s="1"/>
  <c r="J135" i="11" s="1"/>
  <c r="K135" i="11" s="1"/>
  <c r="L135" i="11" s="1"/>
  <c r="M135" i="11" s="1"/>
  <c r="N135" i="11" s="1"/>
  <c r="D135" i="11"/>
  <c r="E135" i="11" s="1"/>
  <c r="F135" i="11" s="1"/>
  <c r="E134" i="1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D134" i="11"/>
  <c r="H133" i="1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E133" i="11"/>
  <c r="F133" i="11" s="1"/>
  <c r="G133" i="11" s="1"/>
  <c r="D133" i="11"/>
  <c r="E132" i="1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D132" i="11"/>
  <c r="F131" i="1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D131" i="11"/>
  <c r="E131" i="11" s="1"/>
  <c r="D130" i="11"/>
  <c r="E130" i="11" s="1"/>
  <c r="F130" i="11" s="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B130" i="11" s="1"/>
  <c r="F128" i="1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E128" i="11"/>
  <c r="D128" i="11"/>
  <c r="D127" i="11"/>
  <c r="E127" i="11" s="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I126" i="1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F126" i="11"/>
  <c r="G126" i="11" s="1"/>
  <c r="H126" i="11" s="1"/>
  <c r="E126" i="11"/>
  <c r="D126" i="11"/>
  <c r="K125" i="1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H125" i="11"/>
  <c r="I125" i="11" s="1"/>
  <c r="J125" i="11" s="1"/>
  <c r="E125" i="11"/>
  <c r="F125" i="11" s="1"/>
  <c r="G125" i="11" s="1"/>
  <c r="D125" i="11"/>
  <c r="F124" i="1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E124" i="11"/>
  <c r="D124" i="11"/>
  <c r="G123" i="1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F123" i="11"/>
  <c r="D123" i="11"/>
  <c r="E123" i="11" s="1"/>
  <c r="E122" i="1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D122" i="11"/>
  <c r="E121" i="1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D121" i="11"/>
  <c r="E120" i="1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D120" i="11"/>
  <c r="D119" i="1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G118" i="1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E118" i="11"/>
  <c r="F118" i="11" s="1"/>
  <c r="D118" i="11"/>
  <c r="E117" i="1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D117" i="11"/>
  <c r="E116" i="1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D116" i="11"/>
  <c r="D115" i="1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D114" i="11"/>
  <c r="E114" i="11" s="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M113" i="1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K113" i="11"/>
  <c r="L113" i="11" s="1"/>
  <c r="F113" i="11"/>
  <c r="G113" i="11" s="1"/>
  <c r="H113" i="11" s="1"/>
  <c r="I113" i="11" s="1"/>
  <c r="D113" i="11"/>
  <c r="E113" i="11" s="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D111" i="11"/>
  <c r="E111" i="11" s="1"/>
  <c r="F111" i="11" s="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B111" i="11" s="1"/>
  <c r="F109" i="1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E109" i="11"/>
  <c r="D109" i="11"/>
  <c r="D108" i="11"/>
  <c r="D93" i="11" s="1"/>
  <c r="F106" i="1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E106" i="11"/>
  <c r="D106" i="11"/>
  <c r="D105" i="1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F104" i="1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E104" i="11"/>
  <c r="D104" i="11"/>
  <c r="D103" i="11"/>
  <c r="E103" i="11" s="1"/>
  <c r="F103" i="11" s="1"/>
  <c r="G103" i="11" s="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B103" i="11" s="1"/>
  <c r="F102" i="11"/>
  <c r="G102" i="11" s="1"/>
  <c r="E102" i="11"/>
  <c r="D102" i="11"/>
  <c r="D101" i="11"/>
  <c r="AH98" i="11"/>
  <c r="AI98" i="11" s="1"/>
  <c r="AH97" i="11"/>
  <c r="AI97" i="11" s="1"/>
  <c r="AH96" i="11"/>
  <c r="AI96" i="11" s="1"/>
  <c r="AH95" i="11"/>
  <c r="AI95" i="11" s="1"/>
  <c r="AH94" i="11"/>
  <c r="AI94" i="11" s="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AI81" i="11"/>
  <c r="AH81" i="11"/>
  <c r="AF80" i="11"/>
  <c r="AE80" i="11"/>
  <c r="AD80" i="11"/>
  <c r="AC80" i="11"/>
  <c r="AB80" i="11"/>
  <c r="AA80" i="11"/>
  <c r="Z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F79" i="11"/>
  <c r="AE79" i="11"/>
  <c r="AD79" i="11"/>
  <c r="AC79" i="11"/>
  <c r="AB79" i="11"/>
  <c r="AA79" i="11"/>
  <c r="Z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F78" i="11"/>
  <c r="AE78" i="11"/>
  <c r="AD78" i="11"/>
  <c r="AC78" i="11"/>
  <c r="AB78" i="11"/>
  <c r="AA78" i="11"/>
  <c r="Z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Z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B76" i="11"/>
  <c r="AA76" i="11"/>
  <c r="AA82" i="11" s="1"/>
  <c r="Z76" i="11"/>
  <c r="W76" i="11"/>
  <c r="V76" i="11"/>
  <c r="U76" i="11"/>
  <c r="U82" i="11" s="1"/>
  <c r="T76" i="11"/>
  <c r="S76" i="11"/>
  <c r="S82" i="11" s="1"/>
  <c r="R76" i="11"/>
  <c r="Q76" i="11"/>
  <c r="P76" i="11"/>
  <c r="O76" i="11"/>
  <c r="N76" i="11"/>
  <c r="M76" i="11"/>
  <c r="M82" i="11" s="1"/>
  <c r="L76" i="11"/>
  <c r="K76" i="11"/>
  <c r="J76" i="11"/>
  <c r="I76" i="11"/>
  <c r="H76" i="11"/>
  <c r="G76" i="11"/>
  <c r="F76" i="11"/>
  <c r="E76" i="11"/>
  <c r="D76" i="11"/>
  <c r="C76" i="11"/>
  <c r="B76" i="11"/>
  <c r="AI74" i="11"/>
  <c r="AH74" i="11"/>
  <c r="AI72" i="11"/>
  <c r="AG72" i="11"/>
  <c r="AF72" i="11"/>
  <c r="AE72" i="11"/>
  <c r="AD72" i="11"/>
  <c r="AC72" i="11"/>
  <c r="AB72" i="11"/>
  <c r="AA72" i="11"/>
  <c r="Z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H72" i="11" s="1"/>
  <c r="AI71" i="11"/>
  <c r="AH71" i="11"/>
  <c r="AI70" i="11"/>
  <c r="AH70" i="11"/>
  <c r="AI69" i="11"/>
  <c r="AH69" i="11"/>
  <c r="AG68" i="11"/>
  <c r="AG73" i="11" s="1"/>
  <c r="AF68" i="11"/>
  <c r="AE5" i="11" s="1"/>
  <c r="AE68" i="11"/>
  <c r="AD5" i="11" s="1"/>
  <c r="AD68" i="11"/>
  <c r="AC68" i="11"/>
  <c r="AB68" i="11"/>
  <c r="AA68" i="11"/>
  <c r="Z5" i="11" s="1"/>
  <c r="Z68" i="11"/>
  <c r="Y5" i="11" s="1"/>
  <c r="X5" i="11"/>
  <c r="W5" i="11"/>
  <c r="W68" i="11"/>
  <c r="V68" i="11"/>
  <c r="U5" i="11" s="1"/>
  <c r="U68" i="11"/>
  <c r="T68" i="11"/>
  <c r="S5" i="11" s="1"/>
  <c r="S68" i="11"/>
  <c r="R5" i="11" s="1"/>
  <c r="R68" i="11"/>
  <c r="Q68" i="11"/>
  <c r="P68" i="11"/>
  <c r="O5" i="11" s="1"/>
  <c r="O68" i="11"/>
  <c r="N5" i="11" s="1"/>
  <c r="N68" i="11"/>
  <c r="M5" i="11" s="1"/>
  <c r="M68" i="11"/>
  <c r="L68" i="11"/>
  <c r="K5" i="11" s="1"/>
  <c r="K68" i="11"/>
  <c r="J5" i="11" s="1"/>
  <c r="J68" i="11"/>
  <c r="I68" i="11"/>
  <c r="H68" i="11"/>
  <c r="G5" i="11" s="1"/>
  <c r="G68" i="11"/>
  <c r="F5" i="11" s="1"/>
  <c r="F68" i="11"/>
  <c r="E5" i="11" s="1"/>
  <c r="E68" i="11"/>
  <c r="D68" i="11"/>
  <c r="C5" i="11" s="1"/>
  <c r="C68" i="11"/>
  <c r="B5" i="11" s="1"/>
  <c r="B68" i="1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G4" i="11" s="1"/>
  <c r="AF56" i="11"/>
  <c r="AE56" i="11"/>
  <c r="AD56" i="11"/>
  <c r="AC56" i="11"/>
  <c r="AB56" i="11"/>
  <c r="AA56" i="11"/>
  <c r="Z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AG52" i="11"/>
  <c r="AG3" i="11" s="1"/>
  <c r="Z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G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G2" i="11" s="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F5" i="11"/>
  <c r="AC5" i="11"/>
  <c r="AA5" i="11"/>
  <c r="V5" i="11"/>
  <c r="Q5" i="11"/>
  <c r="I5" i="11"/>
  <c r="H5" i="11"/>
  <c r="K4" i="11"/>
  <c r="B4" i="11"/>
  <c r="AF37" i="10"/>
  <c r="AE37" i="10"/>
  <c r="AD37" i="10"/>
  <c r="AC37" i="10"/>
  <c r="AB37" i="10"/>
  <c r="E4" i="11"/>
  <c r="AF82" i="11" l="1"/>
  <c r="AE82" i="11"/>
  <c r="AD82" i="11"/>
  <c r="AC82" i="11"/>
  <c r="AB82" i="11"/>
  <c r="Z82" i="11"/>
  <c r="W82" i="11"/>
  <c r="V82" i="11"/>
  <c r="T82" i="11"/>
  <c r="T75" i="11"/>
  <c r="S75" i="11"/>
  <c r="AK213" i="11" s="1"/>
  <c r="R82" i="11"/>
  <c r="Q82" i="11"/>
  <c r="Q73" i="11"/>
  <c r="P82" i="11"/>
  <c r="O82" i="11"/>
  <c r="O73" i="11"/>
  <c r="O75" i="11"/>
  <c r="AG213" i="11" s="1"/>
  <c r="N82" i="11"/>
  <c r="L82" i="11"/>
  <c r="K82" i="11"/>
  <c r="J82" i="11"/>
  <c r="I82" i="11"/>
  <c r="I73" i="11"/>
  <c r="AI79" i="11"/>
  <c r="H82" i="11"/>
  <c r="G82" i="11"/>
  <c r="F82" i="11"/>
  <c r="E82" i="11"/>
  <c r="AH77" i="11"/>
  <c r="G75" i="11"/>
  <c r="G7" i="11" s="1"/>
  <c r="L75" i="11"/>
  <c r="AD213" i="11" s="1"/>
  <c r="G73" i="11"/>
  <c r="AI56" i="11"/>
  <c r="E75" i="11"/>
  <c r="W213" i="11" s="1"/>
  <c r="D82" i="11"/>
  <c r="D75" i="11"/>
  <c r="D7" i="11" s="1"/>
  <c r="C82" i="11"/>
  <c r="AH78" i="11"/>
  <c r="AH80" i="11"/>
  <c r="H4" i="11"/>
  <c r="AG6" i="11"/>
  <c r="S210" i="11"/>
  <c r="D210" i="11"/>
  <c r="S7" i="11"/>
  <c r="P5" i="11"/>
  <c r="O83" i="11"/>
  <c r="AI76" i="11"/>
  <c r="AI78" i="11"/>
  <c r="B82" i="11"/>
  <c r="H75" i="11"/>
  <c r="P75" i="11"/>
  <c r="AI38" i="11"/>
  <c r="J75" i="11"/>
  <c r="J73" i="11"/>
  <c r="R75" i="11"/>
  <c r="R73" i="11"/>
  <c r="Z75" i="11"/>
  <c r="Z73" i="11"/>
  <c r="AH38" i="11"/>
  <c r="I75" i="11"/>
  <c r="I83" i="11" s="1"/>
  <c r="Q75" i="11"/>
  <c r="Q83" i="11" s="1"/>
  <c r="AG75" i="11"/>
  <c r="AG83" i="11"/>
  <c r="S73" i="11"/>
  <c r="S83" i="11" s="1"/>
  <c r="AH68" i="11"/>
  <c r="AI68" i="11"/>
  <c r="C73" i="11"/>
  <c r="C75" i="11" s="1"/>
  <c r="V213" i="11"/>
  <c r="Y213" i="11"/>
  <c r="H102" i="11"/>
  <c r="F73" i="11"/>
  <c r="F75" i="11"/>
  <c r="N73" i="11"/>
  <c r="N75" i="11"/>
  <c r="D73" i="11"/>
  <c r="D83" i="11" s="1"/>
  <c r="L73" i="11"/>
  <c r="T73" i="11"/>
  <c r="T83" i="11" s="1"/>
  <c r="K75" i="11"/>
  <c r="AH56" i="11"/>
  <c r="AL213" i="11"/>
  <c r="T7" i="11"/>
  <c r="E73" i="11"/>
  <c r="D5" i="11"/>
  <c r="M73" i="11"/>
  <c r="L5" i="11"/>
  <c r="T5" i="11"/>
  <c r="AB5" i="11"/>
  <c r="K73" i="11"/>
  <c r="M75" i="11"/>
  <c r="AH76" i="11"/>
  <c r="AI77" i="11"/>
  <c r="AI80" i="11"/>
  <c r="D191" i="11"/>
  <c r="E101" i="11"/>
  <c r="H73" i="11"/>
  <c r="P73" i="11"/>
  <c r="AH79" i="11"/>
  <c r="E108" i="11"/>
  <c r="E199" i="11"/>
  <c r="F193" i="11"/>
  <c r="D234" i="11"/>
  <c r="F198" i="11"/>
  <c r="C234" i="11"/>
  <c r="R83" i="11" l="1"/>
  <c r="P83" i="11"/>
  <c r="O7" i="11"/>
  <c r="N83" i="11"/>
  <c r="M83" i="11"/>
  <c r="L83" i="11"/>
  <c r="L7" i="11"/>
  <c r="J83" i="11"/>
  <c r="G83" i="11"/>
  <c r="F83" i="11"/>
  <c r="E83" i="11"/>
  <c r="C208" i="11"/>
  <c r="E7" i="11"/>
  <c r="K83" i="11"/>
  <c r="H83" i="11"/>
  <c r="B208" i="11"/>
  <c r="U213" i="11"/>
  <c r="C7" i="11"/>
  <c r="Z83" i="11"/>
  <c r="X213" i="11"/>
  <c r="F7" i="11"/>
  <c r="AE213" i="11"/>
  <c r="M7" i="11"/>
  <c r="AR213" i="11"/>
  <c r="Z7" i="11"/>
  <c r="AH213" i="11"/>
  <c r="P7" i="11"/>
  <c r="Z213" i="11"/>
  <c r="H7" i="11"/>
  <c r="C83" i="11"/>
  <c r="AJ213" i="11"/>
  <c r="R7" i="11"/>
  <c r="AI82" i="11"/>
  <c r="AH82" i="11"/>
  <c r="E93" i="11"/>
  <c r="F108" i="11"/>
  <c r="E234" i="11"/>
  <c r="G198" i="11"/>
  <c r="G193" i="11"/>
  <c r="F199" i="11"/>
  <c r="AC213" i="11"/>
  <c r="K7" i="11"/>
  <c r="I102" i="11"/>
  <c r="AI213" i="11"/>
  <c r="Q7" i="11"/>
  <c r="E191" i="11"/>
  <c r="F101" i="11"/>
  <c r="AF213" i="11"/>
  <c r="N7" i="11"/>
  <c r="AB213" i="11"/>
  <c r="J7" i="11"/>
  <c r="AA213" i="11"/>
  <c r="I7" i="11"/>
  <c r="K6" i="11" l="1"/>
  <c r="G108" i="11"/>
  <c r="F93" i="11"/>
  <c r="F191" i="11"/>
  <c r="G101" i="11"/>
  <c r="J102" i="11"/>
  <c r="G199" i="11"/>
  <c r="H193" i="11"/>
  <c r="F234" i="11"/>
  <c r="H198" i="11"/>
  <c r="K102" i="11" l="1"/>
  <c r="G191" i="11"/>
  <c r="H101" i="11"/>
  <c r="G234" i="11"/>
  <c r="I198" i="11"/>
  <c r="H199" i="11"/>
  <c r="I193" i="11"/>
  <c r="H108" i="11"/>
  <c r="G93" i="11"/>
  <c r="H234" i="11" l="1"/>
  <c r="J198" i="11"/>
  <c r="J193" i="11"/>
  <c r="I199" i="11"/>
  <c r="H191" i="11"/>
  <c r="I101" i="11"/>
  <c r="I108" i="11"/>
  <c r="H93" i="11"/>
  <c r="L102" i="11"/>
  <c r="I191" i="11" l="1"/>
  <c r="J101" i="11"/>
  <c r="M102" i="11"/>
  <c r="J199" i="11"/>
  <c r="K193" i="11"/>
  <c r="K198" i="11"/>
  <c r="I234" i="11"/>
  <c r="J108" i="11"/>
  <c r="I93" i="11"/>
  <c r="J191" i="11" l="1"/>
  <c r="K101" i="11"/>
  <c r="J234" i="11"/>
  <c r="L198" i="11"/>
  <c r="L193" i="11"/>
  <c r="K199" i="11"/>
  <c r="N102" i="11"/>
  <c r="K108" i="11"/>
  <c r="J93" i="11"/>
  <c r="L199" i="11" l="1"/>
  <c r="M193" i="11"/>
  <c r="K234" i="11"/>
  <c r="M198" i="11"/>
  <c r="K191" i="11"/>
  <c r="L101" i="11"/>
  <c r="L108" i="11"/>
  <c r="K93" i="11"/>
  <c r="O102" i="11"/>
  <c r="M108" i="11" l="1"/>
  <c r="L93" i="11"/>
  <c r="L191" i="11"/>
  <c r="M101" i="11"/>
  <c r="M199" i="11"/>
  <c r="N193" i="11"/>
  <c r="L234" i="11"/>
  <c r="N198" i="11"/>
  <c r="P102" i="11"/>
  <c r="O198" i="11" l="1"/>
  <c r="M234" i="11"/>
  <c r="O193" i="11"/>
  <c r="N199" i="11"/>
  <c r="M191" i="11"/>
  <c r="N101" i="11"/>
  <c r="Q102" i="11"/>
  <c r="N108" i="11"/>
  <c r="M93" i="11"/>
  <c r="N191" i="11" l="1"/>
  <c r="O101" i="11"/>
  <c r="R102" i="11"/>
  <c r="P193" i="11"/>
  <c r="O199" i="11"/>
  <c r="O108" i="11"/>
  <c r="N93" i="11"/>
  <c r="N234" i="11"/>
  <c r="P198" i="11"/>
  <c r="O234" i="11" l="1"/>
  <c r="Q198" i="11"/>
  <c r="O191" i="11"/>
  <c r="P101" i="11"/>
  <c r="P108" i="11"/>
  <c r="O93" i="11"/>
  <c r="P199" i="11"/>
  <c r="Q193" i="11"/>
  <c r="S102" i="11"/>
  <c r="Q108" i="11" l="1"/>
  <c r="P93" i="11"/>
  <c r="R198" i="11"/>
  <c r="P234" i="11"/>
  <c r="Q199" i="11"/>
  <c r="R193" i="11"/>
  <c r="P191" i="11"/>
  <c r="Q101" i="11"/>
  <c r="T102" i="11"/>
  <c r="Q191" i="11" l="1"/>
  <c r="R101" i="11"/>
  <c r="Q234" i="11"/>
  <c r="S198" i="11"/>
  <c r="R199" i="11"/>
  <c r="S193" i="11"/>
  <c r="U102" i="11"/>
  <c r="R108" i="11"/>
  <c r="Q93" i="11"/>
  <c r="V102" i="11" l="1"/>
  <c r="R191" i="11"/>
  <c r="S101" i="11"/>
  <c r="T193" i="11"/>
  <c r="S199" i="11"/>
  <c r="R234" i="11"/>
  <c r="T198" i="11"/>
  <c r="S108" i="11"/>
  <c r="R93" i="11"/>
  <c r="S234" i="11" l="1"/>
  <c r="U198" i="11"/>
  <c r="U193" i="11"/>
  <c r="T199" i="11"/>
  <c r="S191" i="11"/>
  <c r="T101" i="11"/>
  <c r="W102" i="11"/>
  <c r="T108" i="11"/>
  <c r="S93" i="11"/>
  <c r="X102" i="11" l="1"/>
  <c r="U199" i="11"/>
  <c r="U51" i="11" s="1"/>
  <c r="U52" i="11" s="1"/>
  <c r="V193" i="11"/>
  <c r="T234" i="11"/>
  <c r="V198" i="11"/>
  <c r="T191" i="11"/>
  <c r="U101" i="11"/>
  <c r="U108" i="11"/>
  <c r="T93" i="11"/>
  <c r="U191" i="11" l="1"/>
  <c r="V101" i="11"/>
  <c r="U75" i="11"/>
  <c r="U73" i="11"/>
  <c r="U83" i="11" s="1"/>
  <c r="U234" i="11"/>
  <c r="W198" i="11"/>
  <c r="W193" i="11"/>
  <c r="V199" i="11"/>
  <c r="V51" i="11" s="1"/>
  <c r="V52" i="11" s="1"/>
  <c r="V108" i="11"/>
  <c r="U93" i="11"/>
  <c r="Y102" i="11"/>
  <c r="V234" i="11" l="1"/>
  <c r="X198" i="11"/>
  <c r="Z102" i="11"/>
  <c r="V73" i="11"/>
  <c r="V75" i="11"/>
  <c r="W199" i="11"/>
  <c r="W51" i="11" s="1"/>
  <c r="W52" i="11" s="1"/>
  <c r="X193" i="11"/>
  <c r="V191" i="11"/>
  <c r="W101" i="11"/>
  <c r="AM213" i="11"/>
  <c r="U7" i="11"/>
  <c r="W108" i="11"/>
  <c r="V93" i="11"/>
  <c r="W75" i="11" l="1"/>
  <c r="W73" i="11"/>
  <c r="X199" i="11"/>
  <c r="Y193" i="11"/>
  <c r="V83" i="11"/>
  <c r="AN213" i="11"/>
  <c r="V7" i="11"/>
  <c r="AA102" i="11"/>
  <c r="W191" i="11"/>
  <c r="X101" i="11"/>
  <c r="W234" i="11"/>
  <c r="Y198" i="11"/>
  <c r="X108" i="11"/>
  <c r="W93" i="11"/>
  <c r="W83" i="11" l="1"/>
  <c r="AB102" i="11"/>
  <c r="X191" i="11"/>
  <c r="Y101" i="11"/>
  <c r="Y108" i="11"/>
  <c r="X234" i="11"/>
  <c r="Z198" i="11"/>
  <c r="Y199" i="11"/>
  <c r="Z193" i="11"/>
  <c r="AO213" i="11"/>
  <c r="W7" i="11"/>
  <c r="Y191" i="11" l="1"/>
  <c r="Z101" i="11"/>
  <c r="AP213" i="11"/>
  <c r="X7" i="11"/>
  <c r="AA198" i="11"/>
  <c r="Y234" i="11"/>
  <c r="Z108" i="11"/>
  <c r="Z199" i="11"/>
  <c r="AA193" i="11"/>
  <c r="AC102" i="11"/>
  <c r="AA108" i="11" l="1"/>
  <c r="Z93" i="11"/>
  <c r="AD102" i="11"/>
  <c r="AQ213" i="11"/>
  <c r="Y7" i="11"/>
  <c r="Z234" i="11"/>
  <c r="AB198" i="11"/>
  <c r="AB193" i="11"/>
  <c r="AA199" i="11"/>
  <c r="AA51" i="11" s="1"/>
  <c r="AA52" i="11" s="1"/>
  <c r="Z191" i="11"/>
  <c r="AA101" i="11"/>
  <c r="AA191" i="11" l="1"/>
  <c r="AB101" i="11"/>
  <c r="AE102" i="11"/>
  <c r="AC193" i="11"/>
  <c r="AB199" i="11"/>
  <c r="AB51" i="11" s="1"/>
  <c r="AB52" i="11" s="1"/>
  <c r="AA75" i="11"/>
  <c r="AA73" i="11"/>
  <c r="AA234" i="11"/>
  <c r="AC198" i="11"/>
  <c r="AB108" i="11"/>
  <c r="AA93" i="11"/>
  <c r="AA83" i="11" l="1"/>
  <c r="AB73" i="11"/>
  <c r="AB75" i="11"/>
  <c r="AD193" i="11"/>
  <c r="AC199" i="11"/>
  <c r="AC51" i="11" s="1"/>
  <c r="AC52" i="11" s="1"/>
  <c r="AF102" i="11"/>
  <c r="AS213" i="11"/>
  <c r="AA7" i="11"/>
  <c r="AB234" i="11"/>
  <c r="AD198" i="11"/>
  <c r="AB191" i="11"/>
  <c r="AC101" i="11"/>
  <c r="AC108" i="11"/>
  <c r="AB93" i="11"/>
  <c r="B102" i="11" l="1"/>
  <c r="AC75" i="11"/>
  <c r="AC73" i="11"/>
  <c r="AT213" i="11"/>
  <c r="AB7" i="11"/>
  <c r="AD108" i="11"/>
  <c r="AC93" i="11"/>
  <c r="AC191" i="11"/>
  <c r="AD101" i="11"/>
  <c r="AE193" i="11"/>
  <c r="AD199" i="11"/>
  <c r="AD51" i="11" s="1"/>
  <c r="AD52" i="11" s="1"/>
  <c r="AC234" i="11"/>
  <c r="AE198" i="11"/>
  <c r="AB83" i="11"/>
  <c r="AC83" i="11" l="1"/>
  <c r="AD234" i="11"/>
  <c r="AF198" i="11"/>
  <c r="AE199" i="11"/>
  <c r="AE51" i="11" s="1"/>
  <c r="AE52" i="11" s="1"/>
  <c r="AF193" i="11"/>
  <c r="AU213" i="11"/>
  <c r="AC7" i="11"/>
  <c r="AD73" i="11"/>
  <c r="AD75" i="11"/>
  <c r="AD191" i="11"/>
  <c r="AE101" i="11"/>
  <c r="AE108" i="11"/>
  <c r="AD93" i="11"/>
  <c r="AD83" i="11" l="1"/>
  <c r="AV213" i="11"/>
  <c r="AD7" i="11"/>
  <c r="AF199" i="11"/>
  <c r="AF51" i="11" s="1"/>
  <c r="AF52" i="11" s="1"/>
  <c r="B193" i="11"/>
  <c r="B199" i="11" s="1"/>
  <c r="B51" i="11" s="1"/>
  <c r="AF108" i="11"/>
  <c r="AE93" i="11"/>
  <c r="AE191" i="11"/>
  <c r="AF101" i="11"/>
  <c r="AE234" i="11"/>
  <c r="B198" i="11"/>
  <c r="AF234" i="11" s="1"/>
  <c r="AE75" i="11"/>
  <c r="AE73" i="11"/>
  <c r="AE83" i="11" l="1"/>
  <c r="AW213" i="11"/>
  <c r="AE7" i="11"/>
  <c r="B108" i="11"/>
  <c r="B93" i="11" s="1"/>
  <c r="AF93" i="11"/>
  <c r="B52" i="11"/>
  <c r="AI51" i="11"/>
  <c r="AH51" i="11"/>
  <c r="AF73" i="11"/>
  <c r="AF75" i="11"/>
  <c r="AF191" i="11"/>
  <c r="B101" i="11"/>
  <c r="B191" i="11" s="1"/>
  <c r="AF83" i="11" l="1"/>
  <c r="B75" i="11"/>
  <c r="B73" i="11"/>
  <c r="AH52" i="11"/>
  <c r="AI52" i="11"/>
  <c r="AH93" i="11"/>
  <c r="AI93" i="11"/>
  <c r="AX213" i="11"/>
  <c r="AF7" i="11"/>
  <c r="AH73" i="11" l="1"/>
  <c r="B83" i="11"/>
  <c r="AI73" i="11"/>
  <c r="T213" i="11"/>
  <c r="AH75" i="11"/>
  <c r="B7" i="11"/>
  <c r="A7" i="11" s="1"/>
  <c r="AI75" i="11"/>
  <c r="AI83" i="11" l="1"/>
  <c r="AH83" i="11"/>
  <c r="R95" i="10" l="1"/>
  <c r="P37" i="10"/>
  <c r="O95" i="10" l="1"/>
  <c r="O37" i="10"/>
  <c r="N95" i="10" l="1"/>
  <c r="N37" i="10"/>
  <c r="M37" i="10" l="1"/>
  <c r="L37" i="10"/>
  <c r="K37" i="10"/>
  <c r="J37" i="10"/>
  <c r="I37" i="10"/>
  <c r="H37" i="10"/>
  <c r="G37" i="10"/>
  <c r="F37" i="10"/>
  <c r="E37" i="10"/>
  <c r="D37" i="10"/>
  <c r="AH99" i="10"/>
  <c r="AI99" i="10" s="1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B234" i="10"/>
  <c r="S209" i="10"/>
  <c r="AG199" i="10"/>
  <c r="C199" i="10"/>
  <c r="D198" i="10"/>
  <c r="E197" i="10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B197" i="10" s="1"/>
  <c r="D197" i="10"/>
  <c r="F196" i="10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E196" i="10"/>
  <c r="D196" i="10"/>
  <c r="E195" i="10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D195" i="10"/>
  <c r="R194" i="10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B194" i="10" s="1"/>
  <c r="D194" i="10"/>
  <c r="E194" i="10" s="1"/>
  <c r="F194" i="10" s="1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D193" i="10"/>
  <c r="AG191" i="10"/>
  <c r="C191" i="10"/>
  <c r="S190" i="10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B190" i="10" s="1"/>
  <c r="G190" i="10"/>
  <c r="H190" i="10" s="1"/>
  <c r="I190" i="10" s="1"/>
  <c r="J190" i="10" s="1"/>
  <c r="K190" i="10" s="1"/>
  <c r="L190" i="10" s="1"/>
  <c r="M190" i="10" s="1"/>
  <c r="N190" i="10" s="1"/>
  <c r="O190" i="10" s="1"/>
  <c r="P190" i="10" s="1"/>
  <c r="Q190" i="10" s="1"/>
  <c r="R190" i="10" s="1"/>
  <c r="F190" i="10"/>
  <c r="E190" i="10"/>
  <c r="D190" i="10"/>
  <c r="T189" i="10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D189" i="10"/>
  <c r="E189" i="10" s="1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F188" i="10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D188" i="10"/>
  <c r="E188" i="10" s="1"/>
  <c r="D187" i="10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G186" i="10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F186" i="10"/>
  <c r="E186" i="10"/>
  <c r="D186" i="10"/>
  <c r="D185" i="10"/>
  <c r="E185" i="10" s="1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F184" i="10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D184" i="10"/>
  <c r="E184" i="10" s="1"/>
  <c r="E183" i="10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D183" i="10"/>
  <c r="F182" i="10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E182" i="10"/>
  <c r="D182" i="10"/>
  <c r="V181" i="10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B181" i="10" s="1"/>
  <c r="F181" i="10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E181" i="10"/>
  <c r="D181" i="10"/>
  <c r="D180" i="10"/>
  <c r="E180" i="10" s="1"/>
  <c r="F180" i="10" s="1"/>
  <c r="G180" i="10" s="1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B180" i="10" s="1"/>
  <c r="I179" i="10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G179" i="10"/>
  <c r="H179" i="10" s="1"/>
  <c r="E179" i="10"/>
  <c r="F179" i="10" s="1"/>
  <c r="D179" i="10"/>
  <c r="E178" i="10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B178" i="10" s="1"/>
  <c r="D178" i="10"/>
  <c r="F176" i="10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E176" i="10"/>
  <c r="D176" i="10"/>
  <c r="D175" i="10"/>
  <c r="E175" i="10" s="1"/>
  <c r="F175" i="10" s="1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F174" i="10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D174" i="10"/>
  <c r="E174" i="10" s="1"/>
  <c r="M173" i="10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B173" i="10" s="1"/>
  <c r="D173" i="10"/>
  <c r="E173" i="10" s="1"/>
  <c r="F173" i="10" s="1"/>
  <c r="G173" i="10" s="1"/>
  <c r="H173" i="10" s="1"/>
  <c r="I173" i="10" s="1"/>
  <c r="J173" i="10" s="1"/>
  <c r="K173" i="10" s="1"/>
  <c r="L173" i="10" s="1"/>
  <c r="F172" i="10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E172" i="10"/>
  <c r="D172" i="10"/>
  <c r="R171" i="10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I171" i="10"/>
  <c r="J171" i="10" s="1"/>
  <c r="K171" i="10" s="1"/>
  <c r="L171" i="10" s="1"/>
  <c r="M171" i="10" s="1"/>
  <c r="N171" i="10" s="1"/>
  <c r="O171" i="10" s="1"/>
  <c r="P171" i="10" s="1"/>
  <c r="Q171" i="10" s="1"/>
  <c r="D171" i="10"/>
  <c r="E171" i="10" s="1"/>
  <c r="F171" i="10" s="1"/>
  <c r="G171" i="10" s="1"/>
  <c r="H171" i="10" s="1"/>
  <c r="T170" i="10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K170" i="10"/>
  <c r="L170" i="10" s="1"/>
  <c r="M170" i="10" s="1"/>
  <c r="N170" i="10" s="1"/>
  <c r="O170" i="10" s="1"/>
  <c r="P170" i="10" s="1"/>
  <c r="Q170" i="10" s="1"/>
  <c r="R170" i="10" s="1"/>
  <c r="S170" i="10" s="1"/>
  <c r="D170" i="10"/>
  <c r="E170" i="10" s="1"/>
  <c r="F170" i="10" s="1"/>
  <c r="G170" i="10" s="1"/>
  <c r="H170" i="10" s="1"/>
  <c r="I170" i="10" s="1"/>
  <c r="J170" i="10" s="1"/>
  <c r="W169" i="10"/>
  <c r="X169" i="10" s="1"/>
  <c r="Y169" i="10" s="1"/>
  <c r="Z169" i="10" s="1"/>
  <c r="AA169" i="10" s="1"/>
  <c r="AB169" i="10" s="1"/>
  <c r="AC169" i="10" s="1"/>
  <c r="AD169" i="10" s="1"/>
  <c r="AE169" i="10" s="1"/>
  <c r="AF169" i="10" s="1"/>
  <c r="B169" i="10" s="1"/>
  <c r="N169" i="10"/>
  <c r="O169" i="10" s="1"/>
  <c r="P169" i="10" s="1"/>
  <c r="Q169" i="10" s="1"/>
  <c r="R169" i="10" s="1"/>
  <c r="S169" i="10" s="1"/>
  <c r="T169" i="10" s="1"/>
  <c r="U169" i="10" s="1"/>
  <c r="V169" i="10" s="1"/>
  <c r="E169" i="10"/>
  <c r="F169" i="10" s="1"/>
  <c r="G169" i="10" s="1"/>
  <c r="H169" i="10" s="1"/>
  <c r="I169" i="10" s="1"/>
  <c r="J169" i="10" s="1"/>
  <c r="K169" i="10" s="1"/>
  <c r="L169" i="10" s="1"/>
  <c r="M169" i="10" s="1"/>
  <c r="D169" i="10"/>
  <c r="D167" i="10"/>
  <c r="E167" i="10" s="1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E166" i="10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D166" i="10"/>
  <c r="G165" i="10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B165" i="10" s="1"/>
  <c r="D165" i="10"/>
  <c r="E165" i="10" s="1"/>
  <c r="F165" i="10" s="1"/>
  <c r="Y164" i="10"/>
  <c r="Z164" i="10" s="1"/>
  <c r="AA164" i="10" s="1"/>
  <c r="AB164" i="10" s="1"/>
  <c r="AC164" i="10" s="1"/>
  <c r="AD164" i="10" s="1"/>
  <c r="AE164" i="10" s="1"/>
  <c r="AF164" i="10" s="1"/>
  <c r="B164" i="10" s="1"/>
  <c r="I164" i="10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E164" i="10"/>
  <c r="F164" i="10" s="1"/>
  <c r="G164" i="10" s="1"/>
  <c r="H164" i="10" s="1"/>
  <c r="D164" i="10"/>
  <c r="AA163" i="10"/>
  <c r="AB163" i="10" s="1"/>
  <c r="AC163" i="10" s="1"/>
  <c r="AD163" i="10" s="1"/>
  <c r="AE163" i="10" s="1"/>
  <c r="AF163" i="10" s="1"/>
  <c r="B163" i="10" s="1"/>
  <c r="K163" i="10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G163" i="10"/>
  <c r="H163" i="10" s="1"/>
  <c r="I163" i="10" s="1"/>
  <c r="J163" i="10" s="1"/>
  <c r="E163" i="10"/>
  <c r="F163" i="10" s="1"/>
  <c r="D163" i="10"/>
  <c r="Q162" i="10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B162" i="10" s="1"/>
  <c r="E162" i="10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D162" i="10"/>
  <c r="D161" i="10"/>
  <c r="E161" i="10" s="1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W160" i="10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M160" i="10"/>
  <c r="N160" i="10" s="1"/>
  <c r="O160" i="10" s="1"/>
  <c r="P160" i="10" s="1"/>
  <c r="Q160" i="10" s="1"/>
  <c r="R160" i="10" s="1"/>
  <c r="S160" i="10" s="1"/>
  <c r="T160" i="10" s="1"/>
  <c r="U160" i="10" s="1"/>
  <c r="V160" i="10" s="1"/>
  <c r="E160" i="10"/>
  <c r="F160" i="10" s="1"/>
  <c r="G160" i="10" s="1"/>
  <c r="H160" i="10" s="1"/>
  <c r="I160" i="10" s="1"/>
  <c r="J160" i="10" s="1"/>
  <c r="K160" i="10" s="1"/>
  <c r="L160" i="10" s="1"/>
  <c r="D160" i="10"/>
  <c r="O159" i="10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G159" i="10"/>
  <c r="H159" i="10" s="1"/>
  <c r="I159" i="10" s="1"/>
  <c r="J159" i="10" s="1"/>
  <c r="K159" i="10" s="1"/>
  <c r="L159" i="10" s="1"/>
  <c r="M159" i="10" s="1"/>
  <c r="N159" i="10" s="1"/>
  <c r="E159" i="10"/>
  <c r="F159" i="10" s="1"/>
  <c r="D159" i="10"/>
  <c r="N158" i="10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B158" i="10" s="1"/>
  <c r="F158" i="10"/>
  <c r="G158" i="10" s="1"/>
  <c r="H158" i="10" s="1"/>
  <c r="I158" i="10" s="1"/>
  <c r="J158" i="10" s="1"/>
  <c r="K158" i="10" s="1"/>
  <c r="L158" i="10" s="1"/>
  <c r="M158" i="10" s="1"/>
  <c r="E158" i="10"/>
  <c r="D158" i="10"/>
  <c r="W157" i="10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O157" i="10"/>
  <c r="P157" i="10" s="1"/>
  <c r="Q157" i="10" s="1"/>
  <c r="R157" i="10" s="1"/>
  <c r="S157" i="10" s="1"/>
  <c r="T157" i="10" s="1"/>
  <c r="U157" i="10" s="1"/>
  <c r="V157" i="10" s="1"/>
  <c r="H157" i="10"/>
  <c r="I157" i="10" s="1"/>
  <c r="J157" i="10" s="1"/>
  <c r="K157" i="10" s="1"/>
  <c r="L157" i="10" s="1"/>
  <c r="M157" i="10" s="1"/>
  <c r="N157" i="10" s="1"/>
  <c r="G157" i="10"/>
  <c r="D157" i="10"/>
  <c r="E157" i="10" s="1"/>
  <c r="F157" i="10" s="1"/>
  <c r="M156" i="10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B156" i="10" s="1"/>
  <c r="F156" i="10"/>
  <c r="G156" i="10" s="1"/>
  <c r="H156" i="10" s="1"/>
  <c r="I156" i="10" s="1"/>
  <c r="J156" i="10" s="1"/>
  <c r="K156" i="10" s="1"/>
  <c r="L156" i="10" s="1"/>
  <c r="E156" i="10"/>
  <c r="D156" i="10"/>
  <c r="X155" i="10"/>
  <c r="Y155" i="10" s="1"/>
  <c r="Z155" i="10" s="1"/>
  <c r="AA155" i="10" s="1"/>
  <c r="AB155" i="10" s="1"/>
  <c r="AC155" i="10" s="1"/>
  <c r="AD155" i="10" s="1"/>
  <c r="AE155" i="10" s="1"/>
  <c r="AF155" i="10" s="1"/>
  <c r="B155" i="10" s="1"/>
  <c r="E155" i="10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D155" i="10"/>
  <c r="J153" i="10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E153" i="10"/>
  <c r="F153" i="10" s="1"/>
  <c r="G153" i="10" s="1"/>
  <c r="H153" i="10" s="1"/>
  <c r="I153" i="10" s="1"/>
  <c r="D153" i="10"/>
  <c r="I152" i="10"/>
  <c r="J152" i="10" s="1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D152" i="10"/>
  <c r="E152" i="10" s="1"/>
  <c r="F152" i="10" s="1"/>
  <c r="G152" i="10" s="1"/>
  <c r="H152" i="10" s="1"/>
  <c r="F151" i="10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E151" i="10"/>
  <c r="D151" i="10"/>
  <c r="H150" i="10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B150" i="10" s="1"/>
  <c r="D150" i="10"/>
  <c r="E150" i="10" s="1"/>
  <c r="F150" i="10" s="1"/>
  <c r="G150" i="10" s="1"/>
  <c r="P148" i="10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B148" i="10" s="1"/>
  <c r="K148" i="10"/>
  <c r="L148" i="10" s="1"/>
  <c r="M148" i="10" s="1"/>
  <c r="N148" i="10" s="1"/>
  <c r="O148" i="10" s="1"/>
  <c r="F148" i="10"/>
  <c r="G148" i="10" s="1"/>
  <c r="H148" i="10" s="1"/>
  <c r="I148" i="10" s="1"/>
  <c r="J148" i="10" s="1"/>
  <c r="E148" i="10"/>
  <c r="D148" i="10"/>
  <c r="AF147" i="10"/>
  <c r="B147" i="10" s="1"/>
  <c r="R147" i="10"/>
  <c r="S147" i="10" s="1"/>
  <c r="T147" i="10" s="1"/>
  <c r="U147" i="10" s="1"/>
  <c r="V147" i="10" s="1"/>
  <c r="W147" i="10" s="1"/>
  <c r="X147" i="10" s="1"/>
  <c r="Y147" i="10" s="1"/>
  <c r="Z147" i="10" s="1"/>
  <c r="AA147" i="10" s="1"/>
  <c r="AB147" i="10" s="1"/>
  <c r="AC147" i="10" s="1"/>
  <c r="AD147" i="10" s="1"/>
  <c r="AE147" i="10" s="1"/>
  <c r="D147" i="10"/>
  <c r="E147" i="10" s="1"/>
  <c r="F147" i="10" s="1"/>
  <c r="G147" i="10" s="1"/>
  <c r="H147" i="10" s="1"/>
  <c r="I147" i="10" s="1"/>
  <c r="J147" i="10" s="1"/>
  <c r="K147" i="10" s="1"/>
  <c r="L147" i="10" s="1"/>
  <c r="M147" i="10" s="1"/>
  <c r="N147" i="10" s="1"/>
  <c r="O147" i="10" s="1"/>
  <c r="P147" i="10" s="1"/>
  <c r="Q147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G145" i="10"/>
  <c r="H145" i="10" s="1"/>
  <c r="I145" i="10" s="1"/>
  <c r="J145" i="10" s="1"/>
  <c r="K145" i="10" s="1"/>
  <c r="D145" i="10"/>
  <c r="E145" i="10" s="1"/>
  <c r="F145" i="10" s="1"/>
  <c r="W144" i="10"/>
  <c r="X144" i="10" s="1"/>
  <c r="Y144" i="10" s="1"/>
  <c r="Z144" i="10" s="1"/>
  <c r="AA144" i="10" s="1"/>
  <c r="AB144" i="10" s="1"/>
  <c r="AC144" i="10" s="1"/>
  <c r="AD144" i="10" s="1"/>
  <c r="AE144" i="10" s="1"/>
  <c r="AF144" i="10" s="1"/>
  <c r="B144" i="10" s="1"/>
  <c r="J144" i="10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E144" i="10"/>
  <c r="F144" i="10" s="1"/>
  <c r="G144" i="10" s="1"/>
  <c r="H144" i="10" s="1"/>
  <c r="I144" i="10" s="1"/>
  <c r="D144" i="10"/>
  <c r="H143" i="10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D143" i="10"/>
  <c r="E143" i="10" s="1"/>
  <c r="F143" i="10" s="1"/>
  <c r="G143" i="10" s="1"/>
  <c r="F142" i="10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D142" i="10"/>
  <c r="E142" i="10" s="1"/>
  <c r="G141" i="10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D141" i="10"/>
  <c r="E141" i="10" s="1"/>
  <c r="F141" i="10" s="1"/>
  <c r="D140" i="10"/>
  <c r="E140" i="10" s="1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B140" i="10" s="1"/>
  <c r="N139" i="10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B139" i="10" s="1"/>
  <c r="F139" i="10"/>
  <c r="G139" i="10" s="1"/>
  <c r="H139" i="10" s="1"/>
  <c r="I139" i="10" s="1"/>
  <c r="J139" i="10" s="1"/>
  <c r="K139" i="10" s="1"/>
  <c r="L139" i="10" s="1"/>
  <c r="M139" i="10" s="1"/>
  <c r="E139" i="10"/>
  <c r="D139" i="10"/>
  <c r="O137" i="10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B137" i="10" s="1"/>
  <c r="G137" i="10"/>
  <c r="H137" i="10" s="1"/>
  <c r="I137" i="10" s="1"/>
  <c r="J137" i="10" s="1"/>
  <c r="K137" i="10" s="1"/>
  <c r="L137" i="10" s="1"/>
  <c r="M137" i="10" s="1"/>
  <c r="N137" i="10" s="1"/>
  <c r="D137" i="10"/>
  <c r="E137" i="10" s="1"/>
  <c r="F137" i="10" s="1"/>
  <c r="F136" i="10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E136" i="10"/>
  <c r="D136" i="10"/>
  <c r="D135" i="10"/>
  <c r="E135" i="10" s="1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Y134" i="10"/>
  <c r="Z134" i="10" s="1"/>
  <c r="AA134" i="10" s="1"/>
  <c r="AB134" i="10" s="1"/>
  <c r="AC134" i="10" s="1"/>
  <c r="AD134" i="10" s="1"/>
  <c r="AE134" i="10" s="1"/>
  <c r="AF134" i="10" s="1"/>
  <c r="B134" i="10" s="1"/>
  <c r="Q134" i="10"/>
  <c r="R134" i="10" s="1"/>
  <c r="S134" i="10" s="1"/>
  <c r="T134" i="10" s="1"/>
  <c r="U134" i="10" s="1"/>
  <c r="V134" i="10" s="1"/>
  <c r="W134" i="10" s="1"/>
  <c r="X134" i="10" s="1"/>
  <c r="N134" i="10"/>
  <c r="O134" i="10" s="1"/>
  <c r="P134" i="10" s="1"/>
  <c r="I134" i="10"/>
  <c r="J134" i="10" s="1"/>
  <c r="K134" i="10" s="1"/>
  <c r="L134" i="10" s="1"/>
  <c r="M134" i="10" s="1"/>
  <c r="G134" i="10"/>
  <c r="H134" i="10" s="1"/>
  <c r="F134" i="10"/>
  <c r="E134" i="10"/>
  <c r="D134" i="10"/>
  <c r="E133" i="10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B133" i="10" s="1"/>
  <c r="D133" i="10"/>
  <c r="K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I132" i="10"/>
  <c r="J132" i="10" s="1"/>
  <c r="E132" i="10"/>
  <c r="F132" i="10" s="1"/>
  <c r="G132" i="10" s="1"/>
  <c r="H132" i="10" s="1"/>
  <c r="D132" i="10"/>
  <c r="D131" i="10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E130" i="10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B130" i="10" s="1"/>
  <c r="D130" i="10"/>
  <c r="N128" i="10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E128" i="10"/>
  <c r="F128" i="10" s="1"/>
  <c r="G128" i="10" s="1"/>
  <c r="H128" i="10" s="1"/>
  <c r="I128" i="10" s="1"/>
  <c r="J128" i="10" s="1"/>
  <c r="K128" i="10" s="1"/>
  <c r="L128" i="10" s="1"/>
  <c r="M128" i="10" s="1"/>
  <c r="D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D127" i="10"/>
  <c r="H126" i="10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G126" i="10"/>
  <c r="D126" i="10"/>
  <c r="E126" i="10" s="1"/>
  <c r="F126" i="10" s="1"/>
  <c r="G125" i="10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F125" i="10"/>
  <c r="E125" i="10"/>
  <c r="D125" i="10"/>
  <c r="K124" i="10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G124" i="10"/>
  <c r="H124" i="10" s="1"/>
  <c r="I124" i="10" s="1"/>
  <c r="J124" i="10" s="1"/>
  <c r="E124" i="10"/>
  <c r="F124" i="10" s="1"/>
  <c r="D124" i="10"/>
  <c r="L123" i="10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B123" i="10" s="1"/>
  <c r="G123" i="10"/>
  <c r="H123" i="10" s="1"/>
  <c r="I123" i="10" s="1"/>
  <c r="J123" i="10" s="1"/>
  <c r="K123" i="10" s="1"/>
  <c r="F123" i="10"/>
  <c r="D123" i="10"/>
  <c r="E123" i="10" s="1"/>
  <c r="L122" i="10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B122" i="10" s="1"/>
  <c r="I122" i="10"/>
  <c r="J122" i="10" s="1"/>
  <c r="K122" i="10" s="1"/>
  <c r="G122" i="10"/>
  <c r="H122" i="10" s="1"/>
  <c r="E122" i="10"/>
  <c r="F122" i="10" s="1"/>
  <c r="D122" i="10"/>
  <c r="K121" i="10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F121" i="10"/>
  <c r="G121" i="10" s="1"/>
  <c r="H121" i="10" s="1"/>
  <c r="I121" i="10" s="1"/>
  <c r="J121" i="10" s="1"/>
  <c r="E121" i="10"/>
  <c r="D121" i="10"/>
  <c r="G120" i="10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B120" i="10" s="1"/>
  <c r="F120" i="10"/>
  <c r="D120" i="10"/>
  <c r="E120" i="10" s="1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S118" i="10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F118" i="10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E118" i="10"/>
  <c r="D118" i="10"/>
  <c r="I117" i="10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F117" i="10"/>
  <c r="G117" i="10" s="1"/>
  <c r="H117" i="10" s="1"/>
  <c r="E117" i="10"/>
  <c r="D117" i="10"/>
  <c r="D116" i="10"/>
  <c r="E116" i="10" s="1"/>
  <c r="F116" i="10" s="1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O115" i="10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D115" i="10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P114" i="10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F114" i="10"/>
  <c r="G114" i="10" s="1"/>
  <c r="H114" i="10" s="1"/>
  <c r="I114" i="10" s="1"/>
  <c r="J114" i="10" s="1"/>
  <c r="K114" i="10" s="1"/>
  <c r="L114" i="10" s="1"/>
  <c r="M114" i="10" s="1"/>
  <c r="N114" i="10" s="1"/>
  <c r="O114" i="10" s="1"/>
  <c r="E114" i="10"/>
  <c r="D114" i="10"/>
  <c r="K113" i="10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E113" i="10"/>
  <c r="F113" i="10" s="1"/>
  <c r="G113" i="10" s="1"/>
  <c r="H113" i="10" s="1"/>
  <c r="I113" i="10" s="1"/>
  <c r="D113" i="10"/>
  <c r="E112" i="10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D112" i="10"/>
  <c r="D111" i="10"/>
  <c r="E111" i="10" s="1"/>
  <c r="F111" i="10" s="1"/>
  <c r="G111" i="10" s="1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B111" i="10" s="1"/>
  <c r="F109" i="10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B109" i="10" s="1"/>
  <c r="E109" i="10"/>
  <c r="D109" i="10"/>
  <c r="H108" i="10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B108" i="10" s="1"/>
  <c r="F108" i="10"/>
  <c r="G108" i="10" s="1"/>
  <c r="D108" i="10"/>
  <c r="E108" i="10" s="1"/>
  <c r="F106" i="10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D106" i="10"/>
  <c r="E106" i="10" s="1"/>
  <c r="O105" i="10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D105" i="10"/>
  <c r="E105" i="10" s="1"/>
  <c r="F105" i="10" s="1"/>
  <c r="G105" i="10" s="1"/>
  <c r="H105" i="10" s="1"/>
  <c r="I105" i="10" s="1"/>
  <c r="J105" i="10" s="1"/>
  <c r="K105" i="10" s="1"/>
  <c r="L105" i="10" s="1"/>
  <c r="M105" i="10" s="1"/>
  <c r="N105" i="10" s="1"/>
  <c r="E104" i="10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D104" i="10"/>
  <c r="L103" i="10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B103" i="10" s="1"/>
  <c r="D103" i="10"/>
  <c r="E103" i="10" s="1"/>
  <c r="F103" i="10" s="1"/>
  <c r="G103" i="10" s="1"/>
  <c r="H103" i="10" s="1"/>
  <c r="I103" i="10" s="1"/>
  <c r="J103" i="10" s="1"/>
  <c r="K103" i="10" s="1"/>
  <c r="D102" i="10"/>
  <c r="E102" i="10" s="1"/>
  <c r="F102" i="10" s="1"/>
  <c r="E101" i="10"/>
  <c r="D101" i="10"/>
  <c r="AH98" i="10"/>
  <c r="AI98" i="10" s="1"/>
  <c r="AH97" i="10"/>
  <c r="AI97" i="10" s="1"/>
  <c r="AH96" i="10"/>
  <c r="AI96" i="10" s="1"/>
  <c r="AH95" i="10"/>
  <c r="AI95" i="10" s="1"/>
  <c r="AH94" i="10"/>
  <c r="AI94" i="10" s="1"/>
  <c r="D93" i="10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Y82" i="10"/>
  <c r="AI81" i="10"/>
  <c r="AH81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F76" i="10"/>
  <c r="AE76" i="10"/>
  <c r="AE82" i="10" s="1"/>
  <c r="AD76" i="10"/>
  <c r="AC76" i="10"/>
  <c r="AB76" i="10"/>
  <c r="AA76" i="10"/>
  <c r="Z76" i="10"/>
  <c r="Y76" i="10"/>
  <c r="X76" i="10"/>
  <c r="W76" i="10"/>
  <c r="W82" i="10" s="1"/>
  <c r="V76" i="10"/>
  <c r="U76" i="10"/>
  <c r="T76" i="10"/>
  <c r="S76" i="10"/>
  <c r="R76" i="10"/>
  <c r="Q76" i="10"/>
  <c r="P76" i="10"/>
  <c r="P82" i="10" s="1"/>
  <c r="O76" i="10"/>
  <c r="N76" i="10"/>
  <c r="M76" i="10"/>
  <c r="L76" i="10"/>
  <c r="K76" i="10"/>
  <c r="J76" i="10"/>
  <c r="J82" i="10" s="1"/>
  <c r="I76" i="10"/>
  <c r="H76" i="10"/>
  <c r="G76" i="10"/>
  <c r="F76" i="10"/>
  <c r="E76" i="10"/>
  <c r="D76" i="10"/>
  <c r="C76" i="10"/>
  <c r="B76" i="10"/>
  <c r="AI74" i="10"/>
  <c r="AH74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H72" i="10" s="1"/>
  <c r="AI71" i="10"/>
  <c r="AH71" i="10"/>
  <c r="AI70" i="10"/>
  <c r="AH70" i="10"/>
  <c r="AI69" i="10"/>
  <c r="AH69" i="10"/>
  <c r="AG68" i="10"/>
  <c r="AF68" i="10"/>
  <c r="AE68" i="10"/>
  <c r="AD68" i="10"/>
  <c r="AC68" i="10"/>
  <c r="AB5" i="10" s="1"/>
  <c r="AB68" i="10"/>
  <c r="AA68" i="10"/>
  <c r="Z68" i="10"/>
  <c r="Y5" i="10" s="1"/>
  <c r="Y68" i="10"/>
  <c r="X68" i="10"/>
  <c r="W5" i="10" s="1"/>
  <c r="W68" i="10"/>
  <c r="V68" i="10"/>
  <c r="U68" i="10"/>
  <c r="T5" i="10" s="1"/>
  <c r="T68" i="10"/>
  <c r="S5" i="10" s="1"/>
  <c r="S68" i="10"/>
  <c r="R68" i="10"/>
  <c r="Q5" i="10" s="1"/>
  <c r="Q68" i="10"/>
  <c r="P5" i="10" s="1"/>
  <c r="P68" i="10"/>
  <c r="O68" i="10"/>
  <c r="N68" i="10"/>
  <c r="M5" i="10" s="1"/>
  <c r="M68" i="10"/>
  <c r="L5" i="10" s="1"/>
  <c r="L68" i="10"/>
  <c r="K68" i="10"/>
  <c r="J68" i="10"/>
  <c r="I5" i="10" s="1"/>
  <c r="I68" i="10"/>
  <c r="H68" i="10"/>
  <c r="G5" i="10" s="1"/>
  <c r="G68" i="10"/>
  <c r="F68" i="10"/>
  <c r="E5" i="10" s="1"/>
  <c r="E68" i="10"/>
  <c r="D5" i="10" s="1"/>
  <c r="D68" i="10"/>
  <c r="C5" i="10" s="1"/>
  <c r="C68" i="10"/>
  <c r="B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I55" i="10"/>
  <c r="AH55" i="10"/>
  <c r="AI54" i="10"/>
  <c r="AH54" i="10"/>
  <c r="AI53" i="10"/>
  <c r="AH53" i="10"/>
  <c r="Z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G52" i="10" s="1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F5" i="10"/>
  <c r="AC5" i="10"/>
  <c r="AA5" i="10"/>
  <c r="X5" i="10"/>
  <c r="U5" i="10"/>
  <c r="K5" i="10"/>
  <c r="H5" i="10"/>
  <c r="AG4" i="10"/>
  <c r="K4" i="10"/>
  <c r="B4" i="10"/>
  <c r="AG2" i="10"/>
  <c r="E4" i="10"/>
  <c r="AF82" i="10" l="1"/>
  <c r="AB82" i="10"/>
  <c r="AA82" i="10"/>
  <c r="Z75" i="10"/>
  <c r="AR213" i="10" s="1"/>
  <c r="Z82" i="10"/>
  <c r="Z73" i="10"/>
  <c r="Z83" i="10" s="1"/>
  <c r="X82" i="10"/>
  <c r="T82" i="10"/>
  <c r="S82" i="10"/>
  <c r="R82" i="10"/>
  <c r="R75" i="10"/>
  <c r="R7" i="10" s="1"/>
  <c r="R73" i="10"/>
  <c r="Q82" i="10"/>
  <c r="P73" i="10"/>
  <c r="O82" i="10"/>
  <c r="N73" i="10"/>
  <c r="N75" i="10"/>
  <c r="M73" i="10"/>
  <c r="M75" i="10"/>
  <c r="L82" i="10"/>
  <c r="K82" i="10"/>
  <c r="J75" i="10"/>
  <c r="J7" i="10" s="1"/>
  <c r="J73" i="10"/>
  <c r="J83" i="10" s="1"/>
  <c r="I82" i="10"/>
  <c r="H82" i="10"/>
  <c r="H73" i="10"/>
  <c r="G82" i="10"/>
  <c r="F73" i="10"/>
  <c r="F75" i="10"/>
  <c r="X213" i="10" s="1"/>
  <c r="E73" i="10"/>
  <c r="E75" i="10"/>
  <c r="AI76" i="10"/>
  <c r="D82" i="10"/>
  <c r="C82" i="10"/>
  <c r="AI56" i="10"/>
  <c r="AH78" i="10"/>
  <c r="AH80" i="10"/>
  <c r="H4" i="10"/>
  <c r="AG3" i="10"/>
  <c r="AG6" i="10" s="1"/>
  <c r="AG73" i="10"/>
  <c r="AG83" i="10" s="1"/>
  <c r="AG75" i="10"/>
  <c r="AI68" i="10"/>
  <c r="T75" i="10"/>
  <c r="T73" i="10"/>
  <c r="S210" i="10"/>
  <c r="D210" i="10"/>
  <c r="AH56" i="10"/>
  <c r="C73" i="10"/>
  <c r="C75" i="10" s="1"/>
  <c r="B5" i="10"/>
  <c r="K73" i="10"/>
  <c r="J5" i="10"/>
  <c r="S73" i="10"/>
  <c r="R5" i="10"/>
  <c r="Z5" i="10"/>
  <c r="AB213" i="10"/>
  <c r="E82" i="10"/>
  <c r="M82" i="10"/>
  <c r="U82" i="10"/>
  <c r="AC82" i="10"/>
  <c r="L75" i="10"/>
  <c r="L73" i="10"/>
  <c r="F82" i="10"/>
  <c r="N82" i="10"/>
  <c r="V82" i="10"/>
  <c r="AD82" i="10"/>
  <c r="AI80" i="10"/>
  <c r="O5" i="10"/>
  <c r="Q73" i="10"/>
  <c r="Q75" i="10"/>
  <c r="I73" i="10"/>
  <c r="I75" i="10"/>
  <c r="D75" i="10"/>
  <c r="D73" i="10"/>
  <c r="G102" i="10"/>
  <c r="AI79" i="10"/>
  <c r="AI38" i="10"/>
  <c r="G75" i="10"/>
  <c r="O75" i="10"/>
  <c r="AI78" i="10"/>
  <c r="AE5" i="10"/>
  <c r="G73" i="10"/>
  <c r="F5" i="10"/>
  <c r="O73" i="10"/>
  <c r="N5" i="10"/>
  <c r="V5" i="10"/>
  <c r="AD5" i="10"/>
  <c r="H75" i="10"/>
  <c r="P75" i="10"/>
  <c r="AI77" i="10"/>
  <c r="E93" i="10"/>
  <c r="E191" i="10"/>
  <c r="F101" i="10"/>
  <c r="AH38" i="10"/>
  <c r="K75" i="10"/>
  <c r="S75" i="10"/>
  <c r="AH76" i="10"/>
  <c r="B82" i="10"/>
  <c r="AH68" i="10"/>
  <c r="AH77" i="10"/>
  <c r="AI72" i="10"/>
  <c r="AH79" i="10"/>
  <c r="D191" i="10"/>
  <c r="D199" i="10"/>
  <c r="E193" i="10"/>
  <c r="C234" i="10"/>
  <c r="E198" i="10"/>
  <c r="Z7" i="10" l="1"/>
  <c r="S83" i="10"/>
  <c r="M83" i="10"/>
  <c r="AJ213" i="10"/>
  <c r="R83" i="10"/>
  <c r="Q83" i="10"/>
  <c r="P83" i="10"/>
  <c r="N83" i="10"/>
  <c r="AF213" i="10"/>
  <c r="N7" i="10"/>
  <c r="AE213" i="10"/>
  <c r="M7" i="10"/>
  <c r="L83" i="10"/>
  <c r="I83" i="10"/>
  <c r="G83" i="10"/>
  <c r="F7" i="10"/>
  <c r="F83" i="10"/>
  <c r="E83" i="10"/>
  <c r="W213" i="10"/>
  <c r="E7" i="10"/>
  <c r="D83" i="10"/>
  <c r="AI82" i="10"/>
  <c r="AH82" i="10"/>
  <c r="Z213" i="10"/>
  <c r="H7" i="10"/>
  <c r="AG213" i="10"/>
  <c r="O7" i="10"/>
  <c r="AL213" i="10"/>
  <c r="T7" i="10"/>
  <c r="F193" i="10"/>
  <c r="E199" i="10"/>
  <c r="H83" i="10"/>
  <c r="Y213" i="10"/>
  <c r="C208" i="10"/>
  <c r="B208" i="10"/>
  <c r="G7" i="10"/>
  <c r="AI213" i="10"/>
  <c r="Q7" i="10"/>
  <c r="AD213" i="10"/>
  <c r="L7" i="10"/>
  <c r="V213" i="10"/>
  <c r="D7" i="10"/>
  <c r="AK213" i="10"/>
  <c r="S7" i="10"/>
  <c r="AC213" i="10"/>
  <c r="K7" i="10"/>
  <c r="K83" i="10"/>
  <c r="C83" i="10"/>
  <c r="F191" i="10"/>
  <c r="G101" i="10"/>
  <c r="AH213" i="10"/>
  <c r="P7" i="10"/>
  <c r="AA213" i="10"/>
  <c r="I7" i="10"/>
  <c r="D234" i="10"/>
  <c r="F198" i="10"/>
  <c r="O83" i="10"/>
  <c r="H102" i="10"/>
  <c r="U213" i="10"/>
  <c r="C7" i="10"/>
  <c r="T83" i="10"/>
  <c r="I102" i="10" l="1"/>
  <c r="G191" i="10"/>
  <c r="H101" i="10"/>
  <c r="K6" i="10"/>
  <c r="E234" i="10"/>
  <c r="G198" i="10"/>
  <c r="G193" i="10"/>
  <c r="F199" i="10"/>
  <c r="F93" i="10"/>
  <c r="G199" i="10" l="1"/>
  <c r="H193" i="10"/>
  <c r="G93" i="10"/>
  <c r="H191" i="10"/>
  <c r="I101" i="10"/>
  <c r="F234" i="10"/>
  <c r="H198" i="10"/>
  <c r="J102" i="10"/>
  <c r="I191" i="10" l="1"/>
  <c r="J101" i="10"/>
  <c r="G234" i="10"/>
  <c r="I198" i="10"/>
  <c r="K102" i="10"/>
  <c r="H199" i="10"/>
  <c r="I193" i="10"/>
  <c r="H93" i="10"/>
  <c r="L102" i="10" l="1"/>
  <c r="J191" i="10"/>
  <c r="K101" i="10"/>
  <c r="H234" i="10"/>
  <c r="J198" i="10"/>
  <c r="I199" i="10"/>
  <c r="J193" i="10"/>
  <c r="I93" i="10"/>
  <c r="K191" i="10" l="1"/>
  <c r="L101" i="10"/>
  <c r="J199" i="10"/>
  <c r="K193" i="10"/>
  <c r="J93" i="10"/>
  <c r="K198" i="10"/>
  <c r="I234" i="10"/>
  <c r="M102" i="10"/>
  <c r="N102" i="10" l="1"/>
  <c r="J234" i="10"/>
  <c r="L198" i="10"/>
  <c r="K199" i="10"/>
  <c r="L193" i="10"/>
  <c r="K93" i="10"/>
  <c r="L191" i="10"/>
  <c r="M101" i="10"/>
  <c r="L199" i="10" l="1"/>
  <c r="M193" i="10"/>
  <c r="L93" i="10"/>
  <c r="K234" i="10"/>
  <c r="M198" i="10"/>
  <c r="M191" i="10"/>
  <c r="N101" i="10"/>
  <c r="O102" i="10"/>
  <c r="N191" i="10" l="1"/>
  <c r="O101" i="10"/>
  <c r="L234" i="10"/>
  <c r="N198" i="10"/>
  <c r="N193" i="10"/>
  <c r="M199" i="10"/>
  <c r="M93" i="10"/>
  <c r="P102" i="10"/>
  <c r="Q102" i="10" l="1"/>
  <c r="O193" i="10"/>
  <c r="N199" i="10"/>
  <c r="N93" i="10"/>
  <c r="M234" i="10"/>
  <c r="O198" i="10"/>
  <c r="O191" i="10"/>
  <c r="P101" i="10"/>
  <c r="N234" i="10" l="1"/>
  <c r="P198" i="10"/>
  <c r="O199" i="10"/>
  <c r="P193" i="10"/>
  <c r="O93" i="10"/>
  <c r="P191" i="10"/>
  <c r="Q101" i="10"/>
  <c r="R102" i="10"/>
  <c r="Q191" i="10" l="1"/>
  <c r="R101" i="10"/>
  <c r="P199" i="10"/>
  <c r="Q193" i="10"/>
  <c r="P93" i="10"/>
  <c r="O234" i="10"/>
  <c r="Q198" i="10"/>
  <c r="S102" i="10"/>
  <c r="T102" i="10" l="1"/>
  <c r="P234" i="10"/>
  <c r="R198" i="10"/>
  <c r="Q199" i="10"/>
  <c r="R193" i="10"/>
  <c r="Q93" i="10"/>
  <c r="R191" i="10"/>
  <c r="S101" i="10"/>
  <c r="R199" i="10" l="1"/>
  <c r="S193" i="10"/>
  <c r="R93" i="10"/>
  <c r="S198" i="10"/>
  <c r="Q234" i="10"/>
  <c r="S191" i="10"/>
  <c r="T101" i="10"/>
  <c r="U102" i="10"/>
  <c r="R234" i="10" l="1"/>
  <c r="T198" i="10"/>
  <c r="S199" i="10"/>
  <c r="T193" i="10"/>
  <c r="S93" i="10"/>
  <c r="T191" i="10"/>
  <c r="U101" i="10"/>
  <c r="V102" i="10"/>
  <c r="U191" i="10" l="1"/>
  <c r="V101" i="10"/>
  <c r="W102" i="10"/>
  <c r="T199" i="10"/>
  <c r="U193" i="10"/>
  <c r="T93" i="10"/>
  <c r="S234" i="10"/>
  <c r="U198" i="10"/>
  <c r="X102" i="10" l="1"/>
  <c r="V193" i="10"/>
  <c r="U199" i="10"/>
  <c r="U51" i="10" s="1"/>
  <c r="U52" i="10" s="1"/>
  <c r="U93" i="10"/>
  <c r="V191" i="10"/>
  <c r="W101" i="10"/>
  <c r="T234" i="10"/>
  <c r="V198" i="10"/>
  <c r="W193" i="10" l="1"/>
  <c r="V199" i="10"/>
  <c r="V51" i="10" s="1"/>
  <c r="V52" i="10" s="1"/>
  <c r="V93" i="10"/>
  <c r="W191" i="10"/>
  <c r="X101" i="10"/>
  <c r="U75" i="10"/>
  <c r="U73" i="10"/>
  <c r="U234" i="10"/>
  <c r="W198" i="10"/>
  <c r="Y102" i="10"/>
  <c r="U83" i="10" l="1"/>
  <c r="X191" i="10"/>
  <c r="Y101" i="10"/>
  <c r="AM213" i="10"/>
  <c r="U7" i="10"/>
  <c r="Z102" i="10"/>
  <c r="V73" i="10"/>
  <c r="V75" i="10"/>
  <c r="V234" i="10"/>
  <c r="X198" i="10"/>
  <c r="W199" i="10"/>
  <c r="W51" i="10" s="1"/>
  <c r="W52" i="10" s="1"/>
  <c r="X193" i="10"/>
  <c r="W93" i="10"/>
  <c r="V83" i="10" l="1"/>
  <c r="W73" i="10"/>
  <c r="W75" i="10"/>
  <c r="AN213" i="10"/>
  <c r="V7" i="10"/>
  <c r="AA102" i="10"/>
  <c r="W234" i="10"/>
  <c r="Y198" i="10"/>
  <c r="Y191" i="10"/>
  <c r="Z101" i="10"/>
  <c r="Y193" i="10"/>
  <c r="X199" i="10"/>
  <c r="X51" i="10" s="1"/>
  <c r="X52" i="10" s="1"/>
  <c r="X93" i="10"/>
  <c r="X75" i="10" l="1"/>
  <c r="X73" i="10"/>
  <c r="X83" i="10" s="1"/>
  <c r="Y199" i="10"/>
  <c r="Y52" i="10" s="1"/>
  <c r="Z193" i="10"/>
  <c r="Y93" i="10"/>
  <c r="X234" i="10"/>
  <c r="Z198" i="10"/>
  <c r="AB102" i="10"/>
  <c r="Z191" i="10"/>
  <c r="AA101" i="10"/>
  <c r="AO213" i="10"/>
  <c r="W7" i="10"/>
  <c r="W83" i="10"/>
  <c r="AA198" i="10" l="1"/>
  <c r="Y234" i="10"/>
  <c r="AA191" i="10"/>
  <c r="AB101" i="10"/>
  <c r="Y73" i="10"/>
  <c r="Y75" i="10"/>
  <c r="Z199" i="10"/>
  <c r="AA193" i="10"/>
  <c r="Z93" i="10"/>
  <c r="AC102" i="10"/>
  <c r="AP213" i="10"/>
  <c r="X7" i="10"/>
  <c r="Y83" i="10" l="1"/>
  <c r="AB191" i="10"/>
  <c r="AC101" i="10"/>
  <c r="AA199" i="10"/>
  <c r="AA51" i="10" s="1"/>
  <c r="AA52" i="10" s="1"/>
  <c r="AB193" i="10"/>
  <c r="AA93" i="10"/>
  <c r="AQ213" i="10"/>
  <c r="Y7" i="10"/>
  <c r="AD102" i="10"/>
  <c r="Z234" i="10"/>
  <c r="AB198" i="10"/>
  <c r="AB199" i="10" l="1"/>
  <c r="AB51" i="10" s="1"/>
  <c r="AB52" i="10" s="1"/>
  <c r="AC193" i="10"/>
  <c r="AB93" i="10"/>
  <c r="AA75" i="10"/>
  <c r="AA73" i="10"/>
  <c r="AA83" i="10" s="1"/>
  <c r="AA234" i="10"/>
  <c r="AC198" i="10"/>
  <c r="AC191" i="10"/>
  <c r="AD101" i="10"/>
  <c r="AE102" i="10"/>
  <c r="AD193" i="10" l="1"/>
  <c r="AC199" i="10"/>
  <c r="AC51" i="10" s="1"/>
  <c r="AC52" i="10" s="1"/>
  <c r="AC93" i="10"/>
  <c r="AB234" i="10"/>
  <c r="AD198" i="10"/>
  <c r="AS213" i="10"/>
  <c r="AA7" i="10"/>
  <c r="AF102" i="10"/>
  <c r="AD191" i="10"/>
  <c r="AE101" i="10"/>
  <c r="AB75" i="10"/>
  <c r="AB73" i="10"/>
  <c r="AB83" i="10" l="1"/>
  <c r="B102" i="10"/>
  <c r="AC234" i="10"/>
  <c r="AE198" i="10"/>
  <c r="AT213" i="10"/>
  <c r="AB7" i="10"/>
  <c r="AE191" i="10"/>
  <c r="AF101" i="10"/>
  <c r="AC75" i="10"/>
  <c r="AC73" i="10"/>
  <c r="AE193" i="10"/>
  <c r="AD199" i="10"/>
  <c r="AD51" i="10" s="1"/>
  <c r="AD52" i="10" s="1"/>
  <c r="AD93" i="10"/>
  <c r="AC83" i="10" l="1"/>
  <c r="AF191" i="10"/>
  <c r="B101" i="10"/>
  <c r="B191" i="10" s="1"/>
  <c r="AD73" i="10"/>
  <c r="AD75" i="10"/>
  <c r="AD234" i="10"/>
  <c r="AF198" i="10"/>
  <c r="AE199" i="10"/>
  <c r="AE51" i="10" s="1"/>
  <c r="AE52" i="10" s="1"/>
  <c r="AF193" i="10"/>
  <c r="AE93" i="10"/>
  <c r="AU213" i="10"/>
  <c r="AC7" i="10"/>
  <c r="B198" i="10" l="1"/>
  <c r="AF234" i="10" s="1"/>
  <c r="AE234" i="10"/>
  <c r="AV213" i="10"/>
  <c r="AD7" i="10"/>
  <c r="B193" i="10"/>
  <c r="AF199" i="10"/>
  <c r="AF51" i="10" s="1"/>
  <c r="AF52" i="10" s="1"/>
  <c r="AF93" i="10"/>
  <c r="AD83" i="10"/>
  <c r="AE75" i="10"/>
  <c r="AE73" i="10"/>
  <c r="AE83" i="10" s="1"/>
  <c r="AH93" i="10" l="1"/>
  <c r="AI93" i="10"/>
  <c r="B199" i="10"/>
  <c r="B51" i="10" s="1"/>
  <c r="B93" i="10"/>
  <c r="AF73" i="10"/>
  <c r="AF75" i="10"/>
  <c r="AW213" i="10"/>
  <c r="AE7" i="10"/>
  <c r="AF83" i="10" l="1"/>
  <c r="B52" i="10"/>
  <c r="AI51" i="10"/>
  <c r="AH51" i="10"/>
  <c r="AX213" i="10"/>
  <c r="AF7" i="10"/>
  <c r="AH52" i="10" l="1"/>
  <c r="AI52" i="10"/>
  <c r="B75" i="10"/>
  <c r="B73" i="10"/>
  <c r="AI73" i="10" l="1"/>
  <c r="AH73" i="10"/>
  <c r="B83" i="10"/>
  <c r="T213" i="10"/>
  <c r="B7" i="10"/>
  <c r="A7" i="10" s="1"/>
  <c r="AI75" i="10"/>
  <c r="AH75" i="10"/>
  <c r="AI83" i="10" l="1"/>
  <c r="AH83" i="10"/>
  <c r="I37" i="9" l="1"/>
  <c r="H37" i="9"/>
  <c r="G37" i="9"/>
  <c r="F37" i="9"/>
  <c r="E37" i="9"/>
  <c r="AH99" i="9"/>
  <c r="AI99" i="9" s="1"/>
  <c r="D95" i="9"/>
  <c r="D37" i="9"/>
  <c r="C95" i="9"/>
  <c r="C37" i="9"/>
  <c r="B95" i="9"/>
  <c r="B37" i="9"/>
  <c r="B51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E234" i="9"/>
  <c r="D234" i="9"/>
  <c r="C234" i="9"/>
  <c r="B234" i="9"/>
  <c r="S209" i="9"/>
  <c r="AG199" i="9"/>
  <c r="C199" i="9"/>
  <c r="H198" i="9"/>
  <c r="G198" i="9"/>
  <c r="F234" i="9" s="1"/>
  <c r="F198" i="9"/>
  <c r="E198" i="9"/>
  <c r="D198" i="9"/>
  <c r="Q197" i="9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N197" i="9"/>
  <c r="O197" i="9" s="1"/>
  <c r="P197" i="9" s="1"/>
  <c r="D197" i="9"/>
  <c r="E197" i="9" s="1"/>
  <c r="F197" i="9" s="1"/>
  <c r="G197" i="9" s="1"/>
  <c r="H197" i="9" s="1"/>
  <c r="I197" i="9" s="1"/>
  <c r="J197" i="9" s="1"/>
  <c r="K197" i="9" s="1"/>
  <c r="L197" i="9" s="1"/>
  <c r="M197" i="9" s="1"/>
  <c r="G196" i="9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D196" i="9"/>
  <c r="E196" i="9" s="1"/>
  <c r="F196" i="9" s="1"/>
  <c r="E195" i="9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D195" i="9"/>
  <c r="F194" i="9"/>
  <c r="G194" i="9" s="1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B194" i="9" s="1"/>
  <c r="E194" i="9"/>
  <c r="D194" i="9"/>
  <c r="D193" i="9"/>
  <c r="E193" i="9" s="1"/>
  <c r="AG191" i="9"/>
  <c r="C191" i="9"/>
  <c r="I190" i="9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G190" i="9"/>
  <c r="H190" i="9" s="1"/>
  <c r="D190" i="9"/>
  <c r="E190" i="9" s="1"/>
  <c r="F190" i="9" s="1"/>
  <c r="E189" i="9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D189" i="9"/>
  <c r="G188" i="9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F188" i="9"/>
  <c r="E188" i="9"/>
  <c r="D188" i="9"/>
  <c r="D187" i="9"/>
  <c r="E187" i="9" s="1"/>
  <c r="F187" i="9" s="1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G186" i="9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6" i="9"/>
  <c r="E186" i="9" s="1"/>
  <c r="F186" i="9" s="1"/>
  <c r="H185" i="9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G185" i="9"/>
  <c r="E185" i="9"/>
  <c r="F185" i="9" s="1"/>
  <c r="D185" i="9"/>
  <c r="N184" i="9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F184" i="9"/>
  <c r="G184" i="9" s="1"/>
  <c r="H184" i="9" s="1"/>
  <c r="I184" i="9" s="1"/>
  <c r="J184" i="9" s="1"/>
  <c r="K184" i="9" s="1"/>
  <c r="L184" i="9" s="1"/>
  <c r="M184" i="9" s="1"/>
  <c r="E184" i="9"/>
  <c r="D184" i="9"/>
  <c r="F183" i="9"/>
  <c r="G183" i="9" s="1"/>
  <c r="H183" i="9" s="1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E183" i="9"/>
  <c r="D183" i="9"/>
  <c r="G182" i="9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D182" i="9"/>
  <c r="E182" i="9" s="1"/>
  <c r="F182" i="9" s="1"/>
  <c r="H181" i="9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B181" i="9" s="1"/>
  <c r="E181" i="9"/>
  <c r="F181" i="9" s="1"/>
  <c r="G181" i="9" s="1"/>
  <c r="D181" i="9"/>
  <c r="E180" i="9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D180" i="9"/>
  <c r="Q179" i="9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E179" i="9"/>
  <c r="F179" i="9" s="1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D179" i="9"/>
  <c r="L178" i="9"/>
  <c r="M178" i="9" s="1"/>
  <c r="N178" i="9" s="1"/>
  <c r="O178" i="9" s="1"/>
  <c r="P178" i="9" s="1"/>
  <c r="Q178" i="9" s="1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B178" i="9" s="1"/>
  <c r="E178" i="9"/>
  <c r="F178" i="9" s="1"/>
  <c r="G178" i="9" s="1"/>
  <c r="H178" i="9" s="1"/>
  <c r="I178" i="9" s="1"/>
  <c r="J178" i="9" s="1"/>
  <c r="K178" i="9" s="1"/>
  <c r="D178" i="9"/>
  <c r="D176" i="9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/>
  <c r="G175" i="9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E175" i="9"/>
  <c r="F175" i="9" s="1"/>
  <c r="D175" i="9"/>
  <c r="B175" i="9"/>
  <c r="F174" i="9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E174" i="9"/>
  <c r="D174" i="9"/>
  <c r="E173" i="9"/>
  <c r="F173" i="9" s="1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D173" i="9"/>
  <c r="E172" i="9"/>
  <c r="F172" i="9" s="1"/>
  <c r="G172" i="9" s="1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D172" i="9"/>
  <c r="G171" i="9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E171" i="9"/>
  <c r="F171" i="9" s="1"/>
  <c r="D171" i="9"/>
  <c r="F170" i="9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B170" i="9" s="1"/>
  <c r="E170" i="9"/>
  <c r="D170" i="9"/>
  <c r="E169" i="9"/>
  <c r="F169" i="9" s="1"/>
  <c r="G169" i="9" s="1"/>
  <c r="H169" i="9" s="1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B169" i="9" s="1"/>
  <c r="D169" i="9"/>
  <c r="Z167" i="9"/>
  <c r="AA167" i="9" s="1"/>
  <c r="AB167" i="9" s="1"/>
  <c r="AC167" i="9" s="1"/>
  <c r="AD167" i="9" s="1"/>
  <c r="AE167" i="9" s="1"/>
  <c r="AF167" i="9" s="1"/>
  <c r="B167" i="9" s="1"/>
  <c r="D167" i="9"/>
  <c r="E167" i="9" s="1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D166" i="9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E165" i="9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D165" i="9"/>
  <c r="P164" i="9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H164" i="9"/>
  <c r="I164" i="9" s="1"/>
  <c r="J164" i="9" s="1"/>
  <c r="K164" i="9" s="1"/>
  <c r="L164" i="9" s="1"/>
  <c r="M164" i="9" s="1"/>
  <c r="N164" i="9" s="1"/>
  <c r="O164" i="9" s="1"/>
  <c r="G164" i="9"/>
  <c r="F164" i="9"/>
  <c r="E164" i="9"/>
  <c r="D164" i="9"/>
  <c r="AD163" i="9"/>
  <c r="AE163" i="9" s="1"/>
  <c r="AF163" i="9" s="1"/>
  <c r="B163" i="9" s="1"/>
  <c r="E163" i="9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D163" i="9"/>
  <c r="D162" i="9"/>
  <c r="E162" i="9" s="1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J161" i="9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E161" i="9"/>
  <c r="F161" i="9" s="1"/>
  <c r="G161" i="9" s="1"/>
  <c r="H161" i="9" s="1"/>
  <c r="I161" i="9" s="1"/>
  <c r="D161" i="9"/>
  <c r="G160" i="9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E160" i="9"/>
  <c r="F160" i="9" s="1"/>
  <c r="D160" i="9"/>
  <c r="U159" i="9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F159" i="9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E159" i="9"/>
  <c r="D159" i="9"/>
  <c r="K158" i="9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E158" i="9"/>
  <c r="F158" i="9" s="1"/>
  <c r="G158" i="9" s="1"/>
  <c r="H158" i="9" s="1"/>
  <c r="I158" i="9" s="1"/>
  <c r="J158" i="9" s="1"/>
  <c r="D158" i="9"/>
  <c r="E157" i="9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D157" i="9"/>
  <c r="G156" i="9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E156" i="9"/>
  <c r="F156" i="9" s="1"/>
  <c r="D156" i="9"/>
  <c r="Q155" i="9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B155" i="9" s="1"/>
  <c r="O155" i="9"/>
  <c r="P155" i="9" s="1"/>
  <c r="E155" i="9"/>
  <c r="F155" i="9" s="1"/>
  <c r="G155" i="9" s="1"/>
  <c r="H155" i="9" s="1"/>
  <c r="I155" i="9" s="1"/>
  <c r="J155" i="9" s="1"/>
  <c r="K155" i="9" s="1"/>
  <c r="L155" i="9" s="1"/>
  <c r="M155" i="9" s="1"/>
  <c r="N155" i="9" s="1"/>
  <c r="D155" i="9"/>
  <c r="D153" i="9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E152" i="9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2" i="9"/>
  <c r="E151" i="9"/>
  <c r="F151" i="9" s="1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D151" i="9"/>
  <c r="D150" i="9"/>
  <c r="E150" i="9" s="1"/>
  <c r="F150" i="9" s="1"/>
  <c r="G150" i="9" s="1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B150" i="9" s="1"/>
  <c r="E148" i="9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D148" i="9"/>
  <c r="AA147" i="9"/>
  <c r="AB147" i="9" s="1"/>
  <c r="AC147" i="9" s="1"/>
  <c r="AD147" i="9" s="1"/>
  <c r="AE147" i="9" s="1"/>
  <c r="AF147" i="9" s="1"/>
  <c r="B147" i="9" s="1"/>
  <c r="D147" i="9"/>
  <c r="E147" i="9" s="1"/>
  <c r="F147" i="9" s="1"/>
  <c r="G147" i="9" s="1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X147" i="9" s="1"/>
  <c r="Y147" i="9" s="1"/>
  <c r="Z147" i="9" s="1"/>
  <c r="Y145" i="9"/>
  <c r="Z145" i="9" s="1"/>
  <c r="AA145" i="9" s="1"/>
  <c r="AB145" i="9" s="1"/>
  <c r="AC145" i="9" s="1"/>
  <c r="AD145" i="9" s="1"/>
  <c r="AE145" i="9" s="1"/>
  <c r="AF145" i="9" s="1"/>
  <c r="B145" i="9" s="1"/>
  <c r="H145" i="9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D145" i="9"/>
  <c r="E145" i="9" s="1"/>
  <c r="F145" i="9" s="1"/>
  <c r="G145" i="9" s="1"/>
  <c r="AE144" i="9"/>
  <c r="AF144" i="9" s="1"/>
  <c r="B144" i="9" s="1"/>
  <c r="AD144" i="9"/>
  <c r="D144" i="9"/>
  <c r="E144" i="9" s="1"/>
  <c r="F144" i="9" s="1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C143" i="9"/>
  <c r="AD143" i="9" s="1"/>
  <c r="AE143" i="9" s="1"/>
  <c r="AF143" i="9" s="1"/>
  <c r="B143" i="9" s="1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F142" i="9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D142" i="9"/>
  <c r="E142" i="9" s="1"/>
  <c r="X141" i="9"/>
  <c r="Y141" i="9" s="1"/>
  <c r="Z141" i="9" s="1"/>
  <c r="AA141" i="9" s="1"/>
  <c r="AB141" i="9" s="1"/>
  <c r="AC141" i="9" s="1"/>
  <c r="AD141" i="9" s="1"/>
  <c r="AE141" i="9" s="1"/>
  <c r="AF141" i="9" s="1"/>
  <c r="B141" i="9" s="1"/>
  <c r="V141" i="9"/>
  <c r="W141" i="9" s="1"/>
  <c r="H141" i="9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F141" i="9"/>
  <c r="G141" i="9" s="1"/>
  <c r="D141" i="9"/>
  <c r="E141" i="9" s="1"/>
  <c r="F140" i="9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40" i="9"/>
  <c r="E140" i="9" s="1"/>
  <c r="D139" i="9"/>
  <c r="E139" i="9" s="1"/>
  <c r="F139" i="9" s="1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B139" i="9" s="1"/>
  <c r="AA137" i="9"/>
  <c r="AB137" i="9" s="1"/>
  <c r="AC137" i="9" s="1"/>
  <c r="AD137" i="9" s="1"/>
  <c r="AE137" i="9" s="1"/>
  <c r="AF137" i="9" s="1"/>
  <c r="B137" i="9" s="1"/>
  <c r="P137" i="9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N137" i="9"/>
  <c r="O137" i="9" s="1"/>
  <c r="F137" i="9"/>
  <c r="G137" i="9" s="1"/>
  <c r="H137" i="9" s="1"/>
  <c r="I137" i="9" s="1"/>
  <c r="J137" i="9" s="1"/>
  <c r="K137" i="9" s="1"/>
  <c r="L137" i="9" s="1"/>
  <c r="M137" i="9" s="1"/>
  <c r="D137" i="9"/>
  <c r="E137" i="9" s="1"/>
  <c r="R136" i="9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H136" i="9"/>
  <c r="I136" i="9" s="1"/>
  <c r="J136" i="9" s="1"/>
  <c r="K136" i="9" s="1"/>
  <c r="L136" i="9" s="1"/>
  <c r="M136" i="9" s="1"/>
  <c r="N136" i="9" s="1"/>
  <c r="O136" i="9" s="1"/>
  <c r="P136" i="9" s="1"/>
  <c r="Q136" i="9" s="1"/>
  <c r="F136" i="9"/>
  <c r="G136" i="9" s="1"/>
  <c r="D136" i="9"/>
  <c r="E136" i="9" s="1"/>
  <c r="J135" i="9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D135" i="9"/>
  <c r="E135" i="9" s="1"/>
  <c r="F135" i="9" s="1"/>
  <c r="G135" i="9" s="1"/>
  <c r="H135" i="9" s="1"/>
  <c r="I135" i="9" s="1"/>
  <c r="D134" i="9"/>
  <c r="E134" i="9" s="1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D133" i="9"/>
  <c r="E133" i="9" s="1"/>
  <c r="F133" i="9" s="1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Q132" i="9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P132" i="9"/>
  <c r="H132" i="9"/>
  <c r="I132" i="9" s="1"/>
  <c r="J132" i="9" s="1"/>
  <c r="K132" i="9" s="1"/>
  <c r="L132" i="9" s="1"/>
  <c r="M132" i="9" s="1"/>
  <c r="N132" i="9" s="1"/>
  <c r="O132" i="9" s="1"/>
  <c r="G132" i="9"/>
  <c r="D132" i="9"/>
  <c r="E132" i="9" s="1"/>
  <c r="F132" i="9" s="1"/>
  <c r="J131" i="9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I131" i="9"/>
  <c r="D131" i="9"/>
  <c r="E131" i="9" s="1"/>
  <c r="F131" i="9" s="1"/>
  <c r="G131" i="9" s="1"/>
  <c r="H131" i="9" s="1"/>
  <c r="L130" i="9"/>
  <c r="M130" i="9" s="1"/>
  <c r="N130" i="9" s="1"/>
  <c r="O130" i="9" s="1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B130" i="9" s="1"/>
  <c r="D130" i="9"/>
  <c r="E130" i="9" s="1"/>
  <c r="F130" i="9" s="1"/>
  <c r="G130" i="9" s="1"/>
  <c r="H130" i="9" s="1"/>
  <c r="I130" i="9" s="1"/>
  <c r="J130" i="9" s="1"/>
  <c r="K130" i="9" s="1"/>
  <c r="F128" i="9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E128" i="9"/>
  <c r="D128" i="9"/>
  <c r="H127" i="9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F127" i="9"/>
  <c r="G127" i="9" s="1"/>
  <c r="D127" i="9"/>
  <c r="E127" i="9" s="1"/>
  <c r="J126" i="9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E126" i="9"/>
  <c r="F126" i="9" s="1"/>
  <c r="G126" i="9" s="1"/>
  <c r="H126" i="9" s="1"/>
  <c r="I126" i="9" s="1"/>
  <c r="D126" i="9"/>
  <c r="M125" i="9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G125" i="9"/>
  <c r="H125" i="9" s="1"/>
  <c r="I125" i="9" s="1"/>
  <c r="J125" i="9" s="1"/>
  <c r="K125" i="9" s="1"/>
  <c r="L125" i="9" s="1"/>
  <c r="E125" i="9"/>
  <c r="F125" i="9" s="1"/>
  <c r="D125" i="9"/>
  <c r="F124" i="9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D124" i="9"/>
  <c r="E124" i="9" s="1"/>
  <c r="AA123" i="9"/>
  <c r="AB123" i="9" s="1"/>
  <c r="AC123" i="9" s="1"/>
  <c r="AD123" i="9" s="1"/>
  <c r="AE123" i="9" s="1"/>
  <c r="AF123" i="9" s="1"/>
  <c r="B123" i="9" s="1"/>
  <c r="D123" i="9"/>
  <c r="E123" i="9" s="1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M122" i="9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L122" i="9"/>
  <c r="F122" i="9"/>
  <c r="G122" i="9" s="1"/>
  <c r="H122" i="9" s="1"/>
  <c r="I122" i="9" s="1"/>
  <c r="J122" i="9" s="1"/>
  <c r="K122" i="9" s="1"/>
  <c r="D122" i="9"/>
  <c r="E122" i="9" s="1"/>
  <c r="P121" i="9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G121" i="9"/>
  <c r="H121" i="9" s="1"/>
  <c r="I121" i="9" s="1"/>
  <c r="J121" i="9" s="1"/>
  <c r="K121" i="9" s="1"/>
  <c r="L121" i="9" s="1"/>
  <c r="M121" i="9" s="1"/>
  <c r="N121" i="9" s="1"/>
  <c r="O121" i="9" s="1"/>
  <c r="E121" i="9"/>
  <c r="F121" i="9" s="1"/>
  <c r="D121" i="9"/>
  <c r="F120" i="9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E120" i="9"/>
  <c r="D120" i="9"/>
  <c r="E119" i="9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L118" i="9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K118" i="9"/>
  <c r="J118" i="9"/>
  <c r="I118" i="9"/>
  <c r="D118" i="9"/>
  <c r="E118" i="9" s="1"/>
  <c r="F118" i="9" s="1"/>
  <c r="G118" i="9" s="1"/>
  <c r="H118" i="9" s="1"/>
  <c r="I117" i="9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H117" i="9"/>
  <c r="G117" i="9"/>
  <c r="D117" i="9"/>
  <c r="E117" i="9" s="1"/>
  <c r="F117" i="9" s="1"/>
  <c r="M116" i="9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H116" i="9"/>
  <c r="I116" i="9" s="1"/>
  <c r="J116" i="9" s="1"/>
  <c r="K116" i="9" s="1"/>
  <c r="L116" i="9" s="1"/>
  <c r="G116" i="9"/>
  <c r="F116" i="9"/>
  <c r="E116" i="9"/>
  <c r="D116" i="9"/>
  <c r="E115" i="9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D115" i="9"/>
  <c r="D114" i="9"/>
  <c r="O113" i="9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K113" i="9"/>
  <c r="L113" i="9" s="1"/>
  <c r="M113" i="9" s="1"/>
  <c r="N113" i="9" s="1"/>
  <c r="G113" i="9"/>
  <c r="H113" i="9" s="1"/>
  <c r="I113" i="9" s="1"/>
  <c r="F113" i="9"/>
  <c r="D113" i="9"/>
  <c r="E113" i="9" s="1"/>
  <c r="D112" i="9"/>
  <c r="E112" i="9" s="1"/>
  <c r="F112" i="9" s="1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J111" i="9"/>
  <c r="K111" i="9" s="1"/>
  <c r="L111" i="9" s="1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B111" i="9" s="1"/>
  <c r="D111" i="9"/>
  <c r="E111" i="9" s="1"/>
  <c r="F111" i="9" s="1"/>
  <c r="G111" i="9" s="1"/>
  <c r="H111" i="9" s="1"/>
  <c r="I111" i="9" s="1"/>
  <c r="I109" i="9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H109" i="9"/>
  <c r="E109" i="9"/>
  <c r="F109" i="9" s="1"/>
  <c r="G109" i="9" s="1"/>
  <c r="D109" i="9"/>
  <c r="G108" i="9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B108" i="9" s="1"/>
  <c r="F108" i="9"/>
  <c r="D108" i="9"/>
  <c r="E108" i="9" s="1"/>
  <c r="E106" i="9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D106" i="9"/>
  <c r="D105" i="9"/>
  <c r="E105" i="9" s="1"/>
  <c r="F105" i="9" s="1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D103" i="9"/>
  <c r="E103" i="9" s="1"/>
  <c r="F103" i="9" s="1"/>
  <c r="G103" i="9" s="1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B103" i="9" s="1"/>
  <c r="G102" i="9"/>
  <c r="H102" i="9" s="1"/>
  <c r="F102" i="9"/>
  <c r="E102" i="9"/>
  <c r="D102" i="9"/>
  <c r="F101" i="9"/>
  <c r="E101" i="9"/>
  <c r="D101" i="9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E76" i="9"/>
  <c r="AE82" i="9" s="1"/>
  <c r="AD76" i="9"/>
  <c r="AC76" i="9"/>
  <c r="AB76" i="9"/>
  <c r="AB82" i="9" s="1"/>
  <c r="AA76" i="9"/>
  <c r="Z76" i="9"/>
  <c r="Z82" i="9" s="1"/>
  <c r="Y76" i="9"/>
  <c r="Y82" i="9" s="1"/>
  <c r="X76" i="9"/>
  <c r="W76" i="9"/>
  <c r="V76" i="9"/>
  <c r="U76" i="9"/>
  <c r="T76" i="9"/>
  <c r="S76" i="9"/>
  <c r="S82" i="9" s="1"/>
  <c r="R76" i="9"/>
  <c r="Q76" i="9"/>
  <c r="Q82" i="9" s="1"/>
  <c r="P76" i="9"/>
  <c r="O76" i="9"/>
  <c r="N76" i="9"/>
  <c r="M76" i="9"/>
  <c r="L76" i="9"/>
  <c r="K76" i="9"/>
  <c r="K82" i="9" s="1"/>
  <c r="J76" i="9"/>
  <c r="J82" i="9" s="1"/>
  <c r="I76" i="9"/>
  <c r="H76" i="9"/>
  <c r="G76" i="9"/>
  <c r="F76" i="9"/>
  <c r="E76" i="9"/>
  <c r="D76" i="9"/>
  <c r="D82" i="9" s="1"/>
  <c r="C76" i="9"/>
  <c r="C82" i="9" s="1"/>
  <c r="B76" i="9"/>
  <c r="AI74" i="9"/>
  <c r="AH74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I71" i="9"/>
  <c r="AH71" i="9"/>
  <c r="AI70" i="9"/>
  <c r="AH70" i="9"/>
  <c r="AI69" i="9"/>
  <c r="AH69" i="9"/>
  <c r="AG68" i="9"/>
  <c r="AF68" i="9"/>
  <c r="AE5" i="9" s="1"/>
  <c r="AE68" i="9"/>
  <c r="AD5" i="9" s="1"/>
  <c r="AD68" i="9"/>
  <c r="AC68" i="9"/>
  <c r="AB68" i="9"/>
  <c r="AA5" i="9" s="1"/>
  <c r="AA68" i="9"/>
  <c r="Z5" i="9" s="1"/>
  <c r="Z68" i="9"/>
  <c r="Y5" i="9" s="1"/>
  <c r="Y68" i="9"/>
  <c r="X68" i="9"/>
  <c r="W5" i="9" s="1"/>
  <c r="W68" i="9"/>
  <c r="V68" i="9"/>
  <c r="U68" i="9"/>
  <c r="T5" i="9" s="1"/>
  <c r="T68" i="9"/>
  <c r="S5" i="9" s="1"/>
  <c r="S68" i="9"/>
  <c r="R5" i="9" s="1"/>
  <c r="R68" i="9"/>
  <c r="Q5" i="9" s="1"/>
  <c r="Q68" i="9"/>
  <c r="P5" i="9" s="1"/>
  <c r="P68" i="9"/>
  <c r="O68" i="9"/>
  <c r="N5" i="9" s="1"/>
  <c r="N68" i="9"/>
  <c r="M68" i="9"/>
  <c r="L5" i="9" s="1"/>
  <c r="L68" i="9"/>
  <c r="K5" i="9" s="1"/>
  <c r="K68" i="9"/>
  <c r="J5" i="9" s="1"/>
  <c r="J68" i="9"/>
  <c r="I5" i="9" s="1"/>
  <c r="I68" i="9"/>
  <c r="H5" i="9" s="1"/>
  <c r="H68" i="9"/>
  <c r="G5" i="9" s="1"/>
  <c r="G68" i="9"/>
  <c r="F5" i="9" s="1"/>
  <c r="F68" i="9"/>
  <c r="E68" i="9"/>
  <c r="D5" i="9" s="1"/>
  <c r="D68" i="9"/>
  <c r="C68" i="9"/>
  <c r="B68" i="9"/>
  <c r="AF5" i="9" s="1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I55" i="9"/>
  <c r="AH55" i="9"/>
  <c r="AI54" i="9"/>
  <c r="AH54" i="9"/>
  <c r="AI53" i="9"/>
  <c r="AH53" i="9"/>
  <c r="AG52" i="9"/>
  <c r="Z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G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G73" i="9" s="1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B5" i="9"/>
  <c r="X5" i="9"/>
  <c r="V5" i="9"/>
  <c r="O5" i="9"/>
  <c r="C5" i="9"/>
  <c r="B5" i="9"/>
  <c r="AG4" i="9"/>
  <c r="K4" i="9"/>
  <c r="B4" i="9"/>
  <c r="AG3" i="9"/>
  <c r="AF95" i="8"/>
  <c r="AF51" i="8"/>
  <c r="AF37" i="8"/>
  <c r="AE95" i="8"/>
  <c r="AE37" i="8"/>
  <c r="AD95" i="8"/>
  <c r="AD37" i="8"/>
  <c r="AC95" i="8"/>
  <c r="AC37" i="8"/>
  <c r="AB95" i="8"/>
  <c r="AB37" i="8"/>
  <c r="AA37" i="8"/>
  <c r="Z37" i="8"/>
  <c r="X37" i="8"/>
  <c r="W37" i="8"/>
  <c r="V37" i="8"/>
  <c r="U37" i="8"/>
  <c r="E4" i="9"/>
  <c r="AC82" i="9" l="1"/>
  <c r="AA82" i="9"/>
  <c r="W82" i="9"/>
  <c r="U82" i="9"/>
  <c r="T82" i="9"/>
  <c r="T75" i="9"/>
  <c r="AL213" i="9" s="1"/>
  <c r="S73" i="9"/>
  <c r="S75" i="9"/>
  <c r="AK213" i="9" s="1"/>
  <c r="R82" i="9"/>
  <c r="Q73" i="9"/>
  <c r="P73" i="9"/>
  <c r="O82" i="9"/>
  <c r="O75" i="9"/>
  <c r="AG213" i="9" s="1"/>
  <c r="M82" i="9"/>
  <c r="M75" i="9"/>
  <c r="AE213" i="9" s="1"/>
  <c r="L82" i="9"/>
  <c r="L73" i="9"/>
  <c r="AI77" i="9"/>
  <c r="K73" i="9"/>
  <c r="K75" i="9"/>
  <c r="K7" i="9" s="1"/>
  <c r="I82" i="9"/>
  <c r="I73" i="9"/>
  <c r="H73" i="9"/>
  <c r="G82" i="9"/>
  <c r="G73" i="9"/>
  <c r="G75" i="9"/>
  <c r="G7" i="9" s="1"/>
  <c r="AI78" i="9"/>
  <c r="AH78" i="9"/>
  <c r="E82" i="9"/>
  <c r="AI79" i="9"/>
  <c r="AI56" i="9"/>
  <c r="D73" i="9"/>
  <c r="AH56" i="9"/>
  <c r="C73" i="9"/>
  <c r="C75" i="9" s="1"/>
  <c r="U213" i="9" s="1"/>
  <c r="AH38" i="9"/>
  <c r="B82" i="9"/>
  <c r="AI38" i="9"/>
  <c r="H4" i="9"/>
  <c r="I102" i="9"/>
  <c r="T7" i="9"/>
  <c r="AG2" i="9"/>
  <c r="AG6" i="9" s="1"/>
  <c r="F73" i="9"/>
  <c r="N73" i="9"/>
  <c r="F75" i="9"/>
  <c r="N75" i="9"/>
  <c r="Y213" i="9"/>
  <c r="H82" i="9"/>
  <c r="P82" i="9"/>
  <c r="X82" i="9"/>
  <c r="AF82" i="9"/>
  <c r="D210" i="9"/>
  <c r="S210" i="9"/>
  <c r="E5" i="9"/>
  <c r="M5" i="9"/>
  <c r="U5" i="9"/>
  <c r="AC5" i="9"/>
  <c r="H75" i="9"/>
  <c r="P75" i="9"/>
  <c r="T73" i="9"/>
  <c r="L75" i="9"/>
  <c r="L83" i="9" s="1"/>
  <c r="AH76" i="9"/>
  <c r="G101" i="9"/>
  <c r="D93" i="9"/>
  <c r="E114" i="9"/>
  <c r="E191" i="9" s="1"/>
  <c r="I75" i="9"/>
  <c r="Q75" i="9"/>
  <c r="AG75" i="9"/>
  <c r="AI76" i="9"/>
  <c r="AH77" i="9"/>
  <c r="J73" i="9"/>
  <c r="R73" i="9"/>
  <c r="Z73" i="9"/>
  <c r="AH68" i="9"/>
  <c r="J75" i="9"/>
  <c r="R75" i="9"/>
  <c r="Z75" i="9"/>
  <c r="AH72" i="9"/>
  <c r="AI80" i="9"/>
  <c r="AI68" i="9"/>
  <c r="AI72" i="9"/>
  <c r="O73" i="9"/>
  <c r="D75" i="9"/>
  <c r="D83" i="9" s="1"/>
  <c r="AG83" i="9"/>
  <c r="E73" i="9"/>
  <c r="M73" i="9"/>
  <c r="E75" i="9"/>
  <c r="E83" i="9" s="1"/>
  <c r="F82" i="9"/>
  <c r="N82" i="9"/>
  <c r="V82" i="9"/>
  <c r="AD82" i="9"/>
  <c r="D191" i="9"/>
  <c r="AH79" i="9"/>
  <c r="AH80" i="9"/>
  <c r="G234" i="9"/>
  <c r="I198" i="9"/>
  <c r="E199" i="9"/>
  <c r="F193" i="9"/>
  <c r="D199" i="9"/>
  <c r="R83" i="9" l="1"/>
  <c r="O7" i="9"/>
  <c r="M7" i="9"/>
  <c r="T83" i="9"/>
  <c r="S83" i="9"/>
  <c r="S7" i="9"/>
  <c r="P83" i="9"/>
  <c r="O83" i="9"/>
  <c r="AH82" i="9"/>
  <c r="N83" i="9"/>
  <c r="M83" i="9"/>
  <c r="AC213" i="9"/>
  <c r="K83" i="9"/>
  <c r="J83" i="9"/>
  <c r="H83" i="9"/>
  <c r="C208" i="9"/>
  <c r="G83" i="9"/>
  <c r="F83" i="9"/>
  <c r="C83" i="9"/>
  <c r="C7" i="9"/>
  <c r="AR213" i="9"/>
  <c r="Z7" i="9"/>
  <c r="AJ213" i="9"/>
  <c r="R7" i="9"/>
  <c r="AA213" i="9"/>
  <c r="I7" i="9"/>
  <c r="AF213" i="9"/>
  <c r="N7" i="9"/>
  <c r="AH213" i="9"/>
  <c r="P7" i="9"/>
  <c r="X213" i="9"/>
  <c r="F7" i="9"/>
  <c r="H234" i="9"/>
  <c r="J198" i="9"/>
  <c r="H101" i="9"/>
  <c r="Z213" i="9"/>
  <c r="H7" i="9"/>
  <c r="J102" i="9"/>
  <c r="G193" i="9"/>
  <c r="F199" i="9"/>
  <c r="AI213" i="9"/>
  <c r="Q7" i="9"/>
  <c r="AB213" i="9"/>
  <c r="J7" i="9"/>
  <c r="F114" i="9"/>
  <c r="E93" i="9"/>
  <c r="B208" i="9"/>
  <c r="Q83" i="9"/>
  <c r="AI82" i="9"/>
  <c r="Z83" i="9"/>
  <c r="W213" i="9"/>
  <c r="E7" i="9"/>
  <c r="V213" i="9"/>
  <c r="D7" i="9"/>
  <c r="I83" i="9"/>
  <c r="AD213" i="9"/>
  <c r="L7" i="9"/>
  <c r="K6" i="9" l="1"/>
  <c r="I234" i="9"/>
  <c r="K198" i="9"/>
  <c r="H193" i="9"/>
  <c r="G199" i="9"/>
  <c r="K102" i="9"/>
  <c r="I101" i="9"/>
  <c r="G114" i="9"/>
  <c r="F93" i="9"/>
  <c r="F191" i="9"/>
  <c r="L102" i="9" l="1"/>
  <c r="H199" i="9"/>
  <c r="I193" i="9"/>
  <c r="H114" i="9"/>
  <c r="G93" i="9"/>
  <c r="G191" i="9"/>
  <c r="L198" i="9"/>
  <c r="J234" i="9"/>
  <c r="J101" i="9"/>
  <c r="I114" i="9" l="1"/>
  <c r="H93" i="9"/>
  <c r="H191" i="9"/>
  <c r="J193" i="9"/>
  <c r="I199" i="9"/>
  <c r="K101" i="9"/>
  <c r="M102" i="9"/>
  <c r="K234" i="9"/>
  <c r="M198" i="9"/>
  <c r="L101" i="9" l="1"/>
  <c r="J199" i="9"/>
  <c r="K193" i="9"/>
  <c r="L234" i="9"/>
  <c r="N198" i="9"/>
  <c r="N102" i="9"/>
  <c r="J114" i="9"/>
  <c r="I93" i="9"/>
  <c r="I191" i="9"/>
  <c r="O102" i="9" l="1"/>
  <c r="M101" i="9"/>
  <c r="M234" i="9"/>
  <c r="O198" i="9"/>
  <c r="K199" i="9"/>
  <c r="L193" i="9"/>
  <c r="K114" i="9"/>
  <c r="J93" i="9"/>
  <c r="J191" i="9"/>
  <c r="N101" i="9" l="1"/>
  <c r="M193" i="9"/>
  <c r="L199" i="9"/>
  <c r="N234" i="9"/>
  <c r="P198" i="9"/>
  <c r="P102" i="9"/>
  <c r="L114" i="9"/>
  <c r="K93" i="9"/>
  <c r="K191" i="9"/>
  <c r="Q102" i="9" l="1"/>
  <c r="O234" i="9"/>
  <c r="Q198" i="9"/>
  <c r="M199" i="9"/>
  <c r="N193" i="9"/>
  <c r="O101" i="9"/>
  <c r="M114" i="9"/>
  <c r="L93" i="9"/>
  <c r="L191" i="9"/>
  <c r="P234" i="9" l="1"/>
  <c r="R198" i="9"/>
  <c r="P101" i="9"/>
  <c r="O193" i="9"/>
  <c r="N199" i="9"/>
  <c r="N114" i="9"/>
  <c r="M93" i="9"/>
  <c r="M191" i="9"/>
  <c r="R102" i="9"/>
  <c r="P193" i="9" l="1"/>
  <c r="O199" i="9"/>
  <c r="Q101" i="9"/>
  <c r="S102" i="9"/>
  <c r="Q234" i="9"/>
  <c r="S198" i="9"/>
  <c r="O114" i="9"/>
  <c r="N93" i="9"/>
  <c r="N191" i="9"/>
  <c r="T198" i="9" l="1"/>
  <c r="R234" i="9"/>
  <c r="T102" i="9"/>
  <c r="R101" i="9"/>
  <c r="P114" i="9"/>
  <c r="O93" i="9"/>
  <c r="O191" i="9"/>
  <c r="Q193" i="9"/>
  <c r="P199" i="9"/>
  <c r="Q114" i="9" l="1"/>
  <c r="P93" i="9"/>
  <c r="P191" i="9"/>
  <c r="S101" i="9"/>
  <c r="U102" i="9"/>
  <c r="R193" i="9"/>
  <c r="Q199" i="9"/>
  <c r="S234" i="9"/>
  <c r="U198" i="9"/>
  <c r="R199" i="9" l="1"/>
  <c r="S193" i="9"/>
  <c r="T101" i="9"/>
  <c r="T234" i="9"/>
  <c r="V198" i="9"/>
  <c r="V102" i="9"/>
  <c r="R114" i="9"/>
  <c r="Q93" i="9"/>
  <c r="Q191" i="9"/>
  <c r="W102" i="9" l="1"/>
  <c r="U234" i="9"/>
  <c r="W198" i="9"/>
  <c r="U101" i="9"/>
  <c r="S199" i="9"/>
  <c r="T193" i="9"/>
  <c r="S114" i="9"/>
  <c r="R93" i="9"/>
  <c r="R191" i="9"/>
  <c r="X102" i="9" l="1"/>
  <c r="T199" i="9"/>
  <c r="U193" i="9"/>
  <c r="V101" i="9"/>
  <c r="V234" i="9"/>
  <c r="X198" i="9"/>
  <c r="T114" i="9"/>
  <c r="S93" i="9"/>
  <c r="S191" i="9"/>
  <c r="W101" i="9" l="1"/>
  <c r="U199" i="9"/>
  <c r="U51" i="9" s="1"/>
  <c r="U52" i="9" s="1"/>
  <c r="V193" i="9"/>
  <c r="Y102" i="9"/>
  <c r="W234" i="9"/>
  <c r="Y198" i="9"/>
  <c r="U114" i="9"/>
  <c r="T93" i="9"/>
  <c r="T191" i="9"/>
  <c r="X234" i="9" l="1"/>
  <c r="Z198" i="9"/>
  <c r="Z102" i="9"/>
  <c r="W193" i="9"/>
  <c r="V199" i="9"/>
  <c r="V51" i="9" s="1"/>
  <c r="V52" i="9" s="1"/>
  <c r="U75" i="9"/>
  <c r="U73" i="9"/>
  <c r="X101" i="9"/>
  <c r="V114" i="9"/>
  <c r="U93" i="9"/>
  <c r="U191" i="9"/>
  <c r="U83" i="9" l="1"/>
  <c r="AM213" i="9"/>
  <c r="U7" i="9"/>
  <c r="X193" i="9"/>
  <c r="W199" i="9"/>
  <c r="W51" i="9" s="1"/>
  <c r="W52" i="9" s="1"/>
  <c r="W114" i="9"/>
  <c r="V93" i="9"/>
  <c r="V191" i="9"/>
  <c r="AA102" i="9"/>
  <c r="Y234" i="9"/>
  <c r="AA198" i="9"/>
  <c r="V75" i="9"/>
  <c r="V73" i="9"/>
  <c r="V83" i="9" s="1"/>
  <c r="Y101" i="9"/>
  <c r="X114" i="9" l="1"/>
  <c r="W93" i="9"/>
  <c r="W191" i="9"/>
  <c r="X199" i="9"/>
  <c r="X51" i="9" s="1"/>
  <c r="X52" i="9" s="1"/>
  <c r="Y193" i="9"/>
  <c r="AN213" i="9"/>
  <c r="V7" i="9"/>
  <c r="AB198" i="9"/>
  <c r="Z234" i="9"/>
  <c r="AB102" i="9"/>
  <c r="Z101" i="9"/>
  <c r="W75" i="9"/>
  <c r="W73" i="9"/>
  <c r="W83" i="9" s="1"/>
  <c r="AC198" i="9" l="1"/>
  <c r="AA234" i="9"/>
  <c r="AO213" i="9"/>
  <c r="W7" i="9"/>
  <c r="X75" i="9"/>
  <c r="X73" i="9"/>
  <c r="Z193" i="9"/>
  <c r="Y199" i="9"/>
  <c r="Y52" i="9" s="1"/>
  <c r="AC102" i="9"/>
  <c r="AA101" i="9"/>
  <c r="Y114" i="9"/>
  <c r="X93" i="9"/>
  <c r="X191" i="9"/>
  <c r="X83" i="9" l="1"/>
  <c r="Y73" i="9"/>
  <c r="Y75" i="9"/>
  <c r="Z114" i="9"/>
  <c r="Y93" i="9"/>
  <c r="Y191" i="9"/>
  <c r="AD102" i="9"/>
  <c r="Z199" i="9"/>
  <c r="AA193" i="9"/>
  <c r="AP213" i="9"/>
  <c r="X7" i="9"/>
  <c r="AB101" i="9"/>
  <c r="AD198" i="9"/>
  <c r="AB234" i="9"/>
  <c r="AC234" i="9" l="1"/>
  <c r="AE198" i="9"/>
  <c r="AQ213" i="9"/>
  <c r="Y7" i="9"/>
  <c r="AE102" i="9"/>
  <c r="AC101" i="9"/>
  <c r="AA114" i="9"/>
  <c r="Z93" i="9"/>
  <c r="Z191" i="9"/>
  <c r="AA199" i="9"/>
  <c r="AA51" i="9" s="1"/>
  <c r="AA52" i="9" s="1"/>
  <c r="AB193" i="9"/>
  <c r="Y83" i="9"/>
  <c r="AF102" i="9" l="1"/>
  <c r="AC193" i="9"/>
  <c r="AB199" i="9"/>
  <c r="AB51" i="9" s="1"/>
  <c r="AB52" i="9" s="1"/>
  <c r="AD234" i="9"/>
  <c r="AF198" i="9"/>
  <c r="AD101" i="9"/>
  <c r="AA73" i="9"/>
  <c r="AA75" i="9"/>
  <c r="AB114" i="9"/>
  <c r="AA93" i="9"/>
  <c r="AA191" i="9"/>
  <c r="AE101" i="9" l="1"/>
  <c r="AE234" i="9"/>
  <c r="B198" i="9"/>
  <c r="AF234" i="9" s="1"/>
  <c r="AC114" i="9"/>
  <c r="AB93" i="9"/>
  <c r="AB191" i="9"/>
  <c r="AC199" i="9"/>
  <c r="AC51" i="9" s="1"/>
  <c r="AC52" i="9" s="1"/>
  <c r="AD193" i="9"/>
  <c r="AS213" i="9"/>
  <c r="AA7" i="9"/>
  <c r="B102" i="9"/>
  <c r="AB75" i="9"/>
  <c r="AB73" i="9"/>
  <c r="AA83" i="9"/>
  <c r="AB83" i="9" l="1"/>
  <c r="AC75" i="9"/>
  <c r="AC73" i="9"/>
  <c r="AC83" i="9" s="1"/>
  <c r="AT213" i="9"/>
  <c r="AB7" i="9"/>
  <c r="AF101" i="9"/>
  <c r="AD114" i="9"/>
  <c r="AC93" i="9"/>
  <c r="AC191" i="9"/>
  <c r="AE193" i="9"/>
  <c r="AD199" i="9"/>
  <c r="AD51" i="9" s="1"/>
  <c r="AD52" i="9" s="1"/>
  <c r="AE114" i="9" l="1"/>
  <c r="AD93" i="9"/>
  <c r="AD191" i="9"/>
  <c r="AD73" i="9"/>
  <c r="AD75" i="9"/>
  <c r="AF193" i="9"/>
  <c r="AE199" i="9"/>
  <c r="AE51" i="9" s="1"/>
  <c r="AE52" i="9" s="1"/>
  <c r="B101" i="9"/>
  <c r="AU213" i="9"/>
  <c r="AC7" i="9"/>
  <c r="AE75" i="9" l="1"/>
  <c r="AE73" i="9"/>
  <c r="AE83" i="9" s="1"/>
  <c r="AF199" i="9"/>
  <c r="AF51" i="9" s="1"/>
  <c r="AF52" i="9" s="1"/>
  <c r="B193" i="9"/>
  <c r="B199" i="9" s="1"/>
  <c r="AD83" i="9"/>
  <c r="AV213" i="9"/>
  <c r="AD7" i="9"/>
  <c r="AF114" i="9"/>
  <c r="AE93" i="9"/>
  <c r="AE191" i="9"/>
  <c r="B52" i="9" l="1"/>
  <c r="AI51" i="9"/>
  <c r="AH51" i="9"/>
  <c r="AF73" i="9"/>
  <c r="AF75" i="9"/>
  <c r="B114" i="9"/>
  <c r="AF93" i="9"/>
  <c r="AF191" i="9"/>
  <c r="AW213" i="9"/>
  <c r="AE7" i="9"/>
  <c r="AF83" i="9" l="1"/>
  <c r="B93" i="9"/>
  <c r="B191" i="9"/>
  <c r="AH93" i="9"/>
  <c r="AI93" i="9"/>
  <c r="AX213" i="9"/>
  <c r="AF7" i="9"/>
  <c r="AI52" i="9"/>
  <c r="AH52" i="9"/>
  <c r="B75" i="9"/>
  <c r="B73" i="9"/>
  <c r="AH73" i="9" l="1"/>
  <c r="AI73" i="9"/>
  <c r="B83" i="9"/>
  <c r="T213" i="9"/>
  <c r="AH75" i="9"/>
  <c r="B7" i="9"/>
  <c r="A7" i="9" s="1"/>
  <c r="AI75" i="9"/>
  <c r="AI83" i="9" l="1"/>
  <c r="AH83" i="9"/>
  <c r="T37" i="8" l="1"/>
  <c r="S37" i="8"/>
  <c r="R37" i="8"/>
  <c r="Q37" i="8" l="1"/>
  <c r="P37" i="8"/>
  <c r="O37" i="8"/>
  <c r="AI37" i="8"/>
  <c r="AH99" i="8"/>
  <c r="AI99" i="8" s="1"/>
  <c r="C95" i="8"/>
  <c r="C37" i="8"/>
  <c r="B95" i="8"/>
  <c r="B37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B234" i="8"/>
  <c r="S209" i="8"/>
  <c r="AG199" i="8"/>
  <c r="C199" i="8"/>
  <c r="D198" i="8"/>
  <c r="C234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E195" i="8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D195" i="8"/>
  <c r="L194" i="8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B194" i="8" s="1"/>
  <c r="E194" i="8"/>
  <c r="F194" i="8" s="1"/>
  <c r="G194" i="8" s="1"/>
  <c r="H194" i="8" s="1"/>
  <c r="I194" i="8" s="1"/>
  <c r="J194" i="8" s="1"/>
  <c r="K194" i="8" s="1"/>
  <c r="D194" i="8"/>
  <c r="E193" i="8"/>
  <c r="D193" i="8"/>
  <c r="D199" i="8" s="1"/>
  <c r="AG191" i="8"/>
  <c r="C191" i="8"/>
  <c r="S190" i="8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F190" i="8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D190" i="8"/>
  <c r="E190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F188" i="8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E188" i="8"/>
  <c r="D188" i="8"/>
  <c r="T187" i="8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B187" i="8" s="1"/>
  <c r="I187" i="8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D187" i="8"/>
  <c r="E187" i="8" s="1"/>
  <c r="F187" i="8" s="1"/>
  <c r="G187" i="8" s="1"/>
  <c r="H187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E185" i="8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D185" i="8"/>
  <c r="G184" i="8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B184" i="8" s="1"/>
  <c r="D184" i="8"/>
  <c r="E184" i="8" s="1"/>
  <c r="F184" i="8" s="1"/>
  <c r="J183" i="8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D183" i="8"/>
  <c r="E183" i="8" s="1"/>
  <c r="F183" i="8" s="1"/>
  <c r="G183" i="8" s="1"/>
  <c r="H183" i="8" s="1"/>
  <c r="I183" i="8" s="1"/>
  <c r="F182" i="8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D182" i="8"/>
  <c r="E182" i="8" s="1"/>
  <c r="G181" i="8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F181" i="8"/>
  <c r="E181" i="8"/>
  <c r="D181" i="8"/>
  <c r="M180" i="8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H180" i="8"/>
  <c r="I180" i="8" s="1"/>
  <c r="J180" i="8" s="1"/>
  <c r="K180" i="8" s="1"/>
  <c r="L180" i="8" s="1"/>
  <c r="D180" i="8"/>
  <c r="E180" i="8" s="1"/>
  <c r="F180" i="8" s="1"/>
  <c r="G180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B178" i="8" s="1"/>
  <c r="E176" i="8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D176" i="8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B174" i="8" s="1"/>
  <c r="AD173" i="8"/>
  <c r="AE173" i="8" s="1"/>
  <c r="AF173" i="8" s="1"/>
  <c r="B173" i="8" s="1"/>
  <c r="H173" i="8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G173" i="8"/>
  <c r="F173" i="8"/>
  <c r="E173" i="8"/>
  <c r="D173" i="8"/>
  <c r="T172" i="8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O171" i="8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E171" i="8"/>
  <c r="F171" i="8" s="1"/>
  <c r="G171" i="8" s="1"/>
  <c r="H171" i="8" s="1"/>
  <c r="I171" i="8" s="1"/>
  <c r="J171" i="8" s="1"/>
  <c r="K171" i="8" s="1"/>
  <c r="L171" i="8" s="1"/>
  <c r="M171" i="8" s="1"/>
  <c r="N171" i="8" s="1"/>
  <c r="D171" i="8"/>
  <c r="E170" i="8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D170" i="8"/>
  <c r="R169" i="8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B169" i="8" s="1"/>
  <c r="E169" i="8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D169" i="8"/>
  <c r="E167" i="8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D167" i="8"/>
  <c r="U166" i="8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E166" i="8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D166" i="8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E164" i="8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D164" i="8"/>
  <c r="U163" i="8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E163" i="8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D163" i="8"/>
  <c r="F162" i="8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E162" i="8"/>
  <c r="D162" i="8"/>
  <c r="L161" i="8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D161" i="8"/>
  <c r="E161" i="8" s="1"/>
  <c r="F161" i="8" s="1"/>
  <c r="G161" i="8" s="1"/>
  <c r="H161" i="8" s="1"/>
  <c r="I161" i="8" s="1"/>
  <c r="J161" i="8" s="1"/>
  <c r="K161" i="8" s="1"/>
  <c r="E160" i="8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D160" i="8"/>
  <c r="G159" i="8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E159" i="8"/>
  <c r="F159" i="8" s="1"/>
  <c r="D159" i="8"/>
  <c r="U158" i="8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E158" i="8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D158" i="8"/>
  <c r="K157" i="8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D157" i="8"/>
  <c r="E157" i="8" s="1"/>
  <c r="F157" i="8" s="1"/>
  <c r="G157" i="8" s="1"/>
  <c r="H157" i="8" s="1"/>
  <c r="I157" i="8" s="1"/>
  <c r="J157" i="8" s="1"/>
  <c r="B157" i="8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U155" i="8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B155" i="8" s="1"/>
  <c r="O155" i="8"/>
  <c r="P155" i="8" s="1"/>
  <c r="Q155" i="8" s="1"/>
  <c r="R155" i="8" s="1"/>
  <c r="S155" i="8" s="1"/>
  <c r="T155" i="8" s="1"/>
  <c r="E155" i="8"/>
  <c r="F155" i="8" s="1"/>
  <c r="G155" i="8" s="1"/>
  <c r="H155" i="8" s="1"/>
  <c r="I155" i="8" s="1"/>
  <c r="J155" i="8" s="1"/>
  <c r="K155" i="8" s="1"/>
  <c r="L155" i="8" s="1"/>
  <c r="M155" i="8" s="1"/>
  <c r="N155" i="8" s="1"/>
  <c r="D155" i="8"/>
  <c r="H153" i="8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E153" i="8"/>
  <c r="F153" i="8" s="1"/>
  <c r="G153" i="8" s="1"/>
  <c r="D153" i="8"/>
  <c r="I152" i="8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D152" i="8"/>
  <c r="E152" i="8" s="1"/>
  <c r="F152" i="8" s="1"/>
  <c r="G152" i="8" s="1"/>
  <c r="H152" i="8" s="1"/>
  <c r="Z151" i="8"/>
  <c r="AA151" i="8" s="1"/>
  <c r="AB151" i="8" s="1"/>
  <c r="AC151" i="8" s="1"/>
  <c r="AD151" i="8" s="1"/>
  <c r="AE151" i="8" s="1"/>
  <c r="AF151" i="8" s="1"/>
  <c r="B151" i="8" s="1"/>
  <c r="W151" i="8"/>
  <c r="X151" i="8" s="1"/>
  <c r="Y151" i="8" s="1"/>
  <c r="J151" i="8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G151" i="8"/>
  <c r="H151" i="8" s="1"/>
  <c r="I151" i="8" s="1"/>
  <c r="D151" i="8"/>
  <c r="E151" i="8" s="1"/>
  <c r="F151" i="8" s="1"/>
  <c r="E150" i="8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B150" i="8" s="1"/>
  <c r="D150" i="8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Y147" i="8"/>
  <c r="Z147" i="8" s="1"/>
  <c r="AA147" i="8" s="1"/>
  <c r="AB147" i="8" s="1"/>
  <c r="AC147" i="8" s="1"/>
  <c r="AD147" i="8" s="1"/>
  <c r="AE147" i="8" s="1"/>
  <c r="AF147" i="8" s="1"/>
  <c r="B147" i="8" s="1"/>
  <c r="N147" i="8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K147" i="8"/>
  <c r="L147" i="8" s="1"/>
  <c r="M147" i="8" s="1"/>
  <c r="D147" i="8"/>
  <c r="E147" i="8" s="1"/>
  <c r="F147" i="8" s="1"/>
  <c r="G147" i="8" s="1"/>
  <c r="H147" i="8" s="1"/>
  <c r="I147" i="8" s="1"/>
  <c r="J147" i="8" s="1"/>
  <c r="G145" i="8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B145" i="8" s="1"/>
  <c r="D145" i="8"/>
  <c r="E145" i="8" s="1"/>
  <c r="F145" i="8" s="1"/>
  <c r="H144" i="8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F144" i="8"/>
  <c r="G144" i="8" s="1"/>
  <c r="E144" i="8"/>
  <c r="D144" i="8"/>
  <c r="E143" i="8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D143" i="8"/>
  <c r="I142" i="8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E142" i="8"/>
  <c r="F142" i="8" s="1"/>
  <c r="G142" i="8" s="1"/>
  <c r="H142" i="8" s="1"/>
  <c r="D142" i="8"/>
  <c r="G141" i="8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D141" i="8"/>
  <c r="E141" i="8" s="1"/>
  <c r="F141" i="8" s="1"/>
  <c r="E140" i="8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D140" i="8"/>
  <c r="E139" i="8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B139" i="8" s="1"/>
  <c r="D139" i="8"/>
  <c r="I137" i="8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E137" i="8"/>
  <c r="F137" i="8" s="1"/>
  <c r="G137" i="8" s="1"/>
  <c r="H137" i="8" s="1"/>
  <c r="D137" i="8"/>
  <c r="E136" i="8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D136" i="8"/>
  <c r="M135" i="8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K135" i="8"/>
  <c r="L135" i="8" s="1"/>
  <c r="G135" i="8"/>
  <c r="H135" i="8" s="1"/>
  <c r="I135" i="8" s="1"/>
  <c r="J135" i="8" s="1"/>
  <c r="E135" i="8"/>
  <c r="F135" i="8" s="1"/>
  <c r="D135" i="8"/>
  <c r="E134" i="8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D134" i="8"/>
  <c r="O133" i="8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E133" i="8"/>
  <c r="F133" i="8" s="1"/>
  <c r="G133" i="8" s="1"/>
  <c r="H133" i="8" s="1"/>
  <c r="I133" i="8" s="1"/>
  <c r="J133" i="8" s="1"/>
  <c r="K133" i="8" s="1"/>
  <c r="L133" i="8" s="1"/>
  <c r="M133" i="8" s="1"/>
  <c r="N133" i="8" s="1"/>
  <c r="D133" i="8"/>
  <c r="G132" i="8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E132" i="8"/>
  <c r="F132" i="8" s="1"/>
  <c r="D132" i="8"/>
  <c r="S131" i="8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G131" i="8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E131" i="8"/>
  <c r="F131" i="8" s="1"/>
  <c r="D131" i="8"/>
  <c r="I130" i="8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B130" i="8" s="1"/>
  <c r="E130" i="8"/>
  <c r="F130" i="8" s="1"/>
  <c r="G130" i="8" s="1"/>
  <c r="H130" i="8" s="1"/>
  <c r="D130" i="8"/>
  <c r="I128" i="8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G128" i="8"/>
  <c r="H128" i="8" s="1"/>
  <c r="E128" i="8"/>
  <c r="F128" i="8" s="1"/>
  <c r="D128" i="8"/>
  <c r="O127" i="8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M127" i="8"/>
  <c r="N127" i="8" s="1"/>
  <c r="I127" i="8"/>
  <c r="J127" i="8" s="1"/>
  <c r="K127" i="8" s="1"/>
  <c r="L127" i="8" s="1"/>
  <c r="G127" i="8"/>
  <c r="H127" i="8" s="1"/>
  <c r="E127" i="8"/>
  <c r="F127" i="8" s="1"/>
  <c r="D127" i="8"/>
  <c r="M126" i="8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E126" i="8"/>
  <c r="F126" i="8" s="1"/>
  <c r="G126" i="8" s="1"/>
  <c r="H126" i="8" s="1"/>
  <c r="I126" i="8" s="1"/>
  <c r="J126" i="8" s="1"/>
  <c r="K126" i="8" s="1"/>
  <c r="L126" i="8" s="1"/>
  <c r="D126" i="8"/>
  <c r="Q125" i="8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M125" i="8"/>
  <c r="N125" i="8" s="1"/>
  <c r="O125" i="8" s="1"/>
  <c r="P125" i="8" s="1"/>
  <c r="K125" i="8"/>
  <c r="L125" i="8" s="1"/>
  <c r="I125" i="8"/>
  <c r="J125" i="8" s="1"/>
  <c r="E125" i="8"/>
  <c r="F125" i="8" s="1"/>
  <c r="G125" i="8" s="1"/>
  <c r="H125" i="8" s="1"/>
  <c r="D125" i="8"/>
  <c r="E124" i="8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D124" i="8"/>
  <c r="G123" i="8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E123" i="8"/>
  <c r="F123" i="8" s="1"/>
  <c r="D123" i="8"/>
  <c r="H122" i="8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G122" i="8"/>
  <c r="E122" i="8"/>
  <c r="F122" i="8" s="1"/>
  <c r="D122" i="8"/>
  <c r="J121" i="8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E121" i="8"/>
  <c r="F121" i="8" s="1"/>
  <c r="G121" i="8" s="1"/>
  <c r="H121" i="8" s="1"/>
  <c r="I121" i="8" s="1"/>
  <c r="D121" i="8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F119" i="8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E119" i="8"/>
  <c r="D119" i="8"/>
  <c r="E118" i="8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D118" i="8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D117" i="8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I115" i="8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E115" i="8"/>
  <c r="F115" i="8" s="1"/>
  <c r="G115" i="8" s="1"/>
  <c r="H115" i="8" s="1"/>
  <c r="D115" i="8"/>
  <c r="H114" i="8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G114" i="8"/>
  <c r="F114" i="8"/>
  <c r="E114" i="8"/>
  <c r="D114" i="8"/>
  <c r="K113" i="8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E113" i="8"/>
  <c r="F113" i="8" s="1"/>
  <c r="G113" i="8" s="1"/>
  <c r="H113" i="8" s="1"/>
  <c r="I113" i="8" s="1"/>
  <c r="D113" i="8"/>
  <c r="J112" i="8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F112" i="8"/>
  <c r="G112" i="8" s="1"/>
  <c r="H112" i="8" s="1"/>
  <c r="I112" i="8" s="1"/>
  <c r="E112" i="8"/>
  <c r="D112" i="8"/>
  <c r="H111" i="8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B111" i="8" s="1"/>
  <c r="D111" i="8"/>
  <c r="E111" i="8" s="1"/>
  <c r="F111" i="8" s="1"/>
  <c r="G111" i="8" s="1"/>
  <c r="F109" i="8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D109" i="8"/>
  <c r="E109" i="8" s="1"/>
  <c r="E108" i="8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B108" i="8" s="1"/>
  <c r="D108" i="8"/>
  <c r="F106" i="8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E106" i="8"/>
  <c r="D106" i="8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F104" i="8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D104" i="8"/>
  <c r="E104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B103" i="8" s="1"/>
  <c r="G102" i="8"/>
  <c r="H102" i="8" s="1"/>
  <c r="F102" i="8"/>
  <c r="E102" i="8"/>
  <c r="D102" i="8"/>
  <c r="D101" i="8"/>
  <c r="AH98" i="8"/>
  <c r="AI98" i="8" s="1"/>
  <c r="AH97" i="8"/>
  <c r="AI97" i="8" s="1"/>
  <c r="AH96" i="8"/>
  <c r="AI96" i="8" s="1"/>
  <c r="AH95" i="8"/>
  <c r="AI95" i="8" s="1"/>
  <c r="AH94" i="8"/>
  <c r="AI94" i="8" s="1"/>
  <c r="D93" i="8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G75" i="8"/>
  <c r="AI74" i="8"/>
  <c r="AH74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I70" i="8"/>
  <c r="AH70" i="8"/>
  <c r="AI69" i="8"/>
  <c r="AH69" i="8"/>
  <c r="AG68" i="8"/>
  <c r="AG73" i="8" s="1"/>
  <c r="AF68" i="8"/>
  <c r="AE68" i="8"/>
  <c r="AD68" i="8"/>
  <c r="AC5" i="8" s="1"/>
  <c r="AC68" i="8"/>
  <c r="AB5" i="8" s="1"/>
  <c r="AB68" i="8"/>
  <c r="AA68" i="8"/>
  <c r="Z68" i="8"/>
  <c r="Y5" i="8" s="1"/>
  <c r="Y68" i="8"/>
  <c r="X5" i="8" s="1"/>
  <c r="X68" i="8"/>
  <c r="W68" i="8"/>
  <c r="V68" i="8"/>
  <c r="U68" i="8"/>
  <c r="T5" i="8" s="1"/>
  <c r="T68" i="8"/>
  <c r="S68" i="8"/>
  <c r="R5" i="8" s="1"/>
  <c r="R68" i="8"/>
  <c r="Q68" i="8"/>
  <c r="P68" i="8"/>
  <c r="O68" i="8"/>
  <c r="N68" i="8"/>
  <c r="M5" i="8" s="1"/>
  <c r="M68" i="8"/>
  <c r="L68" i="8"/>
  <c r="K68" i="8"/>
  <c r="J5" i="8" s="1"/>
  <c r="J68" i="8"/>
  <c r="I5" i="8" s="1"/>
  <c r="I68" i="8"/>
  <c r="H5" i="8" s="1"/>
  <c r="H68" i="8"/>
  <c r="G68" i="8"/>
  <c r="F68" i="8"/>
  <c r="E5" i="8" s="1"/>
  <c r="E68" i="8"/>
  <c r="D5" i="8" s="1"/>
  <c r="D68" i="8"/>
  <c r="C68" i="8"/>
  <c r="B5" i="8" s="1"/>
  <c r="B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Z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G2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N75" i="8" s="1"/>
  <c r="AF213" i="8" s="1"/>
  <c r="M38" i="8"/>
  <c r="L38" i="8"/>
  <c r="K38" i="8"/>
  <c r="J38" i="8"/>
  <c r="I38" i="8"/>
  <c r="H38" i="8"/>
  <c r="G38" i="8"/>
  <c r="F38" i="8"/>
  <c r="F75" i="8" s="1"/>
  <c r="X213" i="8" s="1"/>
  <c r="E38" i="8"/>
  <c r="D38" i="8"/>
  <c r="C38" i="8"/>
  <c r="B38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F5" i="8"/>
  <c r="Z5" i="8"/>
  <c r="U5" i="8"/>
  <c r="Q5" i="8"/>
  <c r="P5" i="8"/>
  <c r="L5" i="8"/>
  <c r="AG4" i="8"/>
  <c r="K4" i="8"/>
  <c r="B4" i="8"/>
  <c r="AF95" i="7"/>
  <c r="AE37" i="7"/>
  <c r="AF37" i="7"/>
  <c r="AD37" i="7"/>
  <c r="AC95" i="7"/>
  <c r="AC37" i="7"/>
  <c r="AB37" i="7"/>
  <c r="AA37" i="7"/>
  <c r="Z37" i="7"/>
  <c r="X37" i="7"/>
  <c r="W37" i="7"/>
  <c r="V37" i="7"/>
  <c r="U37" i="7"/>
  <c r="T37" i="7"/>
  <c r="E4" i="8"/>
  <c r="AF82" i="8" l="1"/>
  <c r="AE82" i="8"/>
  <c r="AC82" i="8"/>
  <c r="AA82" i="8"/>
  <c r="Z82" i="8"/>
  <c r="Z73" i="8"/>
  <c r="Z75" i="8"/>
  <c r="Y82" i="8"/>
  <c r="X82" i="8"/>
  <c r="W82" i="8"/>
  <c r="U82" i="8"/>
  <c r="T73" i="8"/>
  <c r="S82" i="8"/>
  <c r="S73" i="8"/>
  <c r="R82" i="8"/>
  <c r="R73" i="8"/>
  <c r="R75" i="8"/>
  <c r="Q82" i="8"/>
  <c r="Q75" i="8"/>
  <c r="Q73" i="8"/>
  <c r="P82" i="8"/>
  <c r="P73" i="8"/>
  <c r="O82" i="8"/>
  <c r="N73" i="8"/>
  <c r="N7" i="8"/>
  <c r="M82" i="8"/>
  <c r="M73" i="8"/>
  <c r="L73" i="8"/>
  <c r="K73" i="8"/>
  <c r="J82" i="8"/>
  <c r="J73" i="8"/>
  <c r="I82" i="8"/>
  <c r="I75" i="8"/>
  <c r="I7" i="8" s="1"/>
  <c r="K82" i="8"/>
  <c r="H82" i="8"/>
  <c r="G82" i="8"/>
  <c r="E73" i="8"/>
  <c r="J75" i="8"/>
  <c r="AB213" i="8" s="1"/>
  <c r="AH37" i="8"/>
  <c r="H73" i="8"/>
  <c r="I73" i="8"/>
  <c r="F73" i="8"/>
  <c r="D73" i="8"/>
  <c r="AI79" i="8"/>
  <c r="C82" i="8"/>
  <c r="AI78" i="8"/>
  <c r="C73" i="8"/>
  <c r="C75" i="8" s="1"/>
  <c r="H4" i="8"/>
  <c r="AA213" i="8"/>
  <c r="G5" i="8"/>
  <c r="AG6" i="8"/>
  <c r="AI68" i="8"/>
  <c r="AI77" i="8"/>
  <c r="Z83" i="8"/>
  <c r="I102" i="8"/>
  <c r="AE5" i="8"/>
  <c r="AI38" i="8"/>
  <c r="AI76" i="8"/>
  <c r="E82" i="8"/>
  <c r="AH79" i="8"/>
  <c r="AR213" i="8"/>
  <c r="Z7" i="8"/>
  <c r="AI56" i="8"/>
  <c r="O75" i="8"/>
  <c r="D82" i="8"/>
  <c r="T82" i="8"/>
  <c r="AB82" i="8"/>
  <c r="F7" i="8"/>
  <c r="H75" i="8"/>
  <c r="P75" i="8"/>
  <c r="P83" i="8" s="1"/>
  <c r="AJ213" i="8"/>
  <c r="R7" i="8"/>
  <c r="W5" i="8"/>
  <c r="G75" i="8"/>
  <c r="AI213" i="8"/>
  <c r="Q7" i="8"/>
  <c r="L82" i="8"/>
  <c r="O5" i="8"/>
  <c r="F5" i="8"/>
  <c r="G73" i="8"/>
  <c r="N5" i="8"/>
  <c r="O73" i="8"/>
  <c r="V5" i="8"/>
  <c r="AD5" i="8"/>
  <c r="Q83" i="8"/>
  <c r="AG83" i="8"/>
  <c r="F82" i="8"/>
  <c r="N82" i="8"/>
  <c r="N83" i="8" s="1"/>
  <c r="V82" i="8"/>
  <c r="AD82" i="8"/>
  <c r="AI80" i="8"/>
  <c r="AH38" i="8"/>
  <c r="K75" i="8"/>
  <c r="S75" i="8"/>
  <c r="S83" i="8" s="1"/>
  <c r="AH76" i="8"/>
  <c r="B82" i="8"/>
  <c r="AH56" i="8"/>
  <c r="AH68" i="8"/>
  <c r="AH72" i="8"/>
  <c r="D75" i="8"/>
  <c r="L75" i="8"/>
  <c r="T75" i="8"/>
  <c r="AH77" i="8"/>
  <c r="C5" i="8"/>
  <c r="K5" i="8"/>
  <c r="S5" i="8"/>
  <c r="AA5" i="8"/>
  <c r="AI72" i="8"/>
  <c r="E75" i="8"/>
  <c r="M75" i="8"/>
  <c r="AH78" i="8"/>
  <c r="AH80" i="8"/>
  <c r="S210" i="8"/>
  <c r="D210" i="8"/>
  <c r="D191" i="8"/>
  <c r="E101" i="8"/>
  <c r="F193" i="8"/>
  <c r="E198" i="8"/>
  <c r="E199" i="8" s="1"/>
  <c r="T83" i="8" l="1"/>
  <c r="R83" i="8"/>
  <c r="O83" i="8"/>
  <c r="M83" i="8"/>
  <c r="I83" i="8"/>
  <c r="K83" i="8"/>
  <c r="H83" i="8"/>
  <c r="F83" i="8"/>
  <c r="G83" i="8"/>
  <c r="J7" i="8"/>
  <c r="J83" i="8"/>
  <c r="E83" i="8"/>
  <c r="V213" i="8"/>
  <c r="D7" i="8"/>
  <c r="J102" i="8"/>
  <c r="Z213" i="8"/>
  <c r="H7" i="8"/>
  <c r="AC213" i="8"/>
  <c r="K7" i="8"/>
  <c r="Y213" i="8"/>
  <c r="C208" i="8"/>
  <c r="B208" i="8"/>
  <c r="G7" i="8"/>
  <c r="AD213" i="8"/>
  <c r="L7" i="8"/>
  <c r="AE213" i="8"/>
  <c r="M7" i="8"/>
  <c r="W213" i="8"/>
  <c r="E7" i="8"/>
  <c r="AI82" i="8"/>
  <c r="AH82" i="8"/>
  <c r="U213" i="8"/>
  <c r="C7" i="8"/>
  <c r="AK213" i="8"/>
  <c r="S7" i="8"/>
  <c r="D234" i="8"/>
  <c r="F198" i="8"/>
  <c r="E93" i="8"/>
  <c r="G193" i="8"/>
  <c r="F199" i="8"/>
  <c r="E191" i="8"/>
  <c r="F101" i="8"/>
  <c r="AL213" i="8"/>
  <c r="T7" i="8"/>
  <c r="C83" i="8"/>
  <c r="L83" i="8"/>
  <c r="AH213" i="8"/>
  <c r="P7" i="8"/>
  <c r="AG213" i="8"/>
  <c r="O7" i="8"/>
  <c r="D83" i="8"/>
  <c r="K6" i="8" l="1"/>
  <c r="F191" i="8"/>
  <c r="G101" i="8"/>
  <c r="H193" i="8"/>
  <c r="G199" i="8"/>
  <c r="G93" i="8"/>
  <c r="K102" i="8"/>
  <c r="G198" i="8"/>
  <c r="E234" i="8"/>
  <c r="F93" i="8"/>
  <c r="L102" i="8" l="1"/>
  <c r="I193" i="8"/>
  <c r="H199" i="8"/>
  <c r="H93" i="8"/>
  <c r="F234" i="8"/>
  <c r="H198" i="8"/>
  <c r="G191" i="8"/>
  <c r="H101" i="8"/>
  <c r="J193" i="8" l="1"/>
  <c r="I199" i="8"/>
  <c r="I93" i="8"/>
  <c r="H191" i="8"/>
  <c r="I101" i="8"/>
  <c r="M102" i="8"/>
  <c r="G234" i="8"/>
  <c r="I198" i="8"/>
  <c r="N102" i="8" l="1"/>
  <c r="I191" i="8"/>
  <c r="J101" i="8"/>
  <c r="H234" i="8"/>
  <c r="J198" i="8"/>
  <c r="J199" i="8"/>
  <c r="K193" i="8"/>
  <c r="J93" i="8"/>
  <c r="I234" i="8" l="1"/>
  <c r="K198" i="8"/>
  <c r="J191" i="8"/>
  <c r="K101" i="8"/>
  <c r="O102" i="8"/>
  <c r="K199" i="8"/>
  <c r="L193" i="8"/>
  <c r="K93" i="8"/>
  <c r="K191" i="8" l="1"/>
  <c r="L101" i="8"/>
  <c r="L198" i="8"/>
  <c r="J234" i="8"/>
  <c r="L199" i="8"/>
  <c r="M193" i="8"/>
  <c r="L93" i="8"/>
  <c r="P102" i="8"/>
  <c r="Q102" i="8" l="1"/>
  <c r="N193" i="8"/>
  <c r="M93" i="8"/>
  <c r="M198" i="8"/>
  <c r="K234" i="8"/>
  <c r="L191" i="8"/>
  <c r="M101" i="8"/>
  <c r="N198" i="8" l="1"/>
  <c r="L234" i="8"/>
  <c r="O193" i="8"/>
  <c r="N199" i="8"/>
  <c r="N93" i="8"/>
  <c r="M199" i="8"/>
  <c r="M191" i="8"/>
  <c r="N101" i="8"/>
  <c r="R102" i="8"/>
  <c r="N191" i="8" l="1"/>
  <c r="O101" i="8"/>
  <c r="P193" i="8"/>
  <c r="O93" i="8"/>
  <c r="S102" i="8"/>
  <c r="O198" i="8"/>
  <c r="M234" i="8"/>
  <c r="N234" i="8" l="1"/>
  <c r="P198" i="8"/>
  <c r="T102" i="8"/>
  <c r="O191" i="8"/>
  <c r="P101" i="8"/>
  <c r="O199" i="8"/>
  <c r="Q193" i="8"/>
  <c r="P93" i="8"/>
  <c r="S37" i="7"/>
  <c r="R37" i="7"/>
  <c r="Q37" i="7"/>
  <c r="R193" i="8" l="1"/>
  <c r="Q199" i="8"/>
  <c r="Q93" i="8"/>
  <c r="P191" i="8"/>
  <c r="Q101" i="8"/>
  <c r="U102" i="8"/>
  <c r="O234" i="8"/>
  <c r="Q198" i="8"/>
  <c r="P199" i="8"/>
  <c r="Q191" i="8" l="1"/>
  <c r="R101" i="8"/>
  <c r="V102" i="8"/>
  <c r="P234" i="8"/>
  <c r="R198" i="8"/>
  <c r="R199" i="8"/>
  <c r="S193" i="8"/>
  <c r="Q234" i="8" l="1"/>
  <c r="S198" i="8"/>
  <c r="W102" i="8"/>
  <c r="S199" i="8"/>
  <c r="T193" i="8"/>
  <c r="S93" i="8"/>
  <c r="R191" i="8"/>
  <c r="S101" i="8"/>
  <c r="R93" i="8"/>
  <c r="U193" i="8" l="1"/>
  <c r="X102" i="8"/>
  <c r="R234" i="8"/>
  <c r="T198" i="8"/>
  <c r="S191" i="8"/>
  <c r="T101" i="8"/>
  <c r="U198" i="8" l="1"/>
  <c r="S234" i="8"/>
  <c r="Y102" i="8"/>
  <c r="U199" i="8"/>
  <c r="U51" i="8" s="1"/>
  <c r="U52" i="8" s="1"/>
  <c r="V193" i="8"/>
  <c r="U93" i="8"/>
  <c r="T93" i="8"/>
  <c r="T191" i="8"/>
  <c r="U101" i="8"/>
  <c r="T199" i="8"/>
  <c r="U73" i="8" l="1"/>
  <c r="U75" i="8"/>
  <c r="W193" i="8"/>
  <c r="V199" i="8"/>
  <c r="V51" i="8" s="1"/>
  <c r="V52" i="8" s="1"/>
  <c r="V93" i="8"/>
  <c r="Z102" i="8"/>
  <c r="U191" i="8"/>
  <c r="V101" i="8"/>
  <c r="V198" i="8"/>
  <c r="T234" i="8"/>
  <c r="AA102" i="8" l="1"/>
  <c r="V75" i="8"/>
  <c r="V73" i="8"/>
  <c r="AM213" i="8"/>
  <c r="U7" i="8"/>
  <c r="W199" i="8"/>
  <c r="W51" i="8" s="1"/>
  <c r="W52" i="8" s="1"/>
  <c r="X193" i="8"/>
  <c r="W93" i="8"/>
  <c r="W198" i="8"/>
  <c r="U234" i="8"/>
  <c r="V191" i="8"/>
  <c r="W101" i="8"/>
  <c r="U83" i="8"/>
  <c r="V83" i="8" l="1"/>
  <c r="W191" i="8"/>
  <c r="X101" i="8"/>
  <c r="W73" i="8"/>
  <c r="W75" i="8"/>
  <c r="AN213" i="8"/>
  <c r="V7" i="8"/>
  <c r="V234" i="8"/>
  <c r="X198" i="8"/>
  <c r="AB102" i="8"/>
  <c r="Y193" i="8"/>
  <c r="X93" i="8"/>
  <c r="Z193" i="8" l="1"/>
  <c r="X191" i="8"/>
  <c r="Y101" i="8"/>
  <c r="W234" i="8"/>
  <c r="Y198" i="8"/>
  <c r="Y199" i="8" s="1"/>
  <c r="Y51" i="8" s="1"/>
  <c r="Y52" i="8" s="1"/>
  <c r="AO213" i="8"/>
  <c r="W7" i="8"/>
  <c r="X199" i="8"/>
  <c r="X51" i="8" s="1"/>
  <c r="X52" i="8" s="1"/>
  <c r="W83" i="8"/>
  <c r="AC102" i="8"/>
  <c r="Y75" i="8" l="1"/>
  <c r="Y73" i="8"/>
  <c r="Y83" i="8" s="1"/>
  <c r="Y191" i="8"/>
  <c r="Z101" i="8"/>
  <c r="AD102" i="8"/>
  <c r="Y93" i="8"/>
  <c r="X234" i="8"/>
  <c r="Z198" i="8"/>
  <c r="X75" i="8"/>
  <c r="X73" i="8"/>
  <c r="Z199" i="8"/>
  <c r="AA193" i="8"/>
  <c r="Z93" i="8"/>
  <c r="X83" i="8" l="1"/>
  <c r="AB193" i="8"/>
  <c r="AA93" i="8"/>
  <c r="AE102" i="8"/>
  <c r="Z191" i="8"/>
  <c r="AA101" i="8"/>
  <c r="AP213" i="8"/>
  <c r="X7" i="8"/>
  <c r="Y234" i="8"/>
  <c r="AA198" i="8"/>
  <c r="AQ213" i="8"/>
  <c r="Y7" i="8"/>
  <c r="Z234" i="8" l="1"/>
  <c r="AB198" i="8"/>
  <c r="AF102" i="8"/>
  <c r="AC193" i="8"/>
  <c r="AB199" i="8"/>
  <c r="AB51" i="8" s="1"/>
  <c r="AB52" i="8" s="1"/>
  <c r="AB93" i="8"/>
  <c r="AA191" i="8"/>
  <c r="AB101" i="8"/>
  <c r="AA199" i="8"/>
  <c r="AA51" i="8" s="1"/>
  <c r="AA52" i="8" s="1"/>
  <c r="AB73" i="8" l="1"/>
  <c r="AB75" i="8"/>
  <c r="AD193" i="8"/>
  <c r="AC199" i="8"/>
  <c r="AC51" i="8" s="1"/>
  <c r="AC52" i="8" s="1"/>
  <c r="AC93" i="8"/>
  <c r="B102" i="8"/>
  <c r="AA73" i="8"/>
  <c r="AA75" i="8"/>
  <c r="AA234" i="8"/>
  <c r="AC198" i="8"/>
  <c r="AB191" i="8"/>
  <c r="AC101" i="8"/>
  <c r="AA83" i="8" l="1"/>
  <c r="AC191" i="8"/>
  <c r="AD101" i="8"/>
  <c r="AC73" i="8"/>
  <c r="AC75" i="8"/>
  <c r="AB234" i="8"/>
  <c r="AD198" i="8"/>
  <c r="AE193" i="8"/>
  <c r="AD93" i="8"/>
  <c r="AT213" i="8"/>
  <c r="AB7" i="8"/>
  <c r="AS213" i="8"/>
  <c r="AA7" i="8"/>
  <c r="AB83" i="8"/>
  <c r="AF193" i="8" l="1"/>
  <c r="AE93" i="8"/>
  <c r="AC234" i="8"/>
  <c r="AE198" i="8"/>
  <c r="AC83" i="8"/>
  <c r="AD191" i="8"/>
  <c r="AE101" i="8"/>
  <c r="AU213" i="8"/>
  <c r="AC7" i="8"/>
  <c r="AD199" i="8"/>
  <c r="AD51" i="8" s="1"/>
  <c r="AD52" i="8" s="1"/>
  <c r="AE191" i="8" l="1"/>
  <c r="AF101" i="8"/>
  <c r="AD234" i="8"/>
  <c r="AF198" i="8"/>
  <c r="AD75" i="8"/>
  <c r="AD73" i="8"/>
  <c r="AF199" i="8"/>
  <c r="AF52" i="8" s="1"/>
  <c r="B193" i="8"/>
  <c r="AF93" i="8"/>
  <c r="AE199" i="8"/>
  <c r="AE51" i="8" s="1"/>
  <c r="AE52" i="8" s="1"/>
  <c r="AF75" i="8" l="1"/>
  <c r="AF73" i="8"/>
  <c r="AF83" i="8" s="1"/>
  <c r="AD83" i="8"/>
  <c r="AE234" i="8"/>
  <c r="B198" i="8"/>
  <c r="AF234" i="8" s="1"/>
  <c r="AV213" i="8"/>
  <c r="AD7" i="8"/>
  <c r="AE73" i="8"/>
  <c r="AE75" i="8"/>
  <c r="AF191" i="8"/>
  <c r="B101" i="8"/>
  <c r="B191" i="8" s="1"/>
  <c r="AH93" i="8"/>
  <c r="AI93" i="8"/>
  <c r="AX213" i="8" l="1"/>
  <c r="AF7" i="8"/>
  <c r="B93" i="8"/>
  <c r="AW213" i="8"/>
  <c r="AE7" i="8"/>
  <c r="AE83" i="8"/>
  <c r="B199" i="8"/>
  <c r="B52" i="8" l="1"/>
  <c r="AI51" i="8"/>
  <c r="AH51" i="8"/>
  <c r="B73" i="8" l="1"/>
  <c r="AI52" i="8"/>
  <c r="AH52" i="8"/>
  <c r="B75" i="8"/>
  <c r="T213" i="8" l="1"/>
  <c r="B7" i="8"/>
  <c r="A7" i="8" s="1"/>
  <c r="AI75" i="8"/>
  <c r="AH75" i="8"/>
  <c r="AI73" i="8"/>
  <c r="AH73" i="8"/>
  <c r="B83" i="8"/>
  <c r="AI83" i="8" l="1"/>
  <c r="AH83" i="8"/>
  <c r="M37" i="7" l="1"/>
  <c r="L37" i="7"/>
  <c r="K37" i="7" l="1"/>
  <c r="J56" i="7"/>
  <c r="J37" i="7"/>
  <c r="I37" i="7"/>
  <c r="H37" i="7"/>
  <c r="G37" i="7"/>
  <c r="F37" i="7"/>
  <c r="E37" i="7"/>
  <c r="AH99" i="7"/>
  <c r="AI99" i="7" s="1"/>
  <c r="B51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B234" i="7"/>
  <c r="S209" i="7"/>
  <c r="AG199" i="7"/>
  <c r="C199" i="7"/>
  <c r="D198" i="7"/>
  <c r="G197" i="7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D197" i="7"/>
  <c r="E197" i="7" s="1"/>
  <c r="F197" i="7" s="1"/>
  <c r="X196" i="7"/>
  <c r="Y196" i="7" s="1"/>
  <c r="Z196" i="7" s="1"/>
  <c r="AA196" i="7" s="1"/>
  <c r="AB196" i="7" s="1"/>
  <c r="AC196" i="7" s="1"/>
  <c r="AD196" i="7" s="1"/>
  <c r="AE196" i="7" s="1"/>
  <c r="AF196" i="7" s="1"/>
  <c r="B196" i="7" s="1"/>
  <c r="I196" i="7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G196" i="7"/>
  <c r="H196" i="7" s="1"/>
  <c r="D196" i="7"/>
  <c r="E196" i="7" s="1"/>
  <c r="F196" i="7" s="1"/>
  <c r="X195" i="7"/>
  <c r="Y195" i="7" s="1"/>
  <c r="Z195" i="7" s="1"/>
  <c r="AA195" i="7" s="1"/>
  <c r="AB195" i="7" s="1"/>
  <c r="AC195" i="7" s="1"/>
  <c r="AD195" i="7" s="1"/>
  <c r="AE195" i="7" s="1"/>
  <c r="AF195" i="7" s="1"/>
  <c r="B195" i="7" s="1"/>
  <c r="D195" i="7"/>
  <c r="E195" i="7" s="1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F194" i="7"/>
  <c r="G194" i="7" s="1"/>
  <c r="H194" i="7" s="1"/>
  <c r="I194" i="7" s="1"/>
  <c r="J194" i="7" s="1"/>
  <c r="K194" i="7" s="1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W194" i="7" s="1"/>
  <c r="X194" i="7" s="1"/>
  <c r="Y194" i="7" s="1"/>
  <c r="Z194" i="7" s="1"/>
  <c r="AA194" i="7" s="1"/>
  <c r="AB194" i="7" s="1"/>
  <c r="AC194" i="7" s="1"/>
  <c r="AD194" i="7" s="1"/>
  <c r="AE194" i="7" s="1"/>
  <c r="AF194" i="7" s="1"/>
  <c r="B194" i="7" s="1"/>
  <c r="E194" i="7"/>
  <c r="D194" i="7"/>
  <c r="D193" i="7"/>
  <c r="AG191" i="7"/>
  <c r="C191" i="7"/>
  <c r="AE190" i="7"/>
  <c r="AF190" i="7" s="1"/>
  <c r="B190" i="7" s="1"/>
  <c r="D190" i="7"/>
  <c r="E190" i="7" s="1"/>
  <c r="F190" i="7" s="1"/>
  <c r="G190" i="7" s="1"/>
  <c r="H190" i="7" s="1"/>
  <c r="I190" i="7" s="1"/>
  <c r="J190" i="7" s="1"/>
  <c r="K190" i="7" s="1"/>
  <c r="L190" i="7" s="1"/>
  <c r="M190" i="7" s="1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H189" i="7"/>
  <c r="I189" i="7" s="1"/>
  <c r="J189" i="7" s="1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E189" i="7"/>
  <c r="F189" i="7" s="1"/>
  <c r="G189" i="7" s="1"/>
  <c r="D189" i="7"/>
  <c r="Q188" i="7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N188" i="7"/>
  <c r="O188" i="7" s="1"/>
  <c r="P188" i="7" s="1"/>
  <c r="L188" i="7"/>
  <c r="M188" i="7" s="1"/>
  <c r="E188" i="7"/>
  <c r="F188" i="7" s="1"/>
  <c r="G188" i="7" s="1"/>
  <c r="H188" i="7" s="1"/>
  <c r="I188" i="7" s="1"/>
  <c r="J188" i="7" s="1"/>
  <c r="K188" i="7" s="1"/>
  <c r="D188" i="7"/>
  <c r="T187" i="7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B187" i="7" s="1"/>
  <c r="P187" i="7"/>
  <c r="Q187" i="7" s="1"/>
  <c r="R187" i="7" s="1"/>
  <c r="S187" i="7" s="1"/>
  <c r="D187" i="7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G186" i="7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D186" i="7"/>
  <c r="E186" i="7" s="1"/>
  <c r="F186" i="7" s="1"/>
  <c r="P185" i="7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B185" i="7" s="1"/>
  <c r="G185" i="7"/>
  <c r="H185" i="7" s="1"/>
  <c r="I185" i="7" s="1"/>
  <c r="J185" i="7" s="1"/>
  <c r="K185" i="7" s="1"/>
  <c r="L185" i="7" s="1"/>
  <c r="M185" i="7" s="1"/>
  <c r="N185" i="7" s="1"/>
  <c r="O185" i="7" s="1"/>
  <c r="D185" i="7"/>
  <c r="E185" i="7" s="1"/>
  <c r="F185" i="7" s="1"/>
  <c r="D184" i="7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D183" i="7"/>
  <c r="E183" i="7" s="1"/>
  <c r="F183" i="7" s="1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F182" i="7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B182" i="7" s="1"/>
  <c r="E182" i="7"/>
  <c r="D182" i="7"/>
  <c r="H181" i="7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B181" i="7" s="1"/>
  <c r="E181" i="7"/>
  <c r="F181" i="7" s="1"/>
  <c r="G181" i="7" s="1"/>
  <c r="D181" i="7"/>
  <c r="H180" i="7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B180" i="7" s="1"/>
  <c r="F180" i="7"/>
  <c r="G180" i="7" s="1"/>
  <c r="D180" i="7"/>
  <c r="E180" i="7" s="1"/>
  <c r="AA179" i="7"/>
  <c r="AB179" i="7" s="1"/>
  <c r="AC179" i="7" s="1"/>
  <c r="AD179" i="7" s="1"/>
  <c r="AE179" i="7" s="1"/>
  <c r="AF179" i="7" s="1"/>
  <c r="B179" i="7" s="1"/>
  <c r="D179" i="7"/>
  <c r="E179" i="7" s="1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M178" i="7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B178" i="7" s="1"/>
  <c r="H178" i="7"/>
  <c r="I178" i="7" s="1"/>
  <c r="J178" i="7" s="1"/>
  <c r="K178" i="7" s="1"/>
  <c r="L178" i="7" s="1"/>
  <c r="E178" i="7"/>
  <c r="F178" i="7" s="1"/>
  <c r="G178" i="7" s="1"/>
  <c r="D178" i="7"/>
  <c r="AA176" i="7"/>
  <c r="AB176" i="7" s="1"/>
  <c r="AC176" i="7" s="1"/>
  <c r="AD176" i="7" s="1"/>
  <c r="AE176" i="7" s="1"/>
  <c r="AF176" i="7" s="1"/>
  <c r="B176" i="7" s="1"/>
  <c r="L176" i="7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H176" i="7"/>
  <c r="I176" i="7" s="1"/>
  <c r="J176" i="7" s="1"/>
  <c r="K176" i="7" s="1"/>
  <c r="G176" i="7"/>
  <c r="D176" i="7"/>
  <c r="E176" i="7" s="1"/>
  <c r="F176" i="7" s="1"/>
  <c r="D175" i="7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B175" i="7" s="1"/>
  <c r="J174" i="7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E174" i="7"/>
  <c r="F174" i="7" s="1"/>
  <c r="G174" i="7" s="1"/>
  <c r="H174" i="7" s="1"/>
  <c r="I174" i="7" s="1"/>
  <c r="D174" i="7"/>
  <c r="AE173" i="7"/>
  <c r="AF173" i="7" s="1"/>
  <c r="B173" i="7" s="1"/>
  <c r="S173" i="7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D173" i="7"/>
  <c r="E173" i="7" s="1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X172" i="7"/>
  <c r="Y172" i="7" s="1"/>
  <c r="Z172" i="7" s="1"/>
  <c r="AA172" i="7" s="1"/>
  <c r="AB172" i="7" s="1"/>
  <c r="AC172" i="7" s="1"/>
  <c r="AD172" i="7" s="1"/>
  <c r="AE172" i="7" s="1"/>
  <c r="AF172" i="7" s="1"/>
  <c r="B172" i="7" s="1"/>
  <c r="M172" i="7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G172" i="7"/>
  <c r="H172" i="7" s="1"/>
  <c r="I172" i="7" s="1"/>
  <c r="J172" i="7" s="1"/>
  <c r="K172" i="7" s="1"/>
  <c r="L172" i="7" s="1"/>
  <c r="E172" i="7"/>
  <c r="F172" i="7" s="1"/>
  <c r="D172" i="7"/>
  <c r="AF171" i="7"/>
  <c r="B171" i="7" s="1"/>
  <c r="J171" i="7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G171" i="7"/>
  <c r="H171" i="7" s="1"/>
  <c r="I171" i="7" s="1"/>
  <c r="F171" i="7"/>
  <c r="E171" i="7"/>
  <c r="D171" i="7"/>
  <c r="T170" i="7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E170" i="7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D170" i="7"/>
  <c r="Z169" i="7"/>
  <c r="AA169" i="7" s="1"/>
  <c r="AB169" i="7" s="1"/>
  <c r="AC169" i="7" s="1"/>
  <c r="AD169" i="7" s="1"/>
  <c r="AE169" i="7" s="1"/>
  <c r="AF169" i="7" s="1"/>
  <c r="B169" i="7" s="1"/>
  <c r="L169" i="7"/>
  <c r="M169" i="7" s="1"/>
  <c r="N169" i="7" s="1"/>
  <c r="O169" i="7" s="1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I169" i="7"/>
  <c r="J169" i="7" s="1"/>
  <c r="K169" i="7" s="1"/>
  <c r="G169" i="7"/>
  <c r="H169" i="7" s="1"/>
  <c r="D169" i="7"/>
  <c r="E169" i="7" s="1"/>
  <c r="F169" i="7" s="1"/>
  <c r="S167" i="7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M167" i="7"/>
  <c r="N167" i="7" s="1"/>
  <c r="O167" i="7" s="1"/>
  <c r="P167" i="7" s="1"/>
  <c r="Q167" i="7" s="1"/>
  <c r="R167" i="7" s="1"/>
  <c r="F167" i="7"/>
  <c r="G167" i="7" s="1"/>
  <c r="H167" i="7" s="1"/>
  <c r="I167" i="7" s="1"/>
  <c r="J167" i="7" s="1"/>
  <c r="K167" i="7" s="1"/>
  <c r="L167" i="7" s="1"/>
  <c r="E167" i="7"/>
  <c r="D167" i="7"/>
  <c r="F166" i="7"/>
  <c r="G166" i="7" s="1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B166" i="7" s="1"/>
  <c r="D166" i="7"/>
  <c r="E166" i="7" s="1"/>
  <c r="T165" i="7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B165" i="7" s="1"/>
  <c r="J165" i="7"/>
  <c r="K165" i="7" s="1"/>
  <c r="L165" i="7" s="1"/>
  <c r="M165" i="7" s="1"/>
  <c r="N165" i="7" s="1"/>
  <c r="O165" i="7" s="1"/>
  <c r="P165" i="7" s="1"/>
  <c r="Q165" i="7" s="1"/>
  <c r="R165" i="7" s="1"/>
  <c r="S165" i="7" s="1"/>
  <c r="D165" i="7"/>
  <c r="E165" i="7" s="1"/>
  <c r="F165" i="7" s="1"/>
  <c r="G165" i="7" s="1"/>
  <c r="H165" i="7" s="1"/>
  <c r="I165" i="7" s="1"/>
  <c r="E164" i="7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B164" i="7" s="1"/>
  <c r="D164" i="7"/>
  <c r="J163" i="7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B163" i="7" s="1"/>
  <c r="F163" i="7"/>
  <c r="G163" i="7" s="1"/>
  <c r="H163" i="7" s="1"/>
  <c r="I163" i="7" s="1"/>
  <c r="E163" i="7"/>
  <c r="D163" i="7"/>
  <c r="T162" i="7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E162" i="7"/>
  <c r="F162" i="7" s="1"/>
  <c r="G162" i="7" s="1"/>
  <c r="H162" i="7" s="1"/>
  <c r="I162" i="7" s="1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D162" i="7"/>
  <c r="AD161" i="7"/>
  <c r="AE161" i="7" s="1"/>
  <c r="AF161" i="7" s="1"/>
  <c r="B161" i="7" s="1"/>
  <c r="N161" i="7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D161" i="7"/>
  <c r="E161" i="7" s="1"/>
  <c r="F161" i="7" s="1"/>
  <c r="G161" i="7" s="1"/>
  <c r="H161" i="7" s="1"/>
  <c r="I161" i="7" s="1"/>
  <c r="J161" i="7" s="1"/>
  <c r="K161" i="7" s="1"/>
  <c r="L161" i="7" s="1"/>
  <c r="M161" i="7" s="1"/>
  <c r="D160" i="7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B160" i="7" s="1"/>
  <c r="G159" i="7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B159" i="7" s="1"/>
  <c r="E159" i="7"/>
  <c r="F159" i="7" s="1"/>
  <c r="D159" i="7"/>
  <c r="D158" i="7"/>
  <c r="E158" i="7" s="1"/>
  <c r="F158" i="7" s="1"/>
  <c r="G158" i="7" s="1"/>
  <c r="H158" i="7" s="1"/>
  <c r="I158" i="7" s="1"/>
  <c r="J158" i="7" s="1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I157" i="7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G157" i="7"/>
  <c r="H157" i="7" s="1"/>
  <c r="D157" i="7"/>
  <c r="E157" i="7" s="1"/>
  <c r="F157" i="7" s="1"/>
  <c r="I156" i="7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B156" i="7" s="1"/>
  <c r="H156" i="7"/>
  <c r="E156" i="7"/>
  <c r="F156" i="7" s="1"/>
  <c r="G156" i="7" s="1"/>
  <c r="D156" i="7"/>
  <c r="S155" i="7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B155" i="7" s="1"/>
  <c r="K155" i="7"/>
  <c r="L155" i="7" s="1"/>
  <c r="M155" i="7" s="1"/>
  <c r="N155" i="7" s="1"/>
  <c r="O155" i="7" s="1"/>
  <c r="P155" i="7" s="1"/>
  <c r="Q155" i="7" s="1"/>
  <c r="R155" i="7" s="1"/>
  <c r="G155" i="7"/>
  <c r="H155" i="7" s="1"/>
  <c r="I155" i="7" s="1"/>
  <c r="J155" i="7" s="1"/>
  <c r="F155" i="7"/>
  <c r="E155" i="7"/>
  <c r="D155" i="7"/>
  <c r="E153" i="7"/>
  <c r="F153" i="7" s="1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D153" i="7"/>
  <c r="K152" i="7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B152" i="7" s="1"/>
  <c r="F152" i="7"/>
  <c r="G152" i="7" s="1"/>
  <c r="H152" i="7" s="1"/>
  <c r="I152" i="7" s="1"/>
  <c r="J152" i="7" s="1"/>
  <c r="D152" i="7"/>
  <c r="E152" i="7" s="1"/>
  <c r="I151" i="7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B151" i="7" s="1"/>
  <c r="G151" i="7"/>
  <c r="H151" i="7" s="1"/>
  <c r="D151" i="7"/>
  <c r="E151" i="7" s="1"/>
  <c r="F151" i="7" s="1"/>
  <c r="G150" i="7"/>
  <c r="H150" i="7" s="1"/>
  <c r="I150" i="7" s="1"/>
  <c r="J150" i="7" s="1"/>
  <c r="K150" i="7" s="1"/>
  <c r="L150" i="7" s="1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B150" i="7" s="1"/>
  <c r="E150" i="7"/>
  <c r="F150" i="7" s="1"/>
  <c r="D150" i="7"/>
  <c r="S148" i="7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K148" i="7"/>
  <c r="L148" i="7" s="1"/>
  <c r="M148" i="7" s="1"/>
  <c r="N148" i="7" s="1"/>
  <c r="O148" i="7" s="1"/>
  <c r="P148" i="7" s="1"/>
  <c r="Q148" i="7" s="1"/>
  <c r="R148" i="7" s="1"/>
  <c r="D148" i="7"/>
  <c r="E148" i="7" s="1"/>
  <c r="F148" i="7" s="1"/>
  <c r="G148" i="7" s="1"/>
  <c r="H148" i="7" s="1"/>
  <c r="I148" i="7" s="1"/>
  <c r="J148" i="7" s="1"/>
  <c r="F147" i="7"/>
  <c r="G147" i="7" s="1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B147" i="7" s="1"/>
  <c r="D147" i="7"/>
  <c r="E147" i="7" s="1"/>
  <c r="R145" i="7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O145" i="7"/>
  <c r="P145" i="7" s="1"/>
  <c r="Q145" i="7" s="1"/>
  <c r="D145" i="7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J144" i="7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F144" i="7"/>
  <c r="G144" i="7" s="1"/>
  <c r="H144" i="7" s="1"/>
  <c r="I144" i="7" s="1"/>
  <c r="E144" i="7"/>
  <c r="D144" i="7"/>
  <c r="H143" i="7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D143" i="7"/>
  <c r="E143" i="7" s="1"/>
  <c r="F143" i="7" s="1"/>
  <c r="G143" i="7" s="1"/>
  <c r="F142" i="7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D142" i="7"/>
  <c r="E142" i="7" s="1"/>
  <c r="H141" i="7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D141" i="7"/>
  <c r="E141" i="7" s="1"/>
  <c r="F141" i="7" s="1"/>
  <c r="G141" i="7" s="1"/>
  <c r="R140" i="7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F140" i="7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E140" i="7"/>
  <c r="D140" i="7"/>
  <c r="G139" i="7"/>
  <c r="H139" i="7" s="1"/>
  <c r="I139" i="7" s="1"/>
  <c r="J139" i="7" s="1"/>
  <c r="K139" i="7" s="1"/>
  <c r="L139" i="7" s="1"/>
  <c r="M139" i="7" s="1"/>
  <c r="N139" i="7" s="1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B139" i="7" s="1"/>
  <c r="F139" i="7"/>
  <c r="D139" i="7"/>
  <c r="E139" i="7" s="1"/>
  <c r="L137" i="7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B137" i="7" s="1"/>
  <c r="F137" i="7"/>
  <c r="G137" i="7" s="1"/>
  <c r="H137" i="7" s="1"/>
  <c r="I137" i="7" s="1"/>
  <c r="J137" i="7" s="1"/>
  <c r="K137" i="7" s="1"/>
  <c r="E137" i="7"/>
  <c r="D137" i="7"/>
  <c r="D136" i="7"/>
  <c r="E136" i="7" s="1"/>
  <c r="F136" i="7" s="1"/>
  <c r="G136" i="7" s="1"/>
  <c r="H136" i="7" s="1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B136" i="7" s="1"/>
  <c r="J135" i="7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B135" i="7" s="1"/>
  <c r="F135" i="7"/>
  <c r="G135" i="7" s="1"/>
  <c r="H135" i="7" s="1"/>
  <c r="I135" i="7" s="1"/>
  <c r="E135" i="7"/>
  <c r="D135" i="7"/>
  <c r="I134" i="7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G134" i="7"/>
  <c r="H134" i="7" s="1"/>
  <c r="F134" i="7"/>
  <c r="E134" i="7"/>
  <c r="D134" i="7"/>
  <c r="G133" i="7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E133" i="7"/>
  <c r="F133" i="7" s="1"/>
  <c r="D133" i="7"/>
  <c r="I132" i="7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F132" i="7"/>
  <c r="G132" i="7" s="1"/>
  <c r="H132" i="7" s="1"/>
  <c r="E132" i="7"/>
  <c r="D132" i="7"/>
  <c r="E131" i="7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D131" i="7"/>
  <c r="G130" i="7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B130" i="7" s="1"/>
  <c r="E130" i="7"/>
  <c r="F130" i="7" s="1"/>
  <c r="D130" i="7"/>
  <c r="H128" i="7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E128" i="7"/>
  <c r="F128" i="7" s="1"/>
  <c r="G128" i="7" s="1"/>
  <c r="D128" i="7"/>
  <c r="H127" i="7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B127" i="7" s="1"/>
  <c r="E127" i="7"/>
  <c r="F127" i="7" s="1"/>
  <c r="G127" i="7" s="1"/>
  <c r="D127" i="7"/>
  <c r="G126" i="7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B126" i="7" s="1"/>
  <c r="F126" i="7"/>
  <c r="E126" i="7"/>
  <c r="D126" i="7"/>
  <c r="E125" i="7"/>
  <c r="F125" i="7" s="1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D125" i="7"/>
  <c r="K124" i="7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H124" i="7"/>
  <c r="I124" i="7" s="1"/>
  <c r="J124" i="7" s="1"/>
  <c r="G124" i="7"/>
  <c r="D124" i="7"/>
  <c r="E124" i="7" s="1"/>
  <c r="F124" i="7" s="1"/>
  <c r="E123" i="7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D123" i="7"/>
  <c r="G122" i="7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D122" i="7"/>
  <c r="E122" i="7" s="1"/>
  <c r="F122" i="7" s="1"/>
  <c r="F121" i="7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B121" i="7" s="1"/>
  <c r="E121" i="7"/>
  <c r="D121" i="7"/>
  <c r="E120" i="7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D120" i="7"/>
  <c r="F119" i="7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D119" i="7"/>
  <c r="E119" i="7" s="1"/>
  <c r="D118" i="7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F117" i="7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E117" i="7"/>
  <c r="D117" i="7"/>
  <c r="H116" i="7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E116" i="7"/>
  <c r="F116" i="7" s="1"/>
  <c r="G116" i="7" s="1"/>
  <c r="D116" i="7"/>
  <c r="F115" i="7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D115" i="7"/>
  <c r="E115" i="7" s="1"/>
  <c r="D114" i="7"/>
  <c r="E114" i="7" s="1"/>
  <c r="F114" i="7" s="1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N113" i="7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M113" i="7"/>
  <c r="K113" i="7"/>
  <c r="L113" i="7" s="1"/>
  <c r="E113" i="7"/>
  <c r="F113" i="7" s="1"/>
  <c r="G113" i="7" s="1"/>
  <c r="H113" i="7" s="1"/>
  <c r="I113" i="7" s="1"/>
  <c r="D113" i="7"/>
  <c r="E112" i="7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D112" i="7"/>
  <c r="E111" i="7"/>
  <c r="F111" i="7" s="1"/>
  <c r="G111" i="7" s="1"/>
  <c r="H111" i="7" s="1"/>
  <c r="I111" i="7" s="1"/>
  <c r="J111" i="7" s="1"/>
  <c r="K111" i="7" s="1"/>
  <c r="L111" i="7" s="1"/>
  <c r="M111" i="7" s="1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B111" i="7" s="1"/>
  <c r="D111" i="7"/>
  <c r="G109" i="7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F109" i="7"/>
  <c r="D109" i="7"/>
  <c r="E109" i="7" s="1"/>
  <c r="E108" i="7"/>
  <c r="F108" i="7" s="1"/>
  <c r="G108" i="7" s="1"/>
  <c r="H108" i="7" s="1"/>
  <c r="I108" i="7" s="1"/>
  <c r="J108" i="7" s="1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B108" i="7" s="1"/>
  <c r="D108" i="7"/>
  <c r="H106" i="7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E106" i="7"/>
  <c r="F106" i="7" s="1"/>
  <c r="G106" i="7" s="1"/>
  <c r="D106" i="7"/>
  <c r="F105" i="7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E105" i="7"/>
  <c r="D105" i="7"/>
  <c r="E104" i="7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4" i="7"/>
  <c r="D103" i="7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B103" i="7" s="1"/>
  <c r="E102" i="7"/>
  <c r="D102" i="7"/>
  <c r="E101" i="7"/>
  <c r="D101" i="7"/>
  <c r="AH98" i="7"/>
  <c r="AI98" i="7" s="1"/>
  <c r="AH97" i="7"/>
  <c r="AI97" i="7" s="1"/>
  <c r="AH96" i="7"/>
  <c r="AI96" i="7" s="1"/>
  <c r="AH95" i="7"/>
  <c r="AI95" i="7" s="1"/>
  <c r="AH94" i="7"/>
  <c r="AI94" i="7" s="1"/>
  <c r="D93" i="7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R82" i="7" s="1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F76" i="7"/>
  <c r="AE76" i="7"/>
  <c r="AD76" i="7"/>
  <c r="AC76" i="7"/>
  <c r="AB76" i="7"/>
  <c r="AB82" i="7" s="1"/>
  <c r="AA76" i="7"/>
  <c r="Z76" i="7"/>
  <c r="Z82" i="7" s="1"/>
  <c r="Y76" i="7"/>
  <c r="Y82" i="7" s="1"/>
  <c r="X76" i="7"/>
  <c r="W76" i="7"/>
  <c r="V76" i="7"/>
  <c r="U76" i="7"/>
  <c r="T76" i="7"/>
  <c r="T82" i="7" s="1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I74" i="7"/>
  <c r="AH74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I71" i="7"/>
  <c r="AH71" i="7"/>
  <c r="AI70" i="7"/>
  <c r="AH70" i="7"/>
  <c r="AI69" i="7"/>
  <c r="AH69" i="7"/>
  <c r="AG68" i="7"/>
  <c r="AF68" i="7"/>
  <c r="AE5" i="7" s="1"/>
  <c r="AE68" i="7"/>
  <c r="AD5" i="7" s="1"/>
  <c r="AD68" i="7"/>
  <c r="AC5" i="7" s="1"/>
  <c r="AC68" i="7"/>
  <c r="AB5" i="7" s="1"/>
  <c r="AB68" i="7"/>
  <c r="AA68" i="7"/>
  <c r="Z68" i="7"/>
  <c r="Y5" i="7" s="1"/>
  <c r="Y68" i="7"/>
  <c r="X68" i="7"/>
  <c r="W5" i="7" s="1"/>
  <c r="W68" i="7"/>
  <c r="V68" i="7"/>
  <c r="U68" i="7"/>
  <c r="T5" i="7" s="1"/>
  <c r="T68" i="7"/>
  <c r="S68" i="7"/>
  <c r="R5" i="7" s="1"/>
  <c r="R68" i="7"/>
  <c r="Q68" i="7"/>
  <c r="P68" i="7"/>
  <c r="O5" i="7" s="1"/>
  <c r="O68" i="7"/>
  <c r="N5" i="7" s="1"/>
  <c r="N68" i="7"/>
  <c r="M68" i="7"/>
  <c r="L68" i="7"/>
  <c r="K68" i="7"/>
  <c r="J5" i="7" s="1"/>
  <c r="J68" i="7"/>
  <c r="I5" i="7" s="1"/>
  <c r="I68" i="7"/>
  <c r="H68" i="7"/>
  <c r="G5" i="7" s="1"/>
  <c r="G68" i="7"/>
  <c r="F68" i="7"/>
  <c r="E5" i="7" s="1"/>
  <c r="E68" i="7"/>
  <c r="D5" i="7" s="1"/>
  <c r="D68" i="7"/>
  <c r="C68" i="7"/>
  <c r="B5" i="7" s="1"/>
  <c r="B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G4" i="7" s="1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I56" i="7"/>
  <c r="H56" i="7"/>
  <c r="G56" i="7"/>
  <c r="F56" i="7"/>
  <c r="E56" i="7"/>
  <c r="D56" i="7"/>
  <c r="C56" i="7"/>
  <c r="B56" i="7"/>
  <c r="AI55" i="7"/>
  <c r="AH55" i="7"/>
  <c r="AI54" i="7"/>
  <c r="AH54" i="7"/>
  <c r="AI53" i="7"/>
  <c r="AH53" i="7"/>
  <c r="AG52" i="7"/>
  <c r="Z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G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G2" i="7" s="1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F5" i="7"/>
  <c r="Z5" i="7"/>
  <c r="V5" i="7"/>
  <c r="U5" i="7"/>
  <c r="Q5" i="7"/>
  <c r="M5" i="7"/>
  <c r="L5" i="7"/>
  <c r="F5" i="7"/>
  <c r="K4" i="7"/>
  <c r="B4" i="7"/>
  <c r="AG3" i="7"/>
  <c r="AC37" i="6"/>
  <c r="AB37" i="6"/>
  <c r="AA95" i="6"/>
  <c r="AA37" i="6"/>
  <c r="Z95" i="6"/>
  <c r="Z37" i="6"/>
  <c r="Y37" i="6"/>
  <c r="X95" i="6"/>
  <c r="X37" i="6"/>
  <c r="W95" i="6"/>
  <c r="W37" i="6"/>
  <c r="E4" i="7"/>
  <c r="AE82" i="7" l="1"/>
  <c r="AF82" i="7"/>
  <c r="AD82" i="7"/>
  <c r="AC82" i="7"/>
  <c r="AA82" i="7"/>
  <c r="Z73" i="7"/>
  <c r="X82" i="7"/>
  <c r="V82" i="7"/>
  <c r="U82" i="7"/>
  <c r="T73" i="7"/>
  <c r="S82" i="7"/>
  <c r="S73" i="7"/>
  <c r="S75" i="7"/>
  <c r="S83" i="7" s="1"/>
  <c r="Q82" i="7"/>
  <c r="P82" i="7"/>
  <c r="O75" i="7"/>
  <c r="AG213" i="7" s="1"/>
  <c r="O73" i="7"/>
  <c r="N75" i="7"/>
  <c r="AF213" i="7" s="1"/>
  <c r="N73" i="7"/>
  <c r="M82" i="7"/>
  <c r="M73" i="7"/>
  <c r="L82" i="7"/>
  <c r="L73" i="7"/>
  <c r="K82" i="7"/>
  <c r="K73" i="7"/>
  <c r="K75" i="7"/>
  <c r="J82" i="7"/>
  <c r="I82" i="7"/>
  <c r="H82" i="7"/>
  <c r="H75" i="7"/>
  <c r="Z213" i="7" s="1"/>
  <c r="G82" i="7"/>
  <c r="G75" i="7"/>
  <c r="G7" i="7" s="1"/>
  <c r="G73" i="7"/>
  <c r="F75" i="7"/>
  <c r="F7" i="7" s="1"/>
  <c r="F73" i="7"/>
  <c r="AI77" i="7"/>
  <c r="AH77" i="7"/>
  <c r="E82" i="7"/>
  <c r="E73" i="7"/>
  <c r="D82" i="7"/>
  <c r="D73" i="7"/>
  <c r="AI78" i="7"/>
  <c r="C82" i="7"/>
  <c r="AI68" i="7"/>
  <c r="C73" i="7"/>
  <c r="C75" i="7" s="1"/>
  <c r="C7" i="7" s="1"/>
  <c r="AI38" i="7"/>
  <c r="AH80" i="7"/>
  <c r="B82" i="7"/>
  <c r="H4" i="7"/>
  <c r="J75" i="7"/>
  <c r="J73" i="7"/>
  <c r="R75" i="7"/>
  <c r="R73" i="7"/>
  <c r="R83" i="7" s="1"/>
  <c r="AH38" i="7"/>
  <c r="Z75" i="7"/>
  <c r="AI56" i="7"/>
  <c r="AH76" i="7"/>
  <c r="AG6" i="7"/>
  <c r="I75" i="7"/>
  <c r="Q75" i="7"/>
  <c r="AG75" i="7"/>
  <c r="H5" i="7"/>
  <c r="I73" i="7"/>
  <c r="P5" i="7"/>
  <c r="Q73" i="7"/>
  <c r="X5" i="7"/>
  <c r="AG73" i="7"/>
  <c r="AG83" i="7" s="1"/>
  <c r="O82" i="7"/>
  <c r="W82" i="7"/>
  <c r="AI80" i="7"/>
  <c r="F82" i="7"/>
  <c r="N82" i="7"/>
  <c r="AI79" i="7"/>
  <c r="AH56" i="7"/>
  <c r="AH68" i="7"/>
  <c r="AH72" i="7"/>
  <c r="H73" i="7"/>
  <c r="P73" i="7"/>
  <c r="D75" i="7"/>
  <c r="L75" i="7"/>
  <c r="T75" i="7"/>
  <c r="AI76" i="7"/>
  <c r="E191" i="7"/>
  <c r="F101" i="7"/>
  <c r="C5" i="7"/>
  <c r="K5" i="7"/>
  <c r="S5" i="7"/>
  <c r="AA5" i="7"/>
  <c r="AI72" i="7"/>
  <c r="E75" i="7"/>
  <c r="M75" i="7"/>
  <c r="AH79" i="7"/>
  <c r="AH78" i="7"/>
  <c r="S210" i="7"/>
  <c r="D210" i="7"/>
  <c r="P75" i="7"/>
  <c r="F102" i="7"/>
  <c r="O83" i="7"/>
  <c r="N7" i="7"/>
  <c r="D191" i="7"/>
  <c r="C234" i="7"/>
  <c r="E198" i="7"/>
  <c r="E193" i="7"/>
  <c r="D199" i="7"/>
  <c r="S7" i="7" l="1"/>
  <c r="AK213" i="7"/>
  <c r="Q83" i="7"/>
  <c r="P83" i="7"/>
  <c r="O7" i="7"/>
  <c r="K83" i="7"/>
  <c r="AC213" i="7"/>
  <c r="K7" i="7"/>
  <c r="J83" i="7"/>
  <c r="I83" i="7"/>
  <c r="H83" i="7"/>
  <c r="H7" i="7"/>
  <c r="C208" i="7"/>
  <c r="Y213" i="7"/>
  <c r="G83" i="7"/>
  <c r="X213" i="7"/>
  <c r="F83" i="7"/>
  <c r="E83" i="7"/>
  <c r="C83" i="7"/>
  <c r="U213" i="7"/>
  <c r="AH82" i="7"/>
  <c r="AE213" i="7"/>
  <c r="M7" i="7"/>
  <c r="AI82" i="7"/>
  <c r="AR213" i="7"/>
  <c r="Z7" i="7"/>
  <c r="G102" i="7"/>
  <c r="W213" i="7"/>
  <c r="E7" i="7"/>
  <c r="AJ213" i="7"/>
  <c r="R7" i="7"/>
  <c r="AI213" i="7"/>
  <c r="Q7" i="7"/>
  <c r="D234" i="7"/>
  <c r="F198" i="7"/>
  <c r="N83" i="7"/>
  <c r="AB213" i="7"/>
  <c r="J7" i="7"/>
  <c r="V213" i="7"/>
  <c r="D7" i="7"/>
  <c r="D83" i="7"/>
  <c r="E199" i="7"/>
  <c r="F193" i="7"/>
  <c r="F191" i="7"/>
  <c r="G101" i="7"/>
  <c r="E93" i="7"/>
  <c r="B208" i="7"/>
  <c r="AH213" i="7"/>
  <c r="P7" i="7"/>
  <c r="M83" i="7"/>
  <c r="AL213" i="7"/>
  <c r="T7" i="7"/>
  <c r="Z83" i="7"/>
  <c r="T83" i="7"/>
  <c r="AA213" i="7"/>
  <c r="I7" i="7"/>
  <c r="AD213" i="7"/>
  <c r="L7" i="7"/>
  <c r="L83" i="7"/>
  <c r="K6" i="7" l="1"/>
  <c r="G198" i="7"/>
  <c r="E234" i="7"/>
  <c r="G193" i="7"/>
  <c r="F199" i="7"/>
  <c r="F93" i="7"/>
  <c r="H102" i="7"/>
  <c r="G93" i="7"/>
  <c r="G191" i="7"/>
  <c r="H101" i="7"/>
  <c r="H93" i="7" l="1"/>
  <c r="I102" i="7"/>
  <c r="H191" i="7"/>
  <c r="I101" i="7"/>
  <c r="H193" i="7"/>
  <c r="G199" i="7"/>
  <c r="H198" i="7"/>
  <c r="F234" i="7"/>
  <c r="I198" i="7" l="1"/>
  <c r="G234" i="7"/>
  <c r="H199" i="7"/>
  <c r="I193" i="7"/>
  <c r="I191" i="7"/>
  <c r="J101" i="7"/>
  <c r="I93" i="7"/>
  <c r="J102" i="7"/>
  <c r="K102" i="7" l="1"/>
  <c r="J191" i="7"/>
  <c r="K101" i="7"/>
  <c r="I199" i="7"/>
  <c r="J193" i="7"/>
  <c r="H234" i="7"/>
  <c r="J198" i="7"/>
  <c r="I234" i="7" l="1"/>
  <c r="K198" i="7"/>
  <c r="K93" i="7" s="1"/>
  <c r="K193" i="7"/>
  <c r="J199" i="7"/>
  <c r="K191" i="7"/>
  <c r="L101" i="7"/>
  <c r="L102" i="7"/>
  <c r="J93" i="7"/>
  <c r="L93" i="7" l="1"/>
  <c r="M102" i="7"/>
  <c r="L191" i="7"/>
  <c r="M101" i="7"/>
  <c r="L193" i="7"/>
  <c r="K199" i="7"/>
  <c r="L198" i="7"/>
  <c r="J234" i="7"/>
  <c r="K234" i="7" l="1"/>
  <c r="M198" i="7"/>
  <c r="M193" i="7"/>
  <c r="L199" i="7"/>
  <c r="M191" i="7"/>
  <c r="N101" i="7"/>
  <c r="N102" i="7"/>
  <c r="M93" i="7"/>
  <c r="N93" i="7" l="1"/>
  <c r="O102" i="7"/>
  <c r="N191" i="7"/>
  <c r="O101" i="7"/>
  <c r="M199" i="7"/>
  <c r="N193" i="7"/>
  <c r="L234" i="7"/>
  <c r="N198" i="7"/>
  <c r="P102" i="7" l="1"/>
  <c r="O198" i="7"/>
  <c r="M234" i="7"/>
  <c r="N199" i="7"/>
  <c r="O193" i="7"/>
  <c r="O191" i="7"/>
  <c r="P101" i="7"/>
  <c r="P191" i="7" l="1"/>
  <c r="Q101" i="7"/>
  <c r="P193" i="7"/>
  <c r="O199" i="7"/>
  <c r="N234" i="7"/>
  <c r="P198" i="7"/>
  <c r="O93" i="7"/>
  <c r="P93" i="7"/>
  <c r="Q102" i="7"/>
  <c r="Q198" i="7" l="1"/>
  <c r="O234" i="7"/>
  <c r="P199" i="7"/>
  <c r="Q193" i="7"/>
  <c r="Q191" i="7"/>
  <c r="R101" i="7"/>
  <c r="R102" i="7"/>
  <c r="Q93" i="7"/>
  <c r="S102" i="7" l="1"/>
  <c r="R191" i="7"/>
  <c r="S101" i="7"/>
  <c r="R193" i="7"/>
  <c r="Q199" i="7"/>
  <c r="R198" i="7"/>
  <c r="P234" i="7"/>
  <c r="S198" i="7" l="1"/>
  <c r="Q234" i="7"/>
  <c r="R199" i="7"/>
  <c r="S193" i="7"/>
  <c r="S191" i="7"/>
  <c r="T101" i="7"/>
  <c r="R93" i="7"/>
  <c r="T102" i="7"/>
  <c r="T191" i="7" l="1"/>
  <c r="U101" i="7"/>
  <c r="S199" i="7"/>
  <c r="T193" i="7"/>
  <c r="U102" i="7"/>
  <c r="T93" i="7"/>
  <c r="S93" i="7"/>
  <c r="R234" i="7"/>
  <c r="T198" i="7"/>
  <c r="V102" i="7" l="1"/>
  <c r="U193" i="7"/>
  <c r="T199" i="7"/>
  <c r="U191" i="7"/>
  <c r="V101" i="7"/>
  <c r="U198" i="7"/>
  <c r="S234" i="7"/>
  <c r="T234" i="7" l="1"/>
  <c r="V198" i="7"/>
  <c r="V191" i="7"/>
  <c r="W101" i="7"/>
  <c r="V193" i="7"/>
  <c r="U199" i="7"/>
  <c r="U51" i="7" s="1"/>
  <c r="U52" i="7" s="1"/>
  <c r="U93" i="7"/>
  <c r="V93" i="7"/>
  <c r="W102" i="7"/>
  <c r="U73" i="7" l="1"/>
  <c r="U75" i="7"/>
  <c r="V199" i="7"/>
  <c r="V51" i="7" s="1"/>
  <c r="V52" i="7" s="1"/>
  <c r="W193" i="7"/>
  <c r="W191" i="7"/>
  <c r="X101" i="7"/>
  <c r="W198" i="7"/>
  <c r="U234" i="7"/>
  <c r="X102" i="7"/>
  <c r="V234" i="7" l="1"/>
  <c r="X198" i="7"/>
  <c r="X191" i="7"/>
  <c r="Y101" i="7"/>
  <c r="W199" i="7"/>
  <c r="W51" i="7" s="1"/>
  <c r="W52" i="7" s="1"/>
  <c r="X193" i="7"/>
  <c r="V75" i="7"/>
  <c r="V73" i="7"/>
  <c r="Y102" i="7"/>
  <c r="AM213" i="7"/>
  <c r="U7" i="7"/>
  <c r="W93" i="7"/>
  <c r="U83" i="7"/>
  <c r="V83" i="7" l="1"/>
  <c r="AN213" i="7"/>
  <c r="V7" i="7"/>
  <c r="X199" i="7"/>
  <c r="X51" i="7" s="1"/>
  <c r="X52" i="7" s="1"/>
  <c r="Y193" i="7"/>
  <c r="W75" i="7"/>
  <c r="W73" i="7"/>
  <c r="Y191" i="7"/>
  <c r="Z101" i="7"/>
  <c r="Y93" i="7"/>
  <c r="Z102" i="7"/>
  <c r="W234" i="7"/>
  <c r="Y198" i="7"/>
  <c r="X93" i="7"/>
  <c r="W83" i="7" l="1"/>
  <c r="AA102" i="7"/>
  <c r="Z191" i="7"/>
  <c r="AA101" i="7"/>
  <c r="AO213" i="7"/>
  <c r="W7" i="7"/>
  <c r="Z198" i="7"/>
  <c r="X234" i="7"/>
  <c r="Y199" i="7"/>
  <c r="Y52" i="7" s="1"/>
  <c r="Z193" i="7"/>
  <c r="X75" i="7"/>
  <c r="X73" i="7"/>
  <c r="T95" i="6"/>
  <c r="T37" i="6"/>
  <c r="S37" i="6"/>
  <c r="R37" i="6"/>
  <c r="Q37" i="6"/>
  <c r="N78" i="4"/>
  <c r="O78" i="4"/>
  <c r="P78" i="4"/>
  <c r="Q78" i="4"/>
  <c r="R78" i="4"/>
  <c r="P37" i="6"/>
  <c r="O37" i="6"/>
  <c r="X83" i="7" l="1"/>
  <c r="AA191" i="7"/>
  <c r="AB101" i="7"/>
  <c r="AA198" i="7"/>
  <c r="Y234" i="7"/>
  <c r="AP213" i="7"/>
  <c r="X7" i="7"/>
  <c r="Z199" i="7"/>
  <c r="AA193" i="7"/>
  <c r="AA93" i="7" s="1"/>
  <c r="Z93" i="7"/>
  <c r="Y75" i="7"/>
  <c r="Y73" i="7"/>
  <c r="Y83" i="7" s="1"/>
  <c r="AB102" i="7"/>
  <c r="N37" i="6"/>
  <c r="AC102" i="7" l="1"/>
  <c r="Z234" i="7"/>
  <c r="AB198" i="7"/>
  <c r="AQ213" i="7"/>
  <c r="Y7" i="7"/>
  <c r="AB191" i="7"/>
  <c r="AC101" i="7"/>
  <c r="AA199" i="7"/>
  <c r="AA51" i="7" s="1"/>
  <c r="AA52" i="7" s="1"/>
  <c r="AB193" i="7"/>
  <c r="AC191" i="7" l="1"/>
  <c r="AD101" i="7"/>
  <c r="AA234" i="7"/>
  <c r="AC198" i="7"/>
  <c r="AC193" i="7"/>
  <c r="AB199" i="7"/>
  <c r="AB51" i="7" s="1"/>
  <c r="AB52" i="7" s="1"/>
  <c r="AB93" i="7"/>
  <c r="AA73" i="7"/>
  <c r="AA75" i="7"/>
  <c r="AD102" i="7"/>
  <c r="AC93" i="7"/>
  <c r="AA83" i="7" l="1"/>
  <c r="AB73" i="7"/>
  <c r="AB75" i="7"/>
  <c r="AC199" i="7"/>
  <c r="AC51" i="7" s="1"/>
  <c r="AC52" i="7" s="1"/>
  <c r="AD193" i="7"/>
  <c r="AB234" i="7"/>
  <c r="AD198" i="7"/>
  <c r="AE102" i="7"/>
  <c r="AD93" i="7"/>
  <c r="AD191" i="7"/>
  <c r="AE101" i="7"/>
  <c r="AS213" i="7"/>
  <c r="AA7" i="7"/>
  <c r="AF102" i="7" l="1"/>
  <c r="AE198" i="7"/>
  <c r="AC234" i="7"/>
  <c r="AE193" i="7"/>
  <c r="AD199" i="7"/>
  <c r="AD51" i="7" s="1"/>
  <c r="AD52" i="7" s="1"/>
  <c r="AC75" i="7"/>
  <c r="AC73" i="7"/>
  <c r="AE191" i="7"/>
  <c r="AF101" i="7"/>
  <c r="AT213" i="7"/>
  <c r="AB7" i="7"/>
  <c r="AB83" i="7"/>
  <c r="AC83" i="7" l="1"/>
  <c r="AD75" i="7"/>
  <c r="AD73" i="7"/>
  <c r="AE199" i="7"/>
  <c r="AE51" i="7" s="1"/>
  <c r="AE52" i="7" s="1"/>
  <c r="AF193" i="7"/>
  <c r="AU213" i="7"/>
  <c r="AC7" i="7"/>
  <c r="AF198" i="7"/>
  <c r="AD234" i="7"/>
  <c r="AF191" i="7"/>
  <c r="B101" i="7"/>
  <c r="B191" i="7" s="1"/>
  <c r="AE93" i="7"/>
  <c r="B102" i="7"/>
  <c r="AF93" i="7"/>
  <c r="AD83" i="7" l="1"/>
  <c r="B198" i="7"/>
  <c r="AF234" i="7" s="1"/>
  <c r="AE234" i="7"/>
  <c r="AH93" i="7"/>
  <c r="AI93" i="7"/>
  <c r="AF199" i="7"/>
  <c r="AF51" i="7" s="1"/>
  <c r="AF52" i="7" s="1"/>
  <c r="B193" i="7"/>
  <c r="B199" i="7" s="1"/>
  <c r="AE75" i="7"/>
  <c r="AE73" i="7"/>
  <c r="AV213" i="7"/>
  <c r="AD7" i="7"/>
  <c r="AW213" i="7" l="1"/>
  <c r="AE7" i="7"/>
  <c r="AH51" i="7"/>
  <c r="B52" i="7"/>
  <c r="AI51" i="7"/>
  <c r="AF73" i="7"/>
  <c r="AF75" i="7"/>
  <c r="B93" i="7"/>
  <c r="AE83" i="7"/>
  <c r="AX213" i="7" l="1"/>
  <c r="AF7" i="7"/>
  <c r="AF83" i="7"/>
  <c r="B75" i="7"/>
  <c r="B73" i="7"/>
  <c r="AI52" i="7"/>
  <c r="AH52" i="7"/>
  <c r="AH73" i="7" l="1"/>
  <c r="AI73" i="7"/>
  <c r="B83" i="7"/>
  <c r="T213" i="7"/>
  <c r="AH75" i="7"/>
  <c r="AI75" i="7"/>
  <c r="B7" i="7"/>
  <c r="A7" i="7" s="1"/>
  <c r="AH83" i="7" l="1"/>
  <c r="AI83" i="7"/>
  <c r="M56" i="6" l="1"/>
  <c r="M37" i="6"/>
  <c r="E37" i="6" l="1"/>
  <c r="D95" i="6" l="1"/>
  <c r="D37" i="6"/>
  <c r="AH99" i="6" l="1"/>
  <c r="AI99" i="6" s="1"/>
  <c r="C95" i="6"/>
  <c r="C37" i="6"/>
  <c r="B95" i="6"/>
  <c r="B93" i="6" s="1"/>
  <c r="B37" i="6"/>
  <c r="B80" i="6"/>
  <c r="B79" i="6"/>
  <c r="B78" i="6"/>
  <c r="B77" i="6"/>
  <c r="B76" i="6"/>
  <c r="B72" i="6"/>
  <c r="B68" i="6"/>
  <c r="B56" i="6"/>
  <c r="B52" i="6"/>
  <c r="B51" i="6"/>
  <c r="B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B234" i="6"/>
  <c r="S209" i="6"/>
  <c r="AG199" i="6"/>
  <c r="C199" i="6"/>
  <c r="D198" i="6"/>
  <c r="E197" i="6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D197" i="6"/>
  <c r="E196" i="6"/>
  <c r="F196" i="6" s="1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D196" i="6"/>
  <c r="E195" i="6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D195" i="6"/>
  <c r="D194" i="6"/>
  <c r="E193" i="6"/>
  <c r="F193" i="6" s="1"/>
  <c r="D193" i="6"/>
  <c r="AG191" i="6"/>
  <c r="C191" i="6"/>
  <c r="S190" i="6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B190" i="6" s="1"/>
  <c r="E190" i="6"/>
  <c r="F190" i="6" s="1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D190" i="6"/>
  <c r="E189" i="6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D189" i="6"/>
  <c r="N188" i="6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B188" i="6" s="1"/>
  <c r="D188" i="6"/>
  <c r="E188" i="6" s="1"/>
  <c r="F188" i="6" s="1"/>
  <c r="G188" i="6" s="1"/>
  <c r="H188" i="6" s="1"/>
  <c r="I188" i="6" s="1"/>
  <c r="J188" i="6" s="1"/>
  <c r="K188" i="6" s="1"/>
  <c r="L188" i="6" s="1"/>
  <c r="M188" i="6" s="1"/>
  <c r="D187" i="6"/>
  <c r="E187" i="6" s="1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B187" i="6" s="1"/>
  <c r="F186" i="6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B186" i="6" s="1"/>
  <c r="E186" i="6"/>
  <c r="D186" i="6"/>
  <c r="E185" i="6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B185" i="6" s="1"/>
  <c r="D185" i="6"/>
  <c r="N184" i="6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F184" i="6"/>
  <c r="G184" i="6" s="1"/>
  <c r="H184" i="6" s="1"/>
  <c r="I184" i="6" s="1"/>
  <c r="J184" i="6" s="1"/>
  <c r="K184" i="6" s="1"/>
  <c r="L184" i="6" s="1"/>
  <c r="M184" i="6" s="1"/>
  <c r="D184" i="6"/>
  <c r="E184" i="6" s="1"/>
  <c r="D183" i="6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F182" i="6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D182" i="6"/>
  <c r="E182" i="6" s="1"/>
  <c r="E181" i="6"/>
  <c r="F181" i="6" s="1"/>
  <c r="G181" i="6" s="1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D181" i="6"/>
  <c r="T180" i="6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K180" i="6"/>
  <c r="L180" i="6" s="1"/>
  <c r="M180" i="6" s="1"/>
  <c r="N180" i="6" s="1"/>
  <c r="O180" i="6" s="1"/>
  <c r="P180" i="6" s="1"/>
  <c r="Q180" i="6" s="1"/>
  <c r="R180" i="6" s="1"/>
  <c r="S180" i="6" s="1"/>
  <c r="F180" i="6"/>
  <c r="G180" i="6" s="1"/>
  <c r="H180" i="6" s="1"/>
  <c r="I180" i="6" s="1"/>
  <c r="J180" i="6" s="1"/>
  <c r="D180" i="6"/>
  <c r="E180" i="6" s="1"/>
  <c r="T179" i="6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B179" i="6" s="1"/>
  <c r="N179" i="6"/>
  <c r="O179" i="6" s="1"/>
  <c r="P179" i="6" s="1"/>
  <c r="Q179" i="6" s="1"/>
  <c r="R179" i="6" s="1"/>
  <c r="S179" i="6" s="1"/>
  <c r="J179" i="6"/>
  <c r="K179" i="6" s="1"/>
  <c r="L179" i="6" s="1"/>
  <c r="M179" i="6" s="1"/>
  <c r="E179" i="6"/>
  <c r="F179" i="6" s="1"/>
  <c r="G179" i="6" s="1"/>
  <c r="H179" i="6" s="1"/>
  <c r="I179" i="6" s="1"/>
  <c r="D179" i="6"/>
  <c r="P178" i="6"/>
  <c r="Q178" i="6" s="1"/>
  <c r="R178" i="6" s="1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B178" i="6" s="1"/>
  <c r="M178" i="6"/>
  <c r="N178" i="6" s="1"/>
  <c r="O178" i="6" s="1"/>
  <c r="H178" i="6"/>
  <c r="I178" i="6" s="1"/>
  <c r="J178" i="6" s="1"/>
  <c r="K178" i="6" s="1"/>
  <c r="L178" i="6" s="1"/>
  <c r="E178" i="6"/>
  <c r="F178" i="6" s="1"/>
  <c r="G178" i="6" s="1"/>
  <c r="D178" i="6"/>
  <c r="D176" i="6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D175" i="6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B175" i="6" s="1"/>
  <c r="J174" i="6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B174" i="6" s="1"/>
  <c r="G174" i="6"/>
  <c r="H174" i="6" s="1"/>
  <c r="I174" i="6" s="1"/>
  <c r="E174" i="6"/>
  <c r="F174" i="6" s="1"/>
  <c r="D174" i="6"/>
  <c r="E173" i="6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73" i="6" s="1"/>
  <c r="D173" i="6"/>
  <c r="F172" i="6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D172" i="6"/>
  <c r="E172" i="6" s="1"/>
  <c r="J171" i="6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I171" i="6"/>
  <c r="D171" i="6"/>
  <c r="E171" i="6" s="1"/>
  <c r="F171" i="6" s="1"/>
  <c r="G171" i="6" s="1"/>
  <c r="H171" i="6" s="1"/>
  <c r="M170" i="6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B170" i="6" s="1"/>
  <c r="E170" i="6"/>
  <c r="F170" i="6" s="1"/>
  <c r="G170" i="6" s="1"/>
  <c r="H170" i="6" s="1"/>
  <c r="I170" i="6" s="1"/>
  <c r="J170" i="6" s="1"/>
  <c r="K170" i="6" s="1"/>
  <c r="L170" i="6" s="1"/>
  <c r="D170" i="6"/>
  <c r="E169" i="6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B169" i="6" s="1"/>
  <c r="D169" i="6"/>
  <c r="F167" i="6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D167" i="6"/>
  <c r="E167" i="6" s="1"/>
  <c r="Q166" i="6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B166" i="6" s="1"/>
  <c r="O166" i="6"/>
  <c r="P166" i="6" s="1"/>
  <c r="D166" i="6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U165" i="6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B165" i="6" s="1"/>
  <c r="H165" i="6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G165" i="6"/>
  <c r="E165" i="6"/>
  <c r="F165" i="6" s="1"/>
  <c r="D165" i="6"/>
  <c r="M164" i="6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F164" i="6"/>
  <c r="G164" i="6" s="1"/>
  <c r="H164" i="6" s="1"/>
  <c r="I164" i="6" s="1"/>
  <c r="J164" i="6" s="1"/>
  <c r="K164" i="6" s="1"/>
  <c r="L164" i="6" s="1"/>
  <c r="E164" i="6"/>
  <c r="D164" i="6"/>
  <c r="L163" i="6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D163" i="6"/>
  <c r="E163" i="6" s="1"/>
  <c r="F163" i="6" s="1"/>
  <c r="G163" i="6" s="1"/>
  <c r="H163" i="6" s="1"/>
  <c r="I163" i="6" s="1"/>
  <c r="J163" i="6" s="1"/>
  <c r="K163" i="6" s="1"/>
  <c r="O162" i="6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F162" i="6"/>
  <c r="G162" i="6" s="1"/>
  <c r="H162" i="6" s="1"/>
  <c r="I162" i="6" s="1"/>
  <c r="J162" i="6" s="1"/>
  <c r="K162" i="6" s="1"/>
  <c r="L162" i="6" s="1"/>
  <c r="M162" i="6" s="1"/>
  <c r="N162" i="6" s="1"/>
  <c r="D162" i="6"/>
  <c r="E162" i="6" s="1"/>
  <c r="E161" i="6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B161" i="6" s="1"/>
  <c r="D161" i="6"/>
  <c r="O160" i="6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G160" i="6"/>
  <c r="H160" i="6" s="1"/>
  <c r="I160" i="6" s="1"/>
  <c r="J160" i="6" s="1"/>
  <c r="K160" i="6" s="1"/>
  <c r="L160" i="6" s="1"/>
  <c r="M160" i="6" s="1"/>
  <c r="N160" i="6" s="1"/>
  <c r="F160" i="6"/>
  <c r="E160" i="6"/>
  <c r="D160" i="6"/>
  <c r="U159" i="6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B159" i="6" s="1"/>
  <c r="M159" i="6"/>
  <c r="N159" i="6" s="1"/>
  <c r="O159" i="6" s="1"/>
  <c r="P159" i="6" s="1"/>
  <c r="Q159" i="6" s="1"/>
  <c r="R159" i="6" s="1"/>
  <c r="S159" i="6" s="1"/>
  <c r="T159" i="6" s="1"/>
  <c r="E159" i="6"/>
  <c r="F159" i="6" s="1"/>
  <c r="G159" i="6" s="1"/>
  <c r="H159" i="6" s="1"/>
  <c r="I159" i="6" s="1"/>
  <c r="J159" i="6" s="1"/>
  <c r="K159" i="6" s="1"/>
  <c r="L159" i="6" s="1"/>
  <c r="D159" i="6"/>
  <c r="E158" i="6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B158" i="6" s="1"/>
  <c r="D158" i="6"/>
  <c r="Y157" i="6"/>
  <c r="Z157" i="6" s="1"/>
  <c r="AA157" i="6" s="1"/>
  <c r="AB157" i="6" s="1"/>
  <c r="AC157" i="6" s="1"/>
  <c r="AD157" i="6" s="1"/>
  <c r="AE157" i="6" s="1"/>
  <c r="AF157" i="6" s="1"/>
  <c r="B157" i="6" s="1"/>
  <c r="E157" i="6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D157" i="6"/>
  <c r="N156" i="6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G156" i="6"/>
  <c r="H156" i="6" s="1"/>
  <c r="I156" i="6" s="1"/>
  <c r="J156" i="6" s="1"/>
  <c r="K156" i="6" s="1"/>
  <c r="L156" i="6" s="1"/>
  <c r="M156" i="6" s="1"/>
  <c r="F156" i="6"/>
  <c r="D156" i="6"/>
  <c r="E156" i="6" s="1"/>
  <c r="J155" i="6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B155" i="6" s="1"/>
  <c r="E155" i="6"/>
  <c r="F155" i="6" s="1"/>
  <c r="G155" i="6" s="1"/>
  <c r="H155" i="6" s="1"/>
  <c r="I155" i="6" s="1"/>
  <c r="D155" i="6"/>
  <c r="O153" i="6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B153" i="6" s="1"/>
  <c r="G153" i="6"/>
  <c r="H153" i="6" s="1"/>
  <c r="I153" i="6" s="1"/>
  <c r="J153" i="6" s="1"/>
  <c r="K153" i="6" s="1"/>
  <c r="L153" i="6" s="1"/>
  <c r="M153" i="6" s="1"/>
  <c r="N153" i="6" s="1"/>
  <c r="E153" i="6"/>
  <c r="F153" i="6" s="1"/>
  <c r="D153" i="6"/>
  <c r="AC152" i="6"/>
  <c r="AD152" i="6" s="1"/>
  <c r="AE152" i="6" s="1"/>
  <c r="AF152" i="6" s="1"/>
  <c r="B152" i="6" s="1"/>
  <c r="G152" i="6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E152" i="6"/>
  <c r="F152" i="6" s="1"/>
  <c r="D152" i="6"/>
  <c r="T151" i="6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G150" i="6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B150" i="6" s="1"/>
  <c r="D150" i="6"/>
  <c r="E150" i="6" s="1"/>
  <c r="F150" i="6" s="1"/>
  <c r="P148" i="6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B148" i="6" s="1"/>
  <c r="G148" i="6"/>
  <c r="H148" i="6" s="1"/>
  <c r="I148" i="6" s="1"/>
  <c r="J148" i="6" s="1"/>
  <c r="K148" i="6" s="1"/>
  <c r="L148" i="6" s="1"/>
  <c r="M148" i="6" s="1"/>
  <c r="N148" i="6" s="1"/>
  <c r="O148" i="6" s="1"/>
  <c r="E148" i="6"/>
  <c r="F148" i="6" s="1"/>
  <c r="D148" i="6"/>
  <c r="F147" i="6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B147" i="6" s="1"/>
  <c r="E147" i="6"/>
  <c r="D147" i="6"/>
  <c r="T145" i="6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B145" i="6" s="1"/>
  <c r="E145" i="6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D145" i="6"/>
  <c r="F144" i="6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E144" i="6"/>
  <c r="D144" i="6"/>
  <c r="AD143" i="6"/>
  <c r="AE143" i="6" s="1"/>
  <c r="AF143" i="6" s="1"/>
  <c r="B143" i="6" s="1"/>
  <c r="Q143" i="6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D143" i="6"/>
  <c r="E143" i="6" s="1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D142" i="6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B142" i="6" s="1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B141" i="6" s="1"/>
  <c r="D141" i="6"/>
  <c r="S140" i="6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B140" i="6" s="1"/>
  <c r="F140" i="6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E140" i="6"/>
  <c r="D140" i="6"/>
  <c r="L139" i="6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B139" i="6" s="1"/>
  <c r="D139" i="6"/>
  <c r="E139" i="6" s="1"/>
  <c r="F139" i="6" s="1"/>
  <c r="G139" i="6" s="1"/>
  <c r="H139" i="6" s="1"/>
  <c r="I139" i="6" s="1"/>
  <c r="J139" i="6" s="1"/>
  <c r="K139" i="6" s="1"/>
  <c r="Q137" i="6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D137" i="6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U136" i="6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H136" i="6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G136" i="6"/>
  <c r="E136" i="6"/>
  <c r="F136" i="6" s="1"/>
  <c r="D136" i="6"/>
  <c r="N135" i="6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E135" i="6"/>
  <c r="F135" i="6" s="1"/>
  <c r="G135" i="6" s="1"/>
  <c r="H135" i="6" s="1"/>
  <c r="I135" i="6" s="1"/>
  <c r="J135" i="6" s="1"/>
  <c r="K135" i="6" s="1"/>
  <c r="L135" i="6" s="1"/>
  <c r="M135" i="6" s="1"/>
  <c r="D135" i="6"/>
  <c r="G134" i="6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D134" i="6"/>
  <c r="E134" i="6" s="1"/>
  <c r="F134" i="6" s="1"/>
  <c r="D133" i="6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B133" i="6" s="1"/>
  <c r="X132" i="6"/>
  <c r="Y132" i="6" s="1"/>
  <c r="Z132" i="6" s="1"/>
  <c r="AA132" i="6" s="1"/>
  <c r="AB132" i="6" s="1"/>
  <c r="AC132" i="6" s="1"/>
  <c r="AD132" i="6" s="1"/>
  <c r="AE132" i="6" s="1"/>
  <c r="AF132" i="6" s="1"/>
  <c r="B132" i="6" s="1"/>
  <c r="G132" i="6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E132" i="6"/>
  <c r="F132" i="6" s="1"/>
  <c r="D132" i="6"/>
  <c r="F131" i="6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B131" i="6" s="1"/>
  <c r="E131" i="6"/>
  <c r="D131" i="6"/>
  <c r="E130" i="6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B130" i="6" s="1"/>
  <c r="D130" i="6"/>
  <c r="E128" i="6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D128" i="6"/>
  <c r="H127" i="6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D127" i="6"/>
  <c r="E127" i="6" s="1"/>
  <c r="F127" i="6" s="1"/>
  <c r="G127" i="6" s="1"/>
  <c r="M126" i="6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G126" i="6"/>
  <c r="H126" i="6" s="1"/>
  <c r="I126" i="6" s="1"/>
  <c r="J126" i="6" s="1"/>
  <c r="K126" i="6" s="1"/>
  <c r="L126" i="6" s="1"/>
  <c r="E126" i="6"/>
  <c r="F126" i="6" s="1"/>
  <c r="D126" i="6"/>
  <c r="G125" i="6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E125" i="6"/>
  <c r="F125" i="6" s="1"/>
  <c r="D125" i="6"/>
  <c r="T124" i="6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J124" i="6"/>
  <c r="K124" i="6" s="1"/>
  <c r="L124" i="6" s="1"/>
  <c r="M124" i="6" s="1"/>
  <c r="N124" i="6" s="1"/>
  <c r="O124" i="6" s="1"/>
  <c r="P124" i="6" s="1"/>
  <c r="Q124" i="6" s="1"/>
  <c r="R124" i="6" s="1"/>
  <c r="S124" i="6" s="1"/>
  <c r="G124" i="6"/>
  <c r="H124" i="6" s="1"/>
  <c r="I124" i="6" s="1"/>
  <c r="D124" i="6"/>
  <c r="E124" i="6" s="1"/>
  <c r="F124" i="6" s="1"/>
  <c r="M123" i="6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D123" i="6"/>
  <c r="E123" i="6" s="1"/>
  <c r="F123" i="6" s="1"/>
  <c r="G123" i="6" s="1"/>
  <c r="H123" i="6" s="1"/>
  <c r="I123" i="6" s="1"/>
  <c r="J123" i="6" s="1"/>
  <c r="K123" i="6" s="1"/>
  <c r="L123" i="6" s="1"/>
  <c r="G122" i="6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F122" i="6"/>
  <c r="E122" i="6"/>
  <c r="D122" i="6"/>
  <c r="G121" i="6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B121" i="6" s="1"/>
  <c r="D121" i="6"/>
  <c r="E121" i="6" s="1"/>
  <c r="F121" i="6" s="1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D120" i="6"/>
  <c r="V119" i="6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F119" i="6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D119" i="6"/>
  <c r="E119" i="6" s="1"/>
  <c r="V118" i="6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B118" i="6" s="1"/>
  <c r="F118" i="6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D118" i="6"/>
  <c r="E118" i="6" s="1"/>
  <c r="T117" i="6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D117" i="6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U116" i="6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H116" i="6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E116" i="6"/>
  <c r="F116" i="6" s="1"/>
  <c r="G116" i="6" s="1"/>
  <c r="D116" i="6"/>
  <c r="F115" i="6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B115" i="6" s="1"/>
  <c r="D115" i="6"/>
  <c r="E115" i="6" s="1"/>
  <c r="F114" i="6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D114" i="6"/>
  <c r="E114" i="6" s="1"/>
  <c r="O113" i="6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M113" i="6"/>
  <c r="N113" i="6" s="1"/>
  <c r="L113" i="6"/>
  <c r="K113" i="6"/>
  <c r="D113" i="6"/>
  <c r="E113" i="6" s="1"/>
  <c r="F113" i="6" s="1"/>
  <c r="G113" i="6" s="1"/>
  <c r="H113" i="6" s="1"/>
  <c r="I113" i="6" s="1"/>
  <c r="O112" i="6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G112" i="6"/>
  <c r="H112" i="6" s="1"/>
  <c r="I112" i="6" s="1"/>
  <c r="J112" i="6" s="1"/>
  <c r="K112" i="6" s="1"/>
  <c r="L112" i="6" s="1"/>
  <c r="M112" i="6" s="1"/>
  <c r="N112" i="6" s="1"/>
  <c r="E112" i="6"/>
  <c r="F112" i="6" s="1"/>
  <c r="D112" i="6"/>
  <c r="S111" i="6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B111" i="6" s="1"/>
  <c r="G111" i="6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E111" i="6"/>
  <c r="F111" i="6" s="1"/>
  <c r="D111" i="6"/>
  <c r="E109" i="6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B109" i="6" s="1"/>
  <c r="D109" i="6"/>
  <c r="AE108" i="6"/>
  <c r="AF108" i="6" s="1"/>
  <c r="B108" i="6" s="1"/>
  <c r="S108" i="6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F108" i="6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D108" i="6"/>
  <c r="E108" i="6" s="1"/>
  <c r="D106" i="6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O105" i="6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M105" i="6"/>
  <c r="N105" i="6" s="1"/>
  <c r="G105" i="6"/>
  <c r="H105" i="6" s="1"/>
  <c r="I105" i="6" s="1"/>
  <c r="J105" i="6" s="1"/>
  <c r="K105" i="6" s="1"/>
  <c r="L105" i="6" s="1"/>
  <c r="E105" i="6"/>
  <c r="F105" i="6" s="1"/>
  <c r="D105" i="6"/>
  <c r="S104" i="6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H104" i="6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F104" i="6"/>
  <c r="G104" i="6" s="1"/>
  <c r="E104" i="6"/>
  <c r="D104" i="6"/>
  <c r="L103" i="6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B103" i="6" s="1"/>
  <c r="F103" i="6"/>
  <c r="G103" i="6" s="1"/>
  <c r="H103" i="6" s="1"/>
  <c r="I103" i="6" s="1"/>
  <c r="J103" i="6" s="1"/>
  <c r="K103" i="6" s="1"/>
  <c r="D103" i="6"/>
  <c r="E103" i="6" s="1"/>
  <c r="D102" i="6"/>
  <c r="D93" i="6" s="1"/>
  <c r="E101" i="6"/>
  <c r="D101" i="6"/>
  <c r="AH98" i="6"/>
  <c r="AI98" i="6" s="1"/>
  <c r="AH97" i="6"/>
  <c r="AI97" i="6" s="1"/>
  <c r="AH96" i="6"/>
  <c r="AI96" i="6" s="1"/>
  <c r="AH95" i="6"/>
  <c r="AI95" i="6" s="1"/>
  <c r="AH94" i="6"/>
  <c r="AI94" i="6" s="1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AI81" i="6"/>
  <c r="AH81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AF76" i="6"/>
  <c r="AF82" i="6" s="1"/>
  <c r="AE76" i="6"/>
  <c r="AD76" i="6"/>
  <c r="AC76" i="6"/>
  <c r="AB76" i="6"/>
  <c r="AA76" i="6"/>
  <c r="AA82" i="6" s="1"/>
  <c r="Z76" i="6"/>
  <c r="Y76" i="6"/>
  <c r="X76" i="6"/>
  <c r="X82" i="6" s="1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AI74" i="6"/>
  <c r="AH74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I71" i="6"/>
  <c r="AH71" i="6"/>
  <c r="AI70" i="6"/>
  <c r="AH70" i="6"/>
  <c r="AI69" i="6"/>
  <c r="AH69" i="6"/>
  <c r="AG68" i="6"/>
  <c r="AG73" i="6" s="1"/>
  <c r="AF68" i="6"/>
  <c r="AE68" i="6"/>
  <c r="AD5" i="6" s="1"/>
  <c r="AD68" i="6"/>
  <c r="AC5" i="6" s="1"/>
  <c r="AC68" i="6"/>
  <c r="AB68" i="6"/>
  <c r="AA5" i="6" s="1"/>
  <c r="AA68" i="6"/>
  <c r="Z5" i="6" s="1"/>
  <c r="Z68" i="6"/>
  <c r="Y5" i="6" s="1"/>
  <c r="Y68" i="6"/>
  <c r="X5" i="6" s="1"/>
  <c r="X68" i="6"/>
  <c r="W68" i="6"/>
  <c r="V68" i="6"/>
  <c r="U68" i="6"/>
  <c r="T68" i="6"/>
  <c r="S68" i="6"/>
  <c r="R5" i="6" s="1"/>
  <c r="R68" i="6"/>
  <c r="Q68" i="6"/>
  <c r="P68" i="6"/>
  <c r="O68" i="6"/>
  <c r="N5" i="6" s="1"/>
  <c r="N68" i="6"/>
  <c r="M68" i="6"/>
  <c r="L68" i="6"/>
  <c r="K5" i="6" s="1"/>
  <c r="K68" i="6"/>
  <c r="J5" i="6" s="1"/>
  <c r="J68" i="6"/>
  <c r="I68" i="6"/>
  <c r="H68" i="6"/>
  <c r="G68" i="6"/>
  <c r="F5" i="6" s="1"/>
  <c r="F68" i="6"/>
  <c r="E68" i="6"/>
  <c r="D68" i="6"/>
  <c r="C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L56" i="6"/>
  <c r="K56" i="6"/>
  <c r="J56" i="6"/>
  <c r="I56" i="6"/>
  <c r="H56" i="6"/>
  <c r="G56" i="6"/>
  <c r="F56" i="6"/>
  <c r="E56" i="6"/>
  <c r="D56" i="6"/>
  <c r="C56" i="6"/>
  <c r="AI55" i="6"/>
  <c r="AH55" i="6"/>
  <c r="AI54" i="6"/>
  <c r="AH54" i="6"/>
  <c r="AI53" i="6"/>
  <c r="AH53" i="6"/>
  <c r="AG52" i="6"/>
  <c r="Z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G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K73" i="6" s="1"/>
  <c r="J38" i="6"/>
  <c r="I38" i="6"/>
  <c r="H38" i="6"/>
  <c r="G38" i="6"/>
  <c r="F38" i="6"/>
  <c r="F73" i="6" s="1"/>
  <c r="E38" i="6"/>
  <c r="D38" i="6"/>
  <c r="C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B5" i="6"/>
  <c r="V5" i="6"/>
  <c r="U5" i="6"/>
  <c r="T5" i="6"/>
  <c r="S5" i="6"/>
  <c r="Q5" i="6"/>
  <c r="P5" i="6"/>
  <c r="M5" i="6"/>
  <c r="L5" i="6"/>
  <c r="I5" i="6"/>
  <c r="E5" i="6"/>
  <c r="D5" i="6"/>
  <c r="C5" i="6"/>
  <c r="AG4" i="6"/>
  <c r="K4" i="6"/>
  <c r="B4" i="6"/>
  <c r="AG3" i="6"/>
  <c r="AF95" i="4"/>
  <c r="AF37" i="4"/>
  <c r="AE95" i="4"/>
  <c r="AE37" i="4"/>
  <c r="AD37" i="4"/>
  <c r="AD93" i="4"/>
  <c r="AC93" i="4"/>
  <c r="AD82" i="4"/>
  <c r="AC82" i="4"/>
  <c r="AD80" i="4"/>
  <c r="AC80" i="4"/>
  <c r="AD79" i="4"/>
  <c r="AC79" i="4"/>
  <c r="AD78" i="4"/>
  <c r="AC78" i="4"/>
  <c r="AD77" i="4"/>
  <c r="AC77" i="4"/>
  <c r="AD76" i="4"/>
  <c r="AC76" i="4"/>
  <c r="AC75" i="4"/>
  <c r="AD72" i="4"/>
  <c r="AC72" i="4"/>
  <c r="AD68" i="4"/>
  <c r="AC68" i="4"/>
  <c r="AD56" i="4"/>
  <c r="AC56" i="4"/>
  <c r="AD52" i="4"/>
  <c r="AD73" i="4" s="1"/>
  <c r="AC52" i="4"/>
  <c r="AC73" i="4" s="1"/>
  <c r="AC83" i="4" s="1"/>
  <c r="AD51" i="4"/>
  <c r="AC51" i="4"/>
  <c r="AD38" i="4"/>
  <c r="AC38" i="4"/>
  <c r="AC37" i="4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D234" i="5"/>
  <c r="C234" i="5"/>
  <c r="B234" i="5"/>
  <c r="S209" i="5"/>
  <c r="AG199" i="5"/>
  <c r="D199" i="5"/>
  <c r="C199" i="5"/>
  <c r="F198" i="5"/>
  <c r="E198" i="5"/>
  <c r="D198" i="5"/>
  <c r="E197" i="5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D197" i="5"/>
  <c r="F196" i="5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E196" i="5"/>
  <c r="D196" i="5"/>
  <c r="X195" i="5"/>
  <c r="Y195" i="5" s="1"/>
  <c r="Z195" i="5" s="1"/>
  <c r="AA195" i="5" s="1"/>
  <c r="AB195" i="5" s="1"/>
  <c r="AC195" i="5" s="1"/>
  <c r="AD195" i="5" s="1"/>
  <c r="AE195" i="5" s="1"/>
  <c r="AF195" i="5" s="1"/>
  <c r="B195" i="5" s="1"/>
  <c r="M195" i="5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H195" i="5"/>
  <c r="I195" i="5" s="1"/>
  <c r="J195" i="5" s="1"/>
  <c r="K195" i="5" s="1"/>
  <c r="L195" i="5" s="1"/>
  <c r="E195" i="5"/>
  <c r="F195" i="5" s="1"/>
  <c r="G195" i="5" s="1"/>
  <c r="D195" i="5"/>
  <c r="N194" i="5"/>
  <c r="O194" i="5" s="1"/>
  <c r="P194" i="5" s="1"/>
  <c r="Q194" i="5" s="1"/>
  <c r="R194" i="5" s="1"/>
  <c r="S194" i="5" s="1"/>
  <c r="T194" i="5" s="1"/>
  <c r="U194" i="5" s="1"/>
  <c r="V194" i="5" s="1"/>
  <c r="W194" i="5" s="1"/>
  <c r="X194" i="5" s="1"/>
  <c r="Y194" i="5" s="1"/>
  <c r="Z194" i="5" s="1"/>
  <c r="AA194" i="5" s="1"/>
  <c r="AB194" i="5" s="1"/>
  <c r="AC194" i="5" s="1"/>
  <c r="AD194" i="5" s="1"/>
  <c r="AE194" i="5" s="1"/>
  <c r="AF194" i="5" s="1"/>
  <c r="B194" i="5" s="1"/>
  <c r="K194" i="5"/>
  <c r="L194" i="5" s="1"/>
  <c r="M194" i="5" s="1"/>
  <c r="F194" i="5"/>
  <c r="G194" i="5" s="1"/>
  <c r="H194" i="5" s="1"/>
  <c r="I194" i="5" s="1"/>
  <c r="J194" i="5" s="1"/>
  <c r="E194" i="5"/>
  <c r="D194" i="5"/>
  <c r="E193" i="5"/>
  <c r="D193" i="5"/>
  <c r="AG191" i="5"/>
  <c r="C191" i="5"/>
  <c r="S190" i="5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J190" i="5"/>
  <c r="K190" i="5" s="1"/>
  <c r="L190" i="5" s="1"/>
  <c r="M190" i="5" s="1"/>
  <c r="N190" i="5" s="1"/>
  <c r="O190" i="5" s="1"/>
  <c r="P190" i="5" s="1"/>
  <c r="Q190" i="5" s="1"/>
  <c r="R190" i="5" s="1"/>
  <c r="I190" i="5"/>
  <c r="F190" i="5"/>
  <c r="G190" i="5" s="1"/>
  <c r="H190" i="5" s="1"/>
  <c r="E190" i="5"/>
  <c r="D190" i="5"/>
  <c r="F189" i="5"/>
  <c r="G189" i="5" s="1"/>
  <c r="H189" i="5" s="1"/>
  <c r="I189" i="5" s="1"/>
  <c r="J189" i="5" s="1"/>
  <c r="K189" i="5" s="1"/>
  <c r="L189" i="5" s="1"/>
  <c r="M189" i="5" s="1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E189" i="5"/>
  <c r="D189" i="5"/>
  <c r="V188" i="5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L188" i="5"/>
  <c r="M188" i="5" s="1"/>
  <c r="N188" i="5" s="1"/>
  <c r="O188" i="5" s="1"/>
  <c r="P188" i="5" s="1"/>
  <c r="Q188" i="5" s="1"/>
  <c r="R188" i="5" s="1"/>
  <c r="S188" i="5" s="1"/>
  <c r="T188" i="5" s="1"/>
  <c r="U188" i="5" s="1"/>
  <c r="D188" i="5"/>
  <c r="E188" i="5" s="1"/>
  <c r="F188" i="5" s="1"/>
  <c r="G188" i="5" s="1"/>
  <c r="H188" i="5" s="1"/>
  <c r="I188" i="5" s="1"/>
  <c r="J188" i="5" s="1"/>
  <c r="K188" i="5" s="1"/>
  <c r="R187" i="5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H187" i="5"/>
  <c r="I187" i="5" s="1"/>
  <c r="J187" i="5" s="1"/>
  <c r="K187" i="5" s="1"/>
  <c r="L187" i="5" s="1"/>
  <c r="M187" i="5" s="1"/>
  <c r="N187" i="5" s="1"/>
  <c r="O187" i="5" s="1"/>
  <c r="P187" i="5" s="1"/>
  <c r="Q187" i="5" s="1"/>
  <c r="E187" i="5"/>
  <c r="F187" i="5" s="1"/>
  <c r="G187" i="5" s="1"/>
  <c r="D187" i="5"/>
  <c r="P186" i="5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J186" i="5"/>
  <c r="K186" i="5" s="1"/>
  <c r="L186" i="5" s="1"/>
  <c r="M186" i="5" s="1"/>
  <c r="N186" i="5" s="1"/>
  <c r="O186" i="5" s="1"/>
  <c r="H186" i="5"/>
  <c r="I186" i="5" s="1"/>
  <c r="G186" i="5"/>
  <c r="E186" i="5"/>
  <c r="F186" i="5" s="1"/>
  <c r="D186" i="5"/>
  <c r="F185" i="5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E185" i="5"/>
  <c r="D185" i="5"/>
  <c r="N184" i="5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T183" i="5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J183" i="5"/>
  <c r="K183" i="5" s="1"/>
  <c r="L183" i="5" s="1"/>
  <c r="M183" i="5" s="1"/>
  <c r="N183" i="5" s="1"/>
  <c r="O183" i="5" s="1"/>
  <c r="P183" i="5" s="1"/>
  <c r="Q183" i="5" s="1"/>
  <c r="R183" i="5" s="1"/>
  <c r="S183" i="5" s="1"/>
  <c r="H183" i="5"/>
  <c r="I183" i="5" s="1"/>
  <c r="G183" i="5"/>
  <c r="D183" i="5"/>
  <c r="E183" i="5" s="1"/>
  <c r="F183" i="5" s="1"/>
  <c r="S182" i="5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I182" i="5"/>
  <c r="J182" i="5" s="1"/>
  <c r="K182" i="5" s="1"/>
  <c r="L182" i="5" s="1"/>
  <c r="M182" i="5" s="1"/>
  <c r="N182" i="5" s="1"/>
  <c r="O182" i="5" s="1"/>
  <c r="P182" i="5" s="1"/>
  <c r="Q182" i="5" s="1"/>
  <c r="R182" i="5" s="1"/>
  <c r="G182" i="5"/>
  <c r="H182" i="5" s="1"/>
  <c r="F182" i="5"/>
  <c r="E182" i="5"/>
  <c r="D182" i="5"/>
  <c r="E181" i="5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D181" i="5"/>
  <c r="N180" i="5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K180" i="5"/>
  <c r="L180" i="5" s="1"/>
  <c r="M180" i="5" s="1"/>
  <c r="D180" i="5"/>
  <c r="E180" i="5" s="1"/>
  <c r="F180" i="5" s="1"/>
  <c r="G180" i="5" s="1"/>
  <c r="H180" i="5" s="1"/>
  <c r="I180" i="5" s="1"/>
  <c r="J180" i="5" s="1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H178" i="5"/>
  <c r="I178" i="5" s="1"/>
  <c r="J178" i="5" s="1"/>
  <c r="K178" i="5" s="1"/>
  <c r="L178" i="5" s="1"/>
  <c r="M178" i="5" s="1"/>
  <c r="N178" i="5" s="1"/>
  <c r="O178" i="5" s="1"/>
  <c r="P178" i="5" s="1"/>
  <c r="Q178" i="5" s="1"/>
  <c r="R178" i="5" s="1"/>
  <c r="S178" i="5" s="1"/>
  <c r="T178" i="5" s="1"/>
  <c r="U178" i="5" s="1"/>
  <c r="V178" i="5" s="1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B178" i="5" s="1"/>
  <c r="G178" i="5"/>
  <c r="F178" i="5"/>
  <c r="E178" i="5"/>
  <c r="D178" i="5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G175" i="5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E175" i="5"/>
  <c r="F175" i="5" s="1"/>
  <c r="D175" i="5"/>
  <c r="E174" i="5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D174" i="5"/>
  <c r="G173" i="5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D173" i="5"/>
  <c r="E173" i="5" s="1"/>
  <c r="F173" i="5" s="1"/>
  <c r="E172" i="5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D172" i="5"/>
  <c r="D171" i="5"/>
  <c r="E171" i="5" s="1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G170" i="5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F170" i="5"/>
  <c r="E170" i="5"/>
  <c r="D170" i="5"/>
  <c r="H169" i="5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B169" i="5" s="1"/>
  <c r="G169" i="5"/>
  <c r="D169" i="5"/>
  <c r="E169" i="5" s="1"/>
  <c r="F169" i="5" s="1"/>
  <c r="J167" i="5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F167" i="5"/>
  <c r="G167" i="5" s="1"/>
  <c r="H167" i="5" s="1"/>
  <c r="I167" i="5" s="1"/>
  <c r="E167" i="5"/>
  <c r="D167" i="5"/>
  <c r="F166" i="5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D166" i="5"/>
  <c r="E166" i="5" s="1"/>
  <c r="D165" i="5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G164" i="5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D164" i="5"/>
  <c r="E164" i="5" s="1"/>
  <c r="F164" i="5" s="1"/>
  <c r="F163" i="5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E163" i="5"/>
  <c r="D163" i="5"/>
  <c r="E162" i="5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D162" i="5"/>
  <c r="D161" i="5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G160" i="5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D160" i="5"/>
  <c r="E160" i="5" s="1"/>
  <c r="F160" i="5" s="1"/>
  <c r="G159" i="5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D159" i="5"/>
  <c r="E159" i="5" s="1"/>
  <c r="F159" i="5" s="1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F156" i="5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D156" i="5"/>
  <c r="E156" i="5" s="1"/>
  <c r="D155" i="5"/>
  <c r="E155" i="5" s="1"/>
  <c r="F155" i="5" s="1"/>
  <c r="G155" i="5" s="1"/>
  <c r="H155" i="5" s="1"/>
  <c r="I155" i="5" s="1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B155" i="5" s="1"/>
  <c r="E153" i="5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D153" i="5"/>
  <c r="H152" i="5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E152" i="5"/>
  <c r="F152" i="5" s="1"/>
  <c r="G152" i="5" s="1"/>
  <c r="D152" i="5"/>
  <c r="V151" i="5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P151" i="5"/>
  <c r="Q151" i="5" s="1"/>
  <c r="R151" i="5" s="1"/>
  <c r="S151" i="5" s="1"/>
  <c r="T151" i="5" s="1"/>
  <c r="U151" i="5" s="1"/>
  <c r="H151" i="5"/>
  <c r="I151" i="5" s="1"/>
  <c r="J151" i="5" s="1"/>
  <c r="K151" i="5" s="1"/>
  <c r="L151" i="5" s="1"/>
  <c r="M151" i="5" s="1"/>
  <c r="N151" i="5" s="1"/>
  <c r="O151" i="5" s="1"/>
  <c r="G151" i="5"/>
  <c r="D151" i="5"/>
  <c r="E151" i="5" s="1"/>
  <c r="F151" i="5" s="1"/>
  <c r="N150" i="5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AE150" i="5" s="1"/>
  <c r="AF150" i="5" s="1"/>
  <c r="B150" i="5" s="1"/>
  <c r="G150" i="5"/>
  <c r="H150" i="5" s="1"/>
  <c r="I150" i="5" s="1"/>
  <c r="J150" i="5" s="1"/>
  <c r="K150" i="5" s="1"/>
  <c r="L150" i="5" s="1"/>
  <c r="M150" i="5" s="1"/>
  <c r="D150" i="5"/>
  <c r="E150" i="5" s="1"/>
  <c r="F150" i="5" s="1"/>
  <c r="G148" i="5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F148" i="5"/>
  <c r="D148" i="5"/>
  <c r="E148" i="5" s="1"/>
  <c r="E147" i="5"/>
  <c r="F147" i="5" s="1"/>
  <c r="G147" i="5" s="1"/>
  <c r="H147" i="5" s="1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B147" i="5" s="1"/>
  <c r="D147" i="5"/>
  <c r="D145" i="5"/>
  <c r="E145" i="5" s="1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H144" i="5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E144" i="5"/>
  <c r="F144" i="5" s="1"/>
  <c r="G144" i="5" s="1"/>
  <c r="D144" i="5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F142" i="5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D142" i="5"/>
  <c r="E142" i="5" s="1"/>
  <c r="F141" i="5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D141" i="5"/>
  <c r="E141" i="5" s="1"/>
  <c r="I140" i="5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F140" i="5"/>
  <c r="G140" i="5" s="1"/>
  <c r="H140" i="5" s="1"/>
  <c r="D140" i="5"/>
  <c r="E140" i="5" s="1"/>
  <c r="D139" i="5"/>
  <c r="E139" i="5" s="1"/>
  <c r="F139" i="5" s="1"/>
  <c r="G139" i="5" s="1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B139" i="5" s="1"/>
  <c r="G137" i="5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D137" i="5"/>
  <c r="E137" i="5" s="1"/>
  <c r="F137" i="5" s="1"/>
  <c r="F136" i="5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E136" i="5"/>
  <c r="D136" i="5"/>
  <c r="D135" i="5"/>
  <c r="E135" i="5" s="1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G134" i="5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F134" i="5"/>
  <c r="E134" i="5"/>
  <c r="D134" i="5"/>
  <c r="F133" i="5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E133" i="5"/>
  <c r="D133" i="5"/>
  <c r="I132" i="5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G132" i="5"/>
  <c r="H132" i="5" s="1"/>
  <c r="D132" i="5"/>
  <c r="E132" i="5" s="1"/>
  <c r="F132" i="5" s="1"/>
  <c r="E131" i="5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D131" i="5"/>
  <c r="E130" i="5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B130" i="5" s="1"/>
  <c r="D130" i="5"/>
  <c r="E128" i="5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D128" i="5"/>
  <c r="F127" i="5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E127" i="5"/>
  <c r="D127" i="5"/>
  <c r="I126" i="5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H126" i="5"/>
  <c r="D126" i="5"/>
  <c r="E126" i="5" s="1"/>
  <c r="F126" i="5" s="1"/>
  <c r="G126" i="5" s="1"/>
  <c r="J125" i="5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G125" i="5"/>
  <c r="H125" i="5" s="1"/>
  <c r="I125" i="5" s="1"/>
  <c r="F125" i="5"/>
  <c r="E125" i="5"/>
  <c r="D125" i="5"/>
  <c r="G124" i="5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F124" i="5"/>
  <c r="E124" i="5"/>
  <c r="D124" i="5"/>
  <c r="D123" i="5"/>
  <c r="E123" i="5" s="1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E122" i="5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D122" i="5"/>
  <c r="E121" i="5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D121" i="5"/>
  <c r="G120" i="5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D120" i="5"/>
  <c r="E120" i="5" s="1"/>
  <c r="F120" i="5" s="1"/>
  <c r="F119" i="5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E119" i="5"/>
  <c r="D119" i="5"/>
  <c r="F118" i="5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E118" i="5"/>
  <c r="D118" i="5"/>
  <c r="D117" i="5"/>
  <c r="E117" i="5" s="1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I116" i="5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F116" i="5"/>
  <c r="G116" i="5" s="1"/>
  <c r="H116" i="5" s="1"/>
  <c r="E116" i="5"/>
  <c r="D116" i="5"/>
  <c r="D115" i="5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F114" i="5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E114" i="5"/>
  <c r="D114" i="5"/>
  <c r="L113" i="5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K113" i="5"/>
  <c r="F113" i="5"/>
  <c r="G113" i="5" s="1"/>
  <c r="H113" i="5" s="1"/>
  <c r="I113" i="5" s="1"/>
  <c r="D113" i="5"/>
  <c r="E113" i="5" s="1"/>
  <c r="D112" i="5"/>
  <c r="E112" i="5" s="1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F111" i="5"/>
  <c r="G111" i="5" s="1"/>
  <c r="H111" i="5" s="1"/>
  <c r="I111" i="5" s="1"/>
  <c r="J111" i="5" s="1"/>
  <c r="K111" i="5" s="1"/>
  <c r="L111" i="5" s="1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B111" i="5" s="1"/>
  <c r="E111" i="5"/>
  <c r="D111" i="5"/>
  <c r="F109" i="5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B109" i="5" s="1"/>
  <c r="E109" i="5"/>
  <c r="D109" i="5"/>
  <c r="D108" i="5"/>
  <c r="E108" i="5" s="1"/>
  <c r="G106" i="5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E106" i="5"/>
  <c r="F106" i="5" s="1"/>
  <c r="D106" i="5"/>
  <c r="F105" i="5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E105" i="5"/>
  <c r="D105" i="5"/>
  <c r="E104" i="5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D104" i="5"/>
  <c r="G103" i="5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B103" i="5" s="1"/>
  <c r="F103" i="5"/>
  <c r="E103" i="5"/>
  <c r="D103" i="5"/>
  <c r="E102" i="5"/>
  <c r="F102" i="5" s="1"/>
  <c r="D102" i="5"/>
  <c r="E101" i="5"/>
  <c r="D101" i="5"/>
  <c r="D191" i="5" s="1"/>
  <c r="AI98" i="5"/>
  <c r="AH98" i="5"/>
  <c r="AI97" i="5"/>
  <c r="AH97" i="5"/>
  <c r="AH96" i="5"/>
  <c r="AI96" i="5" s="1"/>
  <c r="AH95" i="5"/>
  <c r="AI95" i="5" s="1"/>
  <c r="AI94" i="5"/>
  <c r="AH94" i="5"/>
  <c r="D93" i="5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G82" i="5"/>
  <c r="AI81" i="5"/>
  <c r="AH81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H79" i="5" s="1"/>
  <c r="C79" i="5"/>
  <c r="B79" i="5"/>
  <c r="AF78" i="5"/>
  <c r="AE78" i="5"/>
  <c r="AD78" i="5"/>
  <c r="AC78" i="5"/>
  <c r="AC82" i="5" s="1"/>
  <c r="AB78" i="5"/>
  <c r="AA78" i="5"/>
  <c r="Z78" i="5"/>
  <c r="Y78" i="5"/>
  <c r="Y82" i="5" s="1"/>
  <c r="X78" i="5"/>
  <c r="W78" i="5"/>
  <c r="V78" i="5"/>
  <c r="U78" i="5"/>
  <c r="U82" i="5" s="1"/>
  <c r="T78" i="5"/>
  <c r="S78" i="5"/>
  <c r="R78" i="5"/>
  <c r="Q78" i="5"/>
  <c r="Q82" i="5" s="1"/>
  <c r="P78" i="5"/>
  <c r="O78" i="5"/>
  <c r="N78" i="5"/>
  <c r="M78" i="5"/>
  <c r="M82" i="5" s="1"/>
  <c r="L78" i="5"/>
  <c r="K78" i="5"/>
  <c r="J78" i="5"/>
  <c r="I78" i="5"/>
  <c r="I82" i="5" s="1"/>
  <c r="H78" i="5"/>
  <c r="G78" i="5"/>
  <c r="F78" i="5"/>
  <c r="E78" i="5"/>
  <c r="AH78" i="5" s="1"/>
  <c r="D78" i="5"/>
  <c r="C78" i="5"/>
  <c r="B78" i="5"/>
  <c r="AI78" i="5" s="1"/>
  <c r="AI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H77" i="5" s="1"/>
  <c r="AF76" i="5"/>
  <c r="AF82" i="5" s="1"/>
  <c r="AE76" i="5"/>
  <c r="AE82" i="5" s="1"/>
  <c r="AD76" i="5"/>
  <c r="AC76" i="5"/>
  <c r="AB76" i="5"/>
  <c r="AB82" i="5" s="1"/>
  <c r="AA76" i="5"/>
  <c r="AA82" i="5" s="1"/>
  <c r="Z76" i="5"/>
  <c r="Y76" i="5"/>
  <c r="X76" i="5"/>
  <c r="X82" i="5" s="1"/>
  <c r="W76" i="5"/>
  <c r="W82" i="5" s="1"/>
  <c r="V76" i="5"/>
  <c r="U76" i="5"/>
  <c r="T76" i="5"/>
  <c r="T82" i="5" s="1"/>
  <c r="S76" i="5"/>
  <c r="S82" i="5" s="1"/>
  <c r="R76" i="5"/>
  <c r="Q76" i="5"/>
  <c r="P76" i="5"/>
  <c r="P82" i="5" s="1"/>
  <c r="O76" i="5"/>
  <c r="O82" i="5" s="1"/>
  <c r="N76" i="5"/>
  <c r="M76" i="5"/>
  <c r="L76" i="5"/>
  <c r="L82" i="5" s="1"/>
  <c r="K76" i="5"/>
  <c r="K82" i="5" s="1"/>
  <c r="J76" i="5"/>
  <c r="I76" i="5"/>
  <c r="H76" i="5"/>
  <c r="H82" i="5" s="1"/>
  <c r="G76" i="5"/>
  <c r="G82" i="5" s="1"/>
  <c r="F76" i="5"/>
  <c r="E76" i="5"/>
  <c r="D76" i="5"/>
  <c r="D82" i="5" s="1"/>
  <c r="C76" i="5"/>
  <c r="C82" i="5" s="1"/>
  <c r="B76" i="5"/>
  <c r="AG75" i="5"/>
  <c r="Z75" i="5"/>
  <c r="AR213" i="5" s="1"/>
  <c r="R75" i="5"/>
  <c r="AJ213" i="5" s="1"/>
  <c r="Q75" i="5"/>
  <c r="AI213" i="5" s="1"/>
  <c r="N75" i="5"/>
  <c r="AF213" i="5" s="1"/>
  <c r="M75" i="5"/>
  <c r="AE213" i="5" s="1"/>
  <c r="J75" i="5"/>
  <c r="AB213" i="5" s="1"/>
  <c r="I75" i="5"/>
  <c r="AA213" i="5" s="1"/>
  <c r="F75" i="5"/>
  <c r="X213" i="5" s="1"/>
  <c r="AI74" i="5"/>
  <c r="AH74" i="5"/>
  <c r="Z73" i="5"/>
  <c r="R73" i="5"/>
  <c r="Q73" i="5"/>
  <c r="N73" i="5"/>
  <c r="M73" i="5"/>
  <c r="J73" i="5"/>
  <c r="I73" i="5"/>
  <c r="F73" i="5"/>
  <c r="E73" i="5"/>
  <c r="AI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H72" i="5" s="1"/>
  <c r="AI71" i="5"/>
  <c r="AH71" i="5"/>
  <c r="AI70" i="5"/>
  <c r="AH70" i="5"/>
  <c r="AI69" i="5"/>
  <c r="AH69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5" i="5" s="1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I68" i="5" s="1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I56" i="5" s="1"/>
  <c r="B56" i="5"/>
  <c r="AI55" i="5"/>
  <c r="AH55" i="5"/>
  <c r="AI54" i="5"/>
  <c r="AH54" i="5"/>
  <c r="AI53" i="5"/>
  <c r="AH53" i="5"/>
  <c r="Z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G51" i="5"/>
  <c r="AG52" i="5" s="1"/>
  <c r="AG73" i="5" s="1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E75" i="5" s="1"/>
  <c r="D38" i="5"/>
  <c r="C38" i="5"/>
  <c r="AI38" i="5" s="1"/>
  <c r="B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N7" i="5"/>
  <c r="M7" i="5"/>
  <c r="F7" i="5"/>
  <c r="AF5" i="5"/>
  <c r="AC5" i="5"/>
  <c r="AB5" i="5"/>
  <c r="AA5" i="5"/>
  <c r="Y5" i="5"/>
  <c r="X5" i="5"/>
  <c r="U5" i="5"/>
  <c r="T5" i="5"/>
  <c r="Q5" i="5"/>
  <c r="P5" i="5"/>
  <c r="M5" i="5"/>
  <c r="L5" i="5"/>
  <c r="K5" i="5"/>
  <c r="I5" i="5"/>
  <c r="H5" i="5"/>
  <c r="E5" i="5"/>
  <c r="D5" i="5"/>
  <c r="AG4" i="5"/>
  <c r="K4" i="5"/>
  <c r="AG3" i="5"/>
  <c r="AG2" i="5"/>
  <c r="AG6" i="5" s="1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B234" i="4"/>
  <c r="S209" i="4"/>
  <c r="AG199" i="4"/>
  <c r="C199" i="4"/>
  <c r="D198" i="4"/>
  <c r="C234" i="4" s="1"/>
  <c r="H197" i="4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D197" i="4"/>
  <c r="E197" i="4" s="1"/>
  <c r="F197" i="4" s="1"/>
  <c r="G197" i="4" s="1"/>
  <c r="D196" i="4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D195" i="4"/>
  <c r="G194" i="4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B194" i="4" s="1"/>
  <c r="E194" i="4"/>
  <c r="F194" i="4" s="1"/>
  <c r="D194" i="4"/>
  <c r="D193" i="4"/>
  <c r="E193" i="4" s="1"/>
  <c r="AG191" i="4"/>
  <c r="C191" i="4"/>
  <c r="K190" i="4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G190" i="4"/>
  <c r="H190" i="4" s="1"/>
  <c r="I190" i="4" s="1"/>
  <c r="J190" i="4" s="1"/>
  <c r="F190" i="4"/>
  <c r="D190" i="4"/>
  <c r="E190" i="4" s="1"/>
  <c r="F189" i="4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D189" i="4"/>
  <c r="E189" i="4" s="1"/>
  <c r="E188" i="4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D188" i="4"/>
  <c r="D187" i="4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G186" i="4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F186" i="4"/>
  <c r="D186" i="4"/>
  <c r="E186" i="4" s="1"/>
  <c r="H185" i="4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E185" i="4"/>
  <c r="F185" i="4" s="1"/>
  <c r="G185" i="4" s="1"/>
  <c r="D185" i="4"/>
  <c r="D184" i="4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D183" i="4"/>
  <c r="E183" i="4" s="1"/>
  <c r="F183" i="4" s="1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D182" i="4"/>
  <c r="E182" i="4" s="1"/>
  <c r="F182" i="4" s="1"/>
  <c r="G182" i="4" s="1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D181" i="4"/>
  <c r="E181" i="4" s="1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G180" i="4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D180" i="4"/>
  <c r="E180" i="4" s="1"/>
  <c r="F180" i="4" s="1"/>
  <c r="D179" i="4"/>
  <c r="E179" i="4" s="1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D178" i="4"/>
  <c r="E178" i="4" s="1"/>
  <c r="F178" i="4" s="1"/>
  <c r="G178" i="4" s="1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B178" i="4" s="1"/>
  <c r="D176" i="4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G174" i="4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F174" i="4"/>
  <c r="E174" i="4"/>
  <c r="D174" i="4"/>
  <c r="D173" i="4"/>
  <c r="E173" i="4" s="1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J172" i="4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H172" i="4"/>
  <c r="I172" i="4" s="1"/>
  <c r="G172" i="4"/>
  <c r="F172" i="4"/>
  <c r="D172" i="4"/>
  <c r="E172" i="4" s="1"/>
  <c r="D171" i="4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F170" i="4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D170" i="4"/>
  <c r="E170" i="4" s="1"/>
  <c r="D169" i="4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B169" i="4" s="1"/>
  <c r="R167" i="4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B167" i="4" s="1"/>
  <c r="J167" i="4"/>
  <c r="K167" i="4" s="1"/>
  <c r="L167" i="4" s="1"/>
  <c r="M167" i="4" s="1"/>
  <c r="N167" i="4" s="1"/>
  <c r="O167" i="4" s="1"/>
  <c r="P167" i="4" s="1"/>
  <c r="Q167" i="4" s="1"/>
  <c r="E167" i="4"/>
  <c r="F167" i="4" s="1"/>
  <c r="G167" i="4" s="1"/>
  <c r="H167" i="4" s="1"/>
  <c r="I167" i="4" s="1"/>
  <c r="D167" i="4"/>
  <c r="K166" i="4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D166" i="4"/>
  <c r="E166" i="4" s="1"/>
  <c r="F166" i="4" s="1"/>
  <c r="G166" i="4" s="1"/>
  <c r="H166" i="4" s="1"/>
  <c r="I166" i="4" s="1"/>
  <c r="J166" i="4" s="1"/>
  <c r="J165" i="4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I165" i="4"/>
  <c r="D165" i="4"/>
  <c r="E165" i="4" s="1"/>
  <c r="F165" i="4" s="1"/>
  <c r="G165" i="4" s="1"/>
  <c r="H165" i="4" s="1"/>
  <c r="D164" i="4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G163" i="4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B163" i="4" s="1"/>
  <c r="E163" i="4"/>
  <c r="F163" i="4" s="1"/>
  <c r="D163" i="4"/>
  <c r="I162" i="4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D162" i="4"/>
  <c r="E162" i="4" s="1"/>
  <c r="F162" i="4" s="1"/>
  <c r="G162" i="4" s="1"/>
  <c r="H162" i="4" s="1"/>
  <c r="F161" i="4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D161" i="4"/>
  <c r="E161" i="4" s="1"/>
  <c r="D160" i="4"/>
  <c r="E160" i="4" s="1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J158" i="4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I158" i="4"/>
  <c r="D158" i="4"/>
  <c r="E158" i="4" s="1"/>
  <c r="F158" i="4" s="1"/>
  <c r="G158" i="4" s="1"/>
  <c r="H158" i="4" s="1"/>
  <c r="D157" i="4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F156" i="4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B156" i="4" s="1"/>
  <c r="E156" i="4"/>
  <c r="D156" i="4"/>
  <c r="E155" i="4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B155" i="4" s="1"/>
  <c r="D155" i="4"/>
  <c r="E153" i="4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D153" i="4"/>
  <c r="I152" i="4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H152" i="4"/>
  <c r="D152" i="4"/>
  <c r="E152" i="4" s="1"/>
  <c r="F152" i="4" s="1"/>
  <c r="G152" i="4" s="1"/>
  <c r="F151" i="4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E151" i="4"/>
  <c r="D151" i="4"/>
  <c r="E150" i="4"/>
  <c r="F150" i="4" s="1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B150" i="4" s="1"/>
  <c r="D150" i="4"/>
  <c r="E148" i="4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D148" i="4"/>
  <c r="D147" i="4"/>
  <c r="E147" i="4" s="1"/>
  <c r="F147" i="4" s="1"/>
  <c r="G147" i="4" s="1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B147" i="4" s="1"/>
  <c r="R145" i="4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F145" i="4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E145" i="4"/>
  <c r="D145" i="4"/>
  <c r="W144" i="4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H144" i="4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G144" i="4"/>
  <c r="E144" i="4"/>
  <c r="F144" i="4" s="1"/>
  <c r="D144" i="4"/>
  <c r="E143" i="4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D143" i="4"/>
  <c r="O142" i="4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H142" i="4"/>
  <c r="I142" i="4" s="1"/>
  <c r="J142" i="4" s="1"/>
  <c r="K142" i="4" s="1"/>
  <c r="L142" i="4" s="1"/>
  <c r="M142" i="4" s="1"/>
  <c r="N142" i="4" s="1"/>
  <c r="E142" i="4"/>
  <c r="F142" i="4" s="1"/>
  <c r="G142" i="4" s="1"/>
  <c r="D142" i="4"/>
  <c r="Q141" i="4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I141" i="4"/>
  <c r="J141" i="4" s="1"/>
  <c r="K141" i="4" s="1"/>
  <c r="L141" i="4" s="1"/>
  <c r="M141" i="4" s="1"/>
  <c r="N141" i="4" s="1"/>
  <c r="O141" i="4" s="1"/>
  <c r="P141" i="4" s="1"/>
  <c r="G141" i="4"/>
  <c r="H141" i="4" s="1"/>
  <c r="F141" i="4"/>
  <c r="E141" i="4"/>
  <c r="D141" i="4"/>
  <c r="G140" i="4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E140" i="4"/>
  <c r="F140" i="4" s="1"/>
  <c r="D140" i="4"/>
  <c r="J139" i="4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B139" i="4" s="1"/>
  <c r="E139" i="4"/>
  <c r="F139" i="4" s="1"/>
  <c r="G139" i="4" s="1"/>
  <c r="H139" i="4" s="1"/>
  <c r="I139" i="4" s="1"/>
  <c r="D139" i="4"/>
  <c r="E137" i="4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D137" i="4"/>
  <c r="N136" i="4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H136" i="4"/>
  <c r="I136" i="4" s="1"/>
  <c r="J136" i="4" s="1"/>
  <c r="K136" i="4" s="1"/>
  <c r="L136" i="4" s="1"/>
  <c r="M136" i="4" s="1"/>
  <c r="G136" i="4"/>
  <c r="E136" i="4"/>
  <c r="F136" i="4" s="1"/>
  <c r="D136" i="4"/>
  <c r="D135" i="4"/>
  <c r="E135" i="4" s="1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N134" i="4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D134" i="4"/>
  <c r="E134" i="4" s="1"/>
  <c r="F134" i="4" s="1"/>
  <c r="G134" i="4" s="1"/>
  <c r="H134" i="4" s="1"/>
  <c r="I134" i="4" s="1"/>
  <c r="J134" i="4" s="1"/>
  <c r="K134" i="4" s="1"/>
  <c r="L134" i="4" s="1"/>
  <c r="M134" i="4" s="1"/>
  <c r="T133" i="4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H133" i="4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G133" i="4"/>
  <c r="D133" i="4"/>
  <c r="E133" i="4" s="1"/>
  <c r="F133" i="4" s="1"/>
  <c r="G132" i="4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F132" i="4"/>
  <c r="E132" i="4"/>
  <c r="D132" i="4"/>
  <c r="I131" i="4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B131" i="4" s="1"/>
  <c r="D131" i="4"/>
  <c r="E131" i="4" s="1"/>
  <c r="F131" i="4" s="1"/>
  <c r="G131" i="4" s="1"/>
  <c r="H131" i="4" s="1"/>
  <c r="I130" i="4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B130" i="4" s="1"/>
  <c r="D130" i="4"/>
  <c r="E130" i="4" s="1"/>
  <c r="F130" i="4" s="1"/>
  <c r="G130" i="4" s="1"/>
  <c r="H130" i="4" s="1"/>
  <c r="E128" i="4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D128" i="4"/>
  <c r="I127" i="4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E127" i="4"/>
  <c r="F127" i="4" s="1"/>
  <c r="G127" i="4" s="1"/>
  <c r="H127" i="4" s="1"/>
  <c r="D127" i="4"/>
  <c r="D126" i="4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J125" i="4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F125" i="4"/>
  <c r="G125" i="4" s="1"/>
  <c r="H125" i="4" s="1"/>
  <c r="I125" i="4" s="1"/>
  <c r="E125" i="4"/>
  <c r="D125" i="4"/>
  <c r="D124" i="4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B124" i="4" s="1"/>
  <c r="I123" i="4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G123" i="4"/>
  <c r="H123" i="4" s="1"/>
  <c r="E123" i="4"/>
  <c r="F123" i="4" s="1"/>
  <c r="D123" i="4"/>
  <c r="D122" i="4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E121" i="4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D121" i="4"/>
  <c r="D120" i="4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E119" i="4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D119" i="4"/>
  <c r="D118" i="4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F117" i="4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E117" i="4"/>
  <c r="D117" i="4"/>
  <c r="E116" i="4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D116" i="4"/>
  <c r="G115" i="4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E115" i="4"/>
  <c r="F115" i="4" s="1"/>
  <c r="D115" i="4"/>
  <c r="D114" i="4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L113" i="4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K113" i="4"/>
  <c r="E113" i="4"/>
  <c r="F113" i="4" s="1"/>
  <c r="G113" i="4" s="1"/>
  <c r="H113" i="4" s="1"/>
  <c r="I113" i="4" s="1"/>
  <c r="D113" i="4"/>
  <c r="D112" i="4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D111" i="4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B111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D108" i="4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B108" i="4" s="1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F105" i="4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D105" i="4"/>
  <c r="E105" i="4" s="1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F103" i="4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B103" i="4" s="1"/>
  <c r="D103" i="4"/>
  <c r="E103" i="4" s="1"/>
  <c r="D102" i="4"/>
  <c r="E102" i="4" s="1"/>
  <c r="D101" i="4"/>
  <c r="AH99" i="4"/>
  <c r="AI99" i="4" s="1"/>
  <c r="AH98" i="4"/>
  <c r="AI98" i="4" s="1"/>
  <c r="AH97" i="4"/>
  <c r="AI97" i="4" s="1"/>
  <c r="AH96" i="4"/>
  <c r="AI96" i="4" s="1"/>
  <c r="AB95" i="4"/>
  <c r="Q95" i="4"/>
  <c r="P95" i="4"/>
  <c r="O95" i="4"/>
  <c r="N95" i="4"/>
  <c r="M95" i="4"/>
  <c r="AH94" i="4"/>
  <c r="AI94" i="4" s="1"/>
  <c r="D93" i="4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S82" i="4"/>
  <c r="C82" i="4"/>
  <c r="AI81" i="4"/>
  <c r="AH81" i="4"/>
  <c r="AF80" i="4"/>
  <c r="AE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F79" i="4"/>
  <c r="AE79" i="4"/>
  <c r="AB79" i="4"/>
  <c r="AB82" i="4" s="1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G82" i="4" s="1"/>
  <c r="F79" i="4"/>
  <c r="E79" i="4"/>
  <c r="D79" i="4"/>
  <c r="C79" i="4"/>
  <c r="AH79" i="4" s="1"/>
  <c r="B79" i="4"/>
  <c r="AF78" i="4"/>
  <c r="AE78" i="4"/>
  <c r="AB78" i="4"/>
  <c r="AA78" i="4"/>
  <c r="Z78" i="4"/>
  <c r="Y78" i="4"/>
  <c r="X78" i="4"/>
  <c r="X82" i="4" s="1"/>
  <c r="W78" i="4"/>
  <c r="V78" i="4"/>
  <c r="U78" i="4"/>
  <c r="T78" i="4"/>
  <c r="T82" i="4" s="1"/>
  <c r="S78" i="4"/>
  <c r="M78" i="4"/>
  <c r="M82" i="4" s="1"/>
  <c r="L78" i="4"/>
  <c r="L82" i="4" s="1"/>
  <c r="K78" i="4"/>
  <c r="J78" i="4"/>
  <c r="I78" i="4"/>
  <c r="H78" i="4"/>
  <c r="H82" i="4" s="1"/>
  <c r="G78" i="4"/>
  <c r="F78" i="4"/>
  <c r="E78" i="4"/>
  <c r="AH78" i="4" s="1"/>
  <c r="D78" i="4"/>
  <c r="D82" i="4" s="1"/>
  <c r="C78" i="4"/>
  <c r="B78" i="4"/>
  <c r="AI78" i="4" s="1"/>
  <c r="AF77" i="4"/>
  <c r="AE77" i="4"/>
  <c r="AB77" i="4"/>
  <c r="AA77" i="4"/>
  <c r="Z77" i="4"/>
  <c r="Y77" i="4"/>
  <c r="Y82" i="4" s="1"/>
  <c r="X77" i="4"/>
  <c r="W77" i="4"/>
  <c r="V77" i="4"/>
  <c r="U77" i="4"/>
  <c r="U82" i="4" s="1"/>
  <c r="T77" i="4"/>
  <c r="S77" i="4"/>
  <c r="R77" i="4"/>
  <c r="Q77" i="4"/>
  <c r="P77" i="4"/>
  <c r="O77" i="4"/>
  <c r="N77" i="4"/>
  <c r="M77" i="4"/>
  <c r="L77" i="4"/>
  <c r="K77" i="4"/>
  <c r="J77" i="4"/>
  <c r="I77" i="4"/>
  <c r="AH77" i="4" s="1"/>
  <c r="H77" i="4"/>
  <c r="G77" i="4"/>
  <c r="F77" i="4"/>
  <c r="E77" i="4"/>
  <c r="E82" i="4" s="1"/>
  <c r="D77" i="4"/>
  <c r="C77" i="4"/>
  <c r="B77" i="4"/>
  <c r="AI77" i="4" s="1"/>
  <c r="AI76" i="4"/>
  <c r="AF76" i="4"/>
  <c r="AE76" i="4"/>
  <c r="AB76" i="4"/>
  <c r="AA76" i="4"/>
  <c r="AA82" i="4" s="1"/>
  <c r="Z76" i="4"/>
  <c r="Z82" i="4" s="1"/>
  <c r="Y76" i="4"/>
  <c r="X76" i="4"/>
  <c r="W76" i="4"/>
  <c r="W82" i="4" s="1"/>
  <c r="V76" i="4"/>
  <c r="U76" i="4"/>
  <c r="T76" i="4"/>
  <c r="S76" i="4"/>
  <c r="R76" i="4"/>
  <c r="R82" i="4" s="1"/>
  <c r="Q76" i="4"/>
  <c r="P76" i="4"/>
  <c r="P82" i="4" s="1"/>
  <c r="O76" i="4"/>
  <c r="O82" i="4" s="1"/>
  <c r="N76" i="4"/>
  <c r="N82" i="4" s="1"/>
  <c r="M76" i="4"/>
  <c r="L76" i="4"/>
  <c r="K76" i="4"/>
  <c r="K82" i="4" s="1"/>
  <c r="J76" i="4"/>
  <c r="J82" i="4" s="1"/>
  <c r="I76" i="4"/>
  <c r="H76" i="4"/>
  <c r="G76" i="4"/>
  <c r="F76" i="4"/>
  <c r="F82" i="4" s="1"/>
  <c r="E76" i="4"/>
  <c r="D76" i="4"/>
  <c r="C76" i="4"/>
  <c r="B76" i="4"/>
  <c r="Z75" i="4"/>
  <c r="AR213" i="4" s="1"/>
  <c r="Y75" i="4"/>
  <c r="AQ213" i="4" s="1"/>
  <c r="M75" i="4"/>
  <c r="AE213" i="4" s="1"/>
  <c r="J75" i="4"/>
  <c r="AB213" i="4" s="1"/>
  <c r="I75" i="4"/>
  <c r="AA213" i="4" s="1"/>
  <c r="AI74" i="4"/>
  <c r="AH74" i="4"/>
  <c r="Y73" i="4"/>
  <c r="Y83" i="4" s="1"/>
  <c r="M73" i="4"/>
  <c r="M83" i="4" s="1"/>
  <c r="F73" i="4"/>
  <c r="AG72" i="4"/>
  <c r="AF72" i="4"/>
  <c r="AE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H75" i="4" s="1"/>
  <c r="G72" i="4"/>
  <c r="F72" i="4"/>
  <c r="F75" i="4" s="1"/>
  <c r="E72" i="4"/>
  <c r="D72" i="4"/>
  <c r="C72" i="4"/>
  <c r="B72" i="4"/>
  <c r="AH72" i="4" s="1"/>
  <c r="AI71" i="4"/>
  <c r="AH71" i="4"/>
  <c r="AI70" i="4"/>
  <c r="AH70" i="4"/>
  <c r="AI69" i="4"/>
  <c r="AH69" i="4"/>
  <c r="AG68" i="4"/>
  <c r="AF68" i="4"/>
  <c r="AE68" i="4"/>
  <c r="AD5" i="4" s="1"/>
  <c r="AB5" i="4"/>
  <c r="AB68" i="4"/>
  <c r="AA5" i="4" s="1"/>
  <c r="AA68" i="4"/>
  <c r="Z68" i="4"/>
  <c r="Z73" i="4" s="1"/>
  <c r="Z83" i="4" s="1"/>
  <c r="Y68" i="4"/>
  <c r="X68" i="4"/>
  <c r="W68" i="4"/>
  <c r="V68" i="4"/>
  <c r="U68" i="4"/>
  <c r="T5" i="4" s="1"/>
  <c r="T68" i="4"/>
  <c r="S5" i="4" s="1"/>
  <c r="S68" i="4"/>
  <c r="R68" i="4"/>
  <c r="R75" i="4" s="1"/>
  <c r="AJ213" i="4" s="1"/>
  <c r="Q68" i="4"/>
  <c r="Q73" i="4" s="1"/>
  <c r="P68" i="4"/>
  <c r="O5" i="4" s="1"/>
  <c r="O68" i="4"/>
  <c r="N68" i="4"/>
  <c r="N75" i="4" s="1"/>
  <c r="AF213" i="4" s="1"/>
  <c r="M68" i="4"/>
  <c r="L5" i="4" s="1"/>
  <c r="L68" i="4"/>
  <c r="K5" i="4" s="1"/>
  <c r="K68" i="4"/>
  <c r="J68" i="4"/>
  <c r="J73" i="4" s="1"/>
  <c r="J83" i="4" s="1"/>
  <c r="I68" i="4"/>
  <c r="H5" i="4" s="1"/>
  <c r="H68" i="4"/>
  <c r="H73" i="4" s="1"/>
  <c r="G68" i="4"/>
  <c r="F68" i="4"/>
  <c r="E68" i="4"/>
  <c r="E73" i="4" s="1"/>
  <c r="D68" i="4"/>
  <c r="C5" i="4" s="1"/>
  <c r="C68" i="4"/>
  <c r="B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F56" i="4"/>
  <c r="AE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I56" i="4" s="1"/>
  <c r="B56" i="4"/>
  <c r="AH56" i="4" s="1"/>
  <c r="AI55" i="4"/>
  <c r="AH55" i="4"/>
  <c r="AI54" i="4"/>
  <c r="AH54" i="4"/>
  <c r="AI53" i="4"/>
  <c r="AH53" i="4"/>
  <c r="Z52" i="4"/>
  <c r="Y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G51" i="4"/>
  <c r="AG52" i="4" s="1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F38" i="4"/>
  <c r="AE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B37" i="4"/>
  <c r="R37" i="4"/>
  <c r="Q37" i="4"/>
  <c r="P37" i="4"/>
  <c r="O37" i="4"/>
  <c r="AH37" i="4" s="1"/>
  <c r="N37" i="4"/>
  <c r="M37" i="4"/>
  <c r="AI37" i="4" s="1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C5" i="4"/>
  <c r="Z5" i="4"/>
  <c r="Y5" i="4"/>
  <c r="X5" i="4"/>
  <c r="U5" i="4"/>
  <c r="R5" i="4"/>
  <c r="P5" i="4"/>
  <c r="M5" i="4"/>
  <c r="J5" i="4"/>
  <c r="I5" i="4"/>
  <c r="E5" i="4"/>
  <c r="B5" i="4"/>
  <c r="AG4" i="4"/>
  <c r="K4" i="4"/>
  <c r="B4" i="4"/>
  <c r="AG2" i="4"/>
  <c r="E4" i="6"/>
  <c r="E4" i="5"/>
  <c r="E4" i="4"/>
  <c r="AE82" i="6" l="1"/>
  <c r="Z82" i="6"/>
  <c r="Z73" i="6"/>
  <c r="Z75" i="6"/>
  <c r="Y82" i="6"/>
  <c r="W82" i="6"/>
  <c r="T73" i="6"/>
  <c r="S82" i="6"/>
  <c r="S75" i="6"/>
  <c r="AK213" i="6" s="1"/>
  <c r="S7" i="6"/>
  <c r="S73" i="6"/>
  <c r="S83" i="6" s="1"/>
  <c r="R82" i="6"/>
  <c r="R73" i="6"/>
  <c r="R75" i="6"/>
  <c r="AJ213" i="6" s="1"/>
  <c r="Q82" i="6"/>
  <c r="Q73" i="6"/>
  <c r="Q75" i="4"/>
  <c r="Q82" i="4"/>
  <c r="Q5" i="4"/>
  <c r="N73" i="4"/>
  <c r="N83" i="4" s="1"/>
  <c r="R73" i="4"/>
  <c r="R83" i="4" s="1"/>
  <c r="P82" i="6"/>
  <c r="P75" i="6"/>
  <c r="O82" i="6"/>
  <c r="O75" i="6"/>
  <c r="AG213" i="6" s="1"/>
  <c r="O73" i="6"/>
  <c r="O83" i="6" s="1"/>
  <c r="N73" i="6"/>
  <c r="K82" i="6"/>
  <c r="AI77" i="6"/>
  <c r="J82" i="6"/>
  <c r="J73" i="6"/>
  <c r="AI78" i="6"/>
  <c r="H82" i="6"/>
  <c r="G75" i="6"/>
  <c r="G7" i="6" s="1"/>
  <c r="G82" i="6"/>
  <c r="AH76" i="6"/>
  <c r="H75" i="6"/>
  <c r="Z213" i="6" s="1"/>
  <c r="G73" i="6"/>
  <c r="G83" i="6" s="1"/>
  <c r="I73" i="6"/>
  <c r="L73" i="6"/>
  <c r="J75" i="6"/>
  <c r="AB213" i="6" s="1"/>
  <c r="D73" i="6"/>
  <c r="C82" i="6"/>
  <c r="C73" i="6"/>
  <c r="C75" i="6" s="1"/>
  <c r="U213" i="6" s="1"/>
  <c r="B75" i="6"/>
  <c r="B82" i="6"/>
  <c r="B73" i="6"/>
  <c r="K75" i="6"/>
  <c r="H4" i="6"/>
  <c r="I75" i="6"/>
  <c r="Q75" i="6"/>
  <c r="Q83" i="6" s="1"/>
  <c r="AG75" i="6"/>
  <c r="AG83" i="6" s="1"/>
  <c r="AI76" i="6"/>
  <c r="I82" i="6"/>
  <c r="G5" i="6"/>
  <c r="H73" i="6"/>
  <c r="O5" i="6"/>
  <c r="P73" i="6"/>
  <c r="P83" i="6" s="1"/>
  <c r="W5" i="6"/>
  <c r="AE5" i="6"/>
  <c r="AH72" i="6"/>
  <c r="L82" i="6"/>
  <c r="T82" i="6"/>
  <c r="Y213" i="6"/>
  <c r="AH68" i="6"/>
  <c r="E82" i="6"/>
  <c r="M82" i="6"/>
  <c r="U82" i="6"/>
  <c r="AC82" i="6"/>
  <c r="D82" i="6"/>
  <c r="AB82" i="6"/>
  <c r="H5" i="6"/>
  <c r="AI68" i="6"/>
  <c r="F82" i="6"/>
  <c r="N82" i="6"/>
  <c r="V82" i="6"/>
  <c r="AD82" i="6"/>
  <c r="AH213" i="6"/>
  <c r="P7" i="6"/>
  <c r="S210" i="6"/>
  <c r="D210" i="6"/>
  <c r="AG6" i="6"/>
  <c r="AH56" i="6"/>
  <c r="AI80" i="6"/>
  <c r="AI38" i="6"/>
  <c r="AH38" i="6"/>
  <c r="AI56" i="6"/>
  <c r="E73" i="6"/>
  <c r="M73" i="6"/>
  <c r="AI79" i="6"/>
  <c r="E102" i="6"/>
  <c r="B5" i="6"/>
  <c r="D75" i="6"/>
  <c r="L75" i="6"/>
  <c r="T75" i="6"/>
  <c r="AH77" i="6"/>
  <c r="AI72" i="6"/>
  <c r="E75" i="6"/>
  <c r="M75" i="6"/>
  <c r="AH78" i="6"/>
  <c r="F75" i="6"/>
  <c r="N75" i="6"/>
  <c r="AH79" i="6"/>
  <c r="AH80" i="6"/>
  <c r="F101" i="6"/>
  <c r="D191" i="6"/>
  <c r="G193" i="6"/>
  <c r="C234" i="6"/>
  <c r="E198" i="6"/>
  <c r="D199" i="6"/>
  <c r="E194" i="6"/>
  <c r="AF82" i="4"/>
  <c r="AE82" i="4"/>
  <c r="AH68" i="4"/>
  <c r="AI80" i="4"/>
  <c r="AH38" i="4"/>
  <c r="AI38" i="4"/>
  <c r="AD75" i="4"/>
  <c r="AD83" i="4" s="1"/>
  <c r="H4" i="5"/>
  <c r="W213" i="5"/>
  <c r="E7" i="5"/>
  <c r="Z83" i="5"/>
  <c r="T73" i="5"/>
  <c r="T83" i="5" s="1"/>
  <c r="G73" i="5"/>
  <c r="F5" i="5"/>
  <c r="O73" i="5"/>
  <c r="O83" i="5" s="1"/>
  <c r="N5" i="5"/>
  <c r="V5" i="5"/>
  <c r="AD5" i="5"/>
  <c r="H75" i="5"/>
  <c r="P75" i="5"/>
  <c r="AH80" i="5"/>
  <c r="P73" i="5"/>
  <c r="E82" i="5"/>
  <c r="E83" i="5" s="1"/>
  <c r="F108" i="5"/>
  <c r="G108" i="5" s="1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B108" i="5" s="1"/>
  <c r="E93" i="5"/>
  <c r="H73" i="5"/>
  <c r="H83" i="5" s="1"/>
  <c r="I83" i="5"/>
  <c r="Q83" i="5"/>
  <c r="AG83" i="5"/>
  <c r="I7" i="5"/>
  <c r="S5" i="5"/>
  <c r="J7" i="5"/>
  <c r="Z7" i="5"/>
  <c r="AH68" i="5"/>
  <c r="K75" i="5"/>
  <c r="S75" i="5"/>
  <c r="F82" i="5"/>
  <c r="N82" i="5"/>
  <c r="N83" i="5" s="1"/>
  <c r="V82" i="5"/>
  <c r="AD82" i="5"/>
  <c r="G5" i="5"/>
  <c r="AE5" i="5"/>
  <c r="AH38" i="5"/>
  <c r="AH56" i="5"/>
  <c r="C73" i="5"/>
  <c r="C75" i="5" s="1"/>
  <c r="B5" i="5"/>
  <c r="K73" i="5"/>
  <c r="K83" i="5" s="1"/>
  <c r="J5" i="5"/>
  <c r="S73" i="5"/>
  <c r="R5" i="5"/>
  <c r="Z5" i="5"/>
  <c r="D75" i="5"/>
  <c r="L83" i="5"/>
  <c r="L75" i="5"/>
  <c r="T75" i="5"/>
  <c r="W5" i="5"/>
  <c r="D73" i="5"/>
  <c r="D83" i="5" s="1"/>
  <c r="L73" i="5"/>
  <c r="M83" i="5"/>
  <c r="F83" i="5"/>
  <c r="Q7" i="5"/>
  <c r="C5" i="5"/>
  <c r="R7" i="5"/>
  <c r="G75" i="5"/>
  <c r="O75" i="5"/>
  <c r="B82" i="5"/>
  <c r="J82" i="5"/>
  <c r="J83" i="5" s="1"/>
  <c r="R82" i="5"/>
  <c r="R83" i="5" s="1"/>
  <c r="Z82" i="5"/>
  <c r="AI79" i="5"/>
  <c r="AI80" i="5"/>
  <c r="AI76" i="5"/>
  <c r="S210" i="5"/>
  <c r="D210" i="5"/>
  <c r="E191" i="5"/>
  <c r="F101" i="5"/>
  <c r="AH76" i="5"/>
  <c r="G102" i="5"/>
  <c r="F193" i="5"/>
  <c r="E199" i="5"/>
  <c r="E234" i="5"/>
  <c r="G198" i="5"/>
  <c r="H4" i="4"/>
  <c r="Z213" i="4"/>
  <c r="H7" i="4"/>
  <c r="F102" i="4"/>
  <c r="E93" i="4"/>
  <c r="F83" i="4"/>
  <c r="AG3" i="4"/>
  <c r="AG6" i="4" s="1"/>
  <c r="AG73" i="4"/>
  <c r="AG83" i="4" s="1"/>
  <c r="AI213" i="4"/>
  <c r="Q7" i="4"/>
  <c r="AG75" i="4"/>
  <c r="Q83" i="4"/>
  <c r="G83" i="4"/>
  <c r="X213" i="4"/>
  <c r="F7" i="4"/>
  <c r="G73" i="4"/>
  <c r="O73" i="4"/>
  <c r="O83" i="4" s="1"/>
  <c r="N5" i="4"/>
  <c r="G5" i="4"/>
  <c r="W5" i="4"/>
  <c r="AE5" i="4"/>
  <c r="M7" i="4"/>
  <c r="I73" i="4"/>
  <c r="T73" i="4"/>
  <c r="T83" i="4" s="1"/>
  <c r="E75" i="4"/>
  <c r="I82" i="4"/>
  <c r="AH95" i="4"/>
  <c r="AI95" i="4" s="1"/>
  <c r="D191" i="4"/>
  <c r="E101" i="4"/>
  <c r="N7" i="4"/>
  <c r="AI79" i="4"/>
  <c r="AH80" i="4"/>
  <c r="C73" i="4"/>
  <c r="C75" i="4" s="1"/>
  <c r="K73" i="4"/>
  <c r="S73" i="4"/>
  <c r="S83" i="4" s="1"/>
  <c r="AI68" i="4"/>
  <c r="K75" i="4"/>
  <c r="S75" i="4"/>
  <c r="AI72" i="4"/>
  <c r="L73" i="4"/>
  <c r="D73" i="4"/>
  <c r="D83" i="4" s="1"/>
  <c r="L83" i="4"/>
  <c r="T75" i="4"/>
  <c r="V82" i="4"/>
  <c r="I7" i="4"/>
  <c r="Y7" i="4"/>
  <c r="D5" i="4"/>
  <c r="J7" i="4"/>
  <c r="R7" i="4"/>
  <c r="Z7" i="4"/>
  <c r="P73" i="4"/>
  <c r="L75" i="4"/>
  <c r="G75" i="4"/>
  <c r="S210" i="4"/>
  <c r="D210" i="4"/>
  <c r="F5" i="4"/>
  <c r="H83" i="4"/>
  <c r="D75" i="4"/>
  <c r="O75" i="4"/>
  <c r="V5" i="4"/>
  <c r="B82" i="4"/>
  <c r="AH76" i="4"/>
  <c r="P75" i="4"/>
  <c r="E195" i="4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D199" i="4"/>
  <c r="F193" i="4"/>
  <c r="E198" i="4"/>
  <c r="Z83" i="6" l="1"/>
  <c r="AR213" i="6"/>
  <c r="Z7" i="6"/>
  <c r="R7" i="6"/>
  <c r="R83" i="6"/>
  <c r="P83" i="4"/>
  <c r="O7" i="6"/>
  <c r="M83" i="6"/>
  <c r="H83" i="6"/>
  <c r="C208" i="6"/>
  <c r="H7" i="6"/>
  <c r="J83" i="6"/>
  <c r="E83" i="6"/>
  <c r="I83" i="6"/>
  <c r="J7" i="6"/>
  <c r="AI82" i="6"/>
  <c r="C83" i="6"/>
  <c r="C7" i="6"/>
  <c r="B83" i="6"/>
  <c r="AC213" i="6"/>
  <c r="K7" i="6"/>
  <c r="K83" i="6"/>
  <c r="W213" i="6"/>
  <c r="E7" i="6"/>
  <c r="F102" i="6"/>
  <c r="E93" i="6"/>
  <c r="B208" i="6"/>
  <c r="H193" i="6"/>
  <c r="AF213" i="6"/>
  <c r="N7" i="6"/>
  <c r="X213" i="6"/>
  <c r="F7" i="6"/>
  <c r="AH82" i="6"/>
  <c r="N83" i="6"/>
  <c r="AI213" i="6"/>
  <c r="Q7" i="6"/>
  <c r="F191" i="6"/>
  <c r="G101" i="6"/>
  <c r="F83" i="6"/>
  <c r="F194" i="6"/>
  <c r="E199" i="6"/>
  <c r="AL213" i="6"/>
  <c r="T7" i="6"/>
  <c r="T83" i="6"/>
  <c r="AA213" i="6"/>
  <c r="I7" i="6"/>
  <c r="E191" i="6"/>
  <c r="AD213" i="6"/>
  <c r="L7" i="6"/>
  <c r="L83" i="6"/>
  <c r="D234" i="6"/>
  <c r="F198" i="6"/>
  <c r="AE213" i="6"/>
  <c r="M7" i="6"/>
  <c r="V213" i="6"/>
  <c r="D7" i="6"/>
  <c r="D83" i="6"/>
  <c r="B208" i="5"/>
  <c r="C208" i="5"/>
  <c r="Y213" i="5"/>
  <c r="G7" i="5"/>
  <c r="F234" i="5"/>
  <c r="H198" i="5"/>
  <c r="AH82" i="5"/>
  <c r="AI82" i="5"/>
  <c r="AK213" i="5"/>
  <c r="S7" i="5"/>
  <c r="AH213" i="5"/>
  <c r="P7" i="5"/>
  <c r="AC213" i="5"/>
  <c r="K7" i="5"/>
  <c r="P83" i="5"/>
  <c r="G193" i="5"/>
  <c r="F199" i="5"/>
  <c r="S83" i="5"/>
  <c r="Z213" i="5"/>
  <c r="H7" i="5"/>
  <c r="C83" i="5"/>
  <c r="AL213" i="5"/>
  <c r="T7" i="5"/>
  <c r="G93" i="5"/>
  <c r="H102" i="5"/>
  <c r="AG213" i="5"/>
  <c r="O7" i="5"/>
  <c r="AD213" i="5"/>
  <c r="L7" i="5"/>
  <c r="G83" i="5"/>
  <c r="F93" i="5"/>
  <c r="V213" i="5"/>
  <c r="D7" i="5"/>
  <c r="F191" i="5"/>
  <c r="G101" i="5"/>
  <c r="U213" i="5"/>
  <c r="C7" i="5"/>
  <c r="V213" i="4"/>
  <c r="D7" i="4"/>
  <c r="W213" i="4"/>
  <c r="E7" i="4"/>
  <c r="AH213" i="4"/>
  <c r="P7" i="4"/>
  <c r="AK213" i="4"/>
  <c r="S7" i="4"/>
  <c r="AD213" i="4"/>
  <c r="L7" i="4"/>
  <c r="AC213" i="4"/>
  <c r="K7" i="4"/>
  <c r="I83" i="4"/>
  <c r="AH82" i="4"/>
  <c r="AI82" i="4"/>
  <c r="E199" i="4"/>
  <c r="K83" i="4"/>
  <c r="E83" i="4"/>
  <c r="G102" i="4"/>
  <c r="F198" i="4"/>
  <c r="D234" i="4"/>
  <c r="E191" i="4"/>
  <c r="F101" i="4"/>
  <c r="G193" i="4"/>
  <c r="AG213" i="4"/>
  <c r="O7" i="4"/>
  <c r="B208" i="4"/>
  <c r="Y213" i="4"/>
  <c r="C208" i="4"/>
  <c r="G7" i="4"/>
  <c r="C83" i="4"/>
  <c r="AL213" i="4"/>
  <c r="T7" i="4"/>
  <c r="U213" i="4"/>
  <c r="C7" i="4"/>
  <c r="K6" i="4" l="1"/>
  <c r="K6" i="6"/>
  <c r="E234" i="6"/>
  <c r="G198" i="6"/>
  <c r="I193" i="6"/>
  <c r="G194" i="6"/>
  <c r="F199" i="6"/>
  <c r="G102" i="6"/>
  <c r="F93" i="6"/>
  <c r="G191" i="6"/>
  <c r="H101" i="6"/>
  <c r="I198" i="5"/>
  <c r="G234" i="5"/>
  <c r="G191" i="5"/>
  <c r="H101" i="5"/>
  <c r="I102" i="5"/>
  <c r="H93" i="5"/>
  <c r="H193" i="5"/>
  <c r="G199" i="5"/>
  <c r="K6" i="5"/>
  <c r="E234" i="4"/>
  <c r="G198" i="4"/>
  <c r="G199" i="4" s="1"/>
  <c r="H193" i="4"/>
  <c r="H102" i="4"/>
  <c r="G93" i="4"/>
  <c r="F93" i="4"/>
  <c r="F199" i="4"/>
  <c r="F191" i="4"/>
  <c r="G101" i="4"/>
  <c r="J193" i="6" l="1"/>
  <c r="H191" i="6"/>
  <c r="I101" i="6"/>
  <c r="H194" i="6"/>
  <c r="G199" i="6"/>
  <c r="F234" i="6"/>
  <c r="H198" i="6"/>
  <c r="H102" i="6"/>
  <c r="G93" i="6"/>
  <c r="J102" i="5"/>
  <c r="I93" i="5"/>
  <c r="H191" i="5"/>
  <c r="I101" i="5"/>
  <c r="H234" i="5"/>
  <c r="J198" i="5"/>
  <c r="H199" i="5"/>
  <c r="I193" i="5"/>
  <c r="I102" i="4"/>
  <c r="J102" i="4" s="1"/>
  <c r="I193" i="4"/>
  <c r="G191" i="4"/>
  <c r="H101" i="4"/>
  <c r="F234" i="4"/>
  <c r="H198" i="4"/>
  <c r="H93" i="4" s="1"/>
  <c r="K193" i="6" l="1"/>
  <c r="G234" i="6"/>
  <c r="I198" i="6"/>
  <c r="I194" i="6"/>
  <c r="H199" i="6"/>
  <c r="J101" i="6"/>
  <c r="I102" i="6"/>
  <c r="H93" i="6"/>
  <c r="I234" i="5"/>
  <c r="K198" i="5"/>
  <c r="I191" i="5"/>
  <c r="J101" i="5"/>
  <c r="K102" i="5"/>
  <c r="I199" i="5"/>
  <c r="J193" i="5"/>
  <c r="H191" i="4"/>
  <c r="I101" i="4"/>
  <c r="I199" i="4"/>
  <c r="J193" i="4"/>
  <c r="H199" i="4"/>
  <c r="K102" i="4"/>
  <c r="I198" i="4"/>
  <c r="G234" i="4"/>
  <c r="K101" i="6" l="1"/>
  <c r="J194" i="6"/>
  <c r="I199" i="6"/>
  <c r="H234" i="6"/>
  <c r="J198" i="6"/>
  <c r="L193" i="6"/>
  <c r="J102" i="6"/>
  <c r="I93" i="6"/>
  <c r="I191" i="6"/>
  <c r="J199" i="5"/>
  <c r="K193" i="5"/>
  <c r="J93" i="5"/>
  <c r="L102" i="5"/>
  <c r="K93" i="5"/>
  <c r="J191" i="5"/>
  <c r="K101" i="5"/>
  <c r="J234" i="5"/>
  <c r="L198" i="5"/>
  <c r="L102" i="4"/>
  <c r="K193" i="4"/>
  <c r="I191" i="4"/>
  <c r="J101" i="4"/>
  <c r="H234" i="4"/>
  <c r="J198" i="4"/>
  <c r="K198" i="6" l="1"/>
  <c r="I234" i="6"/>
  <c r="K194" i="6"/>
  <c r="J199" i="6"/>
  <c r="K102" i="6"/>
  <c r="J93" i="6"/>
  <c r="K191" i="6"/>
  <c r="L101" i="6"/>
  <c r="M193" i="6"/>
  <c r="J191" i="6"/>
  <c r="K191" i="5"/>
  <c r="L101" i="5"/>
  <c r="M102" i="5"/>
  <c r="K199" i="5"/>
  <c r="L193" i="5"/>
  <c r="M198" i="5"/>
  <c r="K234" i="5"/>
  <c r="K198" i="4"/>
  <c r="I234" i="4"/>
  <c r="J93" i="4"/>
  <c r="J191" i="4"/>
  <c r="K101" i="4"/>
  <c r="L193" i="4"/>
  <c r="K199" i="4"/>
  <c r="M102" i="4"/>
  <c r="J199" i="4"/>
  <c r="K93" i="6" l="1"/>
  <c r="L102" i="6"/>
  <c r="L194" i="6"/>
  <c r="K199" i="6"/>
  <c r="N193" i="6"/>
  <c r="J234" i="6"/>
  <c r="L198" i="6"/>
  <c r="L191" i="6"/>
  <c r="M101" i="6"/>
  <c r="M193" i="5"/>
  <c r="L199" i="5"/>
  <c r="L234" i="5"/>
  <c r="N198" i="5"/>
  <c r="L93" i="5"/>
  <c r="N102" i="5"/>
  <c r="M93" i="5"/>
  <c r="L191" i="5"/>
  <c r="M101" i="5"/>
  <c r="N102" i="4"/>
  <c r="M193" i="4"/>
  <c r="K191" i="4"/>
  <c r="L101" i="4"/>
  <c r="L93" i="4"/>
  <c r="L198" i="4"/>
  <c r="J234" i="4"/>
  <c r="K93" i="4"/>
  <c r="K234" i="6" l="1"/>
  <c r="M198" i="6"/>
  <c r="O193" i="6"/>
  <c r="M194" i="6"/>
  <c r="L199" i="6"/>
  <c r="M191" i="6"/>
  <c r="N101" i="6"/>
  <c r="L93" i="6"/>
  <c r="M102" i="6"/>
  <c r="O102" i="5"/>
  <c r="M234" i="5"/>
  <c r="O198" i="5"/>
  <c r="M191" i="5"/>
  <c r="N101" i="5"/>
  <c r="N193" i="5"/>
  <c r="M199" i="5"/>
  <c r="K234" i="4"/>
  <c r="M198" i="4"/>
  <c r="M199" i="4" s="1"/>
  <c r="L191" i="4"/>
  <c r="M101" i="4"/>
  <c r="N193" i="4"/>
  <c r="L199" i="4"/>
  <c r="O102" i="4"/>
  <c r="O101" i="6" l="1"/>
  <c r="P193" i="6"/>
  <c r="N102" i="6"/>
  <c r="M93" i="6"/>
  <c r="L234" i="6"/>
  <c r="N198" i="6"/>
  <c r="N194" i="6"/>
  <c r="M199" i="6"/>
  <c r="O193" i="5"/>
  <c r="N199" i="5"/>
  <c r="N191" i="5"/>
  <c r="O101" i="5"/>
  <c r="N234" i="5"/>
  <c r="P198" i="5"/>
  <c r="P102" i="5"/>
  <c r="O93" i="5"/>
  <c r="N93" i="5"/>
  <c r="P102" i="4"/>
  <c r="O193" i="4"/>
  <c r="M191" i="4"/>
  <c r="N101" i="4"/>
  <c r="L234" i="4"/>
  <c r="N198" i="4"/>
  <c r="M93" i="4"/>
  <c r="N93" i="4"/>
  <c r="M234" i="6" l="1"/>
  <c r="O198" i="6"/>
  <c r="Q193" i="6"/>
  <c r="P101" i="6"/>
  <c r="O102" i="6"/>
  <c r="N93" i="6"/>
  <c r="O194" i="6"/>
  <c r="N199" i="6"/>
  <c r="N191" i="6"/>
  <c r="Q102" i="5"/>
  <c r="Q198" i="5"/>
  <c r="O234" i="5"/>
  <c r="O191" i="5"/>
  <c r="P101" i="5"/>
  <c r="P193" i="5"/>
  <c r="O199" i="5"/>
  <c r="M234" i="4"/>
  <c r="O198" i="4"/>
  <c r="N191" i="4"/>
  <c r="O101" i="4"/>
  <c r="N199" i="4"/>
  <c r="P193" i="4"/>
  <c r="Q102" i="4"/>
  <c r="O93" i="4"/>
  <c r="P102" i="6" l="1"/>
  <c r="O93" i="6"/>
  <c r="O191" i="6"/>
  <c r="P191" i="6"/>
  <c r="Q101" i="6"/>
  <c r="R193" i="6"/>
  <c r="N234" i="6"/>
  <c r="P198" i="6"/>
  <c r="P194" i="6"/>
  <c r="O199" i="6"/>
  <c r="P199" i="5"/>
  <c r="Q193" i="5"/>
  <c r="P191" i="5"/>
  <c r="Q101" i="5"/>
  <c r="P234" i="5"/>
  <c r="R198" i="5"/>
  <c r="R102" i="5"/>
  <c r="Q93" i="5"/>
  <c r="P93" i="5"/>
  <c r="N234" i="4"/>
  <c r="P198" i="4"/>
  <c r="R102" i="4"/>
  <c r="O199" i="4"/>
  <c r="P199" i="4"/>
  <c r="Q193" i="4"/>
  <c r="O191" i="4"/>
  <c r="P101" i="4"/>
  <c r="P93" i="4"/>
  <c r="S193" i="6" l="1"/>
  <c r="Q191" i="6"/>
  <c r="R101" i="6"/>
  <c r="Q194" i="6"/>
  <c r="P199" i="6"/>
  <c r="O234" i="6"/>
  <c r="Q198" i="6"/>
  <c r="P93" i="6"/>
  <c r="Q102" i="6"/>
  <c r="S102" i="5"/>
  <c r="Q191" i="5"/>
  <c r="R101" i="5"/>
  <c r="Q234" i="5"/>
  <c r="S198" i="5"/>
  <c r="Q199" i="5"/>
  <c r="R193" i="5"/>
  <c r="R193" i="4"/>
  <c r="Q93" i="4"/>
  <c r="S102" i="4"/>
  <c r="Q198" i="4"/>
  <c r="O234" i="4"/>
  <c r="P191" i="4"/>
  <c r="Q101" i="4"/>
  <c r="P234" i="6" l="1"/>
  <c r="R198" i="6"/>
  <c r="S101" i="6"/>
  <c r="Q93" i="6"/>
  <c r="R102" i="6"/>
  <c r="T193" i="6"/>
  <c r="R194" i="6"/>
  <c r="Q199" i="6"/>
  <c r="R199" i="5"/>
  <c r="S193" i="5"/>
  <c r="R234" i="5"/>
  <c r="T198" i="5"/>
  <c r="R191" i="5"/>
  <c r="S101" i="5"/>
  <c r="R93" i="5"/>
  <c r="T102" i="5"/>
  <c r="P234" i="4"/>
  <c r="R198" i="4"/>
  <c r="T102" i="4"/>
  <c r="R199" i="4"/>
  <c r="S193" i="4"/>
  <c r="Q191" i="4"/>
  <c r="R101" i="4"/>
  <c r="Q199" i="4"/>
  <c r="U193" i="6" l="1"/>
  <c r="S102" i="6"/>
  <c r="R93" i="6"/>
  <c r="S191" i="6"/>
  <c r="T101" i="6"/>
  <c r="R191" i="6"/>
  <c r="S198" i="6"/>
  <c r="Q234" i="6"/>
  <c r="S194" i="6"/>
  <c r="R199" i="6"/>
  <c r="U102" i="5"/>
  <c r="S191" i="5"/>
  <c r="T101" i="5"/>
  <c r="U198" i="5"/>
  <c r="S234" i="5"/>
  <c r="S199" i="5"/>
  <c r="T193" i="5"/>
  <c r="S93" i="5"/>
  <c r="R191" i="4"/>
  <c r="S101" i="4"/>
  <c r="S199" i="4"/>
  <c r="T193" i="4"/>
  <c r="U102" i="4"/>
  <c r="Q234" i="4"/>
  <c r="S198" i="4"/>
  <c r="R93" i="4"/>
  <c r="U101" i="6" l="1"/>
  <c r="R234" i="6"/>
  <c r="T198" i="6"/>
  <c r="S93" i="6"/>
  <c r="T102" i="6"/>
  <c r="T194" i="6"/>
  <c r="S199" i="6"/>
  <c r="V193" i="6"/>
  <c r="T234" i="5"/>
  <c r="V198" i="5"/>
  <c r="T199" i="5"/>
  <c r="U193" i="5"/>
  <c r="T191" i="5"/>
  <c r="U101" i="5"/>
  <c r="T93" i="5"/>
  <c r="V102" i="5"/>
  <c r="R234" i="4"/>
  <c r="T198" i="4"/>
  <c r="S93" i="4"/>
  <c r="V102" i="4"/>
  <c r="U193" i="4"/>
  <c r="T199" i="4"/>
  <c r="S191" i="4"/>
  <c r="T101" i="4"/>
  <c r="S234" i="6" l="1"/>
  <c r="U198" i="6"/>
  <c r="U194" i="6"/>
  <c r="T199" i="6"/>
  <c r="V101" i="6"/>
  <c r="T93" i="6"/>
  <c r="U102" i="6"/>
  <c r="U191" i="6" s="1"/>
  <c r="W193" i="6"/>
  <c r="T191" i="6"/>
  <c r="W102" i="5"/>
  <c r="V193" i="5"/>
  <c r="U199" i="5"/>
  <c r="U51" i="5" s="1"/>
  <c r="U52" i="5" s="1"/>
  <c r="U191" i="5"/>
  <c r="V101" i="5"/>
  <c r="U234" i="5"/>
  <c r="W198" i="5"/>
  <c r="U93" i="5"/>
  <c r="V193" i="4"/>
  <c r="U93" i="4"/>
  <c r="W102" i="4"/>
  <c r="U198" i="4"/>
  <c r="S234" i="4"/>
  <c r="T93" i="4"/>
  <c r="T191" i="4"/>
  <c r="U101" i="4"/>
  <c r="W101" i="6" l="1"/>
  <c r="V102" i="6"/>
  <c r="U93" i="6"/>
  <c r="V194" i="6"/>
  <c r="U199" i="6"/>
  <c r="U51" i="6" s="1"/>
  <c r="U52" i="6" s="1"/>
  <c r="T234" i="6"/>
  <c r="V198" i="6"/>
  <c r="X193" i="6"/>
  <c r="V234" i="5"/>
  <c r="X198" i="5"/>
  <c r="V191" i="5"/>
  <c r="W101" i="5"/>
  <c r="U75" i="5"/>
  <c r="U73" i="5"/>
  <c r="U83" i="5" s="1"/>
  <c r="X102" i="5"/>
  <c r="W93" i="5"/>
  <c r="W193" i="5"/>
  <c r="V199" i="5"/>
  <c r="V51" i="5" s="1"/>
  <c r="V52" i="5" s="1"/>
  <c r="V93" i="5"/>
  <c r="T234" i="4"/>
  <c r="V198" i="4"/>
  <c r="X102" i="4"/>
  <c r="U191" i="4"/>
  <c r="V101" i="4"/>
  <c r="U199" i="4"/>
  <c r="U51" i="4" s="1"/>
  <c r="U52" i="4" s="1"/>
  <c r="W193" i="4"/>
  <c r="W194" i="6" l="1"/>
  <c r="V199" i="6"/>
  <c r="V51" i="6" s="1"/>
  <c r="V52" i="6" s="1"/>
  <c r="U234" i="6"/>
  <c r="W198" i="6"/>
  <c r="W102" i="6"/>
  <c r="V93" i="6"/>
  <c r="W191" i="6"/>
  <c r="X101" i="6"/>
  <c r="U73" i="6"/>
  <c r="U75" i="6"/>
  <c r="Y193" i="6"/>
  <c r="V191" i="6"/>
  <c r="AM213" i="5"/>
  <c r="U7" i="5"/>
  <c r="Y102" i="5"/>
  <c r="X93" i="5"/>
  <c r="W191" i="5"/>
  <c r="X101" i="5"/>
  <c r="V73" i="5"/>
  <c r="V83" i="5" s="1"/>
  <c r="V75" i="5"/>
  <c r="Y198" i="5"/>
  <c r="W234" i="5"/>
  <c r="X193" i="5"/>
  <c r="W199" i="5"/>
  <c r="W51" i="5" s="1"/>
  <c r="W52" i="5" s="1"/>
  <c r="V191" i="4"/>
  <c r="W101" i="4"/>
  <c r="W199" i="4"/>
  <c r="W51" i="4" s="1"/>
  <c r="W52" i="4" s="1"/>
  <c r="X193" i="4"/>
  <c r="U73" i="4"/>
  <c r="U75" i="4"/>
  <c r="Y102" i="4"/>
  <c r="U234" i="4"/>
  <c r="W198" i="4"/>
  <c r="V93" i="4"/>
  <c r="V199" i="4"/>
  <c r="V51" i="4" s="1"/>
  <c r="V52" i="4" s="1"/>
  <c r="Y101" i="6" l="1"/>
  <c r="Z193" i="6"/>
  <c r="V234" i="6"/>
  <c r="X198" i="6"/>
  <c r="X102" i="6"/>
  <c r="W93" i="6"/>
  <c r="AM213" i="6"/>
  <c r="U7" i="6"/>
  <c r="V73" i="6"/>
  <c r="V75" i="6"/>
  <c r="U83" i="6"/>
  <c r="X194" i="6"/>
  <c r="W199" i="6"/>
  <c r="W51" i="6" s="1"/>
  <c r="W52" i="6" s="1"/>
  <c r="W75" i="5"/>
  <c r="W73" i="5"/>
  <c r="W83" i="5" s="1"/>
  <c r="AN213" i="5"/>
  <c r="V7" i="5"/>
  <c r="X191" i="5"/>
  <c r="Y101" i="5"/>
  <c r="X199" i="5"/>
  <c r="X51" i="5" s="1"/>
  <c r="X52" i="5" s="1"/>
  <c r="Y193" i="5"/>
  <c r="Z102" i="5"/>
  <c r="X234" i="5"/>
  <c r="Z198" i="5"/>
  <c r="Z102" i="4"/>
  <c r="AM213" i="4"/>
  <c r="U7" i="4"/>
  <c r="U83" i="4"/>
  <c r="V73" i="4"/>
  <c r="V75" i="4"/>
  <c r="X199" i="4"/>
  <c r="X51" i="4" s="1"/>
  <c r="X52" i="4" s="1"/>
  <c r="Y193" i="4"/>
  <c r="W73" i="4"/>
  <c r="W75" i="4"/>
  <c r="V234" i="4"/>
  <c r="X198" i="4"/>
  <c r="W93" i="4"/>
  <c r="W191" i="4"/>
  <c r="X101" i="4"/>
  <c r="Y102" i="6" l="1"/>
  <c r="X93" i="6"/>
  <c r="AN213" i="6"/>
  <c r="V7" i="6"/>
  <c r="AA193" i="6"/>
  <c r="W234" i="6"/>
  <c r="Y198" i="6"/>
  <c r="V83" i="6"/>
  <c r="Y194" i="6"/>
  <c r="X199" i="6"/>
  <c r="X51" i="6" s="1"/>
  <c r="X52" i="6" s="1"/>
  <c r="Y191" i="6"/>
  <c r="Z101" i="6"/>
  <c r="W75" i="6"/>
  <c r="W73" i="6"/>
  <c r="X191" i="6"/>
  <c r="Y199" i="5"/>
  <c r="Y51" i="5" s="1"/>
  <c r="Y52" i="5" s="1"/>
  <c r="Z193" i="5"/>
  <c r="Y191" i="5"/>
  <c r="Z101" i="5"/>
  <c r="X75" i="5"/>
  <c r="X73" i="5"/>
  <c r="X83" i="5" s="1"/>
  <c r="Y234" i="5"/>
  <c r="AA198" i="5"/>
  <c r="AA102" i="5"/>
  <c r="Z93" i="5"/>
  <c r="Y93" i="5"/>
  <c r="AO213" i="5"/>
  <c r="W7" i="5"/>
  <c r="X191" i="4"/>
  <c r="Y101" i="4"/>
  <c r="X75" i="4"/>
  <c r="X73" i="4"/>
  <c r="Y198" i="4"/>
  <c r="W234" i="4"/>
  <c r="X93" i="4"/>
  <c r="AN213" i="4"/>
  <c r="V7" i="4"/>
  <c r="V83" i="4"/>
  <c r="AO213" i="4"/>
  <c r="W7" i="4"/>
  <c r="W83" i="4"/>
  <c r="Y199" i="4"/>
  <c r="Z193" i="4"/>
  <c r="AA102" i="4"/>
  <c r="W83" i="6" l="1"/>
  <c r="AB193" i="6"/>
  <c r="AA101" i="6"/>
  <c r="AO213" i="6"/>
  <c r="W7" i="6"/>
  <c r="X75" i="6"/>
  <c r="X73" i="6"/>
  <c r="X234" i="6"/>
  <c r="Z198" i="6"/>
  <c r="Z194" i="6"/>
  <c r="Y199" i="6"/>
  <c r="Y51" i="6" s="1"/>
  <c r="Y52" i="6" s="1"/>
  <c r="Z102" i="6"/>
  <c r="Y93" i="6"/>
  <c r="Z234" i="5"/>
  <c r="AB198" i="5"/>
  <c r="AP213" i="5"/>
  <c r="X7" i="5"/>
  <c r="Z191" i="5"/>
  <c r="AA101" i="5"/>
  <c r="Z199" i="5"/>
  <c r="AA193" i="5"/>
  <c r="AB102" i="5"/>
  <c r="Y73" i="5"/>
  <c r="Y75" i="5"/>
  <c r="AB102" i="4"/>
  <c r="Z199" i="4"/>
  <c r="AA193" i="4"/>
  <c r="X234" i="4"/>
  <c r="Z198" i="4"/>
  <c r="Y93" i="4"/>
  <c r="X83" i="4"/>
  <c r="AP213" i="4"/>
  <c r="X7" i="4"/>
  <c r="Y191" i="4"/>
  <c r="Z101" i="4"/>
  <c r="X83" i="6" l="1"/>
  <c r="AP213" i="6"/>
  <c r="X7" i="6"/>
  <c r="AA102" i="6"/>
  <c r="Z93" i="6"/>
  <c r="Z191" i="6"/>
  <c r="Y73" i="6"/>
  <c r="Y75" i="6"/>
  <c r="AA191" i="6"/>
  <c r="AB101" i="6"/>
  <c r="AA194" i="6"/>
  <c r="Z199" i="6"/>
  <c r="AA198" i="6"/>
  <c r="Y234" i="6"/>
  <c r="AC193" i="6"/>
  <c r="AA191" i="5"/>
  <c r="AB101" i="5"/>
  <c r="AQ213" i="5"/>
  <c r="Y7" i="5"/>
  <c r="AA199" i="5"/>
  <c r="AA51" i="5" s="1"/>
  <c r="AA52" i="5" s="1"/>
  <c r="AB193" i="5"/>
  <c r="Y83" i="5"/>
  <c r="AA93" i="5"/>
  <c r="AC198" i="5"/>
  <c r="AA234" i="5"/>
  <c r="AC102" i="5"/>
  <c r="Y234" i="4"/>
  <c r="AA198" i="4"/>
  <c r="AA199" i="4" s="1"/>
  <c r="AA51" i="4" s="1"/>
  <c r="AA52" i="4" s="1"/>
  <c r="Z93" i="4"/>
  <c r="Z191" i="4"/>
  <c r="AA101" i="4"/>
  <c r="AB193" i="4"/>
  <c r="AC102" i="4"/>
  <c r="AA93" i="4"/>
  <c r="AD193" i="6" l="1"/>
  <c r="Y83" i="6"/>
  <c r="Z234" i="6"/>
  <c r="AB198" i="6"/>
  <c r="AQ213" i="6"/>
  <c r="Y7" i="6"/>
  <c r="AB102" i="6"/>
  <c r="AA93" i="6"/>
  <c r="AB194" i="6"/>
  <c r="AA199" i="6"/>
  <c r="AA51" i="6" s="1"/>
  <c r="AA52" i="6" s="1"/>
  <c r="AC101" i="6"/>
  <c r="AA73" i="5"/>
  <c r="AA75" i="5"/>
  <c r="AC193" i="5"/>
  <c r="AB199" i="5"/>
  <c r="AB51" i="5" s="1"/>
  <c r="AB52" i="5" s="1"/>
  <c r="AB93" i="5"/>
  <c r="AD102" i="5"/>
  <c r="AC93" i="5"/>
  <c r="AB191" i="5"/>
  <c r="AC101" i="5"/>
  <c r="AB234" i="5"/>
  <c r="AD198" i="5"/>
  <c r="AA73" i="4"/>
  <c r="AA75" i="4"/>
  <c r="AD102" i="4"/>
  <c r="AA191" i="4"/>
  <c r="AB101" i="4"/>
  <c r="AC193" i="4"/>
  <c r="Z234" i="4"/>
  <c r="AB198" i="4"/>
  <c r="AB93" i="4"/>
  <c r="AB93" i="6" l="1"/>
  <c r="AC102" i="6"/>
  <c r="AA234" i="6"/>
  <c r="AC198" i="6"/>
  <c r="AC191" i="6"/>
  <c r="AD101" i="6"/>
  <c r="AB191" i="6"/>
  <c r="AA73" i="6"/>
  <c r="AA75" i="6"/>
  <c r="AC194" i="6"/>
  <c r="AB199" i="6"/>
  <c r="AB51" i="6" s="1"/>
  <c r="AB52" i="6" s="1"/>
  <c r="AE193" i="6"/>
  <c r="AE102" i="5"/>
  <c r="AB73" i="5"/>
  <c r="AB83" i="5" s="1"/>
  <c r="AB75" i="5"/>
  <c r="AC234" i="5"/>
  <c r="AE198" i="5"/>
  <c r="AD193" i="5"/>
  <c r="AC199" i="5"/>
  <c r="AC51" i="5" s="1"/>
  <c r="AC52" i="5" s="1"/>
  <c r="AS213" i="5"/>
  <c r="AA7" i="5"/>
  <c r="AC191" i="5"/>
  <c r="AD101" i="5"/>
  <c r="AA83" i="5"/>
  <c r="AA234" i="4"/>
  <c r="AC198" i="4"/>
  <c r="AC199" i="4" s="1"/>
  <c r="AB199" i="4"/>
  <c r="AB51" i="4" s="1"/>
  <c r="AB52" i="4" s="1"/>
  <c r="AD193" i="4"/>
  <c r="AB191" i="4"/>
  <c r="AC101" i="4"/>
  <c r="AE102" i="4"/>
  <c r="AS213" i="4"/>
  <c r="AA7" i="4"/>
  <c r="AA83" i="4"/>
  <c r="AA83" i="6" l="1"/>
  <c r="AF193" i="6"/>
  <c r="AB234" i="6"/>
  <c r="AD198" i="6"/>
  <c r="AD191" i="6"/>
  <c r="AE101" i="6"/>
  <c r="AB73" i="6"/>
  <c r="AB75" i="6"/>
  <c r="AD194" i="6"/>
  <c r="AC199" i="6"/>
  <c r="AC51" i="6" s="1"/>
  <c r="AC52" i="6" s="1"/>
  <c r="AD102" i="6"/>
  <c r="AC93" i="6"/>
  <c r="AS213" i="6"/>
  <c r="AA7" i="6"/>
  <c r="AC75" i="5"/>
  <c r="AC73" i="5"/>
  <c r="AC83" i="5" s="1"/>
  <c r="AD234" i="5"/>
  <c r="AF198" i="5"/>
  <c r="AD191" i="5"/>
  <c r="AE101" i="5"/>
  <c r="AT213" i="5"/>
  <c r="AB7" i="5"/>
  <c r="AE193" i="5"/>
  <c r="AD199" i="5"/>
  <c r="AD51" i="5" s="1"/>
  <c r="AD52" i="5" s="1"/>
  <c r="AF102" i="5"/>
  <c r="AE93" i="5"/>
  <c r="AD93" i="5"/>
  <c r="AC191" i="4"/>
  <c r="AD101" i="4"/>
  <c r="AE193" i="4"/>
  <c r="AB73" i="4"/>
  <c r="AB75" i="4"/>
  <c r="AB234" i="4"/>
  <c r="AD198" i="4"/>
  <c r="AD199" i="4" s="1"/>
  <c r="AF102" i="4"/>
  <c r="AB83" i="6" l="1"/>
  <c r="AF101" i="6"/>
  <c r="AT213" i="6"/>
  <c r="AB7" i="6"/>
  <c r="AC234" i="6"/>
  <c r="AE198" i="6"/>
  <c r="AD93" i="6"/>
  <c r="AE102" i="6"/>
  <c r="AC73" i="6"/>
  <c r="AC75" i="6"/>
  <c r="AE194" i="6"/>
  <c r="AD199" i="6"/>
  <c r="AD51" i="6" s="1"/>
  <c r="AD52" i="6" s="1"/>
  <c r="B193" i="6"/>
  <c r="AE191" i="5"/>
  <c r="AF101" i="5"/>
  <c r="B198" i="5"/>
  <c r="AF234" i="5" s="1"/>
  <c r="AE234" i="5"/>
  <c r="AF93" i="5"/>
  <c r="B102" i="5"/>
  <c r="AD75" i="5"/>
  <c r="AD73" i="5"/>
  <c r="AD83" i="5" s="1"/>
  <c r="AE199" i="5"/>
  <c r="AE51" i="5" s="1"/>
  <c r="AE52" i="5" s="1"/>
  <c r="AF193" i="5"/>
  <c r="AU213" i="5"/>
  <c r="AC7" i="5"/>
  <c r="AT213" i="4"/>
  <c r="AB7" i="4"/>
  <c r="AB83" i="4"/>
  <c r="AE199" i="4"/>
  <c r="AE51" i="4" s="1"/>
  <c r="AE52" i="4" s="1"/>
  <c r="AF193" i="4"/>
  <c r="B102" i="4"/>
  <c r="AD191" i="4"/>
  <c r="AE101" i="4"/>
  <c r="AC234" i="4"/>
  <c r="AE198" i="4"/>
  <c r="AU213" i="4"/>
  <c r="AC7" i="4"/>
  <c r="AD234" i="6" l="1"/>
  <c r="AF198" i="6"/>
  <c r="AU213" i="6"/>
  <c r="AC7" i="6"/>
  <c r="B101" i="6"/>
  <c r="AF102" i="6"/>
  <c r="AE93" i="6"/>
  <c r="AD73" i="6"/>
  <c r="AD75" i="6"/>
  <c r="AF194" i="6"/>
  <c r="AE199" i="6"/>
  <c r="AE51" i="6" s="1"/>
  <c r="AE52" i="6" s="1"/>
  <c r="AC83" i="6"/>
  <c r="AE191" i="6"/>
  <c r="AV213" i="5"/>
  <c r="AD7" i="5"/>
  <c r="AI93" i="5"/>
  <c r="AH93" i="5"/>
  <c r="B193" i="5"/>
  <c r="B199" i="5" s="1"/>
  <c r="B51" i="5" s="1"/>
  <c r="AF199" i="5"/>
  <c r="AF51" i="5" s="1"/>
  <c r="AF52" i="5" s="1"/>
  <c r="AF191" i="5"/>
  <c r="B101" i="5"/>
  <c r="B191" i="5" s="1"/>
  <c r="AE73" i="5"/>
  <c r="AE75" i="5"/>
  <c r="AE191" i="4"/>
  <c r="AF101" i="4"/>
  <c r="B193" i="4"/>
  <c r="AE75" i="4"/>
  <c r="AE73" i="4"/>
  <c r="AE83" i="4" s="1"/>
  <c r="AD234" i="4"/>
  <c r="AF198" i="4"/>
  <c r="AF199" i="4" s="1"/>
  <c r="AF51" i="4" s="1"/>
  <c r="AF52" i="4" s="1"/>
  <c r="AE93" i="4"/>
  <c r="AF93" i="4"/>
  <c r="AV213" i="4"/>
  <c r="AD7" i="4"/>
  <c r="B102" i="6" l="1"/>
  <c r="AF93" i="6"/>
  <c r="AE75" i="6"/>
  <c r="AE73" i="6"/>
  <c r="AE83" i="6" s="1"/>
  <c r="AF191" i="6"/>
  <c r="B194" i="6"/>
  <c r="B199" i="6" s="1"/>
  <c r="AF199" i="6"/>
  <c r="AF51" i="6" s="1"/>
  <c r="AF52" i="6" s="1"/>
  <c r="AV213" i="6"/>
  <c r="AD7" i="6"/>
  <c r="AD83" i="6"/>
  <c r="B198" i="6"/>
  <c r="AF234" i="6" s="1"/>
  <c r="AE234" i="6"/>
  <c r="AI51" i="5"/>
  <c r="B52" i="5"/>
  <c r="AH51" i="5"/>
  <c r="AF75" i="5"/>
  <c r="AF73" i="5"/>
  <c r="AF83" i="5" s="1"/>
  <c r="AW213" i="5"/>
  <c r="AE7" i="5"/>
  <c r="B93" i="5"/>
  <c r="AE83" i="5"/>
  <c r="AF75" i="4"/>
  <c r="AF73" i="4"/>
  <c r="AI93" i="4"/>
  <c r="AH93" i="4"/>
  <c r="AF191" i="4"/>
  <c r="B101" i="4"/>
  <c r="B191" i="4" s="1"/>
  <c r="AW213" i="4"/>
  <c r="AE7" i="4"/>
  <c r="AE234" i="4"/>
  <c r="B198" i="4"/>
  <c r="AF234" i="4" s="1"/>
  <c r="AI51" i="6" l="1"/>
  <c r="AH51" i="6"/>
  <c r="AW213" i="6"/>
  <c r="AE7" i="6"/>
  <c r="AF75" i="6"/>
  <c r="AF73" i="6"/>
  <c r="AF83" i="6" s="1"/>
  <c r="AI93" i="6"/>
  <c r="AH93" i="6"/>
  <c r="B191" i="6"/>
  <c r="AF83" i="4"/>
  <c r="AX213" i="5"/>
  <c r="AF7" i="5"/>
  <c r="AH52" i="5"/>
  <c r="AI52" i="5"/>
  <c r="B75" i="5"/>
  <c r="B73" i="5"/>
  <c r="B93" i="4"/>
  <c r="B199" i="4"/>
  <c r="B51" i="4" s="1"/>
  <c r="AX213" i="4"/>
  <c r="AF7" i="4"/>
  <c r="AX213" i="6" l="1"/>
  <c r="AF7" i="6"/>
  <c r="AI52" i="6"/>
  <c r="AH52" i="6"/>
  <c r="AI73" i="5"/>
  <c r="AH73" i="5"/>
  <c r="B83" i="5"/>
  <c r="T213" i="5"/>
  <c r="AI75" i="5"/>
  <c r="B7" i="5"/>
  <c r="A7" i="5" s="1"/>
  <c r="AH75" i="5"/>
  <c r="AI51" i="4"/>
  <c r="B52" i="4"/>
  <c r="AH51" i="4"/>
  <c r="T213" i="6" l="1"/>
  <c r="AH75" i="6"/>
  <c r="AI75" i="6"/>
  <c r="B7" i="6"/>
  <c r="A7" i="6" s="1"/>
  <c r="AI73" i="6"/>
  <c r="AH73" i="6"/>
  <c r="AI83" i="5"/>
  <c r="AH83" i="5"/>
  <c r="B75" i="4"/>
  <c r="B73" i="4"/>
  <c r="AI52" i="4"/>
  <c r="AH52" i="4"/>
  <c r="AI83" i="6" l="1"/>
  <c r="AH83" i="6"/>
  <c r="AI73" i="4"/>
  <c r="B83" i="4"/>
  <c r="AH73" i="4"/>
  <c r="T213" i="4"/>
  <c r="AI75" i="4"/>
  <c r="AH75" i="4"/>
  <c r="B7" i="4"/>
  <c r="A7" i="4" s="1"/>
  <c r="AI83" i="4" l="1"/>
  <c r="AH83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D9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Butwal 16 MW load interruption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<sst xmlns="http://schemas.openxmlformats.org/spreadsheetml/2006/main" count="7377" uniqueCount="232">
  <si>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</si>
  <si>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</si>
  <si>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</si>
  <si>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</si>
  <si>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</si>
  <si>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</si>
  <si>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</si>
  <si>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</si>
  <si>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</si>
  <si>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</si>
  <si>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</si>
  <si>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</si>
  <si>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</si>
  <si>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</si>
  <si>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</si>
  <si>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</si>
  <si>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</si>
  <si>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</si>
  <si>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</si>
  <si>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</si>
  <si>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</si>
  <si>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</si>
  <si>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</si>
  <si>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</si>
  <si>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</si>
  <si>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</si>
  <si>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</si>
  <si>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</si>
  <si>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</si>
  <si>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</si>
  <si>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</si>
  <si>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</si>
  <si>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</si>
  <si>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</si>
  <si>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</si>
  <si>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</si>
  <si>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</si>
  <si>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</si>
  <si>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</si>
  <si>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</si>
  <si>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</si>
  <si>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</si>
  <si>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</si>
  <si>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</si>
  <si>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</si>
  <si>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</si>
  <si>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</si>
  <si>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</si>
  <si>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</si>
  <si>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</si>
  <si>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</si>
  <si>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</si>
  <si>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</si>
  <si>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</si>
  <si>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</si>
  <si>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</si>
  <si>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</si>
  <si>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</si>
  <si>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</si>
  <si>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</si>
  <si>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</si>
  <si>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</si>
  <si>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</si>
  <si>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</si>
  <si>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</si>
  <si>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</si>
  <si>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</si>
  <si>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</si>
  <si>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</si>
  <si>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</si>
  <si>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</si>
  <si>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</si>
  <si>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</si>
  <si>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</si>
  <si>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</si>
  <si>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</si>
  <si>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</si>
  <si>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</si>
  <si>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</si>
  <si>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</si>
  <si>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</si>
  <si>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</si>
  <si>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</si>
  <si>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</si>
  <si>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</si>
  <si>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</si>
  <si>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</si>
  <si>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</si>
  <si>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</si>
  <si>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</si>
  <si>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</si>
  <si>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</si>
  <si>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</si>
  <si>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</si>
  <si>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</si>
  <si>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</si>
  <si>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</si>
  <si>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</si>
  <si>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</si>
  <si>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</si>
  <si>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</si>
  <si>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</si>
  <si>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</si>
  <si>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</si>
  <si>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</si>
  <si>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</si>
  <si>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</si>
  <si>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</si>
  <si>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</si>
  <si>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</si>
  <si>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</si>
  <si>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</si>
  <si>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</si>
  <si>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</si>
  <si>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</si>
  <si>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</si>
  <si>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</si>
  <si>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</si>
  <si>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</si>
  <si>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</si>
  <si>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</si>
  <si>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</si>
  <si>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</si>
  <si>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</si>
  <si>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</si>
  <si>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</si>
  <si>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</si>
  <si>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</si>
  <si>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</si>
  <si>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</si>
  <si>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</si>
  <si>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</si>
  <si>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</si>
  <si>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</si>
  <si>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</si>
  <si>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</si>
  <si>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</si>
  <si>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</si>
  <si>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</si>
  <si>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</si>
  <si>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</si>
  <si>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</si>
  <si>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</si>
  <si>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</si>
  <si>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</si>
  <si>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</si>
  <si>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</si>
  <si>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</si>
  <si>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</si>
  <si>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</si>
  <si>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</si>
  <si>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</si>
  <si>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</si>
  <si>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</si>
  <si>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</si>
  <si>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</si>
  <si>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</si>
  <si>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</si>
  <si>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</si>
  <si>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</si>
  <si>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</si>
  <si>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</si>
  <si>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</si>
  <si>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</si>
  <si>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</si>
  <si>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</si>
  <si>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</si>
  <si>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</si>
  <si>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</si>
  <si>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</si>
  <si>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</si>
  <si>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</si>
  <si>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</si>
  <si>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</si>
  <si>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</si>
  <si>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</si>
  <si>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</si>
  <si>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</si>
  <si>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</si>
  <si>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</si>
  <si>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</si>
  <si>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</si>
  <si>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</si>
  <si>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</si>
  <si>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</si>
  <si>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</si>
  <si>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</si>
  <si>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</si>
  <si>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</si>
  <si>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</si>
  <si>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</si>
  <si>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</si>
  <si>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</si>
  <si>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</si>
  <si>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</si>
  <si>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</si>
  <si>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</si>
  <si>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</si>
  <si>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</si>
  <si>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</si>
  <si>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</si>
  <si>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</si>
  <si>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</si>
  <si>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</si>
  <si>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</si>
  <si>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</si>
  <si>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</si>
  <si>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</si>
  <si>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</si>
  <si>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</si>
  <si>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</si>
  <si>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</si>
  <si>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</si>
  <si>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</si>
  <si>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</si>
  <si>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</si>
  <si>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</si>
  <si>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</si>
  <si>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10.2.3</t>
  </si>
  <si>
    <t>.23.3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</si>
  <si>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</si>
  <si>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</si>
  <si>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</si>
  <si>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</si>
  <si>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</si>
  <si>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</si>
  <si>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</si>
  <si>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</si>
  <si>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</si>
  <si>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</si>
  <si>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123..3</t>
  </si>
  <si>
    <t>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</si>
</sst>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6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3" xfId="0" applyFont="1" applyBorder="1" applyAlignment="1">
      <alignment horizontal="right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2" fontId="12" fillId="0" borderId="24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6" xfId="0" applyFont="1" applyBorder="1" applyAlignment="1">
      <alignment horizontal="right" vertical="center"/>
    </xf>
    <xf numFmtId="167" fontId="12" fillId="0" borderId="24" xfId="0" applyNumberFormat="1" applyFont="1" applyBorder="1" applyAlignment="1">
      <alignment horizontal="center" vertical="center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167" fontId="12" fillId="0" borderId="2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 vertical="center"/>
    </xf>
    <xf numFmtId="2" fontId="25" fillId="0" borderId="31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right" vertical="center"/>
    </xf>
    <xf numFmtId="0" fontId="16" fillId="0" borderId="26" xfId="0" applyFont="1" applyBorder="1" applyAlignment="1">
      <alignment horizontal="right" vertical="center"/>
    </xf>
    <xf numFmtId="167" fontId="12" fillId="9" borderId="24" xfId="0" applyNumberFormat="1" applyFont="1" applyFill="1" applyBorder="1" applyAlignment="1" applyProtection="1">
      <alignment horizontal="center" vertical="center"/>
      <protection locked="0"/>
    </xf>
    <xf numFmtId="0" fontId="16" fillId="0" borderId="32" xfId="0" applyFont="1" applyBorder="1" applyAlignment="1">
      <alignment horizontal="left" vertical="center"/>
    </xf>
    <xf numFmtId="167" fontId="16" fillId="0" borderId="3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4" xfId="0" applyFont="1" applyBorder="1" applyAlignment="1">
      <alignment horizontal="right" vertical="center"/>
    </xf>
    <xf numFmtId="2" fontId="26" fillId="0" borderId="29" xfId="0" applyNumberFormat="1" applyFont="1" applyBorder="1" applyAlignment="1">
      <alignment horizontal="center" vertical="center"/>
    </xf>
    <xf numFmtId="2" fontId="16" fillId="0" borderId="35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0" borderId="36" xfId="0" applyNumberFormat="1" applyFont="1" applyBorder="1" applyAlignment="1" applyProtection="1">
      <alignment horizontal="center" vertical="center"/>
      <protection locked="0"/>
    </xf>
    <xf numFmtId="167" fontId="12" fillId="8" borderId="36" xfId="0" applyNumberFormat="1" applyFont="1" applyFill="1" applyBorder="1" applyAlignment="1" applyProtection="1">
      <alignment horizontal="center" vertical="center"/>
      <protection locked="0"/>
    </xf>
    <xf numFmtId="167" fontId="12" fillId="5" borderId="36" xfId="0" applyNumberFormat="1" applyFont="1" applyFill="1" applyBorder="1" applyAlignment="1" applyProtection="1">
      <alignment horizontal="center" vertical="center"/>
      <protection locked="0"/>
    </xf>
    <xf numFmtId="2" fontId="25" fillId="0" borderId="22" xfId="0" applyNumberFormat="1" applyFont="1" applyBorder="1" applyAlignment="1">
      <alignment horizontal="center" vertical="center"/>
    </xf>
    <xf numFmtId="167" fontId="12" fillId="10" borderId="24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0" fontId="16" fillId="11" borderId="32" xfId="0" applyFont="1" applyFill="1" applyBorder="1" applyAlignment="1">
      <alignment vertical="center" wrapText="1"/>
    </xf>
    <xf numFmtId="167" fontId="12" fillId="0" borderId="33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167" fontId="12" fillId="0" borderId="42" xfId="0" applyNumberFormat="1" applyFont="1" applyBorder="1" applyAlignment="1" applyProtection="1">
      <alignment horizontal="center" vertical="center"/>
      <protection locked="0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vertical="center"/>
    </xf>
    <xf numFmtId="167" fontId="12" fillId="0" borderId="42" xfId="0" applyNumberFormat="1" applyFont="1" applyBorder="1" applyAlignment="1" applyProtection="1">
      <alignment horizontal="center"/>
      <protection locked="0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3" xfId="0" applyNumberFormat="1" applyFont="1" applyBorder="1" applyAlignment="1">
      <alignment horizontal="center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5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46" xfId="0" applyNumberFormat="1" applyFont="1" applyBorder="1" applyAlignment="1" applyProtection="1">
      <alignment horizontal="center" vertical="center"/>
      <protection locked="0"/>
    </xf>
    <xf numFmtId="167" fontId="12" fillId="0" borderId="2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167" fontId="12" fillId="0" borderId="47" xfId="0" applyNumberFormat="1" applyFont="1" applyBorder="1" applyAlignment="1" applyProtection="1">
      <alignment horizontal="center" vertical="center"/>
      <protection locked="0"/>
    </xf>
    <xf numFmtId="0" fontId="12" fillId="0" borderId="48" xfId="0" applyFont="1" applyBorder="1" applyAlignment="1">
      <alignment vertical="center"/>
    </xf>
    <xf numFmtId="167" fontId="12" fillId="0" borderId="49" xfId="0" applyNumberFormat="1" applyFont="1" applyBorder="1" applyAlignment="1" applyProtection="1">
      <alignment horizontal="center"/>
      <protection locked="0"/>
    </xf>
    <xf numFmtId="167" fontId="12" fillId="0" borderId="29" xfId="0" applyNumberFormat="1" applyFont="1" applyBorder="1" applyAlignment="1" applyProtection="1">
      <alignment horizontal="center"/>
      <protection locked="0"/>
    </xf>
    <xf numFmtId="2" fontId="0" fillId="0" borderId="29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50" xfId="0" applyFont="1" applyBorder="1" applyAlignment="1">
      <alignment vertical="center"/>
    </xf>
    <xf numFmtId="0" fontId="0" fillId="0" borderId="51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2" xfId="0" applyFont="1" applyBorder="1" applyAlignment="1">
      <alignment vertical="center"/>
    </xf>
    <xf numFmtId="2" fontId="12" fillId="0" borderId="24" xfId="0" applyNumberFormat="1" applyFont="1" applyBorder="1" applyAlignment="1">
      <alignment horizontal="center" vertical="center"/>
    </xf>
    <xf numFmtId="170" fontId="25" fillId="0" borderId="5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42" xfId="0" applyNumberFormat="1" applyFont="1" applyBorder="1" applyAlignment="1">
      <alignment horizontal="center" vertical="center"/>
    </xf>
    <xf numFmtId="170" fontId="25" fillId="0" borderId="54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2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28" fillId="0" borderId="54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33" xfId="0" applyNumberFormat="1" applyFont="1" applyBorder="1" applyAlignment="1">
      <alignment horizontal="center" vertical="center"/>
    </xf>
    <xf numFmtId="2" fontId="0" fillId="0" borderId="57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53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2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29" xfId="0" applyNumberFormat="1" applyFont="1" applyBorder="1" applyAlignment="1">
      <alignment vertical="center"/>
    </xf>
    <xf numFmtId="168" fontId="12" fillId="0" borderId="59" xfId="0" applyNumberFormat="1" applyFont="1" applyBorder="1" applyAlignment="1">
      <alignment vertical="center"/>
    </xf>
    <xf numFmtId="168" fontId="12" fillId="0" borderId="29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15" borderId="36" xfId="0" applyNumberFormat="1" applyFont="1" applyFill="1" applyBorder="1" applyAlignment="1" applyProtection="1">
      <alignment horizontal="center" vertical="center"/>
      <protection locked="0"/>
    </xf>
    <xf numFmtId="167" fontId="12" fillId="15" borderId="6" xfId="0" applyNumberFormat="1" applyFont="1" applyFill="1" applyBorder="1" applyAlignment="1" applyProtection="1">
      <alignment horizontal="center" vertical="center"/>
      <protection locked="0"/>
    </xf>
    <xf numFmtId="167" fontId="33" fillId="16" borderId="24" xfId="0" applyNumberFormat="1" applyFont="1" applyFill="1" applyBorder="1" applyAlignment="1">
      <alignment horizontal="center" vertical="top" wrapText="1"/>
    </xf>
    <xf numFmtId="167" fontId="33" fillId="16" borderId="6" xfId="0" applyNumberFormat="1" applyFont="1" applyFill="1" applyBorder="1" applyAlignment="1">
      <alignment horizontal="center" vertical="top" wrapText="1"/>
    </xf>
    <xf numFmtId="167" fontId="33" fillId="16" borderId="29" xfId="0" applyNumberFormat="1" applyFont="1" applyFill="1" applyBorder="1" applyAlignment="1">
      <alignment horizontal="center" vertical="top" wrapText="1"/>
    </xf>
    <xf numFmtId="167" fontId="33" fillId="16" borderId="52" xfId="0" applyNumberFormat="1" applyFont="1" applyFill="1" applyBorder="1" applyAlignment="1" applyProtection="1">
      <alignment horizontal="center" vertical="top" wrapText="1"/>
      <protection locked="0"/>
    </xf>
    <xf numFmtId="167" fontId="33" fillId="16" borderId="41" xfId="0" applyNumberFormat="1" applyFont="1" applyFill="1" applyBorder="1" applyAlignment="1" applyProtection="1">
      <alignment horizontal="center" vertical="top" wrapText="1"/>
      <protection locked="0"/>
    </xf>
    <xf numFmtId="0" fontId="33" fillId="16" borderId="48" xfId="0" applyFont="1" applyFill="1" applyBorder="1" applyAlignment="1">
      <alignment horizontal="center" vertical="top" wrapText="1"/>
    </xf>
    <xf numFmtId="2" fontId="33" fillId="16" borderId="3" xfId="0" applyNumberFormat="1" applyFont="1" applyFill="1" applyBorder="1" applyAlignment="1" applyProtection="1">
      <alignment horizontal="center" vertical="top" wrapText="1"/>
      <protection locked="0"/>
    </xf>
    <xf numFmtId="2" fontId="33" fillId="16" borderId="6" xfId="0" applyNumberFormat="1" applyFont="1" applyFill="1" applyBorder="1" applyAlignment="1" applyProtection="1">
      <alignment horizontal="center" vertical="top" wrapText="1"/>
      <protection locked="0"/>
    </xf>
    <xf numFmtId="2" fontId="33" fillId="16" borderId="29" xfId="0" applyNumberFormat="1" applyFont="1" applyFill="1" applyBorder="1" applyAlignment="1" applyProtection="1">
      <alignment horizontal="center" vertical="top" wrapText="1"/>
      <protection locked="0"/>
    </xf>
    <xf numFmtId="2" fontId="18" fillId="0" borderId="33" xfId="0" applyNumberFormat="1" applyFont="1" applyBorder="1"/>
    <xf numFmtId="167" fontId="12" fillId="15" borderId="24" xfId="0" applyNumberFormat="1" applyFont="1" applyFill="1" applyBorder="1" applyAlignment="1" applyProtection="1">
      <alignment horizontal="center" vertical="center"/>
      <protection locked="0"/>
    </xf>
    <xf numFmtId="0" fontId="31" fillId="10" borderId="0" xfId="0" applyFont="1" applyFill="1" applyAlignment="1">
      <alignment horizont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9" fontId="24" fillId="7" borderId="19" xfId="0" applyNumberFormat="1" applyFont="1" applyFill="1" applyBorder="1" applyAlignment="1">
      <alignment horizontal="center" vertical="center" wrapText="1"/>
    </xf>
    <xf numFmtId="169" fontId="24" fillId="7" borderId="22" xfId="0" applyNumberFormat="1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</cellXfs>
  <cellStyles count="2">
    <cellStyle name="Comma" xfId="1" builtinId="3"/>
    <cellStyle name="Normal" xfId="0" builtinId="0"/>
  </cellStyles>
  <dxfs count="11831"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'1'!$T$211:$AX$211</c:f>
              <c:numCache>
                <c:formatCode>General</c:formatCode>
                <c:ptCount val="31"/>
              </c:numCache>
            </c:numRef>
          </c:cat>
          <c:val>
            <c:numRef>
              <c:f>'1'!$U$212:$AX$212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50688"/>
        <c:axId val="424452864"/>
      </c:lineChart>
      <c:catAx>
        <c:axId val="424450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52864"/>
        <c:crosses val="autoZero"/>
        <c:auto val="1"/>
        <c:lblAlgn val="ctr"/>
        <c:lblOffset val="100"/>
        <c:noMultiLvlLbl val="0"/>
      </c:catAx>
      <c:valAx>
        <c:axId val="424452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'2'!$T$211:$AX$211</c:f>
              <c:numCache>
                <c:formatCode>General</c:formatCode>
                <c:ptCount val="31"/>
              </c:numCache>
            </c:numRef>
          </c:cat>
          <c:val>
            <c:numRef>
              <c:f>'2'!$U$212:$AX$212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04672"/>
        <c:axId val="425415040"/>
      </c:lineChart>
      <c:catAx>
        <c:axId val="425404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5040"/>
        <c:crosses val="autoZero"/>
        <c:auto val="1"/>
        <c:lblAlgn val="ctr"/>
        <c:lblOffset val="100"/>
        <c:noMultiLvlLbl val="0"/>
      </c:catAx>
      <c:valAx>
        <c:axId val="425415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'3'!$T$211:$AX$211</c:f>
              <c:numCache>
                <c:formatCode>General</c:formatCode>
                <c:ptCount val="31"/>
              </c:numCache>
            </c:numRef>
          </c:cat>
          <c:val>
            <c:numRef>
              <c:f>'3'!$U$212:$AX$212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227712"/>
        <c:axId val="422651008"/>
      </c:lineChart>
      <c:catAx>
        <c:axId val="378227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51008"/>
        <c:crosses val="autoZero"/>
        <c:auto val="1"/>
        <c:lblAlgn val="ctr"/>
        <c:lblOffset val="100"/>
        <c:noMultiLvlLbl val="0"/>
      </c:catAx>
      <c:valAx>
        <c:axId val="422651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2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'4'!$T$211:$AX$211</c:f>
              <c:numCache>
                <c:formatCode>General</c:formatCode>
                <c:ptCount val="31"/>
              </c:numCache>
            </c:numRef>
          </c:cat>
          <c:val>
            <c:numRef>
              <c:f>'4'!$U$212:$AX$212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47136"/>
        <c:axId val="426357504"/>
      </c:lineChart>
      <c:catAx>
        <c:axId val="426347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57504"/>
        <c:crosses val="autoZero"/>
        <c:auto val="1"/>
        <c:lblAlgn val="ctr"/>
        <c:lblOffset val="100"/>
        <c:noMultiLvlLbl val="0"/>
      </c:catAx>
      <c:valAx>
        <c:axId val="426357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'5'!$T$211:$AX$211</c:f>
              <c:numCache>
                <c:formatCode>General</c:formatCode>
                <c:ptCount val="31"/>
              </c:numCache>
            </c:numRef>
          </c:cat>
          <c:val>
            <c:numRef>
              <c:f>'5'!$U$212:$AX$212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875136"/>
        <c:axId val="426889600"/>
      </c:lineChart>
      <c:catAx>
        <c:axId val="426875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9600"/>
        <c:crosses val="autoZero"/>
        <c:auto val="1"/>
        <c:lblAlgn val="ctr"/>
        <c:lblOffset val="100"/>
        <c:noMultiLvlLbl val="0"/>
      </c:catAx>
      <c:valAx>
        <c:axId val="426889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7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'6'!$T$211:$AX$211</c:f>
              <c:numCache>
                <c:formatCode>General</c:formatCode>
                <c:ptCount val="31"/>
              </c:numCache>
            </c:numRef>
          </c:cat>
          <c:val>
            <c:numRef>
              <c:f>'6'!$U$212:$AX$212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97888"/>
        <c:axId val="425800064"/>
      </c:lineChart>
      <c:catAx>
        <c:axId val="425797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00064"/>
        <c:crosses val="autoZero"/>
        <c:auto val="1"/>
        <c:lblAlgn val="ctr"/>
        <c:lblOffset val="100"/>
        <c:noMultiLvlLbl val="0"/>
      </c:catAx>
      <c:valAx>
        <c:axId val="425800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'7'!$T$211:$AX$211</c:f>
              <c:numCache>
                <c:formatCode>General</c:formatCode>
                <c:ptCount val="31"/>
              </c:numCache>
            </c:numRef>
          </c:cat>
          <c:val>
            <c:numRef>
              <c:f>'7'!$U$212:$AX$212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504576"/>
        <c:axId val="428506496"/>
      </c:lineChart>
      <c:catAx>
        <c:axId val="428504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06496"/>
        <c:crosses val="autoZero"/>
        <c:auto val="1"/>
        <c:lblAlgn val="ctr"/>
        <c:lblOffset val="100"/>
        <c:noMultiLvlLbl val="0"/>
      </c:catAx>
      <c:valAx>
        <c:axId val="428506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'8'!$T$211:$AX$211</c:f>
              <c:numCache>
                <c:formatCode>General</c:formatCode>
                <c:ptCount val="31"/>
              </c:numCache>
            </c:numRef>
          </c:cat>
          <c:val>
            <c:numRef>
              <c:f>'8'!$U$212:$AX$212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677184"/>
        <c:axId val="427679104"/>
      </c:lineChart>
      <c:catAx>
        <c:axId val="427677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79104"/>
        <c:crosses val="autoZero"/>
        <c:auto val="1"/>
        <c:lblAlgn val="ctr"/>
        <c:lblOffset val="100"/>
        <c:noMultiLvlLbl val="0"/>
      </c:catAx>
      <c:valAx>
        <c:axId val="427679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'9'!$T$211:$AX$211</c:f>
              <c:numCache>
                <c:formatCode>General</c:formatCode>
                <c:ptCount val="31"/>
              </c:numCache>
            </c:numRef>
          </c:cat>
          <c:val>
            <c:numRef>
              <c:f>'9'!$U$212:$AX$212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52928"/>
        <c:axId val="427854848"/>
      </c:lineChart>
      <c:catAx>
        <c:axId val="427852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54848"/>
        <c:crosses val="autoZero"/>
        <c:auto val="1"/>
        <c:lblAlgn val="ctr"/>
        <c:lblOffset val="100"/>
        <c:noMultiLvlLbl val="0"/>
      </c:catAx>
      <c:valAx>
        <c:axId val="427854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new_sample!$T$211:$AX$211</c:f>
              <c:numCache>
                <c:formatCode>General</c:formatCode>
                <c:ptCount val="31"/>
              </c:numCache>
            </c:numRef>
          </c:cat>
          <c:val>
            <c:numRef>
              <c:f>new_sample!$U$212:$AX$212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563712"/>
        <c:axId val="430565632"/>
      </c:lineChart>
      <c:catAx>
        <c:axId val="43056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65632"/>
        <c:crosses val="autoZero"/>
        <c:auto val="1"/>
        <c:lblAlgn val="ctr"/>
        <c:lblOffset val="100"/>
        <c:noMultiLvlLbl val="0"/>
      </c:catAx>
      <c:valAx>
        <c:axId val="430565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'11'!$T$211:$AX$211</c:f>
              <c:numCache>
                <c:formatCode>General</c:formatCode>
                <c:ptCount val="31"/>
              </c:numCache>
            </c:numRef>
          </c:cat>
          <c:val>
            <c:numRef>
              <c:f>'11'!$U$212:$AX$212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560192"/>
        <c:axId val="431562112"/>
      </c:lineChart>
      <c:catAx>
        <c:axId val="431560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62112"/>
        <c:crosses val="autoZero"/>
        <c:auto val="1"/>
        <c:lblAlgn val="ctr"/>
        <c:lblOffset val="100"/>
        <c:noMultiLvlLbl val="0"/>
      </c:catAx>
      <c:valAx>
        <c:axId val="431562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'12'!$T$211:$AX$211</c:f>
              <c:numCache>
                <c:formatCode>General</c:formatCode>
                <c:ptCount val="31"/>
              </c:numCache>
            </c:numRef>
          </c:cat>
          <c:val>
            <c:numRef>
              <c:f>'12'!$U$212:$AX$212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37696"/>
        <c:axId val="425839616"/>
      </c:lineChart>
      <c:catAx>
        <c:axId val="425837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39616"/>
        <c:crosses val="autoZero"/>
        <c:auto val="1"/>
        <c:lblAlgn val="ctr"/>
        <c:lblOffset val="100"/>
        <c:noMultiLvlLbl val="0"/>
      </c:catAx>
      <c:valAx>
        <c:axId val="425839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'13'!$T$211:$AX$211</c:f>
              <c:numCache>
                <c:formatCode>General</c:formatCode>
                <c:ptCount val="31"/>
              </c:numCache>
            </c:numRef>
          </c:cat>
          <c:val>
            <c:numRef>
              <c:f>'13'!$U$212:$AX$212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869952"/>
        <c:axId val="455871872"/>
      </c:lineChart>
      <c:catAx>
        <c:axId val="455869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71872"/>
        <c:crosses val="autoZero"/>
        <c:auto val="1"/>
        <c:lblAlgn val="ctr"/>
        <c:lblOffset val="100"/>
        <c:noMultiLvlLbl val="0"/>
      </c:catAx>
      <c:valAx>
        <c:axId val="45587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6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'14'!$T$211:$AX$211</c:f>
              <c:numCache>
                <c:formatCode>General</c:formatCode>
                <c:ptCount val="31"/>
              </c:numCache>
            </c:numRef>
          </c:cat>
          <c:val>
            <c:numRef>
              <c:f>'14'!$U$212:$AX$212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468352"/>
        <c:axId val="456482816"/>
      </c:lineChart>
      <c:catAx>
        <c:axId val="45646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82816"/>
        <c:crosses val="autoZero"/>
        <c:auto val="1"/>
        <c:lblAlgn val="ctr"/>
        <c:lblOffset val="100"/>
        <c:noMultiLvlLbl val="0"/>
      </c:catAx>
      <c:valAx>
        <c:axId val="456482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6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'15'!$T$211:$AX$211</c:f>
              <c:numCache>
                <c:formatCode>General</c:formatCode>
                <c:ptCount val="31"/>
              </c:numCache>
            </c:numRef>
          </c:cat>
          <c:val>
            <c:numRef>
              <c:f>'15'!$U$212:$AX$212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431872"/>
        <c:axId val="456438144"/>
      </c:lineChart>
      <c:catAx>
        <c:axId val="456431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38144"/>
        <c:crosses val="autoZero"/>
        <c:auto val="1"/>
        <c:lblAlgn val="ctr"/>
        <c:lblOffset val="100"/>
        <c:noMultiLvlLbl val="0"/>
      </c:catAx>
      <c:valAx>
        <c:axId val="456438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3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'16'!$T$211:$AX$211</c:f>
              <c:numCache>
                <c:formatCode>General</c:formatCode>
                <c:ptCount val="31"/>
              </c:numCache>
            </c:numRef>
          </c:cat>
          <c:val>
            <c:numRef>
              <c:f>'16'!$U$212:$AX$212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107712"/>
        <c:axId val="457118080"/>
      </c:lineChart>
      <c:catAx>
        <c:axId val="457107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18080"/>
        <c:crosses val="autoZero"/>
        <c:auto val="1"/>
        <c:lblAlgn val="ctr"/>
        <c:lblOffset val="100"/>
        <c:noMultiLvlLbl val="0"/>
      </c:catAx>
      <c:valAx>
        <c:axId val="457118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'17'!$T$211:$AX$211</c:f>
              <c:numCache>
                <c:formatCode>General</c:formatCode>
                <c:ptCount val="31"/>
              </c:numCache>
            </c:numRef>
          </c:cat>
          <c:val>
            <c:numRef>
              <c:f>'17'!$U$212:$AX$212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877184"/>
        <c:axId val="458879360"/>
      </c:lineChart>
      <c:catAx>
        <c:axId val="458877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9360"/>
        <c:crosses val="autoZero"/>
        <c:auto val="1"/>
        <c:lblAlgn val="ctr"/>
        <c:lblOffset val="100"/>
        <c:noMultiLvlLbl val="0"/>
      </c:catAx>
      <c:valAx>
        <c:axId val="458879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'18'!$T$211:$AX$211</c:f>
              <c:numCache>
                <c:formatCode>General</c:formatCode>
                <c:ptCount val="31"/>
              </c:numCache>
            </c:numRef>
          </c:cat>
          <c:val>
            <c:numRef>
              <c:f>'18'!$U$212:$AX$212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393280"/>
        <c:axId val="459673984"/>
      </c:lineChart>
      <c:catAx>
        <c:axId val="45939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73984"/>
        <c:crosses val="autoZero"/>
        <c:auto val="1"/>
        <c:lblAlgn val="ctr"/>
        <c:lblOffset val="100"/>
        <c:noMultiLvlLbl val="0"/>
      </c:catAx>
      <c:valAx>
        <c:axId val="459673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9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'19'!$T$211:$AX$211</c:f>
              <c:numCache>
                <c:formatCode>General</c:formatCode>
                <c:ptCount val="31"/>
              </c:numCache>
            </c:numRef>
          </c:cat>
          <c:val>
            <c:numRef>
              <c:f>'19'!$U$212:$AX$212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58464"/>
        <c:axId val="460160384"/>
      </c:lineChart>
      <c:catAx>
        <c:axId val="460158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60384"/>
        <c:crosses val="autoZero"/>
        <c:auto val="1"/>
        <c:lblAlgn val="ctr"/>
        <c:lblOffset val="100"/>
        <c:noMultiLvlLbl val="0"/>
      </c:catAx>
      <c:valAx>
        <c:axId val="460160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5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'20'!$T$211:$AX$211</c:f>
              <c:numCache>
                <c:formatCode>General</c:formatCode>
                <c:ptCount val="31"/>
              </c:numCache>
            </c:numRef>
          </c:cat>
          <c:val>
            <c:numRef>
              <c:f>'20'!$U$212:$AX$212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74976"/>
        <c:axId val="457789440"/>
      </c:lineChart>
      <c:catAx>
        <c:axId val="457774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89440"/>
        <c:crosses val="autoZero"/>
        <c:auto val="1"/>
        <c:lblAlgn val="ctr"/>
        <c:lblOffset val="100"/>
        <c:noMultiLvlLbl val="0"/>
      </c:catAx>
      <c:valAx>
        <c:axId val="457789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7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'21'!$T$211:$AX$211</c:f>
              <c:numCache>
                <c:formatCode>General</c:formatCode>
                <c:ptCount val="31"/>
              </c:numCache>
            </c:numRef>
          </c:cat>
          <c:val>
            <c:numRef>
              <c:f>'21'!$U$212:$AX$212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835520"/>
        <c:axId val="467837696"/>
      </c:lineChart>
      <c:catAx>
        <c:axId val="46783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7696"/>
        <c:crosses val="autoZero"/>
        <c:auto val="1"/>
        <c:lblAlgn val="ctr"/>
        <c:lblOffset val="100"/>
        <c:noMultiLvlLbl val="0"/>
      </c:catAx>
      <c:valAx>
        <c:axId val="46783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3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'22'!$T$211:$AX$211</c:f>
              <c:numCache>
                <c:formatCode>General</c:formatCode>
                <c:ptCount val="31"/>
              </c:numCache>
            </c:numRef>
          </c:cat>
          <c:val>
            <c:numRef>
              <c:f>'22'!$U$212:$AX$212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61056"/>
        <c:axId val="468484480"/>
      </c:lineChart>
      <c:catAx>
        <c:axId val="486861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484480"/>
        <c:crosses val="autoZero"/>
        <c:auto val="1"/>
        <c:lblAlgn val="ctr"/>
        <c:lblOffset val="100"/>
        <c:noMultiLvlLbl val="0"/>
      </c:catAx>
      <c:valAx>
        <c:axId val="468484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'23'!$T$211:$AX$211</c:f>
              <c:numCache>
                <c:formatCode>General</c:formatCode>
                <c:ptCount val="31"/>
              </c:numCache>
            </c:numRef>
          </c:cat>
          <c:val>
            <c:numRef>
              <c:f>'23'!$U$212:$AX$212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807232"/>
        <c:axId val="487809408"/>
      </c:lineChart>
      <c:catAx>
        <c:axId val="487807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09408"/>
        <c:crosses val="autoZero"/>
        <c:auto val="1"/>
        <c:lblAlgn val="ctr"/>
        <c:lblOffset val="100"/>
        <c:noMultiLvlLbl val="0"/>
      </c:catAx>
      <c:valAx>
        <c:axId val="487809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0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'24'!$T$211:$AX$211</c:f>
              <c:numCache>
                <c:formatCode>General</c:formatCode>
                <c:ptCount val="31"/>
              </c:numCache>
            </c:numRef>
          </c:cat>
          <c:val>
            <c:numRef>
              <c:f>'24'!$U$212:$AX$212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834560"/>
        <c:axId val="488836480"/>
      </c:lineChart>
      <c:catAx>
        <c:axId val="488834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36480"/>
        <c:crosses val="autoZero"/>
        <c:auto val="1"/>
        <c:lblAlgn val="ctr"/>
        <c:lblOffset val="100"/>
        <c:noMultiLvlLbl val="0"/>
      </c:catAx>
      <c:valAx>
        <c:axId val="488836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3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'25'!$T$211:$AX$211</c:f>
              <c:numCache>
                <c:formatCode>General</c:formatCode>
                <c:ptCount val="31"/>
              </c:numCache>
            </c:numRef>
          </c:cat>
          <c:val>
            <c:numRef>
              <c:f>'25'!$U$212:$AX$212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330496"/>
        <c:axId val="460332416"/>
      </c:lineChart>
      <c:catAx>
        <c:axId val="460330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32416"/>
        <c:crosses val="autoZero"/>
        <c:auto val="1"/>
        <c:lblAlgn val="ctr"/>
        <c:lblOffset val="100"/>
        <c:noMultiLvlLbl val="0"/>
      </c:catAx>
      <c:valAx>
        <c:axId val="46033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'26'!$T$211:$AX$211</c:f>
              <c:numCache>
                <c:formatCode>General</c:formatCode>
                <c:ptCount val="31"/>
              </c:numCache>
            </c:numRef>
          </c:cat>
          <c:val>
            <c:numRef>
              <c:f>'26'!$U$212:$AX$212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222720"/>
        <c:axId val="490224640"/>
      </c:lineChart>
      <c:catAx>
        <c:axId val="490222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24640"/>
        <c:crosses val="autoZero"/>
        <c:auto val="1"/>
        <c:lblAlgn val="ctr"/>
        <c:lblOffset val="100"/>
        <c:noMultiLvlLbl val="0"/>
      </c:catAx>
      <c:valAx>
        <c:axId val="490224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2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'27'!$T$211:$AX$211</c:f>
              <c:numCache>
                <c:formatCode>General</c:formatCode>
                <c:ptCount val="31"/>
              </c:numCache>
            </c:numRef>
          </c:cat>
          <c:val>
            <c:numRef>
              <c:f>'27'!$U$212:$AX$212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277696"/>
        <c:axId val="489279872"/>
      </c:lineChart>
      <c:catAx>
        <c:axId val="489277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79872"/>
        <c:crosses val="autoZero"/>
        <c:auto val="1"/>
        <c:lblAlgn val="ctr"/>
        <c:lblOffset val="100"/>
        <c:noMultiLvlLbl val="0"/>
      </c:catAx>
      <c:valAx>
        <c:axId val="48927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7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'28'!$T$211:$AX$211</c:f>
              <c:numCache>
                <c:formatCode>General</c:formatCode>
                <c:ptCount val="31"/>
              </c:numCache>
            </c:numRef>
          </c:cat>
          <c:val>
            <c:numRef>
              <c:f>'28'!$U$212:$AX$212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343872"/>
        <c:axId val="491345792"/>
      </c:lineChart>
      <c:catAx>
        <c:axId val="491343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45792"/>
        <c:crosses val="autoZero"/>
        <c:auto val="1"/>
        <c:lblAlgn val="ctr"/>
        <c:lblOffset val="100"/>
        <c:noMultiLvlLbl val="0"/>
      </c:catAx>
      <c:valAx>
        <c:axId val="49134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4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'29'!$T$211:$AX$211</c:f>
              <c:numCache>
                <c:formatCode>General</c:formatCode>
                <c:ptCount val="31"/>
              </c:numCache>
            </c:numRef>
          </c:cat>
          <c:val>
            <c:numRef>
              <c:f>'29'!$U$212:$AX$212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327680"/>
        <c:axId val="492329600"/>
      </c:lineChart>
      <c:catAx>
        <c:axId val="492327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329600"/>
        <c:crosses val="autoZero"/>
        <c:auto val="1"/>
        <c:lblAlgn val="ctr"/>
        <c:lblOffset val="100"/>
        <c:noMultiLvlLbl val="0"/>
      </c:catAx>
      <c:valAx>
        <c:axId val="492329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3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'new_sample (2)'!$A$211:$A$215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'new_sample (2)'!$B$211:$B$215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'new_sample (2)'!$S$213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'new_sample (2)'!$T$211:$AX$211</c:f>
              <c:numCache>
                <c:formatCode>General</c:formatCode>
                <c:ptCount val="31"/>
              </c:numCache>
            </c:numRef>
          </c:cat>
          <c:val>
            <c:numRef>
              <c:f>'new_sample (2)'!$U$212:$AX$212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626304"/>
        <c:axId val="492628224"/>
      </c:lineChart>
      <c:catAx>
        <c:axId val="492626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28224"/>
        <c:crosses val="autoZero"/>
        <c:auto val="1"/>
        <c:lblAlgn val="ctr"/>
        <c:lblOffset val="100"/>
        <c:noMultiLvlLbl val="0"/>
      </c:catAx>
      <c:valAx>
        <c:axId val="492628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2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new_sample!$T$211:$AX$211</c:f>
              <c:numCache>
                <c:formatCode>General</c:formatCode>
                <c:ptCount val="31"/>
              </c:numCache>
            </c:numRef>
          </c:cat>
          <c:val>
            <c:numRef>
              <c:f>new_sample!$U$212:$AX$212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522944"/>
        <c:axId val="493524864"/>
      </c:lineChart>
      <c:catAx>
        <c:axId val="493522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24864"/>
        <c:crosses val="autoZero"/>
        <c:auto val="1"/>
        <c:lblAlgn val="ctr"/>
        <c:lblOffset val="100"/>
        <c:noMultiLvlLbl val="0"/>
      </c:catAx>
      <c:valAx>
        <c:axId val="493524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'new_sample (3)'!$A$211:$A$215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'new_sample (3)'!$B$211:$B$215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'new_sample (3)'!$S$213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'new_sample (3)'!$T$211:$AX$211</c:f>
              <c:numCache>
                <c:formatCode>General</c:formatCode>
                <c:ptCount val="31"/>
              </c:numCache>
            </c:numRef>
          </c:cat>
          <c:val>
            <c:numRef>
              <c:f>'new_sample (3)'!$U$212:$AX$212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919616"/>
        <c:axId val="493938176"/>
      </c:lineChart>
      <c:catAx>
        <c:axId val="493919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38176"/>
        <c:crosses val="autoZero"/>
        <c:auto val="1"/>
        <c:lblAlgn val="ctr"/>
        <c:lblOffset val="100"/>
        <c:noMultiLvlLbl val="0"/>
      </c:catAx>
      <c:valAx>
        <c:axId val="493938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83" activePane="bottomRight" state="frozen"/>
      <selection activeCell="AF88" sqref="AF88"/>
      <selection pane="topRight" activeCell="AF88" sqref="AF88"/>
      <selection pane="bottomLeft" activeCell="AF88" sqref="AF88"/>
      <selection pane="bottomRight" activeCell="Y44" sqref="Y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2078/09/1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298</v>
      </c>
      <c r="C5" s="32">
        <f t="shared" si="0"/>
        <v>286</v>
      </c>
      <c r="D5" s="32">
        <f t="shared" si="0"/>
        <v>283.7</v>
      </c>
      <c r="E5" s="32">
        <f t="shared" si="0"/>
        <v>266.5</v>
      </c>
      <c r="F5" s="32">
        <f t="shared" si="0"/>
        <v>289</v>
      </c>
      <c r="G5" s="32">
        <f t="shared" si="0"/>
        <v>306.8</v>
      </c>
      <c r="H5" s="32">
        <f t="shared" si="0"/>
        <v>353.9</v>
      </c>
      <c r="I5" s="32">
        <f t="shared" si="0"/>
        <v>361.4</v>
      </c>
      <c r="J5" s="32">
        <f t="shared" si="0"/>
        <v>170.2</v>
      </c>
      <c r="K5" s="32">
        <f t="shared" si="0"/>
        <v>172.10000000000002</v>
      </c>
      <c r="L5" s="32">
        <f t="shared" si="0"/>
        <v>169.7</v>
      </c>
      <c r="M5" s="32">
        <f t="shared" si="0"/>
        <v>229.1</v>
      </c>
      <c r="N5" s="32">
        <f t="shared" si="0"/>
        <v>296.10000000000002</v>
      </c>
      <c r="O5" s="32">
        <f t="shared" si="0"/>
        <v>303.7</v>
      </c>
      <c r="P5" s="32">
        <f t="shared" si="0"/>
        <v>258.7</v>
      </c>
      <c r="Q5" s="32">
        <f t="shared" si="0"/>
        <v>263.60000000000002</v>
      </c>
      <c r="R5" s="32">
        <f t="shared" si="0"/>
        <v>265.10000000000002</v>
      </c>
      <c r="S5" s="32">
        <f t="shared" si="0"/>
        <v>363.4</v>
      </c>
      <c r="T5" s="32">
        <f t="shared" si="0"/>
        <v>321.60000000000002</v>
      </c>
      <c r="U5" s="32">
        <f t="shared" si="0"/>
        <v>112.7</v>
      </c>
      <c r="V5" s="32">
        <f t="shared" si="0"/>
        <v>137.19999999999999</v>
      </c>
      <c r="W5" s="32">
        <f t="shared" si="0"/>
        <v>113.3</v>
      </c>
      <c r="X5" s="32">
        <f t="shared" si="0"/>
        <v>94.6</v>
      </c>
      <c r="Y5" s="32">
        <f t="shared" si="0"/>
        <v>86.8</v>
      </c>
      <c r="Z5" s="32">
        <f t="shared" si="0"/>
        <v>166.89999999999998</v>
      </c>
      <c r="AA5" s="32">
        <f t="shared" si="0"/>
        <v>247</v>
      </c>
      <c r="AB5" s="32">
        <f t="shared" si="0"/>
        <v>253</v>
      </c>
      <c r="AC5" s="32">
        <f t="shared" si="0"/>
        <v>280</v>
      </c>
      <c r="AD5" s="32">
        <f t="shared" si="0"/>
        <v>271</v>
      </c>
      <c r="AE5" s="32">
        <f t="shared" si="0"/>
        <v>217.9</v>
      </c>
      <c r="AF5" s="32">
        <f>B68</f>
        <v>224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1360MW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Load=864</v>
      </c>
      <c r="B7" s="37">
        <f>B75</f>
        <v>948.64</v>
      </c>
      <c r="C7" s="37">
        <f t="shared" ref="C7:AF7" si="1">C75</f>
        <v>879.63999999999987</v>
      </c>
      <c r="D7" s="37">
        <f t="shared" si="1"/>
        <v>864.43999999999994</v>
      </c>
      <c r="E7" s="37">
        <f t="shared" si="1"/>
        <v>867.13999999999987</v>
      </c>
      <c r="F7" s="37">
        <f t="shared" si="1"/>
        <v>924.93999999999994</v>
      </c>
      <c r="G7" s="37">
        <f t="shared" si="1"/>
        <v>962.14</v>
      </c>
      <c r="H7" s="37">
        <f t="shared" si="1"/>
        <v>1052.94</v>
      </c>
      <c r="I7" s="37">
        <f t="shared" si="1"/>
        <v>1134.04</v>
      </c>
      <c r="J7" s="37">
        <f t="shared" si="1"/>
        <v>1161.54</v>
      </c>
      <c r="K7" s="37">
        <f t="shared" si="1"/>
        <v>1333.94</v>
      </c>
      <c r="L7" s="37">
        <f t="shared" si="1"/>
        <v>1352.54</v>
      </c>
      <c r="M7" s="37">
        <f t="shared" si="1"/>
        <v>1359.94</v>
      </c>
      <c r="N7" s="37">
        <f t="shared" si="1"/>
        <v>1312.6399999999999</v>
      </c>
      <c r="O7" s="37">
        <f t="shared" si="1"/>
        <v>1193.3400000000001</v>
      </c>
      <c r="P7" s="37">
        <f t="shared" si="1"/>
        <v>1061.54</v>
      </c>
      <c r="Q7" s="37">
        <f t="shared" si="1"/>
        <v>1005.44</v>
      </c>
      <c r="R7" s="37">
        <f t="shared" si="1"/>
        <v>944.84</v>
      </c>
      <c r="S7" s="37">
        <f t="shared" si="1"/>
        <v>900.44</v>
      </c>
      <c r="T7" s="37">
        <f t="shared" si="1"/>
        <v>909.24</v>
      </c>
      <c r="U7" s="37">
        <f t="shared" si="1"/>
        <v>928.04</v>
      </c>
      <c r="V7" s="37">
        <f t="shared" si="1"/>
        <v>986.24</v>
      </c>
      <c r="W7" s="37">
        <f t="shared" si="1"/>
        <v>1104.44</v>
      </c>
      <c r="X7" s="37">
        <f t="shared" si="1"/>
        <v>1299.8399999999999</v>
      </c>
      <c r="Y7" s="37">
        <f t="shared" si="1"/>
        <v>1375.24</v>
      </c>
      <c r="Z7" s="37">
        <f t="shared" si="1"/>
        <v>1281.8400000000001</v>
      </c>
      <c r="AA7" s="37">
        <f t="shared" si="1"/>
        <v>1320.74</v>
      </c>
      <c r="AB7" s="37">
        <f t="shared" si="1"/>
        <v>1276.8400000000001</v>
      </c>
      <c r="AC7" s="37">
        <f t="shared" si="1"/>
        <v>1231.44</v>
      </c>
      <c r="AD7" s="37">
        <f t="shared" si="1"/>
        <v>1161.2399999999998</v>
      </c>
      <c r="AE7" s="37">
        <f t="shared" si="1"/>
        <v>973.04</v>
      </c>
      <c r="AF7" s="37">
        <f t="shared" si="1"/>
        <v>875.24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70</v>
      </c>
      <c r="C11" s="49">
        <v>15</v>
      </c>
      <c r="D11" s="49">
        <v>15</v>
      </c>
      <c r="E11" s="49">
        <v>15</v>
      </c>
      <c r="F11" s="49">
        <v>40</v>
      </c>
      <c r="G11" s="49">
        <v>61</v>
      </c>
      <c r="H11" s="49">
        <v>77</v>
      </c>
      <c r="I11" s="49">
        <v>60</v>
      </c>
      <c r="J11" s="49">
        <v>80</v>
      </c>
      <c r="K11" s="49">
        <v>310</v>
      </c>
      <c r="L11" s="49">
        <v>280</v>
      </c>
      <c r="M11" s="49">
        <v>280</v>
      </c>
      <c r="N11" s="49">
        <v>260</v>
      </c>
      <c r="O11" s="49">
        <v>110</v>
      </c>
      <c r="P11" s="50">
        <v>105</v>
      </c>
      <c r="Q11" s="50">
        <v>109</v>
      </c>
      <c r="R11" s="50">
        <v>106</v>
      </c>
      <c r="S11" s="50">
        <v>16</v>
      </c>
      <c r="T11" s="50">
        <v>16</v>
      </c>
      <c r="U11" s="50">
        <v>16</v>
      </c>
      <c r="V11" s="50">
        <v>150</v>
      </c>
      <c r="W11" s="50">
        <v>200</v>
      </c>
      <c r="X11" s="50">
        <v>320</v>
      </c>
      <c r="Y11" s="50">
        <v>370</v>
      </c>
      <c r="Z11" s="51">
        <v>300</v>
      </c>
      <c r="AA11" s="50">
        <v>280</v>
      </c>
      <c r="AB11" s="50">
        <v>170</v>
      </c>
      <c r="AC11" s="50">
        <v>130</v>
      </c>
      <c r="AD11" s="50">
        <v>50</v>
      </c>
      <c r="AE11" s="50">
        <v>13</v>
      </c>
      <c r="AF11" s="50">
        <v>10</v>
      </c>
      <c r="AG11" s="52">
        <v>456</v>
      </c>
      <c r="AH11" s="53">
        <f>MAX(B11:AF11)</f>
        <v>370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57">
        <v>40</v>
      </c>
      <c r="Z12" s="57">
        <v>40</v>
      </c>
      <c r="AA12" s="57">
        <v>40</v>
      </c>
      <c r="AB12" s="57">
        <v>40</v>
      </c>
      <c r="AC12" s="57">
        <v>40</v>
      </c>
      <c r="AD12" s="57">
        <v>40</v>
      </c>
      <c r="AE12" s="57">
        <v>40</v>
      </c>
      <c r="AF12" s="57">
        <v>40</v>
      </c>
      <c r="AG12" s="58">
        <v>60</v>
      </c>
      <c r="AH12" s="53">
        <f t="shared" ref="AH12:AH75" si="2">MAX(B12:AF12)</f>
        <v>40</v>
      </c>
      <c r="AI12" s="54">
        <f t="shared" ref="AI12:AI75" si="3">MIN(B12:AF12)</f>
        <v>40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22.6</v>
      </c>
      <c r="C13" s="49">
        <v>22.6</v>
      </c>
      <c r="D13" s="49">
        <v>22.6</v>
      </c>
      <c r="E13" s="49">
        <v>22.6</v>
      </c>
      <c r="F13" s="49">
        <v>22.6</v>
      </c>
      <c r="G13" s="49">
        <v>22.6</v>
      </c>
      <c r="H13" s="49">
        <v>22.6</v>
      </c>
      <c r="I13" s="49">
        <v>22.6</v>
      </c>
      <c r="J13" s="49">
        <v>22.6</v>
      </c>
      <c r="K13" s="49">
        <v>22.6</v>
      </c>
      <c r="L13" s="49">
        <v>22.6</v>
      </c>
      <c r="M13" s="49">
        <v>21.9</v>
      </c>
      <c r="N13" s="49">
        <v>21.9</v>
      </c>
      <c r="O13" s="49">
        <v>21.9</v>
      </c>
      <c r="P13" s="49">
        <v>21.9</v>
      </c>
      <c r="Q13" s="49">
        <v>21.9</v>
      </c>
      <c r="R13" s="49">
        <v>21.9</v>
      </c>
      <c r="S13" s="49">
        <v>21.9</v>
      </c>
      <c r="T13" s="49">
        <v>21.9</v>
      </c>
      <c r="U13" s="49">
        <v>21.9</v>
      </c>
      <c r="V13" s="49">
        <v>21.9</v>
      </c>
      <c r="W13" s="49">
        <v>21.9</v>
      </c>
      <c r="X13" s="49">
        <v>21.9</v>
      </c>
      <c r="Y13" s="57">
        <v>21.9</v>
      </c>
      <c r="Z13" s="57">
        <v>21.9</v>
      </c>
      <c r="AA13" s="57">
        <v>21.9</v>
      </c>
      <c r="AB13" s="57">
        <v>22.6</v>
      </c>
      <c r="AC13" s="57">
        <v>22.6</v>
      </c>
      <c r="AD13" s="57">
        <v>22.6</v>
      </c>
      <c r="AE13" s="57">
        <v>22.6</v>
      </c>
      <c r="AF13" s="57">
        <v>22.7</v>
      </c>
      <c r="AG13" s="58">
        <v>52.4</v>
      </c>
      <c r="AH13" s="53">
        <f t="shared" si="2"/>
        <v>22.7</v>
      </c>
      <c r="AI13" s="54">
        <f t="shared" si="3"/>
        <v>21.9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42.6</v>
      </c>
      <c r="C14" s="49">
        <v>42.6</v>
      </c>
      <c r="D14" s="49">
        <v>42.6</v>
      </c>
      <c r="E14" s="49">
        <v>42.6</v>
      </c>
      <c r="F14" s="49">
        <v>42.6</v>
      </c>
      <c r="G14" s="49">
        <v>42.6</v>
      </c>
      <c r="H14" s="49">
        <v>42.6</v>
      </c>
      <c r="I14" s="49">
        <v>42.6</v>
      </c>
      <c r="J14" s="49">
        <v>42.6</v>
      </c>
      <c r="K14" s="49">
        <v>42.6</v>
      </c>
      <c r="L14" s="49">
        <v>42.6</v>
      </c>
      <c r="M14" s="49">
        <v>41.6</v>
      </c>
      <c r="N14" s="49">
        <v>41.6</v>
      </c>
      <c r="O14" s="49">
        <v>41.6</v>
      </c>
      <c r="P14" s="49">
        <v>41.6</v>
      </c>
      <c r="Q14" s="49">
        <v>41.6</v>
      </c>
      <c r="R14" s="49">
        <v>41.6</v>
      </c>
      <c r="S14" s="49">
        <v>41.6</v>
      </c>
      <c r="T14" s="49">
        <v>41.6</v>
      </c>
      <c r="U14" s="49">
        <v>41.6</v>
      </c>
      <c r="V14" s="49">
        <v>41.6</v>
      </c>
      <c r="W14" s="49">
        <v>41.6</v>
      </c>
      <c r="X14" s="49">
        <v>41.6</v>
      </c>
      <c r="Y14" s="59">
        <v>41.6</v>
      </c>
      <c r="Z14" s="59">
        <v>41.6</v>
      </c>
      <c r="AA14" s="59">
        <v>41.6</v>
      </c>
      <c r="AB14" s="59">
        <v>41.9</v>
      </c>
      <c r="AC14" s="59">
        <v>41.9</v>
      </c>
      <c r="AD14" s="59">
        <v>41.9</v>
      </c>
      <c r="AE14" s="59">
        <v>41.7</v>
      </c>
      <c r="AF14" s="59">
        <v>41.7</v>
      </c>
      <c r="AG14" s="58">
        <v>50</v>
      </c>
      <c r="AH14" s="53">
        <f t="shared" si="2"/>
        <v>42.6</v>
      </c>
      <c r="AI14" s="54">
        <f t="shared" si="3"/>
        <v>41.6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21.9</v>
      </c>
      <c r="C15" s="60">
        <v>21.9</v>
      </c>
      <c r="D15" s="60">
        <v>21.9</v>
      </c>
      <c r="E15" s="60">
        <v>21.9</v>
      </c>
      <c r="F15" s="60">
        <v>21.9</v>
      </c>
      <c r="G15" s="60">
        <v>21.9</v>
      </c>
      <c r="H15" s="60">
        <v>21.9</v>
      </c>
      <c r="I15" s="60">
        <v>21.9</v>
      </c>
      <c r="J15" s="60">
        <v>21.9</v>
      </c>
      <c r="K15" s="60">
        <v>21.9</v>
      </c>
      <c r="L15" s="60">
        <v>21.9</v>
      </c>
      <c r="M15" s="60">
        <v>22.8</v>
      </c>
      <c r="N15" s="60">
        <v>22.8</v>
      </c>
      <c r="O15" s="60">
        <v>22.8</v>
      </c>
      <c r="P15" s="60">
        <v>22.8</v>
      </c>
      <c r="Q15" s="60">
        <v>22.8</v>
      </c>
      <c r="R15" s="60">
        <v>22.8</v>
      </c>
      <c r="S15" s="60">
        <v>22.8</v>
      </c>
      <c r="T15" s="60">
        <v>22.8</v>
      </c>
      <c r="U15" s="60">
        <v>22.8</v>
      </c>
      <c r="V15" s="60">
        <v>22.8</v>
      </c>
      <c r="W15" s="60">
        <v>22.8</v>
      </c>
      <c r="X15" s="60">
        <v>22.8</v>
      </c>
      <c r="Y15" s="59">
        <v>22.8</v>
      </c>
      <c r="Z15" s="59">
        <v>22.8</v>
      </c>
      <c r="AA15" s="59">
        <v>22.8</v>
      </c>
      <c r="AB15" s="59">
        <v>22.8</v>
      </c>
      <c r="AC15" s="59">
        <v>22.8</v>
      </c>
      <c r="AD15" s="59">
        <v>22.8</v>
      </c>
      <c r="AE15" s="59">
        <v>23</v>
      </c>
      <c r="AF15" s="59">
        <v>23</v>
      </c>
      <c r="AG15" s="61">
        <v>45</v>
      </c>
      <c r="AH15" s="53">
        <f t="shared" si="2"/>
        <v>23</v>
      </c>
      <c r="AI15" s="54">
        <f t="shared" si="3"/>
        <v>21.9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12</v>
      </c>
      <c r="C16" s="49">
        <v>12</v>
      </c>
      <c r="D16" s="49">
        <v>12</v>
      </c>
      <c r="E16" s="49">
        <v>12</v>
      </c>
      <c r="F16" s="49">
        <v>12</v>
      </c>
      <c r="G16" s="49">
        <v>12</v>
      </c>
      <c r="H16" s="49">
        <v>12</v>
      </c>
      <c r="I16" s="49">
        <v>12</v>
      </c>
      <c r="J16" s="49">
        <v>12</v>
      </c>
      <c r="K16" s="49">
        <v>12</v>
      </c>
      <c r="L16" s="49">
        <v>12</v>
      </c>
      <c r="M16" s="49">
        <v>12</v>
      </c>
      <c r="N16" s="49">
        <v>12</v>
      </c>
      <c r="O16" s="49">
        <v>12</v>
      </c>
      <c r="P16" s="49">
        <v>12</v>
      </c>
      <c r="Q16" s="49">
        <v>12</v>
      </c>
      <c r="R16" s="49">
        <v>12</v>
      </c>
      <c r="S16" s="49">
        <v>12</v>
      </c>
      <c r="T16" s="49">
        <v>12</v>
      </c>
      <c r="U16" s="49">
        <v>12</v>
      </c>
      <c r="V16" s="49">
        <v>12</v>
      </c>
      <c r="W16" s="49">
        <v>12</v>
      </c>
      <c r="X16" s="49">
        <v>12</v>
      </c>
      <c r="Y16" s="62">
        <v>12</v>
      </c>
      <c r="Z16" s="62">
        <v>12</v>
      </c>
      <c r="AA16" s="62">
        <v>12</v>
      </c>
      <c r="AB16" s="62">
        <v>12</v>
      </c>
      <c r="AC16" s="62">
        <v>12</v>
      </c>
      <c r="AD16" s="62">
        <v>12</v>
      </c>
      <c r="AE16" s="62">
        <v>12</v>
      </c>
      <c r="AF16" s="62">
        <v>12</v>
      </c>
      <c r="AG16" s="58">
        <v>45</v>
      </c>
      <c r="AH16" s="53">
        <f t="shared" si="2"/>
        <v>12</v>
      </c>
      <c r="AI16" s="54">
        <f t="shared" si="3"/>
        <v>12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10</v>
      </c>
      <c r="L17" s="49">
        <v>10</v>
      </c>
      <c r="M17" s="49">
        <v>10</v>
      </c>
      <c r="N17" s="49">
        <v>10</v>
      </c>
      <c r="O17" s="49">
        <v>10</v>
      </c>
      <c r="P17" s="49">
        <v>10</v>
      </c>
      <c r="Q17" s="49">
        <v>10</v>
      </c>
      <c r="R17" s="49">
        <v>10</v>
      </c>
      <c r="S17" s="49">
        <v>10</v>
      </c>
      <c r="T17" s="49">
        <v>10</v>
      </c>
      <c r="U17" s="49">
        <v>10</v>
      </c>
      <c r="V17" s="49">
        <v>10</v>
      </c>
      <c r="W17" s="49">
        <v>10</v>
      </c>
      <c r="X17" s="49">
        <v>10</v>
      </c>
      <c r="Y17" s="59">
        <v>10</v>
      </c>
      <c r="Z17" s="59">
        <v>10</v>
      </c>
      <c r="AA17" s="59">
        <v>10</v>
      </c>
      <c r="AB17" s="59">
        <v>10</v>
      </c>
      <c r="AC17" s="59">
        <v>10</v>
      </c>
      <c r="AD17" s="59">
        <v>10</v>
      </c>
      <c r="AE17" s="59">
        <v>10</v>
      </c>
      <c r="AF17" s="59">
        <v>10</v>
      </c>
      <c r="AG17" s="58">
        <v>42</v>
      </c>
      <c r="AH17" s="53">
        <f t="shared" si="2"/>
        <v>10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49">
        <v>10</v>
      </c>
      <c r="N18" s="49">
        <v>10</v>
      </c>
      <c r="O18" s="49">
        <v>10</v>
      </c>
      <c r="P18" s="49">
        <v>10</v>
      </c>
      <c r="Q18" s="49">
        <v>10</v>
      </c>
      <c r="R18" s="49">
        <v>10</v>
      </c>
      <c r="S18" s="49">
        <v>10</v>
      </c>
      <c r="T18" s="49">
        <v>10</v>
      </c>
      <c r="U18" s="49">
        <v>10</v>
      </c>
      <c r="V18" s="49">
        <v>10</v>
      </c>
      <c r="W18" s="49">
        <v>10</v>
      </c>
      <c r="X18" s="49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8">
        <v>36</v>
      </c>
      <c r="AH18" s="53">
        <f t="shared" si="2"/>
        <v>10</v>
      </c>
      <c r="AI18" s="54">
        <f t="shared" si="3"/>
        <v>10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10.9</v>
      </c>
      <c r="C19" s="49">
        <v>10.9</v>
      </c>
      <c r="D19" s="49">
        <v>10.9</v>
      </c>
      <c r="E19" s="49">
        <v>10.9</v>
      </c>
      <c r="F19" s="49">
        <v>10.9</v>
      </c>
      <c r="G19" s="49">
        <v>10.9</v>
      </c>
      <c r="H19" s="49">
        <v>10.9</v>
      </c>
      <c r="I19" s="49">
        <v>10.9</v>
      </c>
      <c r="J19" s="49">
        <v>10.9</v>
      </c>
      <c r="K19" s="49">
        <v>10.9</v>
      </c>
      <c r="L19" s="49">
        <v>10.9</v>
      </c>
      <c r="M19" s="49">
        <v>10.9</v>
      </c>
      <c r="N19" s="49">
        <v>10.9</v>
      </c>
      <c r="O19" s="49">
        <v>10.9</v>
      </c>
      <c r="P19" s="49">
        <v>10.9</v>
      </c>
      <c r="Q19" s="49">
        <v>10.9</v>
      </c>
      <c r="R19" s="49">
        <v>10.9</v>
      </c>
      <c r="S19" s="49">
        <v>10.9</v>
      </c>
      <c r="T19" s="49">
        <v>10.9</v>
      </c>
      <c r="U19" s="49">
        <v>10.9</v>
      </c>
      <c r="V19" s="49">
        <v>10.9</v>
      </c>
      <c r="W19" s="49">
        <v>10.9</v>
      </c>
      <c r="X19" s="49">
        <v>10.9</v>
      </c>
      <c r="Y19" s="50">
        <v>10.9</v>
      </c>
      <c r="Z19" s="50">
        <v>10.9</v>
      </c>
      <c r="AA19" s="50">
        <v>10.9</v>
      </c>
      <c r="AB19" s="50">
        <v>10.8</v>
      </c>
      <c r="AC19" s="50">
        <v>10.8</v>
      </c>
      <c r="AD19" s="50">
        <v>10.8</v>
      </c>
      <c r="AE19" s="50">
        <v>10.6</v>
      </c>
      <c r="AF19" s="50">
        <v>10.7</v>
      </c>
      <c r="AG19" s="58">
        <v>30</v>
      </c>
      <c r="AH19" s="53">
        <f t="shared" si="2"/>
        <v>10.9</v>
      </c>
      <c r="AI19" s="54">
        <f t="shared" si="3"/>
        <v>10.6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49">
        <v>6.2</v>
      </c>
      <c r="T20" s="49">
        <v>6.2</v>
      </c>
      <c r="U20" s="49">
        <v>6.2</v>
      </c>
      <c r="V20" s="49">
        <v>6.2</v>
      </c>
      <c r="W20" s="49">
        <v>6.2</v>
      </c>
      <c r="X20" s="49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49">
        <v>8.5</v>
      </c>
      <c r="T21" s="49">
        <v>8.5</v>
      </c>
      <c r="U21" s="49">
        <v>8.5</v>
      </c>
      <c r="V21" s="49">
        <v>8.5</v>
      </c>
      <c r="W21" s="49">
        <v>8.5</v>
      </c>
      <c r="X21" s="49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15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49">
        <v>15</v>
      </c>
      <c r="M22" s="49">
        <v>15</v>
      </c>
      <c r="N22" s="49">
        <v>15</v>
      </c>
      <c r="O22" s="49">
        <v>15</v>
      </c>
      <c r="P22" s="49">
        <v>15</v>
      </c>
      <c r="Q22" s="49">
        <v>15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20</v>
      </c>
      <c r="Z22" s="50">
        <v>20</v>
      </c>
      <c r="AA22" s="50">
        <v>20</v>
      </c>
      <c r="AB22" s="50">
        <v>19.100000000000001</v>
      </c>
      <c r="AC22" s="50">
        <v>19.100000000000001</v>
      </c>
      <c r="AD22" s="50">
        <v>12</v>
      </c>
      <c r="AE22" s="50">
        <v>12.4</v>
      </c>
      <c r="AF22" s="50">
        <v>12.6</v>
      </c>
      <c r="AG22" s="58">
        <v>25</v>
      </c>
      <c r="AH22" s="53">
        <f t="shared" si="2"/>
        <v>20</v>
      </c>
      <c r="AI22" s="54">
        <f t="shared" si="3"/>
        <v>11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49">
        <v>8</v>
      </c>
      <c r="N23" s="49">
        <v>8</v>
      </c>
      <c r="O23" s="49">
        <v>8</v>
      </c>
      <c r="P23" s="49">
        <v>8</v>
      </c>
      <c r="Q23" s="49">
        <v>8</v>
      </c>
      <c r="R23" s="49">
        <v>8</v>
      </c>
      <c r="S23" s="49">
        <v>8</v>
      </c>
      <c r="T23" s="49">
        <v>8</v>
      </c>
      <c r="U23" s="49">
        <v>8</v>
      </c>
      <c r="V23" s="49">
        <v>8</v>
      </c>
      <c r="W23" s="49">
        <v>8</v>
      </c>
      <c r="X23" s="49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12.6</v>
      </c>
      <c r="C24" s="49">
        <v>12.6</v>
      </c>
      <c r="D24" s="49">
        <v>12.6</v>
      </c>
      <c r="E24" s="49">
        <v>12.6</v>
      </c>
      <c r="F24" s="49">
        <v>12.6</v>
      </c>
      <c r="G24" s="49">
        <v>12.6</v>
      </c>
      <c r="H24" s="49">
        <v>12.6</v>
      </c>
      <c r="I24" s="49">
        <v>12.6</v>
      </c>
      <c r="J24" s="49">
        <v>12.6</v>
      </c>
      <c r="K24" s="49">
        <v>12.6</v>
      </c>
      <c r="L24" s="49">
        <v>12.6</v>
      </c>
      <c r="M24" s="49">
        <v>11.4</v>
      </c>
      <c r="N24" s="49">
        <v>11.4</v>
      </c>
      <c r="O24" s="49">
        <v>11.4</v>
      </c>
      <c r="P24" s="49">
        <v>11.4</v>
      </c>
      <c r="Q24" s="49">
        <v>11.4</v>
      </c>
      <c r="R24" s="49">
        <v>11.4</v>
      </c>
      <c r="S24" s="49">
        <v>11.4</v>
      </c>
      <c r="T24" s="49">
        <v>11.4</v>
      </c>
      <c r="U24" s="49">
        <v>11.4</v>
      </c>
      <c r="V24" s="49">
        <v>11.4</v>
      </c>
      <c r="W24" s="49">
        <v>11.4</v>
      </c>
      <c r="X24" s="49">
        <v>11.4</v>
      </c>
      <c r="Y24" s="50">
        <v>14.1</v>
      </c>
      <c r="Z24" s="50">
        <v>14.1</v>
      </c>
      <c r="AA24" s="50">
        <v>14.1</v>
      </c>
      <c r="AB24" s="50">
        <v>14.1</v>
      </c>
      <c r="AC24" s="50">
        <v>14.1</v>
      </c>
      <c r="AD24" s="50">
        <v>14.1</v>
      </c>
      <c r="AE24" s="50">
        <v>15</v>
      </c>
      <c r="AF24" s="50">
        <v>14</v>
      </c>
      <c r="AG24" s="58">
        <v>25</v>
      </c>
      <c r="AH24" s="53">
        <f t="shared" si="2"/>
        <v>15</v>
      </c>
      <c r="AI24" s="54">
        <f t="shared" si="3"/>
        <v>11.4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49">
        <v>8</v>
      </c>
      <c r="T25" s="49">
        <v>8</v>
      </c>
      <c r="U25" s="49">
        <v>8</v>
      </c>
      <c r="V25" s="49">
        <v>8</v>
      </c>
      <c r="W25" s="49">
        <v>8</v>
      </c>
      <c r="X25" s="49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49">
        <v>4.5</v>
      </c>
      <c r="T27" s="49">
        <v>4.5</v>
      </c>
      <c r="U27" s="49">
        <v>4.5</v>
      </c>
      <c r="V27" s="49">
        <v>4.5</v>
      </c>
      <c r="W27" s="49">
        <v>4.5</v>
      </c>
      <c r="X27" s="49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5</v>
      </c>
      <c r="C29" s="49">
        <v>5</v>
      </c>
      <c r="D29" s="49">
        <v>5</v>
      </c>
      <c r="E29" s="49">
        <v>5</v>
      </c>
      <c r="F29" s="49">
        <v>5</v>
      </c>
      <c r="G29" s="49">
        <v>5</v>
      </c>
      <c r="H29" s="49">
        <v>5</v>
      </c>
      <c r="I29" s="49">
        <v>5</v>
      </c>
      <c r="J29" s="49">
        <v>5</v>
      </c>
      <c r="K29" s="49">
        <v>5</v>
      </c>
      <c r="L29" s="49">
        <v>5</v>
      </c>
      <c r="M29" s="49">
        <v>5</v>
      </c>
      <c r="N29" s="49">
        <v>5</v>
      </c>
      <c r="O29" s="49">
        <v>5</v>
      </c>
      <c r="P29" s="49">
        <v>5</v>
      </c>
      <c r="Q29" s="49">
        <v>5</v>
      </c>
      <c r="R29" s="49">
        <v>5</v>
      </c>
      <c r="S29" s="49">
        <v>5</v>
      </c>
      <c r="T29" s="49">
        <v>5</v>
      </c>
      <c r="U29" s="49">
        <v>5</v>
      </c>
      <c r="V29" s="49">
        <v>5</v>
      </c>
      <c r="W29" s="49">
        <v>5</v>
      </c>
      <c r="X29" s="49">
        <v>5</v>
      </c>
      <c r="Y29" s="50">
        <v>5</v>
      </c>
      <c r="Z29" s="50">
        <v>5</v>
      </c>
      <c r="AA29" s="50">
        <v>5</v>
      </c>
      <c r="AB29" s="50">
        <v>5</v>
      </c>
      <c r="AC29" s="50">
        <v>5</v>
      </c>
      <c r="AD29" s="50">
        <v>5</v>
      </c>
      <c r="AE29" s="50">
        <v>5</v>
      </c>
      <c r="AF29" s="50">
        <v>5</v>
      </c>
      <c r="AG29" s="58">
        <v>22.1</v>
      </c>
      <c r="AH29" s="53">
        <f t="shared" si="2"/>
        <v>5</v>
      </c>
      <c r="AI29" s="54">
        <f t="shared" si="3"/>
        <v>5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49">
        <v>12</v>
      </c>
      <c r="T30" s="49">
        <v>12</v>
      </c>
      <c r="U30" s="49">
        <v>12</v>
      </c>
      <c r="V30" s="49">
        <v>12</v>
      </c>
      <c r="W30" s="49">
        <v>12</v>
      </c>
      <c r="X30" s="49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60">
        <v>6</v>
      </c>
      <c r="N31" s="60">
        <v>6</v>
      </c>
      <c r="O31" s="60">
        <v>6</v>
      </c>
      <c r="P31" s="60">
        <v>6</v>
      </c>
      <c r="Q31" s="60">
        <v>6</v>
      </c>
      <c r="R31" s="60">
        <v>6</v>
      </c>
      <c r="S31" s="60">
        <v>6</v>
      </c>
      <c r="T31" s="60">
        <v>6</v>
      </c>
      <c r="U31" s="60">
        <v>6</v>
      </c>
      <c r="V31" s="60">
        <v>6</v>
      </c>
      <c r="W31" s="60">
        <v>6</v>
      </c>
      <c r="X31" s="6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60">
        <v>5</v>
      </c>
      <c r="N33" s="60">
        <v>5</v>
      </c>
      <c r="O33" s="60">
        <v>5</v>
      </c>
      <c r="P33" s="60">
        <v>5</v>
      </c>
      <c r="Q33" s="60">
        <v>5</v>
      </c>
      <c r="R33" s="60">
        <v>5</v>
      </c>
      <c r="S33" s="60">
        <v>5</v>
      </c>
      <c r="T33" s="60">
        <v>5</v>
      </c>
      <c r="U33" s="60">
        <v>5</v>
      </c>
      <c r="V33" s="60">
        <v>5</v>
      </c>
      <c r="W33" s="60">
        <v>5</v>
      </c>
      <c r="X33" s="6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60">
        <v>4.2</v>
      </c>
      <c r="N34" s="60">
        <v>4.2</v>
      </c>
      <c r="O34" s="60">
        <v>4.2</v>
      </c>
      <c r="P34" s="60">
        <v>4.2</v>
      </c>
      <c r="Q34" s="60">
        <v>4.2</v>
      </c>
      <c r="R34" s="60">
        <v>4.2</v>
      </c>
      <c r="S34" s="60">
        <v>4.2</v>
      </c>
      <c r="T34" s="60">
        <v>4.2</v>
      </c>
      <c r="U34" s="60">
        <v>4.2</v>
      </c>
      <c r="V34" s="60">
        <v>4.2</v>
      </c>
      <c r="W34" s="60">
        <v>4.2</v>
      </c>
      <c r="X34" s="6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37.200000000000003</v>
      </c>
      <c r="C37" s="60">
        <v>37.200000000000003</v>
      </c>
      <c r="D37" s="60">
        <v>37.200000000000003</v>
      </c>
      <c r="E37" s="60">
        <v>37.200000000000003</v>
      </c>
      <c r="F37" s="60">
        <v>37.200000000000003</v>
      </c>
      <c r="G37" s="60">
        <v>37.200000000000003</v>
      </c>
      <c r="H37" s="60">
        <v>37.200000000000003</v>
      </c>
      <c r="I37" s="60">
        <v>37.200000000000003</v>
      </c>
      <c r="J37" s="60">
        <v>37.200000000000003</v>
      </c>
      <c r="K37" s="60">
        <v>37.200000000000003</v>
      </c>
      <c r="L37" s="60">
        <v>37.200000000000003</v>
      </c>
      <c r="M37" s="60">
        <f>18.4+33.7</f>
        <v>52.1</v>
      </c>
      <c r="N37" s="60">
        <f>18.4+33.7</f>
        <v>52.1</v>
      </c>
      <c r="O37" s="60">
        <f>19+33.8</f>
        <v>52.8</v>
      </c>
      <c r="P37" s="60">
        <f>19+33.8</f>
        <v>52.8</v>
      </c>
      <c r="Q37" s="60">
        <f>19+33.8</f>
        <v>52.8</v>
      </c>
      <c r="R37" s="60">
        <f>19.3+35.3</f>
        <v>54.599999999999994</v>
      </c>
      <c r="S37" s="69">
        <v>51.8</v>
      </c>
      <c r="T37" s="69">
        <v>49.3</v>
      </c>
      <c r="U37" s="69">
        <v>52.9</v>
      </c>
      <c r="V37" s="69">
        <v>51.3</v>
      </c>
      <c r="W37" s="69">
        <v>46.8</v>
      </c>
      <c r="X37" s="69">
        <v>47.8</v>
      </c>
      <c r="Y37" s="69">
        <v>37.299999999999997</v>
      </c>
      <c r="Z37" s="69">
        <v>47.5</v>
      </c>
      <c r="AA37" s="69">
        <v>47.4</v>
      </c>
      <c r="AB37" s="69">
        <f>16.6+30.9</f>
        <v>47.5</v>
      </c>
      <c r="AC37" s="69">
        <f>16.6+30.9</f>
        <v>47.5</v>
      </c>
      <c r="AD37" s="69">
        <f>17.5+30.9</f>
        <v>48.4</v>
      </c>
      <c r="AE37" s="69">
        <f>17.7+33.1</f>
        <v>50.8</v>
      </c>
      <c r="AF37" s="69">
        <f>18+33.6</f>
        <v>51.6</v>
      </c>
      <c r="AG37" s="66">
        <v>240</v>
      </c>
      <c r="AH37" s="53">
        <f t="shared" si="2"/>
        <v>54.599999999999994</v>
      </c>
      <c r="AI37" s="54">
        <f t="shared" si="3"/>
        <v>37.200000000000003</v>
      </c>
      <c r="AK37" s="55"/>
    </row>
    <row r="38" spans="1:88" ht="15.75" thickBot="1" x14ac:dyDescent="0.3">
      <c r="A38" s="70" t="s">
        <v>46</v>
      </c>
      <c r="B38" s="71">
        <f>SUM(B11:B36)</f>
        <v>485</v>
      </c>
      <c r="C38" s="71">
        <f t="shared" ref="C38:AF38" si="4">SUM(C11:C36)</f>
        <v>429.99999999999994</v>
      </c>
      <c r="D38" s="71">
        <f t="shared" si="4"/>
        <v>429.99999999999994</v>
      </c>
      <c r="E38" s="71">
        <f t="shared" si="4"/>
        <v>429.99999999999994</v>
      </c>
      <c r="F38" s="71">
        <f t="shared" si="4"/>
        <v>454.99999999999994</v>
      </c>
      <c r="G38" s="71">
        <f t="shared" si="4"/>
        <v>476</v>
      </c>
      <c r="H38" s="71">
        <f t="shared" si="4"/>
        <v>492</v>
      </c>
      <c r="I38" s="71">
        <f t="shared" si="4"/>
        <v>475</v>
      </c>
      <c r="J38" s="71">
        <f t="shared" si="4"/>
        <v>495</v>
      </c>
      <c r="K38" s="71">
        <f t="shared" si="4"/>
        <v>735.00000000000011</v>
      </c>
      <c r="L38" s="71">
        <f t="shared" si="4"/>
        <v>705</v>
      </c>
      <c r="M38" s="71">
        <f t="shared" si="4"/>
        <v>703</v>
      </c>
      <c r="N38" s="71">
        <f t="shared" si="4"/>
        <v>683</v>
      </c>
      <c r="O38" s="71">
        <f t="shared" si="4"/>
        <v>533</v>
      </c>
      <c r="P38" s="71">
        <f t="shared" si="4"/>
        <v>528</v>
      </c>
      <c r="Q38" s="71">
        <f t="shared" si="4"/>
        <v>532</v>
      </c>
      <c r="R38" s="71">
        <f t="shared" si="4"/>
        <v>525</v>
      </c>
      <c r="S38" s="71">
        <f t="shared" si="4"/>
        <v>435</v>
      </c>
      <c r="T38" s="71">
        <f t="shared" si="4"/>
        <v>435</v>
      </c>
      <c r="U38" s="71">
        <f t="shared" si="4"/>
        <v>435</v>
      </c>
      <c r="V38" s="71">
        <f t="shared" si="4"/>
        <v>569</v>
      </c>
      <c r="W38" s="71">
        <f t="shared" si="4"/>
        <v>619</v>
      </c>
      <c r="X38" s="71">
        <f t="shared" si="4"/>
        <v>739</v>
      </c>
      <c r="Y38" s="71">
        <f t="shared" si="4"/>
        <v>800.7</v>
      </c>
      <c r="Z38" s="71">
        <f>SUM(Z11:Z36)</f>
        <v>730.7</v>
      </c>
      <c r="AA38" s="71">
        <f t="shared" si="4"/>
        <v>710.7</v>
      </c>
      <c r="AB38" s="71">
        <f t="shared" si="4"/>
        <v>600.70000000000005</v>
      </c>
      <c r="AC38" s="71">
        <f t="shared" si="4"/>
        <v>560.70000000000005</v>
      </c>
      <c r="AD38" s="71">
        <f t="shared" si="4"/>
        <v>473.6</v>
      </c>
      <c r="AE38" s="71">
        <f t="shared" si="4"/>
        <v>437.7</v>
      </c>
      <c r="AF38" s="71">
        <f t="shared" si="4"/>
        <v>434.09999999999997</v>
      </c>
      <c r="AG38" s="66">
        <f>SUM(AG11:AG37)</f>
        <v>1492.8299999999997</v>
      </c>
      <c r="AH38" s="53">
        <f t="shared" si="2"/>
        <v>800.7</v>
      </c>
      <c r="AI38" s="54">
        <f t="shared" si="3"/>
        <v>429.99999999999994</v>
      </c>
      <c r="AK38" s="55"/>
    </row>
    <row r="39" spans="1:88" x14ac:dyDescent="0.25">
      <c r="A39" s="56" t="s">
        <v>47</v>
      </c>
      <c r="B39" s="49">
        <v>48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65</v>
      </c>
      <c r="I39" s="60">
        <v>100</v>
      </c>
      <c r="J39" s="60">
        <v>100</v>
      </c>
      <c r="K39" s="60">
        <v>142.5</v>
      </c>
      <c r="L39" s="60">
        <v>142.5</v>
      </c>
      <c r="M39" s="60">
        <v>146</v>
      </c>
      <c r="N39" s="60">
        <v>145.80000000000001</v>
      </c>
      <c r="O39" s="60">
        <v>121.9</v>
      </c>
      <c r="P39" s="60">
        <v>48</v>
      </c>
      <c r="Q39" s="50">
        <v>45.5</v>
      </c>
      <c r="R39" s="50">
        <v>20.6</v>
      </c>
      <c r="S39" s="50">
        <v>35.799999999999997</v>
      </c>
      <c r="T39" s="50">
        <v>0</v>
      </c>
      <c r="U39" s="50">
        <v>30.3</v>
      </c>
      <c r="V39" s="50">
        <v>79</v>
      </c>
      <c r="W39" s="50">
        <v>107.2</v>
      </c>
      <c r="X39" s="50">
        <v>146.30000000000001</v>
      </c>
      <c r="Y39" s="50">
        <v>146</v>
      </c>
      <c r="Z39" s="50">
        <v>146</v>
      </c>
      <c r="AA39" s="50">
        <v>145.69999999999999</v>
      </c>
      <c r="AB39" s="50">
        <v>145.6</v>
      </c>
      <c r="AC39" s="50">
        <v>145.6</v>
      </c>
      <c r="AD39" s="50">
        <v>145.6</v>
      </c>
      <c r="AE39" s="50">
        <v>90</v>
      </c>
      <c r="AF39" s="49">
        <v>48</v>
      </c>
      <c r="AG39" s="61">
        <v>144</v>
      </c>
      <c r="AH39" s="53">
        <f t="shared" si="2"/>
        <v>146.30000000000001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25</v>
      </c>
      <c r="C40" s="60">
        <v>0</v>
      </c>
      <c r="D40" s="60">
        <v>0</v>
      </c>
      <c r="E40" s="60">
        <v>0</v>
      </c>
      <c r="F40" s="60">
        <v>40</v>
      </c>
      <c r="G40" s="60">
        <v>30</v>
      </c>
      <c r="H40" s="60">
        <v>30</v>
      </c>
      <c r="I40" s="60">
        <v>45</v>
      </c>
      <c r="J40" s="60">
        <v>45</v>
      </c>
      <c r="K40" s="60">
        <v>68.8</v>
      </c>
      <c r="L40" s="60">
        <v>68.8</v>
      </c>
      <c r="M40" s="60">
        <v>71.599999999999994</v>
      </c>
      <c r="N40" s="60">
        <v>56.9</v>
      </c>
      <c r="O40" s="60">
        <v>48.9</v>
      </c>
      <c r="P40" s="60">
        <v>25</v>
      </c>
      <c r="Q40" s="72">
        <v>24.8</v>
      </c>
      <c r="R40" s="72">
        <v>24.8</v>
      </c>
      <c r="S40" s="72">
        <v>30</v>
      </c>
      <c r="T40" s="72">
        <v>0</v>
      </c>
      <c r="U40" s="72">
        <v>0</v>
      </c>
      <c r="V40" s="72">
        <v>59.3</v>
      </c>
      <c r="W40" s="72">
        <v>59.7</v>
      </c>
      <c r="X40" s="72">
        <v>69.7</v>
      </c>
      <c r="Y40" s="72">
        <v>69.5</v>
      </c>
      <c r="Z40" s="72">
        <v>69.5</v>
      </c>
      <c r="AA40" s="72">
        <v>70.5</v>
      </c>
      <c r="AB40" s="72">
        <v>70.8</v>
      </c>
      <c r="AC40" s="72">
        <v>70.8</v>
      </c>
      <c r="AD40" s="72">
        <v>70.8</v>
      </c>
      <c r="AE40" s="72">
        <v>24.1</v>
      </c>
      <c r="AF40" s="60">
        <v>35.6</v>
      </c>
      <c r="AG40" s="66">
        <v>70</v>
      </c>
      <c r="AH40" s="53">
        <f t="shared" si="2"/>
        <v>71.599999999999994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50</v>
      </c>
      <c r="C41" s="60">
        <v>35</v>
      </c>
      <c r="D41" s="60">
        <v>35</v>
      </c>
      <c r="E41" s="60">
        <v>40</v>
      </c>
      <c r="F41" s="60">
        <v>40</v>
      </c>
      <c r="G41" s="60">
        <v>40</v>
      </c>
      <c r="H41" s="60">
        <v>32</v>
      </c>
      <c r="I41" s="60">
        <v>33</v>
      </c>
      <c r="J41" s="60">
        <v>33</v>
      </c>
      <c r="K41" s="60">
        <v>67.5</v>
      </c>
      <c r="L41" s="60">
        <v>67.5</v>
      </c>
      <c r="M41" s="60">
        <v>67.2</v>
      </c>
      <c r="N41" s="60">
        <v>61.4</v>
      </c>
      <c r="O41" s="60">
        <v>57</v>
      </c>
      <c r="P41" s="60">
        <v>33.200000000000003</v>
      </c>
      <c r="Q41" s="72">
        <v>32.6</v>
      </c>
      <c r="R41" s="72">
        <v>0</v>
      </c>
      <c r="S41" s="72">
        <v>23.7</v>
      </c>
      <c r="T41" s="72">
        <v>0</v>
      </c>
      <c r="U41" s="72">
        <v>20.5</v>
      </c>
      <c r="V41" s="72">
        <v>45.3</v>
      </c>
      <c r="W41" s="72">
        <v>60.4</v>
      </c>
      <c r="X41" s="72">
        <v>68.599999999999994</v>
      </c>
      <c r="Y41" s="72">
        <v>67.8</v>
      </c>
      <c r="Z41" s="72">
        <v>67.8</v>
      </c>
      <c r="AA41" s="72">
        <v>67.099999999999994</v>
      </c>
      <c r="AB41" s="72">
        <v>67.3</v>
      </c>
      <c r="AC41" s="72">
        <v>67.3</v>
      </c>
      <c r="AD41" s="72">
        <v>67.3</v>
      </c>
      <c r="AE41" s="72">
        <v>34.4</v>
      </c>
      <c r="AF41" s="60">
        <v>23.1</v>
      </c>
      <c r="AG41" s="66">
        <v>69</v>
      </c>
      <c r="AH41" s="53">
        <f t="shared" si="2"/>
        <v>68.599999999999994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60.2</v>
      </c>
      <c r="C42" s="60">
        <v>60.2</v>
      </c>
      <c r="D42" s="60">
        <v>57</v>
      </c>
      <c r="E42" s="60">
        <v>57</v>
      </c>
      <c r="F42" s="60">
        <v>57</v>
      </c>
      <c r="G42" s="60">
        <v>55.7</v>
      </c>
      <c r="H42" s="60">
        <v>55.7</v>
      </c>
      <c r="I42" s="60">
        <v>55.7</v>
      </c>
      <c r="J42" s="60">
        <v>55.7</v>
      </c>
      <c r="K42" s="60">
        <v>55.7</v>
      </c>
      <c r="L42" s="60">
        <v>55.7</v>
      </c>
      <c r="M42" s="60">
        <v>55.9</v>
      </c>
      <c r="N42" s="60">
        <v>57.2</v>
      </c>
      <c r="O42" s="60">
        <v>57.2</v>
      </c>
      <c r="P42" s="60">
        <v>57.2</v>
      </c>
      <c r="Q42" s="72">
        <v>55.4</v>
      </c>
      <c r="R42" s="72">
        <v>54.4</v>
      </c>
      <c r="S42" s="72">
        <v>54.4</v>
      </c>
      <c r="T42" s="72">
        <v>54.4</v>
      </c>
      <c r="U42" s="72">
        <v>54.4</v>
      </c>
      <c r="V42" s="72">
        <v>54.4</v>
      </c>
      <c r="W42" s="72">
        <v>54.4</v>
      </c>
      <c r="X42" s="72">
        <v>54.4</v>
      </c>
      <c r="Y42" s="72">
        <v>54.4</v>
      </c>
      <c r="Z42" s="72">
        <v>54.4</v>
      </c>
      <c r="AA42" s="72">
        <v>54.7</v>
      </c>
      <c r="AB42" s="72">
        <v>54.7</v>
      </c>
      <c r="AC42" s="72">
        <v>54.7</v>
      </c>
      <c r="AD42" s="72">
        <v>54.7</v>
      </c>
      <c r="AE42" s="72">
        <v>59.5</v>
      </c>
      <c r="AF42" s="60">
        <v>60.2</v>
      </c>
      <c r="AG42" s="66">
        <v>60</v>
      </c>
      <c r="AH42" s="53">
        <f t="shared" si="2"/>
        <v>60.2</v>
      </c>
      <c r="AI42" s="54">
        <f t="shared" si="3"/>
        <v>54.4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</v>
      </c>
      <c r="G43" s="60">
        <v>15</v>
      </c>
      <c r="H43" s="60">
        <v>15</v>
      </c>
      <c r="I43" s="60">
        <v>15</v>
      </c>
      <c r="J43" s="60">
        <v>15</v>
      </c>
      <c r="K43" s="60">
        <v>23.8</v>
      </c>
      <c r="L43" s="60">
        <v>23.8</v>
      </c>
      <c r="M43" s="60">
        <v>23.8</v>
      </c>
      <c r="N43" s="60">
        <v>22.8</v>
      </c>
      <c r="O43" s="60">
        <v>22.8</v>
      </c>
      <c r="P43" s="6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9.8000000000000007</v>
      </c>
      <c r="V43" s="50">
        <v>10.1</v>
      </c>
      <c r="W43" s="50">
        <v>10.1</v>
      </c>
      <c r="X43" s="50">
        <v>28.7</v>
      </c>
      <c r="Y43" s="50">
        <v>28.8</v>
      </c>
      <c r="Z43" s="50">
        <v>28.8</v>
      </c>
      <c r="AA43" s="72">
        <v>28.2</v>
      </c>
      <c r="AB43" s="72">
        <v>27.8</v>
      </c>
      <c r="AC43" s="72">
        <v>23</v>
      </c>
      <c r="AD43" s="72">
        <v>12.9</v>
      </c>
      <c r="AE43" s="72">
        <v>0</v>
      </c>
      <c r="AF43" s="60">
        <v>0</v>
      </c>
      <c r="AG43" s="66">
        <v>30</v>
      </c>
      <c r="AH43" s="53">
        <f t="shared" si="2"/>
        <v>28.8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18</v>
      </c>
      <c r="C45" s="60">
        <v>18</v>
      </c>
      <c r="D45" s="60">
        <v>18</v>
      </c>
      <c r="E45" s="60">
        <v>18</v>
      </c>
      <c r="F45" s="60">
        <v>18</v>
      </c>
      <c r="G45" s="60">
        <v>18</v>
      </c>
      <c r="H45" s="60">
        <v>18</v>
      </c>
      <c r="I45" s="60">
        <v>18</v>
      </c>
      <c r="J45" s="60">
        <v>18</v>
      </c>
      <c r="K45" s="60">
        <v>18</v>
      </c>
      <c r="L45" s="60">
        <v>18</v>
      </c>
      <c r="M45" s="60">
        <v>18</v>
      </c>
      <c r="N45" s="60">
        <v>18</v>
      </c>
      <c r="O45" s="60">
        <v>18</v>
      </c>
      <c r="P45" s="6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60">
        <v>4</v>
      </c>
      <c r="C46" s="60">
        <v>4</v>
      </c>
      <c r="D46" s="60">
        <v>4</v>
      </c>
      <c r="E46" s="60">
        <v>4</v>
      </c>
      <c r="F46" s="60">
        <v>4</v>
      </c>
      <c r="G46" s="60">
        <v>4</v>
      </c>
      <c r="H46" s="60">
        <v>4</v>
      </c>
      <c r="I46" s="60">
        <v>4</v>
      </c>
      <c r="J46" s="60">
        <v>4</v>
      </c>
      <c r="K46" s="60">
        <v>4</v>
      </c>
      <c r="L46" s="60">
        <v>4</v>
      </c>
      <c r="M46" s="60">
        <v>4</v>
      </c>
      <c r="N46" s="60">
        <v>4</v>
      </c>
      <c r="O46" s="60">
        <v>4</v>
      </c>
      <c r="P46" s="6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60">
        <v>4</v>
      </c>
      <c r="AG46" s="66">
        <v>15</v>
      </c>
      <c r="AH46" s="53">
        <f t="shared" si="2"/>
        <v>4</v>
      </c>
      <c r="AI46" s="54">
        <f t="shared" si="3"/>
        <v>4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6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6.4</v>
      </c>
      <c r="C48" s="60">
        <v>6.4</v>
      </c>
      <c r="D48" s="60">
        <v>6.4</v>
      </c>
      <c r="E48" s="60">
        <v>6.4</v>
      </c>
      <c r="F48" s="60">
        <v>6.4</v>
      </c>
      <c r="G48" s="60">
        <v>6.4</v>
      </c>
      <c r="H48" s="60">
        <v>6.4</v>
      </c>
      <c r="I48" s="60">
        <v>6.4</v>
      </c>
      <c r="J48" s="60">
        <v>6.4</v>
      </c>
      <c r="K48" s="60">
        <v>6.4</v>
      </c>
      <c r="L48" s="60">
        <v>6.4</v>
      </c>
      <c r="M48" s="60">
        <v>6.4</v>
      </c>
      <c r="N48" s="60">
        <v>6.4</v>
      </c>
      <c r="O48" s="60">
        <v>6.4</v>
      </c>
      <c r="P48" s="6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60">
        <v>6.4</v>
      </c>
      <c r="AG48" s="66">
        <v>14</v>
      </c>
      <c r="AH48" s="53">
        <f t="shared" si="2"/>
        <v>6.4</v>
      </c>
      <c r="AI48" s="54">
        <f t="shared" si="3"/>
        <v>6.4</v>
      </c>
      <c r="AK48" s="55"/>
    </row>
    <row r="49" spans="1:37" x14ac:dyDescent="0.25">
      <c r="A49" s="65" t="s">
        <v>57</v>
      </c>
      <c r="B49" s="60">
        <v>7.5</v>
      </c>
      <c r="C49" s="60">
        <v>7.5</v>
      </c>
      <c r="D49" s="60">
        <v>7.5</v>
      </c>
      <c r="E49" s="60">
        <v>7.5</v>
      </c>
      <c r="F49" s="60">
        <v>7.5</v>
      </c>
      <c r="G49" s="60">
        <v>7.5</v>
      </c>
      <c r="H49" s="60">
        <v>7.5</v>
      </c>
      <c r="I49" s="60">
        <v>7.5</v>
      </c>
      <c r="J49" s="60">
        <v>7.5</v>
      </c>
      <c r="K49" s="60">
        <v>7.5</v>
      </c>
      <c r="L49" s="60">
        <v>7.5</v>
      </c>
      <c r="M49" s="60">
        <v>7.5</v>
      </c>
      <c r="N49" s="60">
        <v>7.5</v>
      </c>
      <c r="O49" s="60">
        <v>7.5</v>
      </c>
      <c r="P49" s="60">
        <v>7.5</v>
      </c>
      <c r="Q49" s="50">
        <v>7.5</v>
      </c>
      <c r="R49" s="50">
        <v>7.5</v>
      </c>
      <c r="S49" s="50">
        <v>7.5</v>
      </c>
      <c r="T49" s="50">
        <v>7.5</v>
      </c>
      <c r="U49" s="50">
        <v>7.5</v>
      </c>
      <c r="V49" s="50">
        <v>7.5</v>
      </c>
      <c r="W49" s="50">
        <v>7.5</v>
      </c>
      <c r="X49" s="50">
        <v>7.5</v>
      </c>
      <c r="Y49" s="50">
        <v>7.5</v>
      </c>
      <c r="Z49" s="50">
        <v>7.5</v>
      </c>
      <c r="AA49" s="50">
        <v>7.5</v>
      </c>
      <c r="AB49" s="50">
        <v>7.4</v>
      </c>
      <c r="AC49" s="50">
        <v>7.4</v>
      </c>
      <c r="AD49" s="50">
        <v>7.4</v>
      </c>
      <c r="AE49" s="50">
        <v>7.4</v>
      </c>
      <c r="AF49" s="60">
        <v>7.4</v>
      </c>
      <c r="AG49" s="66">
        <v>10.050000000000001</v>
      </c>
      <c r="AH49" s="53">
        <f t="shared" si="2"/>
        <v>7.5</v>
      </c>
      <c r="AI49" s="54">
        <f t="shared" si="3"/>
        <v>7.4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6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239.64</v>
      </c>
      <c r="C52" s="71">
        <f t="shared" ref="C52:AF52" si="6">SUM(C39:C51)</f>
        <v>151.63999999999999</v>
      </c>
      <c r="D52" s="71">
        <f t="shared" si="6"/>
        <v>148.44</v>
      </c>
      <c r="E52" s="71">
        <f t="shared" si="6"/>
        <v>153.44</v>
      </c>
      <c r="F52" s="71">
        <f t="shared" si="6"/>
        <v>203.44</v>
      </c>
      <c r="G52" s="71">
        <f t="shared" si="6"/>
        <v>197.14</v>
      </c>
      <c r="H52" s="71">
        <f t="shared" si="6"/>
        <v>254.14</v>
      </c>
      <c r="I52" s="71">
        <f t="shared" si="6"/>
        <v>305.14</v>
      </c>
      <c r="J52" s="71">
        <f t="shared" si="6"/>
        <v>305.14</v>
      </c>
      <c r="K52" s="71">
        <f t="shared" si="6"/>
        <v>414.74</v>
      </c>
      <c r="L52" s="71">
        <f t="shared" si="6"/>
        <v>414.74</v>
      </c>
      <c r="M52" s="71">
        <f t="shared" si="6"/>
        <v>420.94</v>
      </c>
      <c r="N52" s="71">
        <f t="shared" si="6"/>
        <v>400.54</v>
      </c>
      <c r="O52" s="71">
        <f t="shared" si="6"/>
        <v>364.24</v>
      </c>
      <c r="P52" s="71">
        <f t="shared" si="6"/>
        <v>229.84</v>
      </c>
      <c r="Q52" s="71">
        <f t="shared" si="6"/>
        <v>214.74</v>
      </c>
      <c r="R52" s="71">
        <f t="shared" si="6"/>
        <v>156.24</v>
      </c>
      <c r="S52" s="71">
        <f t="shared" si="6"/>
        <v>200.34</v>
      </c>
      <c r="T52" s="71">
        <f t="shared" si="6"/>
        <v>110.84000000000002</v>
      </c>
      <c r="U52" s="71">
        <f t="shared" si="6"/>
        <v>171.44</v>
      </c>
      <c r="V52" s="71">
        <f t="shared" si="6"/>
        <v>304.54000000000002</v>
      </c>
      <c r="W52" s="71">
        <f t="shared" si="6"/>
        <v>348.24</v>
      </c>
      <c r="X52" s="71">
        <f t="shared" si="6"/>
        <v>424.14</v>
      </c>
      <c r="Y52" s="71">
        <f t="shared" si="6"/>
        <v>422.94</v>
      </c>
      <c r="Z52" s="71">
        <f t="shared" si="6"/>
        <v>422.94</v>
      </c>
      <c r="AA52" s="71">
        <f t="shared" si="6"/>
        <v>422.63999999999993</v>
      </c>
      <c r="AB52" s="71">
        <f t="shared" si="6"/>
        <v>422.53999999999996</v>
      </c>
      <c r="AC52" s="71">
        <f t="shared" si="6"/>
        <v>417.73999999999995</v>
      </c>
      <c r="AD52" s="71">
        <f t="shared" si="6"/>
        <v>407.63999999999993</v>
      </c>
      <c r="AE52" s="71">
        <f t="shared" si="6"/>
        <v>264.34000000000003</v>
      </c>
      <c r="AF52" s="71">
        <f t="shared" si="6"/>
        <v>223.23999999999998</v>
      </c>
      <c r="AG52" s="76">
        <f>SUM(AG39:AG51)</f>
        <v>489.91</v>
      </c>
      <c r="AH52" s="53">
        <f t="shared" si="2"/>
        <v>424.14</v>
      </c>
      <c r="AI52" s="54">
        <f t="shared" si="3"/>
        <v>110.84000000000002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14</v>
      </c>
      <c r="L53" s="60">
        <v>40</v>
      </c>
      <c r="M53" s="77">
        <v>40.799999999999997</v>
      </c>
      <c r="N53" s="77">
        <v>0</v>
      </c>
      <c r="O53" s="77">
        <v>0</v>
      </c>
      <c r="P53" s="77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14.2</v>
      </c>
      <c r="Y53" s="50">
        <v>35.799999999999997</v>
      </c>
      <c r="Z53" s="50">
        <v>25.6</v>
      </c>
      <c r="AA53" s="50">
        <v>13.8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1">
        <v>60</v>
      </c>
      <c r="AH53" s="53">
        <f t="shared" si="2"/>
        <v>40.799999999999997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15</v>
      </c>
      <c r="M54" s="77">
        <v>18.7</v>
      </c>
      <c r="N54" s="77">
        <v>0</v>
      </c>
      <c r="O54" s="77">
        <v>0</v>
      </c>
      <c r="P54" s="77">
        <v>0</v>
      </c>
      <c r="Q54" s="72">
        <v>0</v>
      </c>
      <c r="R54" s="72">
        <v>0</v>
      </c>
      <c r="S54" s="50">
        <v>0</v>
      </c>
      <c r="T54" s="50">
        <v>0</v>
      </c>
      <c r="U54" s="50">
        <v>0</v>
      </c>
      <c r="V54" s="72">
        <v>0</v>
      </c>
      <c r="W54" s="72">
        <v>0</v>
      </c>
      <c r="X54" s="72">
        <v>6.7</v>
      </c>
      <c r="Y54" s="72">
        <v>15.5</v>
      </c>
      <c r="Z54" s="72">
        <v>11.6</v>
      </c>
      <c r="AA54" s="72">
        <v>4.9000000000000004</v>
      </c>
      <c r="AB54" s="72">
        <v>4.8</v>
      </c>
      <c r="AC54" s="72">
        <v>0</v>
      </c>
      <c r="AD54" s="72">
        <v>0</v>
      </c>
      <c r="AE54" s="72">
        <v>0</v>
      </c>
      <c r="AF54" s="72">
        <v>0</v>
      </c>
      <c r="AG54" s="66">
        <v>32</v>
      </c>
      <c r="AH54" s="53">
        <f t="shared" si="2"/>
        <v>18.7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5.7</v>
      </c>
      <c r="M55" s="80">
        <v>6.8</v>
      </c>
      <c r="N55" s="80">
        <v>0</v>
      </c>
      <c r="O55" s="80">
        <v>0</v>
      </c>
      <c r="P55" s="80">
        <v>0</v>
      </c>
      <c r="Q55" s="78">
        <v>0</v>
      </c>
      <c r="R55" s="78">
        <v>0</v>
      </c>
      <c r="S55" s="50">
        <v>0</v>
      </c>
      <c r="T55" s="50">
        <v>0</v>
      </c>
      <c r="U55" s="50">
        <v>0</v>
      </c>
      <c r="V55" s="78">
        <v>0</v>
      </c>
      <c r="W55" s="78">
        <v>0</v>
      </c>
      <c r="X55" s="78">
        <v>2.5</v>
      </c>
      <c r="Y55" s="78">
        <v>5.7</v>
      </c>
      <c r="Z55" s="78">
        <v>4.2</v>
      </c>
      <c r="AA55" s="78">
        <v>1.8</v>
      </c>
      <c r="AB55" s="78">
        <v>1.8</v>
      </c>
      <c r="AC55" s="78">
        <v>0</v>
      </c>
      <c r="AD55" s="78">
        <v>0</v>
      </c>
      <c r="AE55" s="78">
        <v>0</v>
      </c>
      <c r="AF55" s="78">
        <v>0</v>
      </c>
      <c r="AG55" s="81">
        <v>14</v>
      </c>
      <c r="AH55" s="53">
        <f t="shared" si="2"/>
        <v>6.8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14</v>
      </c>
      <c r="L56" s="71">
        <f t="shared" si="7"/>
        <v>60.7</v>
      </c>
      <c r="M56" s="71">
        <f t="shared" si="7"/>
        <v>66.3</v>
      </c>
      <c r="N56" s="71">
        <f t="shared" si="7"/>
        <v>0</v>
      </c>
      <c r="O56" s="71">
        <f t="shared" si="7"/>
        <v>0</v>
      </c>
      <c r="P56" s="71">
        <f t="shared" si="7"/>
        <v>0</v>
      </c>
      <c r="Q56" s="71">
        <f t="shared" si="7"/>
        <v>0</v>
      </c>
      <c r="R56" s="71">
        <f t="shared" si="7"/>
        <v>0</v>
      </c>
      <c r="S56" s="71">
        <f t="shared" si="7"/>
        <v>0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0</v>
      </c>
      <c r="X56" s="71">
        <f t="shared" si="7"/>
        <v>23.4</v>
      </c>
      <c r="Y56" s="71">
        <f t="shared" si="7"/>
        <v>57</v>
      </c>
      <c r="Z56" s="71">
        <f t="shared" si="7"/>
        <v>41.400000000000006</v>
      </c>
      <c r="AA56" s="71">
        <f t="shared" si="7"/>
        <v>20.500000000000004</v>
      </c>
      <c r="AB56" s="71">
        <f t="shared" si="7"/>
        <v>6.6</v>
      </c>
      <c r="AC56" s="71">
        <f t="shared" si="7"/>
        <v>0</v>
      </c>
      <c r="AD56" s="71">
        <f t="shared" si="7"/>
        <v>0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66.3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69</v>
      </c>
      <c r="C57" s="50">
        <v>68</v>
      </c>
      <c r="D57" s="50">
        <v>65</v>
      </c>
      <c r="E57" s="50">
        <v>64.7</v>
      </c>
      <c r="F57" s="50">
        <v>59.5</v>
      </c>
      <c r="G57" s="50">
        <v>68</v>
      </c>
      <c r="H57" s="50">
        <v>73.3</v>
      </c>
      <c r="I57" s="50">
        <v>63.9</v>
      </c>
      <c r="J57" s="50">
        <v>70.400000000000006</v>
      </c>
      <c r="K57" s="50">
        <v>70.2</v>
      </c>
      <c r="L57" s="50">
        <v>70.2</v>
      </c>
      <c r="M57" s="50">
        <v>62.7</v>
      </c>
      <c r="N57" s="50">
        <v>63.1</v>
      </c>
      <c r="O57" s="50">
        <v>63.1</v>
      </c>
      <c r="P57" s="50">
        <v>57.7</v>
      </c>
      <c r="Q57" s="50">
        <v>68.7</v>
      </c>
      <c r="R57" s="50">
        <v>63.7</v>
      </c>
      <c r="S57" s="50">
        <v>65.099999999999994</v>
      </c>
      <c r="T57" s="50">
        <v>63.4</v>
      </c>
      <c r="U57" s="50">
        <v>54.6</v>
      </c>
      <c r="V57" s="50">
        <v>58.7</v>
      </c>
      <c r="W57" s="50">
        <v>69.400000000000006</v>
      </c>
      <c r="X57" s="50">
        <v>71.5</v>
      </c>
      <c r="Y57" s="50">
        <v>71.3</v>
      </c>
      <c r="Z57" s="50">
        <v>72.8</v>
      </c>
      <c r="AA57" s="50">
        <v>70.599999999999994</v>
      </c>
      <c r="AB57" s="50">
        <v>65</v>
      </c>
      <c r="AC57" s="50">
        <v>61</v>
      </c>
      <c r="AD57" s="50">
        <v>65</v>
      </c>
      <c r="AE57" s="50">
        <v>61</v>
      </c>
      <c r="AF57" s="50">
        <v>57.9</v>
      </c>
      <c r="AG57" s="61"/>
      <c r="AH57" s="53">
        <f t="shared" si="2"/>
        <v>73.3</v>
      </c>
      <c r="AI57" s="54">
        <f t="shared" si="3"/>
        <v>54.6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155</v>
      </c>
      <c r="C59" s="72">
        <v>230</v>
      </c>
      <c r="D59" s="72">
        <v>221</v>
      </c>
      <c r="E59" s="72">
        <v>219</v>
      </c>
      <c r="F59" s="72">
        <v>207</v>
      </c>
      <c r="G59" s="72">
        <v>221</v>
      </c>
      <c r="H59" s="72">
        <v>233.5</v>
      </c>
      <c r="I59" s="72">
        <v>290</v>
      </c>
      <c r="J59" s="72">
        <v>291</v>
      </c>
      <c r="K59" s="72">
        <v>100</v>
      </c>
      <c r="L59" s="50">
        <v>101.9</v>
      </c>
      <c r="M59" s="50">
        <v>107</v>
      </c>
      <c r="N59" s="50">
        <v>91</v>
      </c>
      <c r="O59" s="72">
        <v>158</v>
      </c>
      <c r="P59" s="72">
        <v>156</v>
      </c>
      <c r="Q59" s="72">
        <v>100</v>
      </c>
      <c r="R59" s="72">
        <v>124.9</v>
      </c>
      <c r="S59" s="72">
        <v>200</v>
      </c>
      <c r="T59" s="72">
        <v>300</v>
      </c>
      <c r="U59" s="72">
        <v>267</v>
      </c>
      <c r="V59" s="72">
        <v>54</v>
      </c>
      <c r="W59" s="72">
        <v>67.8</v>
      </c>
      <c r="X59" s="83">
        <v>41.8</v>
      </c>
      <c r="Y59" s="83">
        <v>23.3</v>
      </c>
      <c r="Z59" s="83">
        <v>14</v>
      </c>
      <c r="AA59" s="83">
        <v>96.3</v>
      </c>
      <c r="AB59" s="72">
        <v>182</v>
      </c>
      <c r="AC59" s="72">
        <v>192</v>
      </c>
      <c r="AD59" s="72">
        <v>215</v>
      </c>
      <c r="AE59" s="72">
        <v>210</v>
      </c>
      <c r="AF59" s="72">
        <v>160</v>
      </c>
      <c r="AG59" s="84"/>
      <c r="AH59" s="53">
        <f t="shared" si="2"/>
        <v>300</v>
      </c>
      <c r="AI59" s="54">
        <f t="shared" si="3"/>
        <v>14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72">
        <v>0</v>
      </c>
      <c r="P60" s="72">
        <v>20</v>
      </c>
      <c r="Q60" s="72">
        <v>20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57">
        <v>0</v>
      </c>
      <c r="AG60" s="84"/>
      <c r="AH60" s="53">
        <f t="shared" si="2"/>
        <v>20</v>
      </c>
      <c r="AI60" s="54">
        <f t="shared" si="3"/>
        <v>0</v>
      </c>
      <c r="AK60" s="55"/>
    </row>
    <row r="61" spans="1:37" x14ac:dyDescent="0.25">
      <c r="A61" s="65" t="s">
        <v>69</v>
      </c>
      <c r="B61" s="57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75</v>
      </c>
      <c r="O61" s="57">
        <v>75</v>
      </c>
      <c r="P61" s="57">
        <v>70</v>
      </c>
      <c r="Q61" s="57">
        <v>70</v>
      </c>
      <c r="R61" s="57">
        <v>75</v>
      </c>
      <c r="S61" s="57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4"/>
      <c r="AH61" s="53">
        <f t="shared" si="2"/>
        <v>75</v>
      </c>
      <c r="AI61" s="54">
        <f t="shared" si="3"/>
        <v>0</v>
      </c>
      <c r="AK61" s="55"/>
    </row>
    <row r="62" spans="1:37" x14ac:dyDescent="0.25">
      <c r="A62" s="65" t="s">
        <v>70</v>
      </c>
      <c r="B62" s="57">
        <v>0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7">
        <v>0</v>
      </c>
      <c r="P62" s="57">
        <v>0</v>
      </c>
      <c r="Q62" s="57">
        <v>0</v>
      </c>
      <c r="R62" s="57">
        <v>0</v>
      </c>
      <c r="S62" s="57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0">
        <v>0</v>
      </c>
      <c r="AF62" s="50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7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0">
        <v>0</v>
      </c>
      <c r="AF63" s="50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0">
        <v>0</v>
      </c>
      <c r="AF64" s="50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0">
        <v>0</v>
      </c>
      <c r="AF65" s="50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7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50">
        <v>0</v>
      </c>
      <c r="AF66" s="50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7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50">
        <v>0</v>
      </c>
      <c r="AF67" s="50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224</v>
      </c>
      <c r="C68" s="71">
        <f>SUM(C57:C67)</f>
        <v>298</v>
      </c>
      <c r="D68" s="71">
        <f t="shared" ref="D68:AF68" si="8">SUM(D57:D67)</f>
        <v>286</v>
      </c>
      <c r="E68" s="71">
        <f t="shared" si="8"/>
        <v>283.7</v>
      </c>
      <c r="F68" s="71">
        <f t="shared" si="8"/>
        <v>266.5</v>
      </c>
      <c r="G68" s="71">
        <f t="shared" si="8"/>
        <v>289</v>
      </c>
      <c r="H68" s="71">
        <f t="shared" si="8"/>
        <v>306.8</v>
      </c>
      <c r="I68" s="71">
        <f t="shared" si="8"/>
        <v>353.9</v>
      </c>
      <c r="J68" s="71">
        <f t="shared" si="8"/>
        <v>361.4</v>
      </c>
      <c r="K68" s="71">
        <f t="shared" si="8"/>
        <v>170.2</v>
      </c>
      <c r="L68" s="71">
        <f t="shared" si="8"/>
        <v>172.10000000000002</v>
      </c>
      <c r="M68" s="71">
        <f t="shared" si="8"/>
        <v>169.7</v>
      </c>
      <c r="N68" s="71">
        <f t="shared" si="8"/>
        <v>229.1</v>
      </c>
      <c r="O68" s="71">
        <f t="shared" si="8"/>
        <v>296.10000000000002</v>
      </c>
      <c r="P68" s="71">
        <f t="shared" si="8"/>
        <v>303.7</v>
      </c>
      <c r="Q68" s="71">
        <f t="shared" si="8"/>
        <v>258.7</v>
      </c>
      <c r="R68" s="71">
        <f t="shared" si="8"/>
        <v>263.60000000000002</v>
      </c>
      <c r="S68" s="71">
        <f t="shared" si="8"/>
        <v>265.10000000000002</v>
      </c>
      <c r="T68" s="71">
        <f t="shared" si="8"/>
        <v>363.4</v>
      </c>
      <c r="U68" s="71">
        <f t="shared" si="8"/>
        <v>321.60000000000002</v>
      </c>
      <c r="V68" s="71">
        <f t="shared" si="8"/>
        <v>112.7</v>
      </c>
      <c r="W68" s="71">
        <f t="shared" si="8"/>
        <v>137.19999999999999</v>
      </c>
      <c r="X68" s="71">
        <f t="shared" si="8"/>
        <v>113.3</v>
      </c>
      <c r="Y68" s="71">
        <f t="shared" si="8"/>
        <v>94.6</v>
      </c>
      <c r="Z68" s="71">
        <f t="shared" si="8"/>
        <v>86.8</v>
      </c>
      <c r="AA68" s="71">
        <f t="shared" si="8"/>
        <v>166.89999999999998</v>
      </c>
      <c r="AB68" s="71">
        <f t="shared" si="8"/>
        <v>247</v>
      </c>
      <c r="AC68" s="71">
        <f t="shared" si="8"/>
        <v>253</v>
      </c>
      <c r="AD68" s="71">
        <f t="shared" si="8"/>
        <v>280</v>
      </c>
      <c r="AE68" s="71">
        <f t="shared" si="8"/>
        <v>271</v>
      </c>
      <c r="AF68" s="71">
        <f t="shared" si="8"/>
        <v>217.9</v>
      </c>
      <c r="AG68" s="76">
        <f>SUM(AG57:AG67)</f>
        <v>0</v>
      </c>
      <c r="AH68" s="53">
        <f t="shared" si="2"/>
        <v>363.4</v>
      </c>
      <c r="AI68" s="54">
        <f t="shared" si="3"/>
        <v>86.8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948.64</v>
      </c>
      <c r="C73" s="88">
        <f>C68+C56+C52+C38+C72</f>
        <v>879.63999999999987</v>
      </c>
      <c r="D73" s="88">
        <f t="shared" ref="D73:AG73" si="10">D68+D56+D52+D38+D72</f>
        <v>864.43999999999994</v>
      </c>
      <c r="E73" s="88">
        <f t="shared" si="10"/>
        <v>867.13999999999987</v>
      </c>
      <c r="F73" s="88">
        <f t="shared" si="10"/>
        <v>924.93999999999994</v>
      </c>
      <c r="G73" s="88">
        <f t="shared" si="10"/>
        <v>962.14</v>
      </c>
      <c r="H73" s="88">
        <f t="shared" si="10"/>
        <v>1052.94</v>
      </c>
      <c r="I73" s="88">
        <f t="shared" si="10"/>
        <v>1134.04</v>
      </c>
      <c r="J73" s="88">
        <f t="shared" si="10"/>
        <v>1161.54</v>
      </c>
      <c r="K73" s="88">
        <f t="shared" si="10"/>
        <v>1333.94</v>
      </c>
      <c r="L73" s="88">
        <f t="shared" si="10"/>
        <v>1352.54</v>
      </c>
      <c r="M73" s="88">
        <f t="shared" si="10"/>
        <v>1359.94</v>
      </c>
      <c r="N73" s="88">
        <f t="shared" si="10"/>
        <v>1312.6399999999999</v>
      </c>
      <c r="O73" s="88">
        <f t="shared" si="10"/>
        <v>1193.3400000000001</v>
      </c>
      <c r="P73" s="88">
        <f t="shared" si="10"/>
        <v>1061.54</v>
      </c>
      <c r="Q73" s="88">
        <f t="shared" si="10"/>
        <v>1005.44</v>
      </c>
      <c r="R73" s="88">
        <f t="shared" si="10"/>
        <v>944.84</v>
      </c>
      <c r="S73" s="88">
        <f t="shared" si="10"/>
        <v>900.44</v>
      </c>
      <c r="T73" s="88">
        <f t="shared" si="10"/>
        <v>909.24</v>
      </c>
      <c r="U73" s="88">
        <f t="shared" si="10"/>
        <v>928.04</v>
      </c>
      <c r="V73" s="88">
        <f t="shared" si="10"/>
        <v>986.24</v>
      </c>
      <c r="W73" s="88">
        <f t="shared" si="10"/>
        <v>1104.44</v>
      </c>
      <c r="X73" s="88">
        <f t="shared" si="10"/>
        <v>1299.8399999999999</v>
      </c>
      <c r="Y73" s="88">
        <f t="shared" si="10"/>
        <v>1375.24</v>
      </c>
      <c r="Z73" s="88">
        <f t="shared" si="10"/>
        <v>1281.8400000000001</v>
      </c>
      <c r="AA73" s="88">
        <f t="shared" si="10"/>
        <v>1320.74</v>
      </c>
      <c r="AB73" s="88">
        <f t="shared" si="10"/>
        <v>1276.8400000000001</v>
      </c>
      <c r="AC73" s="88">
        <f t="shared" si="10"/>
        <v>1231.44</v>
      </c>
      <c r="AD73" s="88">
        <f t="shared" si="10"/>
        <v>1161.2399999999998</v>
      </c>
      <c r="AE73" s="88">
        <f t="shared" si="10"/>
        <v>973.04</v>
      </c>
      <c r="AF73" s="88">
        <f t="shared" si="10"/>
        <v>875.24</v>
      </c>
      <c r="AG73" s="88">
        <f t="shared" si="10"/>
        <v>2144.14</v>
      </c>
      <c r="AH73" s="53">
        <f t="shared" si="2"/>
        <v>1375.24</v>
      </c>
      <c r="AI73" s="54">
        <f t="shared" si="3"/>
        <v>864.43999999999994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948.64</v>
      </c>
      <c r="C75" s="88">
        <f>C73+C74</f>
        <v>879.63999999999987</v>
      </c>
      <c r="D75" s="88">
        <f t="shared" ref="D75:AF75" si="11">D72+D68+D56+D52+D38+D74</f>
        <v>864.43999999999994</v>
      </c>
      <c r="E75" s="88">
        <f t="shared" si="11"/>
        <v>867.13999999999987</v>
      </c>
      <c r="F75" s="88">
        <f t="shared" si="11"/>
        <v>924.93999999999994</v>
      </c>
      <c r="G75" s="88">
        <f t="shared" si="11"/>
        <v>962.14</v>
      </c>
      <c r="H75" s="88">
        <f t="shared" si="11"/>
        <v>1052.94</v>
      </c>
      <c r="I75" s="88">
        <f t="shared" si="11"/>
        <v>1134.04</v>
      </c>
      <c r="J75" s="88">
        <f t="shared" si="11"/>
        <v>1161.54</v>
      </c>
      <c r="K75" s="88">
        <f t="shared" si="11"/>
        <v>1333.94</v>
      </c>
      <c r="L75" s="88">
        <f t="shared" si="11"/>
        <v>1352.54</v>
      </c>
      <c r="M75" s="88">
        <f t="shared" si="11"/>
        <v>1359.94</v>
      </c>
      <c r="N75" s="88">
        <f t="shared" si="11"/>
        <v>1312.6399999999999</v>
      </c>
      <c r="O75" s="88">
        <f t="shared" si="11"/>
        <v>1193.3400000000001</v>
      </c>
      <c r="P75" s="88">
        <f t="shared" si="11"/>
        <v>1061.54</v>
      </c>
      <c r="Q75" s="88">
        <f t="shared" si="11"/>
        <v>1005.44</v>
      </c>
      <c r="R75" s="88">
        <f t="shared" si="11"/>
        <v>944.84</v>
      </c>
      <c r="S75" s="88">
        <f t="shared" si="11"/>
        <v>900.44</v>
      </c>
      <c r="T75" s="88">
        <f t="shared" si="11"/>
        <v>909.24</v>
      </c>
      <c r="U75" s="88">
        <f t="shared" si="11"/>
        <v>928.04</v>
      </c>
      <c r="V75" s="88">
        <f t="shared" si="11"/>
        <v>986.24</v>
      </c>
      <c r="W75" s="88">
        <f t="shared" si="11"/>
        <v>1104.44</v>
      </c>
      <c r="X75" s="88">
        <f t="shared" si="11"/>
        <v>1299.8399999999999</v>
      </c>
      <c r="Y75" s="88">
        <f t="shared" si="11"/>
        <v>1375.24</v>
      </c>
      <c r="Z75" s="88">
        <f t="shared" si="11"/>
        <v>1281.8400000000001</v>
      </c>
      <c r="AA75" s="88">
        <f t="shared" si="11"/>
        <v>1320.74</v>
      </c>
      <c r="AB75" s="88">
        <f t="shared" si="11"/>
        <v>1276.8400000000001</v>
      </c>
      <c r="AC75" s="88">
        <f t="shared" si="11"/>
        <v>1231.44</v>
      </c>
      <c r="AD75" s="88">
        <f t="shared" si="11"/>
        <v>1161.2399999999998</v>
      </c>
      <c r="AE75" s="88">
        <f t="shared" si="11"/>
        <v>973.04</v>
      </c>
      <c r="AF75" s="88">
        <f t="shared" si="11"/>
        <v>875.24</v>
      </c>
      <c r="AG75" s="76">
        <f>AG72+AG68+AG56+AG52+AG38+AG74</f>
        <v>2144.14</v>
      </c>
      <c r="AH75" s="53">
        <f t="shared" si="2"/>
        <v>1375.24</v>
      </c>
      <c r="AI75" s="54">
        <f t="shared" si="3"/>
        <v>864.43999999999994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1897.28</v>
      </c>
      <c r="C83" s="71">
        <f t="shared" ref="C83:AG83" si="20">SUM(C70:C82)</f>
        <v>1759.2799999999997</v>
      </c>
      <c r="D83" s="71">
        <f t="shared" si="20"/>
        <v>1728.8799999999999</v>
      </c>
      <c r="E83" s="71">
        <f t="shared" si="20"/>
        <v>1734.2799999999997</v>
      </c>
      <c r="F83" s="71">
        <f t="shared" si="20"/>
        <v>1849.8799999999999</v>
      </c>
      <c r="G83" s="71">
        <f t="shared" si="20"/>
        <v>1924.28</v>
      </c>
      <c r="H83" s="71">
        <f t="shared" si="20"/>
        <v>2105.88</v>
      </c>
      <c r="I83" s="71">
        <f t="shared" si="20"/>
        <v>2268.08</v>
      </c>
      <c r="J83" s="71">
        <f t="shared" si="20"/>
        <v>2323.08</v>
      </c>
      <c r="K83" s="71">
        <f t="shared" si="20"/>
        <v>2667.88</v>
      </c>
      <c r="L83" s="71">
        <f t="shared" si="20"/>
        <v>2705.08</v>
      </c>
      <c r="M83" s="71">
        <f t="shared" si="20"/>
        <v>2719.88</v>
      </c>
      <c r="N83" s="71">
        <f t="shared" si="20"/>
        <v>2625.2799999999997</v>
      </c>
      <c r="O83" s="71">
        <f t="shared" si="20"/>
        <v>2386.6800000000003</v>
      </c>
      <c r="P83" s="71">
        <f t="shared" si="20"/>
        <v>2123.08</v>
      </c>
      <c r="Q83" s="71">
        <f t="shared" si="20"/>
        <v>2010.88</v>
      </c>
      <c r="R83" s="71">
        <f t="shared" si="20"/>
        <v>1889.68</v>
      </c>
      <c r="S83" s="71">
        <f t="shared" si="20"/>
        <v>1800.88</v>
      </c>
      <c r="T83" s="71">
        <f t="shared" si="20"/>
        <v>1818.48</v>
      </c>
      <c r="U83" s="71">
        <f t="shared" si="20"/>
        <v>1856.08</v>
      </c>
      <c r="V83" s="71">
        <f t="shared" si="20"/>
        <v>1972.48</v>
      </c>
      <c r="W83" s="71">
        <f t="shared" si="20"/>
        <v>2208.88</v>
      </c>
      <c r="X83" s="71">
        <f t="shared" si="20"/>
        <v>2599.6799999999998</v>
      </c>
      <c r="Y83" s="71">
        <f t="shared" si="20"/>
        <v>2750.48</v>
      </c>
      <c r="Z83" s="71">
        <f t="shared" si="20"/>
        <v>2563.6800000000003</v>
      </c>
      <c r="AA83" s="71">
        <f t="shared" si="20"/>
        <v>2641.48</v>
      </c>
      <c r="AB83" s="71">
        <f t="shared" si="20"/>
        <v>2553.6800000000003</v>
      </c>
      <c r="AC83" s="71">
        <f t="shared" si="20"/>
        <v>2462.88</v>
      </c>
      <c r="AD83" s="71">
        <f t="shared" si="20"/>
        <v>2322.4799999999996</v>
      </c>
      <c r="AE83" s="71">
        <f t="shared" si="20"/>
        <v>1946.08</v>
      </c>
      <c r="AF83" s="71">
        <f t="shared" si="20"/>
        <v>1750.48</v>
      </c>
      <c r="AG83" s="76">
        <f t="shared" si="20"/>
        <v>4360.08</v>
      </c>
      <c r="AH83" s="53">
        <f t="shared" si="13"/>
        <v>2750.48</v>
      </c>
      <c r="AI83" s="54">
        <f t="shared" si="14"/>
        <v>1728.8799999999999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50.06</v>
      </c>
      <c r="C84" s="95">
        <v>50.01</v>
      </c>
      <c r="D84" s="95">
        <v>49.884</v>
      </c>
      <c r="E84" s="95">
        <v>50.023000000000003</v>
      </c>
      <c r="F84" s="95">
        <v>50.076000000000001</v>
      </c>
      <c r="G84" s="95">
        <v>50.048999999999999</v>
      </c>
      <c r="H84" s="95">
        <v>50.048999999999999</v>
      </c>
      <c r="I84" s="95">
        <v>50.003999999999998</v>
      </c>
      <c r="J84" s="95">
        <v>50.045000000000002</v>
      </c>
      <c r="K84" s="95">
        <v>50.08</v>
      </c>
      <c r="L84" s="95">
        <v>49.92</v>
      </c>
      <c r="M84" s="95">
        <v>49.87</v>
      </c>
      <c r="N84" s="95">
        <v>49.87</v>
      </c>
      <c r="O84" s="95">
        <v>50.07</v>
      </c>
      <c r="P84" s="95">
        <v>50.1</v>
      </c>
      <c r="Q84" s="95">
        <v>50.05</v>
      </c>
      <c r="R84" s="95">
        <v>50.02</v>
      </c>
      <c r="S84" s="95">
        <v>50.045000000000002</v>
      </c>
      <c r="T84" s="95">
        <v>50.026000000000003</v>
      </c>
      <c r="U84" s="95">
        <v>49.963000000000001</v>
      </c>
      <c r="V84" s="95">
        <v>50.048000000000002</v>
      </c>
      <c r="W84" s="95">
        <v>50.103000000000002</v>
      </c>
      <c r="X84" s="95">
        <v>50.061999999999998</v>
      </c>
      <c r="Y84" s="95">
        <v>50.036999999999999</v>
      </c>
      <c r="Z84" s="95">
        <v>50.03</v>
      </c>
      <c r="AA84" s="95">
        <v>50.002000000000002</v>
      </c>
      <c r="AB84" s="95">
        <v>50.08</v>
      </c>
      <c r="AC84" s="95">
        <v>50.037999999999997</v>
      </c>
      <c r="AD84" s="95">
        <v>49.969000000000001</v>
      </c>
      <c r="AE84" s="95">
        <v>50.03</v>
      </c>
      <c r="AF84" s="95">
        <v>49.96</v>
      </c>
      <c r="AG84" s="96"/>
      <c r="AH84" s="53">
        <f t="shared" si="13"/>
        <v>50.103000000000002</v>
      </c>
      <c r="AI84" s="54">
        <f t="shared" si="14"/>
        <v>49.87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</v>
      </c>
      <c r="C85" s="72">
        <v>127.5</v>
      </c>
      <c r="D85" s="72">
        <v>127</v>
      </c>
      <c r="E85" s="72">
        <v>127.5</v>
      </c>
      <c r="F85" s="72">
        <v>126.8</v>
      </c>
      <c r="G85" s="72">
        <v>126.1</v>
      </c>
      <c r="H85" s="72">
        <v>126.1</v>
      </c>
      <c r="I85" s="72">
        <v>124.4</v>
      </c>
      <c r="J85" s="72">
        <v>123.7</v>
      </c>
      <c r="K85" s="72">
        <v>122.3</v>
      </c>
      <c r="L85" s="72">
        <v>123.3</v>
      </c>
      <c r="M85" s="72">
        <v>124.4</v>
      </c>
      <c r="N85" s="72">
        <v>123</v>
      </c>
      <c r="O85" s="72">
        <v>125.4</v>
      </c>
      <c r="P85" s="72">
        <v>126.6</v>
      </c>
      <c r="Q85" s="72">
        <v>128.5</v>
      </c>
      <c r="R85" s="72">
        <v>128</v>
      </c>
      <c r="S85" s="72">
        <v>126</v>
      </c>
      <c r="T85" s="72">
        <v>123.4</v>
      </c>
      <c r="U85" s="99">
        <v>124.7</v>
      </c>
      <c r="V85" s="99">
        <v>125</v>
      </c>
      <c r="W85" s="99">
        <v>123.5</v>
      </c>
      <c r="X85" s="99">
        <v>123.3</v>
      </c>
      <c r="Y85" s="99">
        <v>123.6</v>
      </c>
      <c r="Z85" s="99">
        <v>123.6</v>
      </c>
      <c r="AA85" s="99">
        <v>124.6</v>
      </c>
      <c r="AB85" s="72">
        <v>125</v>
      </c>
      <c r="AC85" s="72">
        <v>124.6</v>
      </c>
      <c r="AD85" s="72">
        <v>124.9</v>
      </c>
      <c r="AE85" s="72">
        <v>127.2</v>
      </c>
      <c r="AF85" s="72">
        <v>127.9</v>
      </c>
      <c r="AG85" s="100"/>
      <c r="AH85" s="53">
        <f t="shared" si="13"/>
        <v>128.5</v>
      </c>
      <c r="AI85" s="54">
        <f t="shared" si="14"/>
        <v>122.3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130.5</v>
      </c>
      <c r="C86" s="72">
        <v>131.6</v>
      </c>
      <c r="D86" s="72">
        <v>131.4</v>
      </c>
      <c r="E86" s="72">
        <v>131.6</v>
      </c>
      <c r="F86" s="72">
        <v>131.19999999999999</v>
      </c>
      <c r="G86" s="72">
        <v>130.19999999999999</v>
      </c>
      <c r="H86" s="72">
        <v>130.19999999999999</v>
      </c>
      <c r="I86" s="72">
        <v>128.30000000000001</v>
      </c>
      <c r="J86" s="72">
        <v>127.3</v>
      </c>
      <c r="K86" s="72">
        <v>125.9</v>
      </c>
      <c r="L86" s="72">
        <v>126.5</v>
      </c>
      <c r="M86" s="72">
        <v>127</v>
      </c>
      <c r="N86" s="72">
        <v>125.5</v>
      </c>
      <c r="O86" s="72">
        <v>128</v>
      </c>
      <c r="P86" s="72">
        <v>130</v>
      </c>
      <c r="Q86" s="72">
        <v>131.5</v>
      </c>
      <c r="R86" s="72">
        <v>131.1</v>
      </c>
      <c r="S86" s="72">
        <v>130</v>
      </c>
      <c r="T86" s="72">
        <v>127.9</v>
      </c>
      <c r="U86" s="99">
        <v>128.9</v>
      </c>
      <c r="V86" s="99">
        <v>128.69999999999999</v>
      </c>
      <c r="W86" s="99">
        <v>127.3</v>
      </c>
      <c r="X86" s="99">
        <v>126.1</v>
      </c>
      <c r="Y86" s="99">
        <v>126.4</v>
      </c>
      <c r="Z86" s="99">
        <v>126.3</v>
      </c>
      <c r="AA86" s="99">
        <v>127.6</v>
      </c>
      <c r="AB86" s="72">
        <v>127.7</v>
      </c>
      <c r="AC86" s="72">
        <v>127.7</v>
      </c>
      <c r="AD86" s="72">
        <v>127.6</v>
      </c>
      <c r="AE86" s="72">
        <v>130.6</v>
      </c>
      <c r="AF86" s="72">
        <v>131.6</v>
      </c>
      <c r="AG86" s="100"/>
      <c r="AH86" s="53">
        <f t="shared" si="13"/>
        <v>131.6</v>
      </c>
      <c r="AI86" s="54">
        <f t="shared" si="14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129.4</v>
      </c>
      <c r="C87" s="72">
        <v>130</v>
      </c>
      <c r="D87" s="72">
        <v>130</v>
      </c>
      <c r="E87" s="72">
        <v>128.19999999999999</v>
      </c>
      <c r="F87" s="72">
        <v>127.1</v>
      </c>
      <c r="G87" s="72">
        <v>128.4</v>
      </c>
      <c r="H87" s="72">
        <v>128.4</v>
      </c>
      <c r="I87" s="72">
        <v>128.1</v>
      </c>
      <c r="J87" s="72">
        <v>129.5</v>
      </c>
      <c r="K87" s="72">
        <v>128.1</v>
      </c>
      <c r="L87" s="72">
        <v>127.8</v>
      </c>
      <c r="M87" s="72">
        <v>130.4</v>
      </c>
      <c r="N87" s="72">
        <v>131.30000000000001</v>
      </c>
      <c r="O87" s="72">
        <v>131</v>
      </c>
      <c r="P87" s="72">
        <v>131.69999999999999</v>
      </c>
      <c r="Q87" s="72">
        <v>130.4</v>
      </c>
      <c r="R87" s="72">
        <v>131</v>
      </c>
      <c r="S87" s="72">
        <v>130.80000000000001</v>
      </c>
      <c r="T87" s="72">
        <v>129.69999999999999</v>
      </c>
      <c r="U87" s="72">
        <v>128.9</v>
      </c>
      <c r="V87" s="72">
        <v>129</v>
      </c>
      <c r="W87" s="72">
        <v>128.6</v>
      </c>
      <c r="X87" s="99">
        <v>128.69999999999999</v>
      </c>
      <c r="Y87" s="99">
        <v>128.30000000000001</v>
      </c>
      <c r="Z87" s="99">
        <v>130.6</v>
      </c>
      <c r="AA87" s="99">
        <v>131.80000000000001</v>
      </c>
      <c r="AB87" s="72">
        <v>133.80000000000001</v>
      </c>
      <c r="AC87" s="72">
        <v>132.19999999999999</v>
      </c>
      <c r="AD87" s="72">
        <v>129.80000000000001</v>
      </c>
      <c r="AE87" s="72">
        <v>131.69999999999999</v>
      </c>
      <c r="AF87" s="72">
        <v>132.19999999999999</v>
      </c>
      <c r="AG87" s="100"/>
      <c r="AH87" s="53">
        <f t="shared" si="13"/>
        <v>133.80000000000001</v>
      </c>
      <c r="AI87" s="54">
        <f t="shared" si="14"/>
        <v>127.1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</v>
      </c>
      <c r="C88" s="72">
        <v>132.69999999999999</v>
      </c>
      <c r="D88" s="72">
        <v>133.5</v>
      </c>
      <c r="E88" s="72">
        <v>130.6</v>
      </c>
      <c r="F88" s="72">
        <v>130</v>
      </c>
      <c r="G88" s="72">
        <v>129.9</v>
      </c>
      <c r="H88" s="72">
        <v>129.9</v>
      </c>
      <c r="I88" s="72">
        <v>130.6</v>
      </c>
      <c r="J88" s="72">
        <v>131.80000000000001</v>
      </c>
      <c r="K88" s="72">
        <v>130.4</v>
      </c>
      <c r="L88" s="72">
        <v>129.9</v>
      </c>
      <c r="M88" s="72">
        <v>131.69999999999999</v>
      </c>
      <c r="N88" s="72">
        <v>132.6</v>
      </c>
      <c r="O88" s="72">
        <v>133.1</v>
      </c>
      <c r="P88" s="72">
        <v>133.80000000000001</v>
      </c>
      <c r="Q88" s="72">
        <v>132.9</v>
      </c>
      <c r="R88" s="72">
        <v>133.69999999999999</v>
      </c>
      <c r="S88" s="72">
        <v>134.5</v>
      </c>
      <c r="T88" s="72">
        <v>133.30000000000001</v>
      </c>
      <c r="U88" s="72">
        <v>132.6</v>
      </c>
      <c r="V88" s="72">
        <v>132.1</v>
      </c>
      <c r="W88" s="72">
        <v>131.19999999999999</v>
      </c>
      <c r="X88" s="99">
        <v>132.80000000000001</v>
      </c>
      <c r="Y88" s="99">
        <v>132.9</v>
      </c>
      <c r="Z88" s="99">
        <v>135.1</v>
      </c>
      <c r="AA88" s="99">
        <v>136.30000000000001</v>
      </c>
      <c r="AB88" s="72">
        <v>135.69999999999999</v>
      </c>
      <c r="AC88" s="72">
        <v>135.30000000000001</v>
      </c>
      <c r="AD88" s="72">
        <v>132.30000000000001</v>
      </c>
      <c r="AE88" s="72">
        <v>133.30000000000001</v>
      </c>
      <c r="AF88" s="72">
        <v>134</v>
      </c>
      <c r="AG88" s="100"/>
      <c r="AH88" s="53">
        <f t="shared" si="13"/>
        <v>136.30000000000001</v>
      </c>
      <c r="AI88" s="54">
        <f t="shared" si="14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</v>
      </c>
      <c r="C89" s="103">
        <v>130</v>
      </c>
      <c r="D89" s="103">
        <v>129</v>
      </c>
      <c r="E89" s="103">
        <v>129.5</v>
      </c>
      <c r="F89" s="103">
        <v>130.30000000000001</v>
      </c>
      <c r="G89" s="103">
        <v>136.19999999999999</v>
      </c>
      <c r="H89" s="103">
        <v>136.19999999999999</v>
      </c>
      <c r="I89" s="103">
        <v>134.9</v>
      </c>
      <c r="J89" s="103">
        <v>133.1</v>
      </c>
      <c r="K89" s="103">
        <v>132.9</v>
      </c>
      <c r="L89" s="103">
        <v>133.69999999999999</v>
      </c>
      <c r="M89" s="103">
        <v>134.1</v>
      </c>
      <c r="N89" s="103">
        <v>133.6</v>
      </c>
      <c r="O89" s="103">
        <v>134</v>
      </c>
      <c r="P89" s="103">
        <v>131.30000000000001</v>
      </c>
      <c r="Q89" s="103">
        <v>133.1</v>
      </c>
      <c r="R89" s="103">
        <v>131.69999999999999</v>
      </c>
      <c r="S89" s="103">
        <v>134.4</v>
      </c>
      <c r="T89" s="103">
        <v>128.80000000000001</v>
      </c>
      <c r="U89" s="103">
        <v>131.30000000000001</v>
      </c>
      <c r="V89" s="103">
        <v>132.9</v>
      </c>
      <c r="W89" s="103">
        <v>134.80000000000001</v>
      </c>
      <c r="X89" s="99">
        <v>134.1</v>
      </c>
      <c r="Y89" s="99">
        <v>132.69999999999999</v>
      </c>
      <c r="Z89" s="99">
        <v>132.5</v>
      </c>
      <c r="AA89" s="99">
        <v>134.80000000000001</v>
      </c>
      <c r="AB89" s="103">
        <v>135</v>
      </c>
      <c r="AC89" s="103">
        <v>135.30000000000001</v>
      </c>
      <c r="AD89" s="103">
        <v>135.19999999999999</v>
      </c>
      <c r="AE89" s="103">
        <v>134</v>
      </c>
      <c r="AF89" s="103">
        <v>130.4</v>
      </c>
      <c r="AG89" s="104"/>
      <c r="AH89" s="53">
        <f t="shared" si="13"/>
        <v>136.19999999999999</v>
      </c>
      <c r="AI89" s="54">
        <f t="shared" si="14"/>
        <v>128.80000000000001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132.5</v>
      </c>
      <c r="C90" s="72">
        <v>134</v>
      </c>
      <c r="D90" s="72">
        <v>134.9</v>
      </c>
      <c r="E90" s="72">
        <v>135.80000000000001</v>
      </c>
      <c r="F90" s="72">
        <v>135.80000000000001</v>
      </c>
      <c r="G90" s="72">
        <v>127.8</v>
      </c>
      <c r="H90" s="72">
        <v>127.8</v>
      </c>
      <c r="I90" s="72">
        <v>128.30000000000001</v>
      </c>
      <c r="J90" s="72">
        <v>126.9</v>
      </c>
      <c r="K90" s="72">
        <v>132.30000000000001</v>
      </c>
      <c r="L90" s="72">
        <v>131.30000000000001</v>
      </c>
      <c r="M90" s="72">
        <v>131.30000000000001</v>
      </c>
      <c r="N90" s="72">
        <v>130.6</v>
      </c>
      <c r="O90" s="72">
        <v>135.6</v>
      </c>
      <c r="P90" s="72">
        <v>137.5</v>
      </c>
      <c r="Q90" s="72">
        <v>137.69999999999999</v>
      </c>
      <c r="R90" s="72">
        <v>139.9</v>
      </c>
      <c r="S90" s="72">
        <v>134.1</v>
      </c>
      <c r="T90" s="72">
        <v>134.80000000000001</v>
      </c>
      <c r="U90" s="72">
        <v>134.5</v>
      </c>
      <c r="V90" s="72">
        <v>134.30000000000001</v>
      </c>
      <c r="W90" s="72">
        <v>134</v>
      </c>
      <c r="X90" s="99">
        <v>128.80000000000001</v>
      </c>
      <c r="Y90" s="99">
        <v>127.9</v>
      </c>
      <c r="Z90" s="99">
        <v>127.5</v>
      </c>
      <c r="AA90" s="99">
        <v>128.69999999999999</v>
      </c>
      <c r="AB90" s="72">
        <v>130.9</v>
      </c>
      <c r="AC90" s="72">
        <v>132.1</v>
      </c>
      <c r="AD90" s="72">
        <v>133.4</v>
      </c>
      <c r="AE90" s="72">
        <v>135</v>
      </c>
      <c r="AF90" s="72">
        <v>136</v>
      </c>
      <c r="AG90" s="100"/>
      <c r="AH90" s="53">
        <f t="shared" si="13"/>
        <v>139.9</v>
      </c>
      <c r="AI90" s="54">
        <f t="shared" si="14"/>
        <v>126.9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174.93999999999997</v>
      </c>
      <c r="C93" s="113">
        <f>SUM(C15,C18,C21:C22,C42,C44:C45,C47,C49,C94:C97,C102,C108,C114,C123,C125,C137,C144,C147:C148,C155,C157,C159,C163:C165,C167:C169,C174,C180:C181,C183:C185,C193,C198)</f>
        <v>194.93999999999997</v>
      </c>
      <c r="D93" s="113">
        <f t="shared" ref="D93:AF93" si="21">SUM(D15,D18,D21:D22,D42,D44:D45,D47,D49,D94:D97,D102,D108,D114,D123,D125,D137,D144,D147:D148,D155,D157,D159,D163:D165,D167:D169,D174,D180:D181,D183:D185,D193,D198)</f>
        <v>183.73999999999998</v>
      </c>
      <c r="E93" s="113">
        <f t="shared" si="21"/>
        <v>186.04</v>
      </c>
      <c r="F93" s="113">
        <f t="shared" si="21"/>
        <v>196.43999999999997</v>
      </c>
      <c r="G93" s="112">
        <f t="shared" si="21"/>
        <v>260.24000000000007</v>
      </c>
      <c r="H93" s="112">
        <f t="shared" si="21"/>
        <v>260.24000000000007</v>
      </c>
      <c r="I93" s="112"/>
      <c r="J93" s="112">
        <f t="shared" si="21"/>
        <v>307.44000000000005</v>
      </c>
      <c r="K93" s="112">
        <f t="shared" si="21"/>
        <v>366.94000000000005</v>
      </c>
      <c r="L93" s="112">
        <f t="shared" si="21"/>
        <v>394.54000000000008</v>
      </c>
      <c r="M93" s="112">
        <f t="shared" si="21"/>
        <v>428.84000000000003</v>
      </c>
      <c r="N93" s="112">
        <f t="shared" si="21"/>
        <v>432.84000000000003</v>
      </c>
      <c r="O93" s="112">
        <f t="shared" si="21"/>
        <v>389.54</v>
      </c>
      <c r="P93" s="112">
        <f t="shared" si="21"/>
        <v>337.34000000000003</v>
      </c>
      <c r="Q93" s="112">
        <f t="shared" si="21"/>
        <v>336.54</v>
      </c>
      <c r="R93" s="112">
        <f t="shared" si="21"/>
        <v>311.64</v>
      </c>
      <c r="S93" s="112">
        <f t="shared" si="21"/>
        <v>262.04000000000008</v>
      </c>
      <c r="T93" s="112">
        <f t="shared" si="21"/>
        <v>260.44000000000005</v>
      </c>
      <c r="U93" s="112">
        <f t="shared" si="21"/>
        <v>282.44</v>
      </c>
      <c r="V93" s="112">
        <f t="shared" si="21"/>
        <v>310.74</v>
      </c>
      <c r="W93" s="112">
        <f t="shared" si="21"/>
        <v>350.44</v>
      </c>
      <c r="X93" s="112">
        <f t="shared" si="21"/>
        <v>421.94000000000005</v>
      </c>
      <c r="Y93" s="112">
        <f t="shared" si="21"/>
        <v>454.04</v>
      </c>
      <c r="Z93" s="112">
        <f t="shared" si="21"/>
        <v>453.34000000000003</v>
      </c>
      <c r="AA93" s="112">
        <f t="shared" si="21"/>
        <v>468.04</v>
      </c>
      <c r="AB93" s="112">
        <f t="shared" si="21"/>
        <v>433.44</v>
      </c>
      <c r="AC93" s="112">
        <f t="shared" si="21"/>
        <v>407.34000000000003</v>
      </c>
      <c r="AD93" s="112">
        <f t="shared" si="21"/>
        <v>373.24</v>
      </c>
      <c r="AE93" s="112">
        <f t="shared" si="21"/>
        <v>283.14000000000004</v>
      </c>
      <c r="AF93" s="112">
        <f t="shared" si="21"/>
        <v>225.94</v>
      </c>
      <c r="AG93" s="114"/>
      <c r="AH93" s="53">
        <f>MAX(C93:AF93)</f>
        <v>468.04</v>
      </c>
      <c r="AI93" s="54">
        <f>MIN(C93:AF93)</f>
        <v>183.73999999999998</v>
      </c>
    </row>
    <row r="94" spans="1:88" x14ac:dyDescent="0.25">
      <c r="A94" s="115" t="s">
        <v>98</v>
      </c>
      <c r="B94" s="116">
        <v>-4</v>
      </c>
      <c r="C94" s="57">
        <v>-3</v>
      </c>
      <c r="D94" s="57">
        <v>-5</v>
      </c>
      <c r="E94" s="57">
        <v>0.8</v>
      </c>
      <c r="F94" s="57">
        <v>9.1</v>
      </c>
      <c r="G94" s="117">
        <v>22.8</v>
      </c>
      <c r="H94" s="117">
        <v>22.8</v>
      </c>
      <c r="I94" s="117">
        <v>35.299999999999997</v>
      </c>
      <c r="J94" s="117">
        <v>25</v>
      </c>
      <c r="K94" s="117">
        <v>57.7</v>
      </c>
      <c r="L94" s="117">
        <v>59.7</v>
      </c>
      <c r="M94" s="118">
        <v>65.099999999999994</v>
      </c>
      <c r="N94" s="117">
        <v>63.5</v>
      </c>
      <c r="O94" s="117">
        <v>60.6</v>
      </c>
      <c r="P94" s="117">
        <v>23.4</v>
      </c>
      <c r="Q94" s="117">
        <v>24.4</v>
      </c>
      <c r="R94" s="117">
        <v>25.4</v>
      </c>
      <c r="S94" s="117">
        <v>18.8</v>
      </c>
      <c r="T94" s="117">
        <v>-17.7</v>
      </c>
      <c r="U94" s="118">
        <v>7.1</v>
      </c>
      <c r="V94" s="118">
        <v>68.599999999999994</v>
      </c>
      <c r="W94" s="118">
        <v>82.9</v>
      </c>
      <c r="X94" s="117">
        <v>88.8</v>
      </c>
      <c r="Y94" s="117">
        <v>74.099999999999994</v>
      </c>
      <c r="Z94" s="117">
        <v>78.599999999999994</v>
      </c>
      <c r="AA94" s="117">
        <v>83.5</v>
      </c>
      <c r="AB94" s="118">
        <v>86</v>
      </c>
      <c r="AC94" s="118">
        <v>89</v>
      </c>
      <c r="AD94" s="118">
        <v>93</v>
      </c>
      <c r="AE94" s="118">
        <v>46.1</v>
      </c>
      <c r="AF94" s="118">
        <v>27</v>
      </c>
      <c r="AG94" s="119">
        <v>75</v>
      </c>
      <c r="AH94" s="53">
        <f t="shared" ref="AH94:AH99" si="22">IF(ABS(MAX(C94:AF94))&gt;ABS(MIN(C94:AF94)),MAX(C94:AF94),MIN(C94:AF94))</f>
        <v>93</v>
      </c>
      <c r="AI94" s="120">
        <f t="shared" ref="AI94:AI99" si="23">INDEX($C$9:$AF$9,1,MATCH(AH94,C94:AF94,0))</f>
        <v>0.875</v>
      </c>
    </row>
    <row r="95" spans="1:88" x14ac:dyDescent="0.25">
      <c r="A95" s="121" t="s">
        <v>99</v>
      </c>
      <c r="B95" s="122">
        <v>-50</v>
      </c>
      <c r="C95" s="59">
        <v>-46</v>
      </c>
      <c r="D95" s="59">
        <v>-49</v>
      </c>
      <c r="E95" s="59">
        <v>-48</v>
      </c>
      <c r="F95" s="59">
        <v>-49</v>
      </c>
      <c r="G95" s="59">
        <v>-26</v>
      </c>
      <c r="H95" s="59">
        <v>-26</v>
      </c>
      <c r="I95" s="59">
        <v>-18</v>
      </c>
      <c r="J95" s="59">
        <v>-6</v>
      </c>
      <c r="K95" s="59">
        <v>-2</v>
      </c>
      <c r="L95" s="59">
        <v>11</v>
      </c>
      <c r="M95" s="59">
        <f>15.7+11.9</f>
        <v>27.6</v>
      </c>
      <c r="N95" s="59">
        <f>20.7+22.4</f>
        <v>43.099999999999994</v>
      </c>
      <c r="O95" s="59">
        <f>4.8+5.8</f>
        <v>10.6</v>
      </c>
      <c r="P95" s="59">
        <f>4.5+5.2</f>
        <v>9.6999999999999993</v>
      </c>
      <c r="Q95" s="59">
        <f>4.5+5.2</f>
        <v>9.6999999999999993</v>
      </c>
      <c r="R95" s="59">
        <v>-5.9</v>
      </c>
      <c r="S95" s="59">
        <v>-33.200000000000003</v>
      </c>
      <c r="T95" s="59">
        <v>1.8</v>
      </c>
      <c r="U95" s="59">
        <v>-0.5</v>
      </c>
      <c r="V95" s="59">
        <v>-8.4</v>
      </c>
      <c r="W95" s="59">
        <v>0.7</v>
      </c>
      <c r="X95" s="59">
        <v>40.4</v>
      </c>
      <c r="Y95" s="59">
        <v>57.3</v>
      </c>
      <c r="Z95" s="59">
        <v>59.9</v>
      </c>
      <c r="AA95" s="59">
        <v>55.2</v>
      </c>
      <c r="AB95" s="72">
        <f>17.1+17.8</f>
        <v>34.900000000000006</v>
      </c>
      <c r="AC95" s="72">
        <v>22</v>
      </c>
      <c r="AD95" s="72">
        <v>10</v>
      </c>
      <c r="AE95" s="72">
        <f>-7.6-9</f>
        <v>-16.600000000000001</v>
      </c>
      <c r="AF95" s="72">
        <f>-16.4-18.5</f>
        <v>-34.9</v>
      </c>
      <c r="AG95" s="119">
        <v>240</v>
      </c>
      <c r="AH95" s="53">
        <f t="shared" si="22"/>
        <v>59.9</v>
      </c>
      <c r="AI95" s="120">
        <f t="shared" si="23"/>
        <v>0.79166666666666663</v>
      </c>
    </row>
    <row r="96" spans="1:88" x14ac:dyDescent="0.25">
      <c r="A96" s="121" t="s">
        <v>100</v>
      </c>
      <c r="B96" s="122">
        <v>-6</v>
      </c>
      <c r="C96" s="59">
        <v>0</v>
      </c>
      <c r="D96" s="59">
        <v>-4</v>
      </c>
      <c r="E96" s="59">
        <v>-6.4</v>
      </c>
      <c r="F96" s="59">
        <v>-4</v>
      </c>
      <c r="G96" s="59">
        <v>1.4</v>
      </c>
      <c r="H96" s="59">
        <v>1.4</v>
      </c>
      <c r="I96" s="59">
        <v>3.1</v>
      </c>
      <c r="J96" s="59">
        <v>5.9</v>
      </c>
      <c r="K96" s="59">
        <v>18.2</v>
      </c>
      <c r="L96" s="59">
        <v>33.799999999999997</v>
      </c>
      <c r="M96" s="59">
        <v>42.1</v>
      </c>
      <c r="N96" s="59">
        <v>25.7</v>
      </c>
      <c r="O96" s="59">
        <v>19.3</v>
      </c>
      <c r="P96" s="59">
        <v>10.7</v>
      </c>
      <c r="Q96" s="59">
        <v>10.7</v>
      </c>
      <c r="R96" s="59">
        <v>3.1</v>
      </c>
      <c r="S96" s="59">
        <v>0</v>
      </c>
      <c r="T96" s="59">
        <v>3.5</v>
      </c>
      <c r="U96" s="59">
        <v>-1.6</v>
      </c>
      <c r="V96" s="59">
        <v>8.6</v>
      </c>
      <c r="W96" s="59">
        <v>13.2</v>
      </c>
      <c r="X96" s="59">
        <v>31.8</v>
      </c>
      <c r="Y96" s="59">
        <v>46.6</v>
      </c>
      <c r="Z96" s="59">
        <v>39.1</v>
      </c>
      <c r="AA96" s="59">
        <v>27.8</v>
      </c>
      <c r="AB96" s="72">
        <v>22.4</v>
      </c>
      <c r="AC96" s="72">
        <v>17</v>
      </c>
      <c r="AD96" s="72">
        <v>18</v>
      </c>
      <c r="AE96" s="72">
        <v>11</v>
      </c>
      <c r="AF96" s="72">
        <v>3.1</v>
      </c>
      <c r="AG96" s="119">
        <v>60</v>
      </c>
      <c r="AH96" s="53">
        <f t="shared" si="22"/>
        <v>46.6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46</v>
      </c>
      <c r="C97" s="62">
        <v>55</v>
      </c>
      <c r="D97" s="62">
        <v>56</v>
      </c>
      <c r="E97" s="62">
        <v>53.9</v>
      </c>
      <c r="F97" s="62">
        <v>54.6</v>
      </c>
      <c r="G97" s="62">
        <v>77.599999999999994</v>
      </c>
      <c r="H97" s="62">
        <v>77.599999999999994</v>
      </c>
      <c r="I97" s="62">
        <v>83.2</v>
      </c>
      <c r="J97" s="62">
        <v>98.1</v>
      </c>
      <c r="K97" s="62">
        <v>108.6</v>
      </c>
      <c r="L97" s="62">
        <v>105.6</v>
      </c>
      <c r="M97" s="62">
        <v>108.5</v>
      </c>
      <c r="N97" s="62">
        <v>113.7</v>
      </c>
      <c r="O97" s="62">
        <v>112.2</v>
      </c>
      <c r="P97" s="62">
        <v>106.7</v>
      </c>
      <c r="Q97" s="62">
        <v>106.7</v>
      </c>
      <c r="R97" s="62">
        <v>109</v>
      </c>
      <c r="S97" s="62">
        <v>96.4</v>
      </c>
      <c r="T97" s="62">
        <v>92.8</v>
      </c>
      <c r="U97" s="62">
        <v>97.4</v>
      </c>
      <c r="V97" s="62">
        <v>61.9</v>
      </c>
      <c r="W97" s="62">
        <v>73.599999999999994</v>
      </c>
      <c r="X97" s="62">
        <v>80.900000000000006</v>
      </c>
      <c r="Y97" s="62">
        <v>87</v>
      </c>
      <c r="Z97" s="62">
        <v>86.7</v>
      </c>
      <c r="AA97" s="62">
        <v>112.2</v>
      </c>
      <c r="AB97" s="125">
        <v>101.8</v>
      </c>
      <c r="AC97" s="125">
        <v>91</v>
      </c>
      <c r="AD97" s="125">
        <v>71</v>
      </c>
      <c r="AE97" s="125">
        <v>56</v>
      </c>
      <c r="AF97" s="125">
        <v>43.2</v>
      </c>
      <c r="AG97" s="126">
        <v>120</v>
      </c>
      <c r="AH97" s="53">
        <f t="shared" si="22"/>
        <v>113.7</v>
      </c>
      <c r="AI97" s="120">
        <f t="shared" si="23"/>
        <v>0.375</v>
      </c>
    </row>
    <row r="98" spans="1:37" x14ac:dyDescent="0.25">
      <c r="A98" s="123" t="s">
        <v>102</v>
      </c>
      <c r="B98" s="124">
        <v>54</v>
      </c>
      <c r="C98" s="62">
        <v>66</v>
      </c>
      <c r="D98" s="62">
        <v>66</v>
      </c>
      <c r="E98" s="62">
        <v>63.4</v>
      </c>
      <c r="F98" s="62">
        <v>64.7</v>
      </c>
      <c r="G98" s="62">
        <v>76.5</v>
      </c>
      <c r="H98" s="62">
        <v>76.5</v>
      </c>
      <c r="I98" s="62">
        <v>82.1</v>
      </c>
      <c r="J98" s="62">
        <v>95.2</v>
      </c>
      <c r="K98" s="62">
        <v>87.3</v>
      </c>
      <c r="L98" s="62">
        <v>84.6</v>
      </c>
      <c r="M98" s="62">
        <v>58.3</v>
      </c>
      <c r="N98" s="62">
        <v>76.8</v>
      </c>
      <c r="O98" s="62">
        <v>46</v>
      </c>
      <c r="P98" s="62">
        <v>61.7</v>
      </c>
      <c r="Q98" s="62">
        <v>61.7</v>
      </c>
      <c r="R98" s="62">
        <v>55.1</v>
      </c>
      <c r="S98" s="62">
        <v>58.6</v>
      </c>
      <c r="T98" s="62">
        <v>101.5</v>
      </c>
      <c r="U98" s="62">
        <v>90.3</v>
      </c>
      <c r="V98" s="62">
        <v>52.4</v>
      </c>
      <c r="W98" s="62">
        <v>53.6</v>
      </c>
      <c r="X98" s="62">
        <v>83.7</v>
      </c>
      <c r="Y98" s="62">
        <v>94.2</v>
      </c>
      <c r="Z98" s="62">
        <v>94.1</v>
      </c>
      <c r="AA98" s="62">
        <v>80.900000000000006</v>
      </c>
      <c r="AB98" s="125">
        <v>78.099999999999994</v>
      </c>
      <c r="AC98" s="125">
        <v>72</v>
      </c>
      <c r="AD98" s="125">
        <v>63</v>
      </c>
      <c r="AE98" s="125">
        <v>56.9</v>
      </c>
      <c r="AF98" s="125">
        <v>48.8</v>
      </c>
      <c r="AG98" s="126"/>
      <c r="AH98" s="53">
        <f t="shared" si="22"/>
        <v>101.5</v>
      </c>
      <c r="AI98" s="120">
        <f t="shared" si="23"/>
        <v>0.625</v>
      </c>
    </row>
    <row r="99" spans="1:37" ht="15.75" thickBot="1" x14ac:dyDescent="0.3">
      <c r="A99" s="123" t="s">
        <v>103</v>
      </c>
      <c r="B99" s="124">
        <v>30</v>
      </c>
      <c r="C99" s="62">
        <v>48</v>
      </c>
      <c r="D99" s="62">
        <v>53</v>
      </c>
      <c r="E99" s="62">
        <v>51.3</v>
      </c>
      <c r="F99" s="62">
        <v>51.3</v>
      </c>
      <c r="G99" s="62">
        <v>32.1</v>
      </c>
      <c r="H99" s="62">
        <v>32.1</v>
      </c>
      <c r="I99" s="62">
        <v>28.1</v>
      </c>
      <c r="J99" s="62">
        <v>37.200000000000003</v>
      </c>
      <c r="K99" s="62">
        <v>29.7</v>
      </c>
      <c r="L99" s="62">
        <v>29.6</v>
      </c>
      <c r="M99" s="62">
        <v>26.3</v>
      </c>
      <c r="N99" s="62">
        <v>16.899999999999999</v>
      </c>
      <c r="O99" s="62">
        <v>3.2</v>
      </c>
      <c r="P99" s="62">
        <v>29.7</v>
      </c>
      <c r="Q99" s="62">
        <v>29.7</v>
      </c>
      <c r="R99" s="62">
        <v>50.7</v>
      </c>
      <c r="S99" s="62">
        <v>33.5</v>
      </c>
      <c r="T99" s="62">
        <v>50.7</v>
      </c>
      <c r="U99" s="62">
        <v>34.5</v>
      </c>
      <c r="V99" s="62">
        <v>5.0999999999999996</v>
      </c>
      <c r="W99" s="62">
        <v>-5.9</v>
      </c>
      <c r="X99" s="62">
        <v>-8.8000000000000007</v>
      </c>
      <c r="Y99" s="62">
        <v>11.5</v>
      </c>
      <c r="Z99" s="62">
        <v>9.3000000000000007</v>
      </c>
      <c r="AA99" s="62">
        <v>1.3</v>
      </c>
      <c r="AB99" s="125">
        <v>1</v>
      </c>
      <c r="AC99" s="125">
        <v>5</v>
      </c>
      <c r="AD99" s="125">
        <v>-7</v>
      </c>
      <c r="AE99" s="125">
        <v>8.1999999999999993</v>
      </c>
      <c r="AF99" s="125">
        <v>30.1</v>
      </c>
      <c r="AG99" s="127"/>
      <c r="AH99" s="53">
        <f t="shared" si="22"/>
        <v>53</v>
      </c>
      <c r="AI99" s="120">
        <f t="shared" si="23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1359.94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2078/09/1)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948.64</v>
      </c>
      <c r="U213" s="173">
        <f t="shared" si="60"/>
        <v>879.63999999999987</v>
      </c>
      <c r="V213" s="173">
        <f t="shared" si="60"/>
        <v>864.43999999999994</v>
      </c>
      <c r="W213" s="173">
        <f t="shared" si="60"/>
        <v>867.13999999999987</v>
      </c>
      <c r="X213" s="173">
        <f t="shared" si="60"/>
        <v>924.93999999999994</v>
      </c>
      <c r="Y213" s="173">
        <f t="shared" si="60"/>
        <v>962.14</v>
      </c>
      <c r="Z213" s="173">
        <f t="shared" si="60"/>
        <v>1052.94</v>
      </c>
      <c r="AA213" s="173">
        <f t="shared" si="60"/>
        <v>1134.04</v>
      </c>
      <c r="AB213" s="173">
        <f t="shared" si="60"/>
        <v>1161.54</v>
      </c>
      <c r="AC213" s="173">
        <f t="shared" si="60"/>
        <v>1333.94</v>
      </c>
      <c r="AD213" s="173">
        <f t="shared" si="60"/>
        <v>1352.54</v>
      </c>
      <c r="AE213" s="173">
        <f t="shared" si="60"/>
        <v>1359.94</v>
      </c>
      <c r="AF213" s="173">
        <f t="shared" si="60"/>
        <v>1312.6399999999999</v>
      </c>
      <c r="AG213" s="173">
        <f t="shared" si="60"/>
        <v>1193.3400000000001</v>
      </c>
      <c r="AH213" s="173">
        <f t="shared" si="60"/>
        <v>1061.54</v>
      </c>
      <c r="AI213" s="173">
        <f t="shared" si="60"/>
        <v>1005.44</v>
      </c>
      <c r="AJ213" s="173">
        <f t="shared" si="60"/>
        <v>944.84</v>
      </c>
      <c r="AK213" s="173">
        <f t="shared" si="60"/>
        <v>900.44</v>
      </c>
      <c r="AL213" s="173">
        <f t="shared" si="60"/>
        <v>909.24</v>
      </c>
      <c r="AM213" s="173">
        <f t="shared" si="60"/>
        <v>928.04</v>
      </c>
      <c r="AN213" s="173">
        <f t="shared" si="60"/>
        <v>986.24</v>
      </c>
      <c r="AO213" s="173">
        <f t="shared" si="60"/>
        <v>1104.44</v>
      </c>
      <c r="AP213" s="173">
        <f t="shared" si="60"/>
        <v>1299.8399999999999</v>
      </c>
      <c r="AQ213" s="173">
        <f t="shared" si="60"/>
        <v>1375.24</v>
      </c>
      <c r="AR213" s="173">
        <f t="shared" si="60"/>
        <v>1281.8400000000001</v>
      </c>
      <c r="AS213" s="173">
        <f t="shared" si="60"/>
        <v>1320.74</v>
      </c>
      <c r="AT213" s="173">
        <f t="shared" si="60"/>
        <v>1276.8400000000001</v>
      </c>
      <c r="AU213" s="173">
        <f t="shared" si="60"/>
        <v>1231.44</v>
      </c>
      <c r="AV213" s="173">
        <f t="shared" si="60"/>
        <v>1161.2399999999998</v>
      </c>
      <c r="AW213" s="173">
        <f t="shared" si="60"/>
        <v>973.04</v>
      </c>
      <c r="AX213" s="173">
        <f t="shared" si="60"/>
        <v>875.24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P39:R39 P40:Q42 R40:T41 U40:Y42 X85:AA91 AB81 B81:R81 C56:AB56 B82:AB83 D193:AF199 B193:B199 C68:AB72 AB84:AB91 B84:B91 M53:AB55 B9:AF10 B191:AF191 AG73 AB94:AB99 B94:B99 U212:AF212 B53:B72 C57:N67 M39:O42 S58:W59 P11:AB11 R42 O58:R67 S60:S67 R22:X22 N45:X48 Z40:AB43 Y18:AB30 B36:AB36 AE40:AE43 AE94:AF99 AE53:AF56 AE68:AF91 AE11:AF11 AF57:AF67 B73:AB80">
    <cfRule type="expression" dxfId="11830" priority="284">
      <formula>B$9&gt;=20/24</formula>
    </cfRule>
    <cfRule type="expression" dxfId="11829" priority="285">
      <formula>AND(B$9&gt;=14/24,B$9&lt;20/24)</formula>
    </cfRule>
    <cfRule type="expression" dxfId="11828" priority="286">
      <formula>AND(B$9&gt;=8/24,B$9&lt;14/24)</formula>
    </cfRule>
    <cfRule type="expression" dxfId="11827" priority="287">
      <formula>B$9&lt;8/24</formula>
    </cfRule>
  </conditionalFormatting>
  <conditionalFormatting sqref="AL4:AL6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O57:R57">
    <cfRule type="expression" dxfId="11826" priority="279">
      <formula>O$9&gt;=20/24</formula>
    </cfRule>
    <cfRule type="expression" dxfId="11825" priority="280">
      <formula>AND(O$9&gt;=14/24,O$9&lt;20/24)</formula>
    </cfRule>
    <cfRule type="expression" dxfId="11824" priority="281">
      <formula>AND(O$9&gt;=8/24,O$9&lt;14/24)</formula>
    </cfRule>
    <cfRule type="expression" dxfId="11823" priority="282">
      <formula>O$9&lt;8/24</formula>
    </cfRule>
  </conditionalFormatting>
  <conditionalFormatting sqref="M43:R43">
    <cfRule type="expression" dxfId="11822" priority="275">
      <formula>M$9&gt;=20/24</formula>
    </cfRule>
    <cfRule type="expression" dxfId="11821" priority="276">
      <formula>AND(M$9&gt;=14/24,M$9&lt;20/24)</formula>
    </cfRule>
    <cfRule type="expression" dxfId="11820" priority="277">
      <formula>AND(M$9&gt;=8/24,M$9&lt;14/24)</formula>
    </cfRule>
    <cfRule type="expression" dxfId="11819" priority="278">
      <formula>M$9&lt;8/24</formula>
    </cfRule>
  </conditionalFormatting>
  <conditionalFormatting sqref="S39:AB39 AE39">
    <cfRule type="expression" dxfId="11818" priority="267">
      <formula>S$9&gt;=20/24</formula>
    </cfRule>
    <cfRule type="expression" dxfId="11817" priority="268">
      <formula>AND(S$9&gt;=14/24,S$9&lt;20/24)</formula>
    </cfRule>
    <cfRule type="expression" dxfId="11816" priority="269">
      <formula>AND(S$9&gt;=8/24,S$9&lt;14/24)</formula>
    </cfRule>
    <cfRule type="expression" dxfId="11815" priority="270">
      <formula>S$9&lt;8/24</formula>
    </cfRule>
  </conditionalFormatting>
  <conditionalFormatting sqref="S57:AB57 AE57">
    <cfRule type="expression" dxfId="11814" priority="263">
      <formula>S$9&gt;=20/24</formula>
    </cfRule>
    <cfRule type="expression" dxfId="11813" priority="264">
      <formula>AND(S$9&gt;=14/24,S$9&lt;20/24)</formula>
    </cfRule>
    <cfRule type="expression" dxfId="11812" priority="265">
      <formula>AND(S$9&gt;=8/24,S$9&lt;14/24)</formula>
    </cfRule>
    <cfRule type="expression" dxfId="11811" priority="266">
      <formula>S$9&lt;8/24</formula>
    </cfRule>
  </conditionalFormatting>
  <conditionalFormatting sqref="S81:AA81">
    <cfRule type="expression" dxfId="11810" priority="259">
      <formula>S$9&gt;=20/24</formula>
    </cfRule>
    <cfRule type="expression" dxfId="11809" priority="260">
      <formula>AND(S$9&gt;=14/24,S$9&lt;20/24)</formula>
    </cfRule>
    <cfRule type="expression" dxfId="11808" priority="261">
      <formula>AND(S$9&gt;=8/24,S$9&lt;14/24)</formula>
    </cfRule>
    <cfRule type="expression" dxfId="11807" priority="262">
      <formula>S$9&lt;8/24</formula>
    </cfRule>
  </conditionalFormatting>
  <conditionalFormatting sqref="U84:AA84">
    <cfRule type="expression" dxfId="11806" priority="255">
      <formula>U$9&gt;=20/24</formula>
    </cfRule>
    <cfRule type="expression" dxfId="11805" priority="256">
      <formula>AND(U$9&gt;=14/24,U$9&lt;20/24)</formula>
    </cfRule>
    <cfRule type="expression" dxfId="11804" priority="257">
      <formula>AND(U$9&gt;=8/24,U$9&lt;14/24)</formula>
    </cfRule>
    <cfRule type="expression" dxfId="11803" priority="258">
      <formula>U$9&lt;8/24</formula>
    </cfRule>
  </conditionalFormatting>
  <conditionalFormatting sqref="M49:X49">
    <cfRule type="expression" dxfId="11802" priority="251">
      <formula>M$9&gt;=20/24</formula>
    </cfRule>
    <cfRule type="expression" dxfId="11801" priority="252">
      <formula>AND(M$9&gt;=14/24,M$9&lt;20/24)</formula>
    </cfRule>
    <cfRule type="expression" dxfId="11800" priority="253">
      <formula>AND(M$9&gt;=8/24,M$9&lt;14/24)</formula>
    </cfRule>
    <cfRule type="expression" dxfId="11799" priority="254">
      <formula>M$9&lt;8/24</formula>
    </cfRule>
  </conditionalFormatting>
  <conditionalFormatting sqref="M50:X50">
    <cfRule type="expression" dxfId="11798" priority="247">
      <formula>M$9&gt;=20/24</formula>
    </cfRule>
    <cfRule type="expression" dxfId="11797" priority="248">
      <formula>AND(M$9&gt;=14/24,M$9&lt;20/24)</formula>
    </cfRule>
    <cfRule type="expression" dxfId="11796" priority="249">
      <formula>AND(M$9&gt;=8/24,M$9&lt;14/24)</formula>
    </cfRule>
    <cfRule type="expression" dxfId="11795" priority="250">
      <formula>M$9&lt;8/24</formula>
    </cfRule>
  </conditionalFormatting>
  <conditionalFormatting sqref="M45:X48">
    <cfRule type="expression" dxfId="11794" priority="243">
      <formula>M$9&gt;=20/24</formula>
    </cfRule>
    <cfRule type="expression" dxfId="11793" priority="244">
      <formula>AND(M$9&gt;=14/24,M$9&lt;20/24)</formula>
    </cfRule>
    <cfRule type="expression" dxfId="11792" priority="245">
      <formula>AND(M$9&gt;=8/24,M$9&lt;14/24)</formula>
    </cfRule>
    <cfRule type="expression" dxfId="11791" priority="246">
      <formula>M$9&lt;8/24</formula>
    </cfRule>
  </conditionalFormatting>
  <conditionalFormatting sqref="S37:AB37">
    <cfRule type="expression" dxfId="11790" priority="239">
      <formula>S$9&gt;=20/24</formula>
    </cfRule>
    <cfRule type="expression" dxfId="11789" priority="240">
      <formula>AND(S$9&gt;=14/24,S$9&lt;20/24)</formula>
    </cfRule>
    <cfRule type="expression" dxfId="11788" priority="241">
      <formula>AND(S$9&gt;=8/24,S$9&lt;14/24)</formula>
    </cfRule>
    <cfRule type="expression" dxfId="11787" priority="242">
      <formula>S$9&lt;8/24</formula>
    </cfRule>
  </conditionalFormatting>
  <conditionalFormatting sqref="Y31:AB32 Y35:AB35">
    <cfRule type="expression" dxfId="11786" priority="235">
      <formula>Y$9&gt;=20/24</formula>
    </cfRule>
    <cfRule type="expression" dxfId="11785" priority="236">
      <formula>AND(Y$9&gt;=14/24,Y$9&lt;20/24)</formula>
    </cfRule>
    <cfRule type="expression" dxfId="11784" priority="237">
      <formula>AND(Y$9&gt;=8/24,Y$9&lt;14/24)</formula>
    </cfRule>
    <cfRule type="expression" dxfId="11783" priority="238">
      <formula>Y$9&lt;8/24</formula>
    </cfRule>
  </conditionalFormatting>
  <conditionalFormatting sqref="S42:T43 U43:Z43 S45:AB48 AE45:AE48">
    <cfRule type="expression" dxfId="11782" priority="231">
      <formula>S$9&gt;=20/24</formula>
    </cfRule>
    <cfRule type="expression" dxfId="11781" priority="232">
      <formula>AND(S$9&gt;=14/24,S$9&lt;20/24)</formula>
    </cfRule>
    <cfRule type="expression" dxfId="11780" priority="233">
      <formula>AND(S$9&gt;=8/24,S$9&lt;14/24)</formula>
    </cfRule>
    <cfRule type="expression" dxfId="11779" priority="234">
      <formula>S$9&lt;8/24</formula>
    </cfRule>
  </conditionalFormatting>
  <conditionalFormatting sqref="S49:AB49 AE49">
    <cfRule type="expression" dxfId="11778" priority="227">
      <formula>S$9&gt;=20/24</formula>
    </cfRule>
    <cfRule type="expression" dxfId="11777" priority="228">
      <formula>AND(S$9&gt;=14/24,S$9&lt;20/24)</formula>
    </cfRule>
    <cfRule type="expression" dxfId="11776" priority="229">
      <formula>AND(S$9&gt;=8/24,S$9&lt;14/24)</formula>
    </cfRule>
    <cfRule type="expression" dxfId="11775" priority="230">
      <formula>S$9&lt;8/24</formula>
    </cfRule>
  </conditionalFormatting>
  <conditionalFormatting sqref="S50:AB50 AE50">
    <cfRule type="expression" dxfId="11774" priority="223">
      <formula>S$9&gt;=20/24</formula>
    </cfRule>
    <cfRule type="expression" dxfId="11773" priority="224">
      <formula>AND(S$9&gt;=14/24,S$9&lt;20/24)</formula>
    </cfRule>
    <cfRule type="expression" dxfId="11772" priority="225">
      <formula>AND(S$9&gt;=8/24,S$9&lt;14/24)</formula>
    </cfRule>
    <cfRule type="expression" dxfId="11771" priority="226">
      <formula>S$9&lt;8/24</formula>
    </cfRule>
  </conditionalFormatting>
  <conditionalFormatting sqref="Y60:AB67 T60:U67 AE60:AE67">
    <cfRule type="expression" dxfId="11770" priority="219">
      <formula>T$9&gt;=20/24</formula>
    </cfRule>
    <cfRule type="expression" dxfId="11769" priority="220">
      <formula>AND(T$9&gt;=14/24,T$9&lt;20/24)</formula>
    </cfRule>
    <cfRule type="expression" dxfId="11768" priority="221">
      <formula>AND(T$9&gt;=8/24,T$9&lt;14/24)</formula>
    </cfRule>
    <cfRule type="expression" dxfId="11767" priority="222">
      <formula>T$9&lt;8/24</formula>
    </cfRule>
  </conditionalFormatting>
  <conditionalFormatting sqref="U94:AA97">
    <cfRule type="expression" dxfId="11766" priority="215">
      <formula>U$9&gt;=20/24</formula>
    </cfRule>
    <cfRule type="expression" dxfId="11765" priority="216">
      <formula>AND(U$9&gt;=14/24,U$9&lt;20/24)</formula>
    </cfRule>
    <cfRule type="expression" dxfId="11764" priority="217">
      <formula>AND(U$9&gt;=8/24,U$9&lt;14/24)</formula>
    </cfRule>
    <cfRule type="expression" dxfId="11763" priority="218">
      <formula>U$9&lt;8/24</formula>
    </cfRule>
  </conditionalFormatting>
  <conditionalFormatting sqref="AG51 S11:AB11 B11:R32 S12:X32 Y18:AB32 B34:AB56 AE38:AF56 AE11:AF11">
    <cfRule type="expression" dxfId="11762" priority="214">
      <formula>B11&gt;$AG11</formula>
    </cfRule>
  </conditionalFormatting>
  <conditionalFormatting sqref="A100:A156 A84:A97 A11:A14 A16:A32 A45:A72 A80:A82 A74:A78 A35:A43 A169:A199">
    <cfRule type="expression" dxfId="11761" priority="213">
      <formula>$AH11=0</formula>
    </cfRule>
  </conditionalFormatting>
  <conditionalFormatting sqref="U98:AA98">
    <cfRule type="expression" dxfId="11760" priority="209">
      <formula>U$9&gt;=20/24</formula>
    </cfRule>
    <cfRule type="expression" dxfId="11759" priority="210">
      <formula>AND(U$9&gt;=14/24,U$9&lt;20/24)</formula>
    </cfRule>
    <cfRule type="expression" dxfId="11758" priority="211">
      <formula>AND(U$9&gt;=8/24,U$9&lt;14/24)</formula>
    </cfRule>
    <cfRule type="expression" dxfId="11757" priority="212">
      <formula>U$9&lt;8/24</formula>
    </cfRule>
  </conditionalFormatting>
  <conditionalFormatting sqref="A98">
    <cfRule type="expression" dxfId="11756" priority="208">
      <formula>$AH98=0</formula>
    </cfRule>
  </conditionalFormatting>
  <conditionalFormatting sqref="AL32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Y34:AB34">
    <cfRule type="expression" dxfId="11755" priority="199">
      <formula>Y$9&gt;=20/24</formula>
    </cfRule>
    <cfRule type="expression" dxfId="11754" priority="200">
      <formula>AND(Y$9&gt;=14/24,Y$9&lt;20/24)</formula>
    </cfRule>
    <cfRule type="expression" dxfId="11753" priority="201">
      <formula>AND(Y$9&gt;=8/24,Y$9&lt;14/24)</formula>
    </cfRule>
    <cfRule type="expression" dxfId="11752" priority="202">
      <formula>Y$9&lt;8/24</formula>
    </cfRule>
  </conditionalFormatting>
  <conditionalFormatting sqref="A34">
    <cfRule type="expression" dxfId="11751" priority="198">
      <formula>$AH34=0</formula>
    </cfRule>
  </conditionalFormatting>
  <conditionalFormatting sqref="A83">
    <cfRule type="expression" dxfId="11750" priority="197">
      <formula>$AH83=0</formula>
    </cfRule>
  </conditionalFormatting>
  <conditionalFormatting sqref="A15">
    <cfRule type="expression" dxfId="11749" priority="192">
      <formula>$AH15=0</formula>
    </cfRule>
  </conditionalFormatting>
  <conditionalFormatting sqref="A163:A168">
    <cfRule type="expression" dxfId="11748" priority="191">
      <formula>$AH163=0</formula>
    </cfRule>
  </conditionalFormatting>
  <conditionalFormatting sqref="A157:A162">
    <cfRule type="expression" dxfId="11747" priority="190">
      <formula>$AH157=0</formula>
    </cfRule>
  </conditionalFormatting>
  <conditionalFormatting sqref="Z44:AB44 AE44">
    <cfRule type="expression" dxfId="11746" priority="186">
      <formula>Z$9&gt;=20/24</formula>
    </cfRule>
    <cfRule type="expression" dxfId="11745" priority="187">
      <formula>AND(Z$9&gt;=14/24,Z$9&lt;20/24)</formula>
    </cfRule>
    <cfRule type="expression" dxfId="11744" priority="188">
      <formula>AND(Z$9&gt;=8/24,Z$9&lt;14/24)</formula>
    </cfRule>
    <cfRule type="expression" dxfId="11743" priority="189">
      <formula>Z$9&lt;8/24</formula>
    </cfRule>
  </conditionalFormatting>
  <conditionalFormatting sqref="M44:R44">
    <cfRule type="expression" dxfId="11742" priority="182">
      <formula>M$9&gt;=20/24</formula>
    </cfRule>
    <cfRule type="expression" dxfId="11741" priority="183">
      <formula>AND(M$9&gt;=14/24,M$9&lt;20/24)</formula>
    </cfRule>
    <cfRule type="expression" dxfId="11740" priority="184">
      <formula>AND(M$9&gt;=8/24,M$9&lt;14/24)</formula>
    </cfRule>
    <cfRule type="expression" dxfId="11739" priority="185">
      <formula>M$9&lt;8/24</formula>
    </cfRule>
  </conditionalFormatting>
  <conditionalFormatting sqref="S44:Z44">
    <cfRule type="expression" dxfId="11738" priority="178">
      <formula>S$9&gt;=20/24</formula>
    </cfRule>
    <cfRule type="expression" dxfId="11737" priority="179">
      <formula>AND(S$9&gt;=14/24,S$9&lt;20/24)</formula>
    </cfRule>
    <cfRule type="expression" dxfId="11736" priority="180">
      <formula>AND(S$9&gt;=8/24,S$9&lt;14/24)</formula>
    </cfRule>
    <cfRule type="expression" dxfId="11735" priority="181">
      <formula>S$9&lt;8/24</formula>
    </cfRule>
  </conditionalFormatting>
  <conditionalFormatting sqref="A44">
    <cfRule type="expression" dxfId="11734" priority="177">
      <formula>$AH44=0</formula>
    </cfRule>
  </conditionalFormatting>
  <conditionalFormatting sqref="A79">
    <cfRule type="expression" dxfId="11733" priority="176">
      <formula>$AH79=0</formula>
    </cfRule>
  </conditionalFormatting>
  <conditionalFormatting sqref="A73">
    <cfRule type="expression" dxfId="11732" priority="175">
      <formula>$AH73=0</formula>
    </cfRule>
  </conditionalFormatting>
  <conditionalFormatting sqref="AL34:AL35 AL7:AL31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V60:X67">
    <cfRule type="expression" dxfId="11731" priority="171">
      <formula>V$9&gt;=20/24</formula>
    </cfRule>
    <cfRule type="expression" dxfId="11730" priority="172">
      <formula>AND(V$9&gt;=14/24,V$9&lt;20/24)</formula>
    </cfRule>
    <cfRule type="expression" dxfId="11729" priority="173">
      <formula>AND(V$9&gt;=8/24,V$9&lt;14/24)</formula>
    </cfRule>
    <cfRule type="expression" dxfId="11728" priority="174">
      <formula>V$9&lt;8/24</formula>
    </cfRule>
  </conditionalFormatting>
  <conditionalFormatting sqref="U85:W91">
    <cfRule type="expression" dxfId="11727" priority="167">
      <formula>U$9&gt;=20/24</formula>
    </cfRule>
    <cfRule type="expression" dxfId="11726" priority="168">
      <formula>AND(U$9&gt;=14/24,U$9&lt;20/24)</formula>
    </cfRule>
    <cfRule type="expression" dxfId="11725" priority="169">
      <formula>AND(U$9&gt;=8/24,U$9&lt;14/24)</formula>
    </cfRule>
    <cfRule type="expression" dxfId="11724" priority="170">
      <formula>U$9&lt;8/24</formula>
    </cfRule>
  </conditionalFormatting>
  <conditionalFormatting sqref="S85:T91 C84:R91">
    <cfRule type="expression" dxfId="11723" priority="163">
      <formula>C$9&gt;=20/24</formula>
    </cfRule>
    <cfRule type="expression" dxfId="11722" priority="164">
      <formula>AND(C$9&gt;=14/24,C$9&lt;20/24)</formula>
    </cfRule>
    <cfRule type="expression" dxfId="11721" priority="165">
      <formula>AND(C$9&gt;=8/24,C$9&lt;14/24)</formula>
    </cfRule>
    <cfRule type="expression" dxfId="11720" priority="166">
      <formula>C$9&lt;8/24</formula>
    </cfRule>
  </conditionalFormatting>
  <conditionalFormatting sqref="S84:T84">
    <cfRule type="expression" dxfId="11719" priority="159">
      <formula>S$9&gt;=20/24</formula>
    </cfRule>
    <cfRule type="expression" dxfId="11718" priority="160">
      <formula>AND(S$9&gt;=14/24,S$9&lt;20/24)</formula>
    </cfRule>
    <cfRule type="expression" dxfId="11717" priority="161">
      <formula>AND(S$9&gt;=8/24,S$9&lt;14/24)</formula>
    </cfRule>
    <cfRule type="expression" dxfId="11716" priority="162">
      <formula>S$9&lt;8/24</formula>
    </cfRule>
  </conditionalFormatting>
  <conditionalFormatting sqref="C94:F94 C95:M97">
    <cfRule type="expression" dxfId="11715" priority="155">
      <formula>C$9&gt;=20/24</formula>
    </cfRule>
    <cfRule type="expression" dxfId="11714" priority="156">
      <formula>AND(C$9&gt;=14/24,C$9&lt;20/24)</formula>
    </cfRule>
    <cfRule type="expression" dxfId="11713" priority="157">
      <formula>AND(C$9&gt;=8/24,C$9&lt;14/24)</formula>
    </cfRule>
    <cfRule type="expression" dxfId="11712" priority="158">
      <formula>C$9&lt;8/24</formula>
    </cfRule>
  </conditionalFormatting>
  <conditionalFormatting sqref="N95:R97">
    <cfRule type="expression" dxfId="11711" priority="151">
      <formula>N$9&gt;=20/24</formula>
    </cfRule>
    <cfRule type="expression" dxfId="11710" priority="152">
      <formula>AND(N$9&gt;=14/24,N$9&lt;20/24)</formula>
    </cfRule>
    <cfRule type="expression" dxfId="11709" priority="153">
      <formula>AND(N$9&gt;=8/24,N$9&lt;14/24)</formula>
    </cfRule>
    <cfRule type="expression" dxfId="11708" priority="154">
      <formula>N$9&lt;8/24</formula>
    </cfRule>
  </conditionalFormatting>
  <conditionalFormatting sqref="S94:T97">
    <cfRule type="expression" dxfId="11707" priority="147">
      <formula>S$9&gt;=20/24</formula>
    </cfRule>
    <cfRule type="expression" dxfId="11706" priority="148">
      <formula>AND(S$9&gt;=14/24,S$9&lt;20/24)</formula>
    </cfRule>
    <cfRule type="expression" dxfId="11705" priority="149">
      <formula>AND(S$9&gt;=8/24,S$9&lt;14/24)</formula>
    </cfRule>
    <cfRule type="expression" dxfId="11704" priority="150">
      <formula>S$9&lt;8/24</formula>
    </cfRule>
  </conditionalFormatting>
  <conditionalFormatting sqref="C98:M98">
    <cfRule type="expression" dxfId="11703" priority="143">
      <formula>C$9&gt;=20/24</formula>
    </cfRule>
    <cfRule type="expression" dxfId="11702" priority="144">
      <formula>AND(C$9&gt;=14/24,C$9&lt;20/24)</formula>
    </cfRule>
    <cfRule type="expression" dxfId="11701" priority="145">
      <formula>AND(C$9&gt;=8/24,C$9&lt;14/24)</formula>
    </cfRule>
    <cfRule type="expression" dxfId="11700" priority="146">
      <formula>C$9&lt;8/24</formula>
    </cfRule>
  </conditionalFormatting>
  <conditionalFormatting sqref="N98:R98">
    <cfRule type="expression" dxfId="11699" priority="139">
      <formula>N$9&gt;=20/24</formula>
    </cfRule>
    <cfRule type="expression" dxfId="11698" priority="140">
      <formula>AND(N$9&gt;=14/24,N$9&lt;20/24)</formula>
    </cfRule>
    <cfRule type="expression" dxfId="11697" priority="141">
      <formula>AND(N$9&gt;=8/24,N$9&lt;14/24)</formula>
    </cfRule>
    <cfRule type="expression" dxfId="11696" priority="142">
      <formula>N$9&lt;8/24</formula>
    </cfRule>
  </conditionalFormatting>
  <conditionalFormatting sqref="S98:T98">
    <cfRule type="expression" dxfId="11695" priority="135">
      <formula>S$9&gt;=20/24</formula>
    </cfRule>
    <cfRule type="expression" dxfId="11694" priority="136">
      <formula>AND(S$9&gt;=14/24,S$9&lt;20/24)</formula>
    </cfRule>
    <cfRule type="expression" dxfId="11693" priority="137">
      <formula>AND(S$9&gt;=8/24,S$9&lt;14/24)</formula>
    </cfRule>
    <cfRule type="expression" dxfId="11692" priority="138">
      <formula>S$9&lt;8/24</formula>
    </cfRule>
  </conditionalFormatting>
  <conditionalFormatting sqref="M94:R94">
    <cfRule type="expression" dxfId="11691" priority="131">
      <formula>M$9&gt;=20/24</formula>
    </cfRule>
    <cfRule type="expression" dxfId="11690" priority="132">
      <formula>AND(M$9&gt;=14/24,M$9&lt;20/24)</formula>
    </cfRule>
    <cfRule type="expression" dxfId="11689" priority="133">
      <formula>AND(M$9&gt;=8/24,M$9&lt;14/24)</formula>
    </cfRule>
    <cfRule type="expression" dxfId="11688" priority="134">
      <formula>M$9&lt;8/24</formula>
    </cfRule>
  </conditionalFormatting>
  <conditionalFormatting sqref="G94:L94">
    <cfRule type="expression" dxfId="11687" priority="127">
      <formula>G$9&gt;=20/24</formula>
    </cfRule>
    <cfRule type="expression" dxfId="11686" priority="128">
      <formula>AND(G$9&gt;=14/24,G$9&lt;20/24)</formula>
    </cfRule>
    <cfRule type="expression" dxfId="11685" priority="129">
      <formula>AND(G$9&gt;=8/24,G$9&lt;14/24)</formula>
    </cfRule>
    <cfRule type="expression" dxfId="11684" priority="130">
      <formula>G$9&lt;8/24</formula>
    </cfRule>
  </conditionalFormatting>
  <conditionalFormatting sqref="U94:W94">
    <cfRule type="expression" dxfId="11683" priority="123">
      <formula>U$9&gt;=20/24</formula>
    </cfRule>
    <cfRule type="expression" dxfId="11682" priority="124">
      <formula>AND(U$9&gt;=14/24,U$9&lt;20/24)</formula>
    </cfRule>
    <cfRule type="expression" dxfId="11681" priority="125">
      <formula>AND(U$9&gt;=8/24,U$9&lt;14/24)</formula>
    </cfRule>
    <cfRule type="expression" dxfId="11680" priority="126">
      <formula>U$9&lt;8/24</formula>
    </cfRule>
  </conditionalFormatting>
  <conditionalFormatting sqref="N94:T94">
    <cfRule type="expression" dxfId="11679" priority="119">
      <formula>N$9&gt;=20/24</formula>
    </cfRule>
    <cfRule type="expression" dxfId="11678" priority="120">
      <formula>AND(N$9&gt;=14/24,N$9&lt;20/24)</formula>
    </cfRule>
    <cfRule type="expression" dxfId="11677" priority="121">
      <formula>AND(N$9&gt;=8/24,N$9&lt;14/24)</formula>
    </cfRule>
    <cfRule type="expression" dxfId="11676" priority="122">
      <formula>N$9&lt;8/24</formula>
    </cfRule>
  </conditionalFormatting>
  <conditionalFormatting sqref="U99:AA99">
    <cfRule type="expression" dxfId="11675" priority="115">
      <formula>U$9&gt;=20/24</formula>
    </cfRule>
    <cfRule type="expression" dxfId="11674" priority="116">
      <formula>AND(U$9&gt;=14/24,U$9&lt;20/24)</formula>
    </cfRule>
    <cfRule type="expression" dxfId="11673" priority="117">
      <formula>AND(U$9&gt;=8/24,U$9&lt;14/24)</formula>
    </cfRule>
    <cfRule type="expression" dxfId="11672" priority="118">
      <formula>U$9&lt;8/24</formula>
    </cfRule>
  </conditionalFormatting>
  <conditionalFormatting sqref="C99:M99">
    <cfRule type="expression" dxfId="11671" priority="111">
      <formula>C$9&gt;=20/24</formula>
    </cfRule>
    <cfRule type="expression" dxfId="11670" priority="112">
      <formula>AND(C$9&gt;=14/24,C$9&lt;20/24)</formula>
    </cfRule>
    <cfRule type="expression" dxfId="11669" priority="113">
      <formula>AND(C$9&gt;=8/24,C$9&lt;14/24)</formula>
    </cfRule>
    <cfRule type="expression" dxfId="11668" priority="114">
      <formula>C$9&lt;8/24</formula>
    </cfRule>
  </conditionalFormatting>
  <conditionalFormatting sqref="N99:R99">
    <cfRule type="expression" dxfId="11667" priority="107">
      <formula>N$9&gt;=20/24</formula>
    </cfRule>
    <cfRule type="expression" dxfId="11666" priority="108">
      <formula>AND(N$9&gt;=14/24,N$9&lt;20/24)</formula>
    </cfRule>
    <cfRule type="expression" dxfId="11665" priority="109">
      <formula>AND(N$9&gt;=8/24,N$9&lt;14/24)</formula>
    </cfRule>
    <cfRule type="expression" dxfId="11664" priority="110">
      <formula>N$9&lt;8/24</formula>
    </cfRule>
  </conditionalFormatting>
  <conditionalFormatting sqref="S99:T99">
    <cfRule type="expression" dxfId="11663" priority="103">
      <formula>S$9&gt;=20/24</formula>
    </cfRule>
    <cfRule type="expression" dxfId="11662" priority="104">
      <formula>AND(S$9&gt;=14/24,S$9&lt;20/24)</formula>
    </cfRule>
    <cfRule type="expression" dxfId="11661" priority="105">
      <formula>AND(S$9&gt;=8/24,S$9&lt;14/24)</formula>
    </cfRule>
    <cfRule type="expression" dxfId="11660" priority="106">
      <formula>S$9&lt;8/24</formula>
    </cfRule>
  </conditionalFormatting>
  <conditionalFormatting sqref="Y12:AB16">
    <cfRule type="expression" dxfId="11659" priority="99">
      <formula>Y$9&gt;=20/24</formula>
    </cfRule>
    <cfRule type="expression" dxfId="11658" priority="100">
      <formula>AND(Y$9&gt;=14/24,Y$9&lt;20/24)</formula>
    </cfRule>
    <cfRule type="expression" dxfId="11657" priority="101">
      <formula>AND(Y$9&gt;=8/24,Y$9&lt;14/24)</formula>
    </cfRule>
    <cfRule type="expression" dxfId="11656" priority="102">
      <formula>Y$9&lt;8/24</formula>
    </cfRule>
  </conditionalFormatting>
  <conditionalFormatting sqref="Y17:AB17">
    <cfRule type="expression" dxfId="11655" priority="95">
      <formula>Y$9&gt;=20/24</formula>
    </cfRule>
    <cfRule type="expression" dxfId="11654" priority="96">
      <formula>AND(Y$9&gt;=14/24,Y$9&lt;20/24)</formula>
    </cfRule>
    <cfRule type="expression" dxfId="11653" priority="97">
      <formula>AND(Y$9&gt;=8/24,Y$9&lt;14/24)</formula>
    </cfRule>
    <cfRule type="expression" dxfId="11652" priority="98">
      <formula>Y$9&lt;8/24</formula>
    </cfRule>
  </conditionalFormatting>
  <conditionalFormatting sqref="Y12:AB13">
    <cfRule type="expression" dxfId="11651" priority="91">
      <formula>Y$9&gt;=20/24</formula>
    </cfRule>
    <cfRule type="expression" dxfId="11650" priority="92">
      <formula>AND(Y$9&gt;=14/24,Y$9&lt;20/24)</formula>
    </cfRule>
    <cfRule type="expression" dxfId="11649" priority="93">
      <formula>AND(Y$9&gt;=8/24,Y$9&lt;14/24)</formula>
    </cfRule>
    <cfRule type="expression" dxfId="11648" priority="94">
      <formula>Y$9&lt;8/24</formula>
    </cfRule>
  </conditionalFormatting>
  <conditionalFormatting sqref="AB58:AB59 AE58:AE59">
    <cfRule type="expression" dxfId="11647" priority="87">
      <formula>AB$9&gt;=20/24</formula>
    </cfRule>
    <cfRule type="expression" dxfId="11646" priority="88">
      <formula>AND(AB$9&gt;=14/24,AB$9&lt;20/24)</formula>
    </cfRule>
    <cfRule type="expression" dxfId="11645" priority="89">
      <formula>AND(AB$9&gt;=8/24,AB$9&lt;14/24)</formula>
    </cfRule>
    <cfRule type="expression" dxfId="11644" priority="90">
      <formula>AB$9&lt;8/24</formula>
    </cfRule>
  </conditionalFormatting>
  <conditionalFormatting sqref="AL33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643" priority="291">
      <formula>C$9&gt;=20/24</formula>
    </cfRule>
    <cfRule type="expression" dxfId="11642" priority="292">
      <formula>AND(C$9&gt;=14/24,C$9&lt;20/24)</formula>
    </cfRule>
    <cfRule type="expression" dxfId="11641" priority="293">
      <formula>AND(C$9&gt;=8/24,C$9&lt;14/24)</formula>
    </cfRule>
    <cfRule type="expression" dxfId="11640" priority="294">
      <formula>C$9&lt;8/24</formula>
    </cfRule>
  </conditionalFormatting>
  <conditionalFormatting sqref="A200">
    <cfRule type="expression" dxfId="11639" priority="295">
      <formula>$AH200=0</formula>
    </cfRule>
  </conditionalFormatting>
  <conditionalFormatting sqref="AG212">
    <cfRule type="expression" dxfId="11638" priority="296">
      <formula>B$9&gt;=20/24</formula>
    </cfRule>
    <cfRule type="expression" dxfId="11637" priority="297">
      <formula>AND(B$9&gt;=14/24,B$9&lt;20/24)</formula>
    </cfRule>
    <cfRule type="expression" dxfId="11636" priority="298">
      <formula>AND(B$9&gt;=8/24,B$9&lt;14/24)</formula>
    </cfRule>
    <cfRule type="expression" dxfId="11635" priority="299">
      <formula>B$9&lt;8/24</formula>
    </cfRule>
  </conditionalFormatting>
  <conditionalFormatting sqref="S8">
    <cfRule type="expression" dxfId="11634" priority="81">
      <formula>U$9&gt;=20/24</formula>
    </cfRule>
    <cfRule type="expression" dxfId="11633" priority="82">
      <formula>AND(U$9&gt;=14/24,U$9&lt;20/24)</formula>
    </cfRule>
    <cfRule type="expression" dxfId="11632" priority="83">
      <formula>AND(U$9&gt;=8/24,U$9&lt;14/24)</formula>
    </cfRule>
    <cfRule type="expression" dxfId="11631" priority="84">
      <formula>U$9&lt;8/24</formula>
    </cfRule>
  </conditionalFormatting>
  <conditionalFormatting sqref="AB8">
    <cfRule type="expression" dxfId="11630" priority="77">
      <formula>AD$9&gt;=20/24</formula>
    </cfRule>
    <cfRule type="expression" dxfId="11629" priority="78">
      <formula>AND(AD$9&gt;=14/24,AD$9&lt;20/24)</formula>
    </cfRule>
    <cfRule type="expression" dxfId="11628" priority="79">
      <formula>AND(AD$9&gt;=8/24,AD$9&lt;14/24)</formula>
    </cfRule>
    <cfRule type="expression" dxfId="11627" priority="80">
      <formula>AD$9&lt;8/24</formula>
    </cfRule>
  </conditionalFormatting>
  <conditionalFormatting sqref="AH212:AX212">
    <cfRule type="expression" dxfId="11626" priority="300">
      <formula>AG$9&gt;=20/24</formula>
    </cfRule>
    <cfRule type="expression" dxfId="11625" priority="301">
      <formula>AND(AG$9&gt;=14/24,AG$9&lt;20/24)</formula>
    </cfRule>
    <cfRule type="expression" dxfId="11624" priority="302">
      <formula>AND(AG$9&gt;=8/24,AG$9&lt;14/24)</formula>
    </cfRule>
    <cfRule type="expression" dxfId="11623" priority="303">
      <formula>AG$9&lt;8/24</formula>
    </cfRule>
  </conditionalFormatting>
  <conditionalFormatting sqref="T212">
    <cfRule type="expression" dxfId="11622" priority="304">
      <formula>AX$9&gt;=20/24</formula>
    </cfRule>
    <cfRule type="expression" dxfId="11621" priority="305">
      <formula>AND(AX$9&gt;=14/24,AX$9&lt;20/24)</formula>
    </cfRule>
    <cfRule type="expression" dxfId="11620" priority="306">
      <formula>AND(AX$9&gt;=8/24,AX$9&lt;14/24)</formula>
    </cfRule>
    <cfRule type="expression" dxfId="11619" priority="307">
      <formula>AX$9&lt;8/24</formula>
    </cfRule>
  </conditionalFormatting>
  <conditionalFormatting sqref="A99">
    <cfRule type="expression" dxfId="11618" priority="76">
      <formula>$AH99=0</formula>
    </cfRule>
  </conditionalFormatting>
  <conditionalFormatting sqref="Y33:AB33">
    <cfRule type="expression" dxfId="11617" priority="68">
      <formula>Y$9&gt;=20/24</formula>
    </cfRule>
    <cfRule type="expression" dxfId="11616" priority="69">
      <formula>AND(Y$9&gt;=14/24,Y$9&lt;20/24)</formula>
    </cfRule>
    <cfRule type="expression" dxfId="11615" priority="70">
      <formula>AND(Y$9&gt;=8/24,Y$9&lt;14/24)</formula>
    </cfRule>
    <cfRule type="expression" dxfId="11614" priority="71">
      <formula>Y$9&lt;8/24</formula>
    </cfRule>
  </conditionalFormatting>
  <conditionalFormatting sqref="B33:AB33">
    <cfRule type="expression" dxfId="11613" priority="67">
      <formula>B33&gt;$AG33</formula>
    </cfRule>
  </conditionalFormatting>
  <conditionalFormatting sqref="AC68:AD91 AC94:AD99 AC11:AD11 AC40:AD43 AC53:AD56 AC18:AF30 AC36:AF36">
    <cfRule type="expression" dxfId="11612" priority="63">
      <formula>AC$9&gt;=20/24</formula>
    </cfRule>
    <cfRule type="expression" dxfId="11611" priority="64">
      <formula>AND(AC$9&gt;=14/24,AC$9&lt;20/24)</formula>
    </cfRule>
    <cfRule type="expression" dxfId="11610" priority="65">
      <formula>AND(AC$9&gt;=8/24,AC$9&lt;14/24)</formula>
    </cfRule>
    <cfRule type="expression" dxfId="11609" priority="66">
      <formula>AC$9&lt;8/24</formula>
    </cfRule>
  </conditionalFormatting>
  <conditionalFormatting sqref="AC39:AD39">
    <cfRule type="expression" dxfId="11608" priority="59">
      <formula>AC$9&gt;=20/24</formula>
    </cfRule>
    <cfRule type="expression" dxfId="11607" priority="60">
      <formula>AND(AC$9&gt;=14/24,AC$9&lt;20/24)</formula>
    </cfRule>
    <cfRule type="expression" dxfId="11606" priority="61">
      <formula>AND(AC$9&gt;=8/24,AC$9&lt;14/24)</formula>
    </cfRule>
    <cfRule type="expression" dxfId="11605" priority="62">
      <formula>AC$9&lt;8/24</formula>
    </cfRule>
  </conditionalFormatting>
  <conditionalFormatting sqref="AC57:AD57">
    <cfRule type="expression" dxfId="11604" priority="55">
      <formula>AC$9&gt;=20/24</formula>
    </cfRule>
    <cfRule type="expression" dxfId="11603" priority="56">
      <formula>AND(AC$9&gt;=14/24,AC$9&lt;20/24)</formula>
    </cfRule>
    <cfRule type="expression" dxfId="11602" priority="57">
      <formula>AND(AC$9&gt;=8/24,AC$9&lt;14/24)</formula>
    </cfRule>
    <cfRule type="expression" dxfId="11601" priority="58">
      <formula>AC$9&lt;8/24</formula>
    </cfRule>
  </conditionalFormatting>
  <conditionalFormatting sqref="AC37:AF37">
    <cfRule type="expression" dxfId="11600" priority="51">
      <formula>AC$9&gt;=20/24</formula>
    </cfRule>
    <cfRule type="expression" dxfId="11599" priority="52">
      <formula>AND(AC$9&gt;=14/24,AC$9&lt;20/24)</formula>
    </cfRule>
    <cfRule type="expression" dxfId="11598" priority="53">
      <formula>AND(AC$9&gt;=8/24,AC$9&lt;14/24)</formula>
    </cfRule>
    <cfRule type="expression" dxfId="11597" priority="54">
      <formula>AC$9&lt;8/24</formula>
    </cfRule>
  </conditionalFormatting>
  <conditionalFormatting sqref="AC31:AF32 AC35:AF35">
    <cfRule type="expression" dxfId="11596" priority="47">
      <formula>AC$9&gt;=20/24</formula>
    </cfRule>
    <cfRule type="expression" dxfId="11595" priority="48">
      <formula>AND(AC$9&gt;=14/24,AC$9&lt;20/24)</formula>
    </cfRule>
    <cfRule type="expression" dxfId="11594" priority="49">
      <formula>AND(AC$9&gt;=8/24,AC$9&lt;14/24)</formula>
    </cfRule>
    <cfRule type="expression" dxfId="11593" priority="50">
      <formula>AC$9&lt;8/24</formula>
    </cfRule>
  </conditionalFormatting>
  <conditionalFormatting sqref="AC45:AD48">
    <cfRule type="expression" dxfId="11592" priority="43">
      <formula>AC$9&gt;=20/24</formula>
    </cfRule>
    <cfRule type="expression" dxfId="11591" priority="44">
      <formula>AND(AC$9&gt;=14/24,AC$9&lt;20/24)</formula>
    </cfRule>
    <cfRule type="expression" dxfId="11590" priority="45">
      <formula>AND(AC$9&gt;=8/24,AC$9&lt;14/24)</formula>
    </cfRule>
    <cfRule type="expression" dxfId="11589" priority="46">
      <formula>AC$9&lt;8/24</formula>
    </cfRule>
  </conditionalFormatting>
  <conditionalFormatting sqref="AC49:AD49">
    <cfRule type="expression" dxfId="11588" priority="39">
      <formula>AC$9&gt;=20/24</formula>
    </cfRule>
    <cfRule type="expression" dxfId="11587" priority="40">
      <formula>AND(AC$9&gt;=14/24,AC$9&lt;20/24)</formula>
    </cfRule>
    <cfRule type="expression" dxfId="11586" priority="41">
      <formula>AND(AC$9&gt;=8/24,AC$9&lt;14/24)</formula>
    </cfRule>
    <cfRule type="expression" dxfId="11585" priority="42">
      <formula>AC$9&lt;8/24</formula>
    </cfRule>
  </conditionalFormatting>
  <conditionalFormatting sqref="AC50:AD50">
    <cfRule type="expression" dxfId="11584" priority="35">
      <formula>AC$9&gt;=20/24</formula>
    </cfRule>
    <cfRule type="expression" dxfId="11583" priority="36">
      <formula>AND(AC$9&gt;=14/24,AC$9&lt;20/24)</formula>
    </cfRule>
    <cfRule type="expression" dxfId="11582" priority="37">
      <formula>AND(AC$9&gt;=8/24,AC$9&lt;14/24)</formula>
    </cfRule>
    <cfRule type="expression" dxfId="11581" priority="38">
      <formula>AC$9&lt;8/24</formula>
    </cfRule>
  </conditionalFormatting>
  <conditionalFormatting sqref="AC60:AD67">
    <cfRule type="expression" dxfId="11580" priority="31">
      <formula>AC$9&gt;=20/24</formula>
    </cfRule>
    <cfRule type="expression" dxfId="11579" priority="32">
      <formula>AND(AC$9&gt;=14/24,AC$9&lt;20/24)</formula>
    </cfRule>
    <cfRule type="expression" dxfId="11578" priority="33">
      <formula>AND(AC$9&gt;=8/24,AC$9&lt;14/24)</formula>
    </cfRule>
    <cfRule type="expression" dxfId="11577" priority="34">
      <formula>AC$9&lt;8/24</formula>
    </cfRule>
  </conditionalFormatting>
  <conditionalFormatting sqref="AC11:AD11 AC34:AD56 AC18:AF32 AE34:AF37">
    <cfRule type="expression" dxfId="11576" priority="30">
      <formula>AC11&gt;$AG11</formula>
    </cfRule>
  </conditionalFormatting>
  <conditionalFormatting sqref="AC34:AF34">
    <cfRule type="expression" dxfId="11575" priority="26">
      <formula>AC$9&gt;=20/24</formula>
    </cfRule>
    <cfRule type="expression" dxfId="11574" priority="27">
      <formula>AND(AC$9&gt;=14/24,AC$9&lt;20/24)</formula>
    </cfRule>
    <cfRule type="expression" dxfId="11573" priority="28">
      <formula>AND(AC$9&gt;=8/24,AC$9&lt;14/24)</formula>
    </cfRule>
    <cfRule type="expression" dxfId="11572" priority="29">
      <formula>AC$9&lt;8/24</formula>
    </cfRule>
  </conditionalFormatting>
  <conditionalFormatting sqref="AC44:AD44">
    <cfRule type="expression" dxfId="11571" priority="22">
      <formula>AC$9&gt;=20/24</formula>
    </cfRule>
    <cfRule type="expression" dxfId="11570" priority="23">
      <formula>AND(AC$9&gt;=14/24,AC$9&lt;20/24)</formula>
    </cfRule>
    <cfRule type="expression" dxfId="11569" priority="24">
      <formula>AND(AC$9&gt;=8/24,AC$9&lt;14/24)</formula>
    </cfRule>
    <cfRule type="expression" dxfId="11568" priority="25">
      <formula>AC$9&lt;8/24</formula>
    </cfRule>
  </conditionalFormatting>
  <conditionalFormatting sqref="AC12:AF16">
    <cfRule type="expression" dxfId="11567" priority="18">
      <formula>AC$9&gt;=20/24</formula>
    </cfRule>
    <cfRule type="expression" dxfId="11566" priority="19">
      <formula>AND(AC$9&gt;=14/24,AC$9&lt;20/24)</formula>
    </cfRule>
    <cfRule type="expression" dxfId="11565" priority="20">
      <formula>AND(AC$9&gt;=8/24,AC$9&lt;14/24)</formula>
    </cfRule>
    <cfRule type="expression" dxfId="11564" priority="21">
      <formula>AC$9&lt;8/24</formula>
    </cfRule>
  </conditionalFormatting>
  <conditionalFormatting sqref="AC17:AF17">
    <cfRule type="expression" dxfId="11563" priority="14">
      <formula>AC$9&gt;=20/24</formula>
    </cfRule>
    <cfRule type="expression" dxfId="11562" priority="15">
      <formula>AND(AC$9&gt;=14/24,AC$9&lt;20/24)</formula>
    </cfRule>
    <cfRule type="expression" dxfId="11561" priority="16">
      <formula>AND(AC$9&gt;=8/24,AC$9&lt;14/24)</formula>
    </cfRule>
    <cfRule type="expression" dxfId="11560" priority="17">
      <formula>AC$9&lt;8/24</formula>
    </cfRule>
  </conditionalFormatting>
  <conditionalFormatting sqref="AC12:AF13">
    <cfRule type="expression" dxfId="11559" priority="10">
      <formula>AC$9&gt;=20/24</formula>
    </cfRule>
    <cfRule type="expression" dxfId="11558" priority="11">
      <formula>AND(AC$9&gt;=14/24,AC$9&lt;20/24)</formula>
    </cfRule>
    <cfRule type="expression" dxfId="11557" priority="12">
      <formula>AND(AC$9&gt;=8/24,AC$9&lt;14/24)</formula>
    </cfRule>
    <cfRule type="expression" dxfId="11556" priority="13">
      <formula>AC$9&lt;8/24</formula>
    </cfRule>
  </conditionalFormatting>
  <conditionalFormatting sqref="AC58:AD59">
    <cfRule type="expression" dxfId="11555" priority="6">
      <formula>AC$9&gt;=20/24</formula>
    </cfRule>
    <cfRule type="expression" dxfId="11554" priority="7">
      <formula>AND(AC$9&gt;=14/24,AC$9&lt;20/24)</formula>
    </cfRule>
    <cfRule type="expression" dxfId="11553" priority="8">
      <formula>AND(AC$9&gt;=8/24,AC$9&lt;14/24)</formula>
    </cfRule>
    <cfRule type="expression" dxfId="11552" priority="9">
      <formula>AC$9&lt;8/24</formula>
    </cfRule>
  </conditionalFormatting>
  <conditionalFormatting sqref="AC33:AF33">
    <cfRule type="expression" dxfId="11551" priority="2">
      <formula>AC$9&gt;=20/24</formula>
    </cfRule>
    <cfRule type="expression" dxfId="11550" priority="3">
      <formula>AND(AC$9&gt;=14/24,AC$9&lt;20/24)</formula>
    </cfRule>
    <cfRule type="expression" dxfId="11549" priority="4">
      <formula>AND(AC$9&gt;=8/24,AC$9&lt;14/24)</formula>
    </cfRule>
    <cfRule type="expression" dxfId="11548" priority="5">
      <formula>AC$9&lt;8/24</formula>
    </cfRule>
  </conditionalFormatting>
  <conditionalFormatting sqref="AC33:AF33">
    <cfRule type="expression" dxfId="11547" priority="1">
      <formula>AC33&gt;$AG33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6" id="{D448623D-E0C4-4A06-8DD8-F21FDDFE527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S60" sqref="S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2078/09/2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233</v>
      </c>
      <c r="C5" s="32">
        <f t="shared" si="0"/>
        <v>197</v>
      </c>
      <c r="D5" s="32">
        <f t="shared" si="0"/>
        <v>186.5</v>
      </c>
      <c r="E5" s="32">
        <f t="shared" si="0"/>
        <v>118.3</v>
      </c>
      <c r="F5" s="32">
        <f t="shared" si="0"/>
        <v>108</v>
      </c>
      <c r="G5" s="32">
        <f t="shared" si="0"/>
        <v>150</v>
      </c>
      <c r="H5" s="32">
        <f t="shared" si="0"/>
        <v>236</v>
      </c>
      <c r="I5" s="32">
        <f t="shared" si="0"/>
        <v>320</v>
      </c>
      <c r="J5" s="32">
        <f t="shared" si="0"/>
        <v>356</v>
      </c>
      <c r="K5" s="32">
        <f t="shared" si="0"/>
        <v>113</v>
      </c>
      <c r="L5" s="32">
        <f t="shared" si="0"/>
        <v>176.4</v>
      </c>
      <c r="M5" s="32">
        <f t="shared" si="0"/>
        <v>295.5</v>
      </c>
      <c r="N5" s="32">
        <f t="shared" si="0"/>
        <v>377.8</v>
      </c>
      <c r="O5" s="32">
        <f t="shared" si="0"/>
        <v>416.7</v>
      </c>
      <c r="P5" s="32">
        <f t="shared" si="0"/>
        <v>460.20000000000005</v>
      </c>
      <c r="Q5" s="32">
        <f t="shared" si="0"/>
        <v>460.5</v>
      </c>
      <c r="R5" s="32">
        <f t="shared" si="0"/>
        <v>428.2</v>
      </c>
      <c r="S5" s="32">
        <f t="shared" si="0"/>
        <v>430.9</v>
      </c>
      <c r="T5" s="32">
        <f t="shared" si="0"/>
        <v>438</v>
      </c>
      <c r="U5" s="32">
        <f t="shared" si="0"/>
        <v>491.3</v>
      </c>
      <c r="V5" s="32">
        <f t="shared" si="0"/>
        <v>315.5</v>
      </c>
      <c r="W5" s="32">
        <f t="shared" si="0"/>
        <v>209.10000000000002</v>
      </c>
      <c r="X5" s="32">
        <f t="shared" si="0"/>
        <v>259.09999999999997</v>
      </c>
      <c r="Y5" s="32">
        <f t="shared" si="0"/>
        <v>321.2</v>
      </c>
      <c r="Z5" s="32">
        <f t="shared" si="0"/>
        <v>329.1</v>
      </c>
      <c r="AA5" s="32">
        <f t="shared" si="0"/>
        <v>406.20000000000005</v>
      </c>
      <c r="AB5" s="32">
        <f t="shared" si="0"/>
        <v>342.6</v>
      </c>
      <c r="AC5" s="32">
        <f t="shared" si="0"/>
        <v>324.60000000000002</v>
      </c>
      <c r="AD5" s="32">
        <f t="shared" si="0"/>
        <v>356.4</v>
      </c>
      <c r="AE5" s="32">
        <f t="shared" si="0"/>
        <v>363</v>
      </c>
      <c r="AF5" s="32">
        <f>B68</f>
        <v>210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1406MW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Load=761</v>
      </c>
      <c r="B7" s="37">
        <f>B75</f>
        <v>819.44</v>
      </c>
      <c r="C7" s="37">
        <f t="shared" ref="C7:AF7" si="1">C75</f>
        <v>778.44</v>
      </c>
      <c r="D7" s="37">
        <f t="shared" si="1"/>
        <v>765.33999999999992</v>
      </c>
      <c r="E7" s="37">
        <f t="shared" si="1"/>
        <v>760.94</v>
      </c>
      <c r="F7" s="37">
        <f t="shared" si="1"/>
        <v>773.74</v>
      </c>
      <c r="G7" s="37">
        <f t="shared" si="1"/>
        <v>802.74</v>
      </c>
      <c r="H7" s="37">
        <f t="shared" si="1"/>
        <v>851.54</v>
      </c>
      <c r="I7" s="37">
        <f t="shared" si="1"/>
        <v>947.54</v>
      </c>
      <c r="J7" s="37">
        <f t="shared" si="1"/>
        <v>1031.54</v>
      </c>
      <c r="K7" s="37">
        <f t="shared" si="1"/>
        <v>1148.8399999999999</v>
      </c>
      <c r="L7" s="37">
        <f t="shared" si="1"/>
        <v>1330.7400000000002</v>
      </c>
      <c r="M7" s="37">
        <f t="shared" si="1"/>
        <v>1406.2400000000002</v>
      </c>
      <c r="N7" s="37">
        <f t="shared" si="1"/>
        <v>1385.3400000000001</v>
      </c>
      <c r="O7" s="37">
        <f t="shared" si="1"/>
        <v>1374.8400000000001</v>
      </c>
      <c r="P7" s="37">
        <f t="shared" si="1"/>
        <v>1322.44</v>
      </c>
      <c r="Q7" s="37">
        <f t="shared" si="1"/>
        <v>1236.8400000000001</v>
      </c>
      <c r="R7" s="37">
        <f t="shared" si="1"/>
        <v>1183.24</v>
      </c>
      <c r="S7" s="37">
        <f t="shared" si="1"/>
        <v>1181.94</v>
      </c>
      <c r="T7" s="37">
        <f t="shared" si="1"/>
        <v>1197.6399999999999</v>
      </c>
      <c r="U7" s="37">
        <f t="shared" si="1"/>
        <v>1200.74</v>
      </c>
      <c r="V7" s="37">
        <f t="shared" si="1"/>
        <v>1247.44</v>
      </c>
      <c r="W7" s="37">
        <f t="shared" si="1"/>
        <v>1328.8400000000001</v>
      </c>
      <c r="X7" s="37">
        <f t="shared" si="1"/>
        <v>1330.2400000000002</v>
      </c>
      <c r="Y7" s="37">
        <f t="shared" si="1"/>
        <v>1540.44</v>
      </c>
      <c r="Z7" s="37">
        <f t="shared" si="1"/>
        <v>1472.8400000000001</v>
      </c>
      <c r="AA7" s="37">
        <f t="shared" si="1"/>
        <v>1458.24</v>
      </c>
      <c r="AB7" s="37">
        <f t="shared" si="1"/>
        <v>1400.94</v>
      </c>
      <c r="AC7" s="37">
        <f t="shared" si="1"/>
        <v>1353.1399999999999</v>
      </c>
      <c r="AD7" s="37">
        <f t="shared" si="1"/>
        <v>1276.8400000000001</v>
      </c>
      <c r="AE7" s="37">
        <f t="shared" si="1"/>
        <v>1096.8399999999999</v>
      </c>
      <c r="AF7" s="37">
        <f t="shared" si="1"/>
        <v>956.63999999999987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10</v>
      </c>
      <c r="C11" s="50">
        <v>10</v>
      </c>
      <c r="D11" s="50">
        <v>10</v>
      </c>
      <c r="E11" s="49">
        <v>0</v>
      </c>
      <c r="F11" s="49">
        <v>0</v>
      </c>
      <c r="G11" s="49">
        <v>0</v>
      </c>
      <c r="H11" s="49">
        <v>0</v>
      </c>
      <c r="I11" s="49">
        <v>10</v>
      </c>
      <c r="J11" s="49">
        <v>10</v>
      </c>
      <c r="K11" s="49">
        <v>30</v>
      </c>
      <c r="L11" s="49">
        <v>360</v>
      </c>
      <c r="M11" s="50">
        <v>335</v>
      </c>
      <c r="N11" s="50">
        <v>220</v>
      </c>
      <c r="O11" s="50">
        <v>110</v>
      </c>
      <c r="P11" s="50">
        <v>80</v>
      </c>
      <c r="Q11" s="50">
        <v>40</v>
      </c>
      <c r="R11" s="177">
        <v>20</v>
      </c>
      <c r="S11" s="50">
        <v>40</v>
      </c>
      <c r="T11" s="50">
        <v>50.2</v>
      </c>
      <c r="U11" s="50">
        <v>50.2</v>
      </c>
      <c r="V11" s="50">
        <v>60</v>
      </c>
      <c r="W11" s="50">
        <v>220</v>
      </c>
      <c r="X11" s="50">
        <v>220</v>
      </c>
      <c r="Y11" s="50">
        <v>373</v>
      </c>
      <c r="Z11" s="50">
        <v>276</v>
      </c>
      <c r="AA11" s="50">
        <v>257</v>
      </c>
      <c r="AB11" s="50">
        <v>190</v>
      </c>
      <c r="AC11" s="50">
        <v>170</v>
      </c>
      <c r="AD11" s="50">
        <v>160</v>
      </c>
      <c r="AE11" s="50">
        <v>30</v>
      </c>
      <c r="AF11" s="49">
        <v>16</v>
      </c>
      <c r="AG11" s="52">
        <v>456</v>
      </c>
      <c r="AH11" s="53">
        <f>MAX(B11:AF11)</f>
        <v>373</v>
      </c>
      <c r="AI11" s="54">
        <f>MIN(B11:AF11)</f>
        <v>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7">
        <v>40</v>
      </c>
      <c r="C12" s="57">
        <v>40</v>
      </c>
      <c r="D12" s="57">
        <v>40</v>
      </c>
      <c r="E12" s="57">
        <v>40</v>
      </c>
      <c r="F12" s="57">
        <v>40</v>
      </c>
      <c r="G12" s="57">
        <v>40</v>
      </c>
      <c r="H12" s="57">
        <v>40</v>
      </c>
      <c r="I12" s="57">
        <v>40</v>
      </c>
      <c r="J12" s="57">
        <v>40</v>
      </c>
      <c r="K12" s="57">
        <v>40</v>
      </c>
      <c r="L12" s="57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40</v>
      </c>
      <c r="W12" s="49">
        <v>40</v>
      </c>
      <c r="X12" s="49">
        <v>40</v>
      </c>
      <c r="Y12" s="49">
        <v>40</v>
      </c>
      <c r="Z12" s="49">
        <v>40</v>
      </c>
      <c r="AA12" s="49">
        <v>40</v>
      </c>
      <c r="AB12" s="49">
        <v>40</v>
      </c>
      <c r="AC12" s="49">
        <v>40</v>
      </c>
      <c r="AD12" s="49">
        <v>40</v>
      </c>
      <c r="AE12" s="49">
        <v>40</v>
      </c>
      <c r="AF12" s="49">
        <v>40</v>
      </c>
      <c r="AG12" s="58">
        <v>60</v>
      </c>
      <c r="AH12" s="53">
        <f t="shared" ref="AH12:AH75" si="2">MAX(B12:AF12)</f>
        <v>40</v>
      </c>
      <c r="AI12" s="54">
        <f t="shared" ref="AI12:AI75" si="3">MIN(B12:AF12)</f>
        <v>40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22.7</v>
      </c>
      <c r="C13" s="57">
        <v>22.7</v>
      </c>
      <c r="D13" s="57">
        <v>22.7</v>
      </c>
      <c r="E13" s="57">
        <v>22.7</v>
      </c>
      <c r="F13" s="57">
        <v>22.7</v>
      </c>
      <c r="G13" s="57">
        <v>22.7</v>
      </c>
      <c r="H13" s="57">
        <v>22.7</v>
      </c>
      <c r="I13" s="57">
        <v>22.7</v>
      </c>
      <c r="J13" s="57">
        <v>22.7</v>
      </c>
      <c r="K13" s="57">
        <v>22.7</v>
      </c>
      <c r="L13" s="57">
        <v>22.7</v>
      </c>
      <c r="M13" s="49">
        <v>23.4</v>
      </c>
      <c r="N13" s="49">
        <v>23.4</v>
      </c>
      <c r="O13" s="49">
        <v>23.4</v>
      </c>
      <c r="P13" s="49">
        <v>23.4</v>
      </c>
      <c r="Q13" s="49">
        <v>22.3</v>
      </c>
      <c r="R13" s="49">
        <v>22.2</v>
      </c>
      <c r="S13" s="49">
        <v>22.2</v>
      </c>
      <c r="T13" s="49">
        <v>22.2</v>
      </c>
      <c r="U13" s="49">
        <v>22.2</v>
      </c>
      <c r="V13" s="49">
        <v>22.2</v>
      </c>
      <c r="W13" s="49">
        <v>21.8</v>
      </c>
      <c r="X13" s="49">
        <v>21.8</v>
      </c>
      <c r="Y13" s="49">
        <v>21.8</v>
      </c>
      <c r="Z13" s="49">
        <v>21.8</v>
      </c>
      <c r="AA13" s="49">
        <v>21.8</v>
      </c>
      <c r="AB13" s="49">
        <v>21.8</v>
      </c>
      <c r="AC13" s="49">
        <v>21.8</v>
      </c>
      <c r="AD13" s="49">
        <v>21.8</v>
      </c>
      <c r="AE13" s="49">
        <v>21.8</v>
      </c>
      <c r="AF13" s="49">
        <v>21.8</v>
      </c>
      <c r="AG13" s="58">
        <v>52.4</v>
      </c>
      <c r="AH13" s="53">
        <f t="shared" si="2"/>
        <v>23.4</v>
      </c>
      <c r="AI13" s="54">
        <f t="shared" si="3"/>
        <v>21.8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41.9</v>
      </c>
      <c r="C14" s="59">
        <v>41.9</v>
      </c>
      <c r="D14" s="59">
        <v>42</v>
      </c>
      <c r="E14" s="59">
        <v>42</v>
      </c>
      <c r="F14" s="59">
        <v>42</v>
      </c>
      <c r="G14" s="59">
        <v>42</v>
      </c>
      <c r="H14" s="59">
        <v>42</v>
      </c>
      <c r="I14" s="59">
        <v>42</v>
      </c>
      <c r="J14" s="59">
        <v>42</v>
      </c>
      <c r="K14" s="59">
        <v>42</v>
      </c>
      <c r="L14" s="59">
        <v>42</v>
      </c>
      <c r="M14" s="50">
        <v>41.8</v>
      </c>
      <c r="N14" s="50">
        <v>41.8</v>
      </c>
      <c r="O14" s="50">
        <v>41.8</v>
      </c>
      <c r="P14" s="50">
        <v>41.8</v>
      </c>
      <c r="Q14" s="50">
        <v>41.8</v>
      </c>
      <c r="R14" s="50">
        <v>41.7</v>
      </c>
      <c r="S14" s="50">
        <v>41.7</v>
      </c>
      <c r="T14" s="50">
        <v>41.7</v>
      </c>
      <c r="U14" s="50">
        <v>41.7</v>
      </c>
      <c r="V14" s="50">
        <v>41.7</v>
      </c>
      <c r="W14" s="50">
        <v>41.9</v>
      </c>
      <c r="X14" s="50">
        <v>41.9</v>
      </c>
      <c r="Y14" s="50">
        <v>41.9</v>
      </c>
      <c r="Z14" s="50">
        <v>41.9</v>
      </c>
      <c r="AA14" s="50">
        <v>41.9</v>
      </c>
      <c r="AB14" s="50">
        <v>41.9</v>
      </c>
      <c r="AC14" s="50">
        <v>41.9</v>
      </c>
      <c r="AD14" s="50">
        <v>41.9</v>
      </c>
      <c r="AE14" s="50">
        <v>41.9</v>
      </c>
      <c r="AF14" s="50">
        <v>41.9</v>
      </c>
      <c r="AG14" s="58">
        <v>50</v>
      </c>
      <c r="AH14" s="53">
        <f t="shared" si="2"/>
        <v>42</v>
      </c>
      <c r="AI14" s="54">
        <f t="shared" si="3"/>
        <v>41.7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22.8</v>
      </c>
      <c r="C15" s="59">
        <v>22.8</v>
      </c>
      <c r="D15" s="59">
        <v>23</v>
      </c>
      <c r="E15" s="59">
        <v>23</v>
      </c>
      <c r="F15" s="59">
        <v>23</v>
      </c>
      <c r="G15" s="59">
        <v>23</v>
      </c>
      <c r="H15" s="59">
        <v>23</v>
      </c>
      <c r="I15" s="59">
        <v>23</v>
      </c>
      <c r="J15" s="59">
        <v>23</v>
      </c>
      <c r="K15" s="59">
        <v>23</v>
      </c>
      <c r="L15" s="59">
        <v>23</v>
      </c>
      <c r="M15" s="50">
        <v>22.8</v>
      </c>
      <c r="N15" s="50">
        <v>22.8</v>
      </c>
      <c r="O15" s="50">
        <v>22.8</v>
      </c>
      <c r="P15" s="50">
        <v>22.8</v>
      </c>
      <c r="Q15" s="50">
        <v>22.8</v>
      </c>
      <c r="R15" s="50">
        <v>22.1</v>
      </c>
      <c r="S15" s="50">
        <v>22.1</v>
      </c>
      <c r="T15" s="50">
        <v>22.1</v>
      </c>
      <c r="U15" s="50">
        <v>22.1</v>
      </c>
      <c r="V15" s="50">
        <v>22.1</v>
      </c>
      <c r="W15" s="50">
        <v>22.1</v>
      </c>
      <c r="X15" s="50">
        <v>22.1</v>
      </c>
      <c r="Y15" s="50">
        <v>22.1</v>
      </c>
      <c r="Z15" s="50">
        <v>22.1</v>
      </c>
      <c r="AA15" s="50">
        <v>22.1</v>
      </c>
      <c r="AB15" s="50">
        <v>22.1</v>
      </c>
      <c r="AC15" s="50">
        <v>22.1</v>
      </c>
      <c r="AD15" s="50">
        <v>22.1</v>
      </c>
      <c r="AE15" s="50">
        <v>22.1</v>
      </c>
      <c r="AF15" s="50">
        <v>22.1</v>
      </c>
      <c r="AG15" s="61">
        <v>45</v>
      </c>
      <c r="AH15" s="53">
        <f t="shared" si="2"/>
        <v>23</v>
      </c>
      <c r="AI15" s="54">
        <f t="shared" si="3"/>
        <v>22.1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12</v>
      </c>
      <c r="C16" s="62">
        <v>12</v>
      </c>
      <c r="D16" s="62">
        <v>12</v>
      </c>
      <c r="E16" s="62">
        <v>12</v>
      </c>
      <c r="F16" s="62">
        <v>12</v>
      </c>
      <c r="G16" s="62">
        <v>12</v>
      </c>
      <c r="H16" s="62">
        <v>12</v>
      </c>
      <c r="I16" s="62">
        <v>12</v>
      </c>
      <c r="J16" s="62">
        <v>12</v>
      </c>
      <c r="K16" s="62">
        <v>12</v>
      </c>
      <c r="L16" s="62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12</v>
      </c>
      <c r="R16" s="50">
        <v>12</v>
      </c>
      <c r="S16" s="50">
        <v>12</v>
      </c>
      <c r="T16" s="50">
        <v>12</v>
      </c>
      <c r="U16" s="50">
        <v>12</v>
      </c>
      <c r="V16" s="50">
        <v>12</v>
      </c>
      <c r="W16" s="50">
        <v>12</v>
      </c>
      <c r="X16" s="50">
        <v>12</v>
      </c>
      <c r="Y16" s="50">
        <v>12</v>
      </c>
      <c r="Z16" s="50">
        <v>12</v>
      </c>
      <c r="AA16" s="50">
        <v>12</v>
      </c>
      <c r="AB16" s="50">
        <v>12</v>
      </c>
      <c r="AC16" s="50">
        <v>12</v>
      </c>
      <c r="AD16" s="50">
        <v>12</v>
      </c>
      <c r="AE16" s="50">
        <v>12</v>
      </c>
      <c r="AF16" s="50">
        <v>12</v>
      </c>
      <c r="AG16" s="58">
        <v>45</v>
      </c>
      <c r="AH16" s="53">
        <f t="shared" si="2"/>
        <v>12</v>
      </c>
      <c r="AI16" s="54">
        <f t="shared" si="3"/>
        <v>12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10</v>
      </c>
      <c r="C17" s="59">
        <v>10</v>
      </c>
      <c r="D17" s="59">
        <v>10</v>
      </c>
      <c r="E17" s="59">
        <v>10</v>
      </c>
      <c r="F17" s="59">
        <v>10</v>
      </c>
      <c r="G17" s="59">
        <v>10</v>
      </c>
      <c r="H17" s="59">
        <v>10</v>
      </c>
      <c r="I17" s="59">
        <v>10</v>
      </c>
      <c r="J17" s="59">
        <v>10</v>
      </c>
      <c r="K17" s="59">
        <v>10</v>
      </c>
      <c r="L17" s="59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8">
        <v>42</v>
      </c>
      <c r="AH17" s="53">
        <f t="shared" si="2"/>
        <v>10</v>
      </c>
      <c r="AI17" s="54">
        <f t="shared" si="3"/>
        <v>10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8">
        <v>36</v>
      </c>
      <c r="AH18" s="53">
        <f t="shared" si="2"/>
        <v>10</v>
      </c>
      <c r="AI18" s="54">
        <f t="shared" si="3"/>
        <v>10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10.3</v>
      </c>
      <c r="C19" s="50">
        <v>10.3</v>
      </c>
      <c r="D19" s="50">
        <v>10.5</v>
      </c>
      <c r="E19" s="50">
        <v>10.5</v>
      </c>
      <c r="F19" s="50">
        <v>10.5</v>
      </c>
      <c r="G19" s="50">
        <v>10.5</v>
      </c>
      <c r="H19" s="50">
        <v>10.5</v>
      </c>
      <c r="I19" s="50">
        <v>10.5</v>
      </c>
      <c r="J19" s="50">
        <v>10.5</v>
      </c>
      <c r="K19" s="50">
        <v>10.5</v>
      </c>
      <c r="L19" s="50">
        <v>10.5</v>
      </c>
      <c r="M19" s="50">
        <v>10.5</v>
      </c>
      <c r="N19" s="50">
        <v>10.5</v>
      </c>
      <c r="O19" s="50">
        <v>10.5</v>
      </c>
      <c r="P19" s="50">
        <v>10.5</v>
      </c>
      <c r="Q19" s="50">
        <v>10.5</v>
      </c>
      <c r="R19" s="50">
        <v>10.3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8">
        <v>30</v>
      </c>
      <c r="AH19" s="53">
        <f t="shared" si="2"/>
        <v>10.5</v>
      </c>
      <c r="AI19" s="54">
        <f t="shared" si="3"/>
        <v>10.3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72">
        <v>8.5</v>
      </c>
      <c r="N21" s="72">
        <v>8.5</v>
      </c>
      <c r="O21" s="72">
        <v>8.5</v>
      </c>
      <c r="P21" s="72">
        <v>8.5</v>
      </c>
      <c r="Q21" s="72">
        <v>8.5</v>
      </c>
      <c r="R21" s="72">
        <v>8.5</v>
      </c>
      <c r="S21" s="72">
        <v>8.5</v>
      </c>
      <c r="T21" s="72">
        <v>8.5</v>
      </c>
      <c r="U21" s="72">
        <v>8.5</v>
      </c>
      <c r="V21" s="72">
        <v>8.5</v>
      </c>
      <c r="W21" s="72">
        <v>8.5</v>
      </c>
      <c r="X21" s="72">
        <v>8.5</v>
      </c>
      <c r="Y21" s="72">
        <v>8.5</v>
      </c>
      <c r="Z21" s="72">
        <v>8.5</v>
      </c>
      <c r="AA21" s="72">
        <v>8.5</v>
      </c>
      <c r="AB21" s="72">
        <v>8.5</v>
      </c>
      <c r="AC21" s="72">
        <v>8.5</v>
      </c>
      <c r="AD21" s="72">
        <v>8.5</v>
      </c>
      <c r="AE21" s="72">
        <v>8.5</v>
      </c>
      <c r="AF21" s="72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12.6</v>
      </c>
      <c r="C22" s="50">
        <v>12.6</v>
      </c>
      <c r="D22" s="50">
        <v>12.6</v>
      </c>
      <c r="E22" s="50">
        <v>12.6</v>
      </c>
      <c r="F22" s="50">
        <v>12.6</v>
      </c>
      <c r="G22" s="50">
        <v>12.6</v>
      </c>
      <c r="H22" s="50">
        <v>12.6</v>
      </c>
      <c r="I22" s="50">
        <v>12.6</v>
      </c>
      <c r="J22" s="50">
        <v>12.6</v>
      </c>
      <c r="K22" s="50">
        <v>12.6</v>
      </c>
      <c r="L22" s="50">
        <v>12.6</v>
      </c>
      <c r="M22" s="50">
        <v>12.6</v>
      </c>
      <c r="N22" s="50">
        <v>12.6</v>
      </c>
      <c r="O22" s="50">
        <v>12.6</v>
      </c>
      <c r="P22" s="50">
        <v>12.6</v>
      </c>
      <c r="Q22" s="50">
        <v>12.6</v>
      </c>
      <c r="R22" s="50">
        <v>12.1</v>
      </c>
      <c r="S22" s="50">
        <v>12.1</v>
      </c>
      <c r="T22" s="50">
        <v>12.1</v>
      </c>
      <c r="U22" s="50">
        <v>12.1</v>
      </c>
      <c r="V22" s="50">
        <v>12.1</v>
      </c>
      <c r="W22" s="50">
        <v>12.1</v>
      </c>
      <c r="X22" s="50">
        <v>12.1</v>
      </c>
      <c r="Y22" s="50">
        <v>12.1</v>
      </c>
      <c r="Z22" s="50">
        <v>12.1</v>
      </c>
      <c r="AA22" s="50">
        <v>12.1</v>
      </c>
      <c r="AB22" s="50">
        <v>12.1</v>
      </c>
      <c r="AC22" s="50">
        <v>12.1</v>
      </c>
      <c r="AD22" s="50">
        <v>12.1</v>
      </c>
      <c r="AE22" s="50">
        <v>12.1</v>
      </c>
      <c r="AF22" s="50">
        <v>12.1</v>
      </c>
      <c r="AG22" s="58">
        <v>25</v>
      </c>
      <c r="AH22" s="53">
        <f t="shared" si="2"/>
        <v>12.6</v>
      </c>
      <c r="AI22" s="54">
        <f t="shared" si="3"/>
        <v>12.1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0">
        <v>13</v>
      </c>
      <c r="M24" s="50">
        <v>13</v>
      </c>
      <c r="N24" s="50">
        <v>13</v>
      </c>
      <c r="O24" s="50">
        <v>13</v>
      </c>
      <c r="P24" s="50">
        <v>13</v>
      </c>
      <c r="Q24" s="50">
        <v>13</v>
      </c>
      <c r="R24" s="50">
        <v>10.9</v>
      </c>
      <c r="S24" s="50">
        <v>10.9</v>
      </c>
      <c r="T24" s="50">
        <v>10</v>
      </c>
      <c r="U24" s="50">
        <v>10</v>
      </c>
      <c r="V24" s="50">
        <v>10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13</v>
      </c>
      <c r="AI24" s="54">
        <f t="shared" si="3"/>
        <v>10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5</v>
      </c>
      <c r="C29" s="50">
        <v>5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5</v>
      </c>
      <c r="K29" s="50">
        <v>5</v>
      </c>
      <c r="L29" s="50">
        <v>5</v>
      </c>
      <c r="M29" s="50">
        <v>5</v>
      </c>
      <c r="N29" s="50">
        <v>5</v>
      </c>
      <c r="O29" s="50">
        <v>5</v>
      </c>
      <c r="P29" s="50">
        <v>5</v>
      </c>
      <c r="Q29" s="50">
        <v>5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5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9">
        <f>18.3+34</f>
        <v>52.3</v>
      </c>
      <c r="C37" s="69">
        <f>18.3+34</f>
        <v>52.3</v>
      </c>
      <c r="D37" s="69">
        <f>18.5+34</f>
        <v>52.5</v>
      </c>
      <c r="E37" s="69">
        <f>18.5+34</f>
        <v>52.5</v>
      </c>
      <c r="F37" s="69">
        <v>52</v>
      </c>
      <c r="G37" s="60">
        <v>51.7</v>
      </c>
      <c r="H37" s="60">
        <v>50.8</v>
      </c>
      <c r="I37" s="60">
        <v>50.8</v>
      </c>
      <c r="J37" s="60">
        <v>50.8</v>
      </c>
      <c r="K37" s="60">
        <v>50.8</v>
      </c>
      <c r="L37" s="60">
        <v>48.5</v>
      </c>
      <c r="M37" s="69">
        <f>16.7+31.7</f>
        <v>48.4</v>
      </c>
      <c r="N37" s="69">
        <f>16.8+32.1</f>
        <v>48.900000000000006</v>
      </c>
      <c r="O37" s="69">
        <f>16.1+29.4</f>
        <v>45.5</v>
      </c>
      <c r="P37" s="69">
        <f>16.9+31.6</f>
        <v>48.5</v>
      </c>
      <c r="Q37" s="69">
        <f>18.2+32.1</f>
        <v>50.3</v>
      </c>
      <c r="R37" s="69">
        <f>17.4+29.8</f>
        <v>47.2</v>
      </c>
      <c r="S37" s="69">
        <f>16.5+27.3</f>
        <v>43.8</v>
      </c>
      <c r="T37" s="69">
        <f>15.6+28.3</f>
        <v>43.9</v>
      </c>
      <c r="U37" s="69">
        <v>47</v>
      </c>
      <c r="V37" s="69">
        <v>47</v>
      </c>
      <c r="W37" s="69">
        <f>16.6+31.8</f>
        <v>48.400000000000006</v>
      </c>
      <c r="X37" s="69">
        <f>16.6+31.8</f>
        <v>48.400000000000006</v>
      </c>
      <c r="Y37" s="69">
        <f>16.6+31.8</f>
        <v>48.400000000000006</v>
      </c>
      <c r="Z37" s="69">
        <f>16.7+31.3</f>
        <v>48</v>
      </c>
      <c r="AA37" s="69">
        <f>16.7+31.3</f>
        <v>48</v>
      </c>
      <c r="AB37" s="69">
        <f>17.1+32.1</f>
        <v>49.2</v>
      </c>
      <c r="AC37" s="69">
        <f>17.1+32.1</f>
        <v>49.2</v>
      </c>
      <c r="AD37" s="69">
        <v>50.5</v>
      </c>
      <c r="AE37" s="69">
        <v>50.5</v>
      </c>
      <c r="AF37" s="60">
        <v>46.7</v>
      </c>
      <c r="AG37" s="66">
        <v>240</v>
      </c>
      <c r="AH37" s="53">
        <f t="shared" si="2"/>
        <v>52.5</v>
      </c>
      <c r="AI37" s="54">
        <f t="shared" si="3"/>
        <v>43.8</v>
      </c>
      <c r="AK37" s="55"/>
    </row>
    <row r="38" spans="1:88" ht="15.75" thickBot="1" x14ac:dyDescent="0.3">
      <c r="A38" s="70" t="s">
        <v>46</v>
      </c>
      <c r="B38" s="71">
        <f>SUM(B11:B36)</f>
        <v>432.7</v>
      </c>
      <c r="C38" s="71">
        <f t="shared" ref="C38:AF38" si="4">SUM(C11:C36)</f>
        <v>432.7</v>
      </c>
      <c r="D38" s="71">
        <f t="shared" si="4"/>
        <v>433.2</v>
      </c>
      <c r="E38" s="71">
        <f t="shared" si="4"/>
        <v>423.2</v>
      </c>
      <c r="F38" s="71">
        <f t="shared" si="4"/>
        <v>423.2</v>
      </c>
      <c r="G38" s="71">
        <f t="shared" si="4"/>
        <v>423.2</v>
      </c>
      <c r="H38" s="71">
        <f t="shared" si="4"/>
        <v>423.2</v>
      </c>
      <c r="I38" s="71">
        <f t="shared" si="4"/>
        <v>433.2</v>
      </c>
      <c r="J38" s="71">
        <f t="shared" si="4"/>
        <v>433.2</v>
      </c>
      <c r="K38" s="71">
        <f t="shared" si="4"/>
        <v>453.2</v>
      </c>
      <c r="L38" s="71">
        <f t="shared" si="4"/>
        <v>783.20000000000016</v>
      </c>
      <c r="M38" s="71">
        <f t="shared" si="4"/>
        <v>758.50000000000011</v>
      </c>
      <c r="N38" s="71">
        <f t="shared" si="4"/>
        <v>643.5</v>
      </c>
      <c r="O38" s="71">
        <f t="shared" si="4"/>
        <v>533.5</v>
      </c>
      <c r="P38" s="71">
        <f t="shared" si="4"/>
        <v>503.5</v>
      </c>
      <c r="Q38" s="71">
        <f t="shared" si="4"/>
        <v>462.4</v>
      </c>
      <c r="R38" s="71">
        <f t="shared" si="4"/>
        <v>437.7</v>
      </c>
      <c r="S38" s="71">
        <f t="shared" si="4"/>
        <v>457.7</v>
      </c>
      <c r="T38" s="71">
        <f t="shared" si="4"/>
        <v>467</v>
      </c>
      <c r="U38" s="71">
        <f t="shared" si="4"/>
        <v>467</v>
      </c>
      <c r="V38" s="71">
        <f t="shared" si="4"/>
        <v>476.8</v>
      </c>
      <c r="W38" s="71">
        <f t="shared" si="4"/>
        <v>637.6</v>
      </c>
      <c r="X38" s="71">
        <f t="shared" si="4"/>
        <v>637.6</v>
      </c>
      <c r="Y38" s="71">
        <f t="shared" si="4"/>
        <v>790.6</v>
      </c>
      <c r="Z38" s="71">
        <f t="shared" si="4"/>
        <v>693.60000000000014</v>
      </c>
      <c r="AA38" s="71">
        <f t="shared" si="4"/>
        <v>674.6</v>
      </c>
      <c r="AB38" s="71">
        <f t="shared" si="4"/>
        <v>607.6</v>
      </c>
      <c r="AC38" s="71">
        <f t="shared" si="4"/>
        <v>587.6</v>
      </c>
      <c r="AD38" s="71">
        <f t="shared" si="4"/>
        <v>577.6</v>
      </c>
      <c r="AE38" s="71">
        <f t="shared" si="4"/>
        <v>447.59999999999997</v>
      </c>
      <c r="AF38" s="71">
        <f t="shared" si="4"/>
        <v>433.59999999999997</v>
      </c>
      <c r="AG38" s="66">
        <f>SUM(AG11:AG37)</f>
        <v>1492.8299999999997</v>
      </c>
      <c r="AH38" s="53">
        <f t="shared" si="2"/>
        <v>790.6</v>
      </c>
      <c r="AI38" s="54">
        <f t="shared" si="3"/>
        <v>423.2</v>
      </c>
      <c r="AK38" s="55"/>
    </row>
    <row r="39" spans="1:88" x14ac:dyDescent="0.25">
      <c r="A39" s="56" t="s">
        <v>47</v>
      </c>
      <c r="B39" s="49">
        <v>25</v>
      </c>
      <c r="C39" s="60">
        <v>0</v>
      </c>
      <c r="D39" s="60">
        <v>0</v>
      </c>
      <c r="E39" s="60">
        <v>0</v>
      </c>
      <c r="F39" s="60">
        <v>35</v>
      </c>
      <c r="G39" s="60">
        <v>80</v>
      </c>
      <c r="H39" s="60">
        <v>81</v>
      </c>
      <c r="I39" s="60">
        <v>81</v>
      </c>
      <c r="J39" s="60">
        <v>81</v>
      </c>
      <c r="K39" s="60">
        <v>98</v>
      </c>
      <c r="L39" s="60">
        <v>145.69999999999999</v>
      </c>
      <c r="M39" s="50">
        <v>145.9</v>
      </c>
      <c r="N39" s="50">
        <v>145.19999999999999</v>
      </c>
      <c r="O39" s="50">
        <v>145.9</v>
      </c>
      <c r="P39" s="50">
        <v>120</v>
      </c>
      <c r="Q39" s="50">
        <v>81.599999999999994</v>
      </c>
      <c r="R39" s="50">
        <v>71.3</v>
      </c>
      <c r="S39" s="50">
        <v>80</v>
      </c>
      <c r="T39" s="50">
        <v>97.4</v>
      </c>
      <c r="U39" s="50">
        <v>97.4</v>
      </c>
      <c r="V39" s="50">
        <v>83.3</v>
      </c>
      <c r="W39" s="50">
        <v>142.19999999999999</v>
      </c>
      <c r="X39" s="50">
        <v>145.69999999999999</v>
      </c>
      <c r="Y39" s="50">
        <v>145.69999999999999</v>
      </c>
      <c r="Z39" s="50">
        <v>145.69999999999999</v>
      </c>
      <c r="AA39" s="50">
        <v>145.30000000000001</v>
      </c>
      <c r="AB39" s="50">
        <v>120.9</v>
      </c>
      <c r="AC39" s="50">
        <v>131</v>
      </c>
      <c r="AD39" s="50">
        <v>131</v>
      </c>
      <c r="AE39" s="50">
        <v>91.8</v>
      </c>
      <c r="AF39" s="49">
        <v>30.5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23</v>
      </c>
      <c r="C40" s="60">
        <v>0</v>
      </c>
      <c r="D40" s="60">
        <v>22.5</v>
      </c>
      <c r="E40" s="60">
        <v>23.6</v>
      </c>
      <c r="F40" s="60">
        <v>23.6</v>
      </c>
      <c r="G40" s="60">
        <v>22</v>
      </c>
      <c r="H40" s="60">
        <v>28</v>
      </c>
      <c r="I40" s="60">
        <v>28</v>
      </c>
      <c r="J40" s="60">
        <v>28</v>
      </c>
      <c r="K40" s="60">
        <v>72</v>
      </c>
      <c r="L40" s="60">
        <v>70.900000000000006</v>
      </c>
      <c r="M40" s="72">
        <v>70.3</v>
      </c>
      <c r="N40" s="72">
        <v>70.2</v>
      </c>
      <c r="O40" s="72">
        <v>70.400000000000006</v>
      </c>
      <c r="P40" s="72">
        <v>60</v>
      </c>
      <c r="Q40" s="72">
        <v>44.7</v>
      </c>
      <c r="R40" s="72">
        <v>44.7</v>
      </c>
      <c r="S40" s="72">
        <v>45.2</v>
      </c>
      <c r="T40" s="72">
        <v>46</v>
      </c>
      <c r="U40" s="72">
        <v>46</v>
      </c>
      <c r="V40" s="72">
        <v>25.4</v>
      </c>
      <c r="W40" s="72">
        <v>54.6</v>
      </c>
      <c r="X40" s="72">
        <v>70</v>
      </c>
      <c r="Y40" s="72">
        <v>70</v>
      </c>
      <c r="Z40" s="72">
        <v>70</v>
      </c>
      <c r="AA40" s="72">
        <v>71.7</v>
      </c>
      <c r="AB40" s="72">
        <v>54.9</v>
      </c>
      <c r="AC40" s="72">
        <v>59.1</v>
      </c>
      <c r="AD40" s="72">
        <v>59.4</v>
      </c>
      <c r="AE40" s="72">
        <v>34.9</v>
      </c>
      <c r="AF40" s="60">
        <v>0</v>
      </c>
      <c r="AG40" s="66">
        <v>70</v>
      </c>
      <c r="AH40" s="53">
        <f t="shared" si="2"/>
        <v>72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16</v>
      </c>
      <c r="C41" s="60">
        <v>0</v>
      </c>
      <c r="D41" s="60">
        <v>0</v>
      </c>
      <c r="E41" s="60">
        <v>0</v>
      </c>
      <c r="F41" s="60">
        <v>46</v>
      </c>
      <c r="G41" s="60">
        <v>46.9</v>
      </c>
      <c r="H41" s="60">
        <v>46.7</v>
      </c>
      <c r="I41" s="60">
        <v>46.7</v>
      </c>
      <c r="J41" s="60">
        <v>46.7</v>
      </c>
      <c r="K41" s="60">
        <v>47</v>
      </c>
      <c r="L41" s="60">
        <v>68</v>
      </c>
      <c r="M41" s="72">
        <v>68.400000000000006</v>
      </c>
      <c r="N41" s="72">
        <v>67.599999999999994</v>
      </c>
      <c r="O41" s="72">
        <v>66.8</v>
      </c>
      <c r="P41" s="72">
        <v>45.9</v>
      </c>
      <c r="Q41" s="72">
        <v>45.9</v>
      </c>
      <c r="R41" s="72">
        <v>46.3</v>
      </c>
      <c r="S41" s="72">
        <v>46.2</v>
      </c>
      <c r="T41" s="72">
        <v>33.700000000000003</v>
      </c>
      <c r="U41" s="72">
        <v>33.700000000000003</v>
      </c>
      <c r="V41" s="72">
        <v>50</v>
      </c>
      <c r="W41" s="72">
        <v>58.5</v>
      </c>
      <c r="X41" s="72">
        <v>67.400000000000006</v>
      </c>
      <c r="Y41" s="72">
        <v>67.400000000000006</v>
      </c>
      <c r="Z41" s="72">
        <v>67.400000000000006</v>
      </c>
      <c r="AA41" s="72">
        <v>67.2</v>
      </c>
      <c r="AB41" s="72">
        <v>56.4</v>
      </c>
      <c r="AC41" s="72">
        <v>64</v>
      </c>
      <c r="AD41" s="72">
        <v>56.6</v>
      </c>
      <c r="AE41" s="72">
        <v>53.7</v>
      </c>
      <c r="AF41" s="60">
        <v>16.8</v>
      </c>
      <c r="AG41" s="66">
        <v>69</v>
      </c>
      <c r="AH41" s="53">
        <f t="shared" si="2"/>
        <v>68.400000000000006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56.4</v>
      </c>
      <c r="C42" s="60">
        <v>56.4</v>
      </c>
      <c r="D42" s="60">
        <v>56.4</v>
      </c>
      <c r="E42" s="60">
        <v>56.4</v>
      </c>
      <c r="F42" s="60">
        <v>56.4</v>
      </c>
      <c r="G42" s="60">
        <v>56.4</v>
      </c>
      <c r="H42" s="60">
        <v>56.4</v>
      </c>
      <c r="I42" s="60">
        <v>56.4</v>
      </c>
      <c r="J42" s="60">
        <v>56.4</v>
      </c>
      <c r="K42" s="60">
        <v>56.4</v>
      </c>
      <c r="L42" s="60">
        <v>56.4</v>
      </c>
      <c r="M42" s="72">
        <v>57.2</v>
      </c>
      <c r="N42" s="72">
        <v>59</v>
      </c>
      <c r="O42" s="72">
        <v>55.2</v>
      </c>
      <c r="P42" s="72">
        <v>57</v>
      </c>
      <c r="Q42" s="72">
        <v>57</v>
      </c>
      <c r="R42" s="72">
        <v>56.2</v>
      </c>
      <c r="S42" s="72">
        <v>54.4</v>
      </c>
      <c r="T42" s="72">
        <v>52.4</v>
      </c>
      <c r="U42" s="72">
        <v>52.4</v>
      </c>
      <c r="V42" s="72">
        <v>54.4</v>
      </c>
      <c r="W42" s="72">
        <v>54.2</v>
      </c>
      <c r="X42" s="72">
        <v>54.2</v>
      </c>
      <c r="Y42" s="72">
        <v>54.2</v>
      </c>
      <c r="Z42" s="72">
        <v>54.2</v>
      </c>
      <c r="AA42" s="72">
        <v>54.2</v>
      </c>
      <c r="AB42" s="72">
        <v>54.4</v>
      </c>
      <c r="AC42" s="72">
        <v>54.4</v>
      </c>
      <c r="AD42" s="72">
        <v>54.7</v>
      </c>
      <c r="AE42" s="72">
        <v>56.2</v>
      </c>
      <c r="AF42" s="60">
        <v>56.5</v>
      </c>
      <c r="AG42" s="66">
        <v>60</v>
      </c>
      <c r="AH42" s="53">
        <f t="shared" si="2"/>
        <v>59</v>
      </c>
      <c r="AI42" s="54">
        <f t="shared" si="3"/>
        <v>52.4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15</v>
      </c>
      <c r="F43" s="60">
        <v>15</v>
      </c>
      <c r="G43" s="60">
        <v>10</v>
      </c>
      <c r="H43" s="60">
        <v>10</v>
      </c>
      <c r="I43" s="60">
        <v>10</v>
      </c>
      <c r="J43" s="60">
        <v>10</v>
      </c>
      <c r="K43" s="60">
        <v>10</v>
      </c>
      <c r="L43" s="60">
        <v>14</v>
      </c>
      <c r="M43" s="50">
        <v>23.3</v>
      </c>
      <c r="N43" s="50">
        <v>23.6</v>
      </c>
      <c r="O43" s="50">
        <v>22.5</v>
      </c>
      <c r="P43" s="50">
        <v>12.8</v>
      </c>
      <c r="Q43" s="50">
        <v>10</v>
      </c>
      <c r="R43" s="50">
        <v>10.3</v>
      </c>
      <c r="S43" s="50">
        <v>14</v>
      </c>
      <c r="T43" s="50">
        <v>14</v>
      </c>
      <c r="U43" s="50">
        <v>10</v>
      </c>
      <c r="V43" s="50">
        <v>10</v>
      </c>
      <c r="W43" s="50">
        <v>10</v>
      </c>
      <c r="X43" s="50">
        <v>10</v>
      </c>
      <c r="Y43" s="50">
        <v>10</v>
      </c>
      <c r="Z43" s="50">
        <v>10</v>
      </c>
      <c r="AA43" s="50">
        <v>10</v>
      </c>
      <c r="AB43" s="72">
        <v>22.4</v>
      </c>
      <c r="AC43" s="72">
        <v>14</v>
      </c>
      <c r="AD43" s="72">
        <v>9.1999999999999993</v>
      </c>
      <c r="AE43" s="72">
        <v>0</v>
      </c>
      <c r="AF43" s="72">
        <v>0</v>
      </c>
      <c r="AG43" s="66">
        <v>30</v>
      </c>
      <c r="AH43" s="53">
        <f t="shared" si="2"/>
        <v>23.6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18</v>
      </c>
      <c r="C45" s="79">
        <v>18</v>
      </c>
      <c r="D45" s="79">
        <v>18</v>
      </c>
      <c r="E45" s="79">
        <v>18</v>
      </c>
      <c r="F45" s="79">
        <v>18</v>
      </c>
      <c r="G45" s="79">
        <v>18</v>
      </c>
      <c r="H45" s="79">
        <v>18</v>
      </c>
      <c r="I45" s="79">
        <v>18</v>
      </c>
      <c r="J45" s="79">
        <v>18</v>
      </c>
      <c r="K45" s="79">
        <v>18</v>
      </c>
      <c r="L45" s="79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60">
        <v>4</v>
      </c>
      <c r="C46" s="60">
        <v>4</v>
      </c>
      <c r="D46" s="60">
        <v>4</v>
      </c>
      <c r="E46" s="60">
        <v>4</v>
      </c>
      <c r="F46" s="60">
        <v>4</v>
      </c>
      <c r="G46" s="60">
        <v>4</v>
      </c>
      <c r="H46" s="60">
        <v>4</v>
      </c>
      <c r="I46" s="60">
        <v>4</v>
      </c>
      <c r="J46" s="60">
        <v>4</v>
      </c>
      <c r="K46" s="60">
        <v>4</v>
      </c>
      <c r="L46" s="6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6">
        <v>15</v>
      </c>
      <c r="AH46" s="53">
        <f t="shared" si="2"/>
        <v>4</v>
      </c>
      <c r="AI46" s="54">
        <f t="shared" si="3"/>
        <v>4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6.4</v>
      </c>
      <c r="C48" s="79">
        <v>6.4</v>
      </c>
      <c r="D48" s="79">
        <v>6.4</v>
      </c>
      <c r="E48" s="79">
        <v>6.4</v>
      </c>
      <c r="F48" s="79">
        <v>6.4</v>
      </c>
      <c r="G48" s="79">
        <v>6.4</v>
      </c>
      <c r="H48" s="79">
        <v>6.4</v>
      </c>
      <c r="I48" s="79">
        <v>6.4</v>
      </c>
      <c r="J48" s="79">
        <v>6.4</v>
      </c>
      <c r="K48" s="79">
        <v>6.4</v>
      </c>
      <c r="L48" s="79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6.4</v>
      </c>
      <c r="Z48" s="50">
        <v>6.4</v>
      </c>
      <c r="AA48" s="50">
        <v>6.4</v>
      </c>
      <c r="AB48" s="50">
        <v>6.4</v>
      </c>
      <c r="AC48" s="50">
        <v>6.4</v>
      </c>
      <c r="AD48" s="50">
        <v>6.4</v>
      </c>
      <c r="AE48" s="50">
        <v>6.4</v>
      </c>
      <c r="AF48" s="50">
        <v>6.4</v>
      </c>
      <c r="AG48" s="66">
        <v>14</v>
      </c>
      <c r="AH48" s="53">
        <f t="shared" si="2"/>
        <v>6.4</v>
      </c>
      <c r="AI48" s="54">
        <f t="shared" si="3"/>
        <v>6.4</v>
      </c>
      <c r="AK48" s="55"/>
    </row>
    <row r="49" spans="1:37" x14ac:dyDescent="0.25">
      <c r="A49" s="65" t="s">
        <v>57</v>
      </c>
      <c r="B49" s="60">
        <v>7.4</v>
      </c>
      <c r="C49" s="60">
        <v>7.4</v>
      </c>
      <c r="D49" s="60">
        <v>7.3</v>
      </c>
      <c r="E49" s="60">
        <v>7.3</v>
      </c>
      <c r="F49" s="60">
        <v>7.3</v>
      </c>
      <c r="G49" s="60">
        <v>7.3</v>
      </c>
      <c r="H49" s="60">
        <v>7.3</v>
      </c>
      <c r="I49" s="60">
        <v>7.3</v>
      </c>
      <c r="J49" s="60">
        <v>7.3</v>
      </c>
      <c r="K49" s="60">
        <v>7.3</v>
      </c>
      <c r="L49" s="60">
        <v>7.3</v>
      </c>
      <c r="M49" s="50">
        <v>7.3</v>
      </c>
      <c r="N49" s="50">
        <v>7.3</v>
      </c>
      <c r="O49" s="50">
        <v>7.3</v>
      </c>
      <c r="P49" s="50">
        <v>7.3</v>
      </c>
      <c r="Q49" s="50">
        <v>7.3</v>
      </c>
      <c r="R49" s="50">
        <v>7.3</v>
      </c>
      <c r="S49" s="50">
        <v>7.3</v>
      </c>
      <c r="T49" s="50">
        <v>7.3</v>
      </c>
      <c r="U49" s="50">
        <v>7.3</v>
      </c>
      <c r="V49" s="50">
        <v>7.3</v>
      </c>
      <c r="W49" s="50">
        <v>7.3</v>
      </c>
      <c r="X49" s="50">
        <v>7.3</v>
      </c>
      <c r="Y49" s="50">
        <v>7.3</v>
      </c>
      <c r="Z49" s="50">
        <v>7.3</v>
      </c>
      <c r="AA49" s="50">
        <v>7.3</v>
      </c>
      <c r="AB49" s="50">
        <v>7.3</v>
      </c>
      <c r="AC49" s="50">
        <v>7.3</v>
      </c>
      <c r="AD49" s="50">
        <v>7.3</v>
      </c>
      <c r="AE49" s="50">
        <v>7.3</v>
      </c>
      <c r="AF49" s="50">
        <v>7.3</v>
      </c>
      <c r="AG49" s="66">
        <v>10.050000000000001</v>
      </c>
      <c r="AH49" s="53">
        <f t="shared" si="2"/>
        <v>7.4</v>
      </c>
      <c r="AI49" s="54">
        <f t="shared" si="3"/>
        <v>7.3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176.74</v>
      </c>
      <c r="C52" s="71">
        <f t="shared" ref="C52:AF52" si="6">SUM(C39:C51)</f>
        <v>112.74000000000002</v>
      </c>
      <c r="D52" s="71">
        <f t="shared" si="6"/>
        <v>135.14000000000001</v>
      </c>
      <c r="E52" s="71">
        <f t="shared" si="6"/>
        <v>151.24</v>
      </c>
      <c r="F52" s="71">
        <f t="shared" si="6"/>
        <v>232.24</v>
      </c>
      <c r="G52" s="71">
        <f t="shared" si="6"/>
        <v>271.54000000000002</v>
      </c>
      <c r="H52" s="71">
        <f t="shared" si="6"/>
        <v>278.34000000000003</v>
      </c>
      <c r="I52" s="71">
        <f t="shared" si="6"/>
        <v>278.34000000000003</v>
      </c>
      <c r="J52" s="71">
        <f t="shared" si="6"/>
        <v>278.34000000000003</v>
      </c>
      <c r="K52" s="71">
        <f t="shared" si="6"/>
        <v>339.64</v>
      </c>
      <c r="L52" s="71">
        <f t="shared" si="6"/>
        <v>411.24</v>
      </c>
      <c r="M52" s="71">
        <f t="shared" si="6"/>
        <v>421.34000000000003</v>
      </c>
      <c r="N52" s="71">
        <f t="shared" si="6"/>
        <v>421.84000000000003</v>
      </c>
      <c r="O52" s="71">
        <f t="shared" si="6"/>
        <v>417.04</v>
      </c>
      <c r="P52" s="71">
        <f t="shared" si="6"/>
        <v>351.94</v>
      </c>
      <c r="Q52" s="71">
        <f t="shared" si="6"/>
        <v>295.44</v>
      </c>
      <c r="R52" s="71">
        <f t="shared" si="6"/>
        <v>285.04000000000002</v>
      </c>
      <c r="S52" s="71">
        <f t="shared" si="6"/>
        <v>296.04000000000002</v>
      </c>
      <c r="T52" s="71">
        <f t="shared" si="6"/>
        <v>299.74</v>
      </c>
      <c r="U52" s="71">
        <f t="shared" si="6"/>
        <v>295.74</v>
      </c>
      <c r="V52" s="71">
        <f t="shared" si="6"/>
        <v>279.34000000000003</v>
      </c>
      <c r="W52" s="71">
        <f t="shared" si="6"/>
        <v>375.74</v>
      </c>
      <c r="X52" s="71">
        <f t="shared" si="6"/>
        <v>403.54</v>
      </c>
      <c r="Y52" s="71">
        <f t="shared" si="6"/>
        <v>403.54</v>
      </c>
      <c r="Z52" s="71">
        <f t="shared" si="6"/>
        <v>403.54</v>
      </c>
      <c r="AA52" s="71">
        <f t="shared" si="6"/>
        <v>404.64</v>
      </c>
      <c r="AB52" s="71">
        <f t="shared" si="6"/>
        <v>365.24</v>
      </c>
      <c r="AC52" s="71">
        <f t="shared" si="6"/>
        <v>378.74</v>
      </c>
      <c r="AD52" s="71">
        <f t="shared" si="6"/>
        <v>367.14</v>
      </c>
      <c r="AE52" s="71">
        <f t="shared" si="6"/>
        <v>292.83999999999997</v>
      </c>
      <c r="AF52" s="71">
        <f t="shared" si="6"/>
        <v>160.04000000000002</v>
      </c>
      <c r="AG52" s="76">
        <f>SUM(AG39:AG51)</f>
        <v>489.91</v>
      </c>
      <c r="AH52" s="53">
        <f t="shared" si="2"/>
        <v>421.84000000000003</v>
      </c>
      <c r="AI52" s="54">
        <f t="shared" si="3"/>
        <v>112.74000000000002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13</v>
      </c>
      <c r="M53" s="77">
        <v>30.5</v>
      </c>
      <c r="N53" s="77">
        <v>13.7</v>
      </c>
      <c r="O53" s="77">
        <v>30.5</v>
      </c>
      <c r="P53" s="77">
        <v>30</v>
      </c>
      <c r="Q53" s="50">
        <v>10.8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54.6</v>
      </c>
      <c r="Y53" s="50">
        <v>55</v>
      </c>
      <c r="Z53" s="50">
        <v>29</v>
      </c>
      <c r="AA53" s="50">
        <v>29.4</v>
      </c>
      <c r="AB53" s="50">
        <v>13.9</v>
      </c>
      <c r="AC53" s="50">
        <v>24.8</v>
      </c>
      <c r="AD53" s="50">
        <v>0</v>
      </c>
      <c r="AE53" s="50">
        <v>0</v>
      </c>
      <c r="AF53" s="50">
        <v>0</v>
      </c>
      <c r="AG53" s="61">
        <v>60</v>
      </c>
      <c r="AH53" s="53">
        <f t="shared" si="2"/>
        <v>55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7.3</v>
      </c>
      <c r="M54" s="77">
        <v>14.3</v>
      </c>
      <c r="N54" s="77">
        <v>7.9</v>
      </c>
      <c r="O54" s="77">
        <v>11.6</v>
      </c>
      <c r="P54" s="77">
        <v>14.9</v>
      </c>
      <c r="Q54" s="72">
        <v>5.9</v>
      </c>
      <c r="R54" s="72">
        <v>0</v>
      </c>
      <c r="S54" s="50">
        <v>0</v>
      </c>
      <c r="T54" s="50">
        <v>0</v>
      </c>
      <c r="U54" s="50">
        <v>0</v>
      </c>
      <c r="V54" s="50">
        <v>0</v>
      </c>
      <c r="W54" s="72">
        <v>0</v>
      </c>
      <c r="X54" s="72">
        <v>18.600000000000001</v>
      </c>
      <c r="Y54" s="72">
        <v>22</v>
      </c>
      <c r="Z54" s="72">
        <v>18.5</v>
      </c>
      <c r="AA54" s="72">
        <v>15</v>
      </c>
      <c r="AB54" s="72">
        <v>5.9</v>
      </c>
      <c r="AC54" s="72">
        <v>14.2</v>
      </c>
      <c r="AD54" s="72">
        <v>5.5</v>
      </c>
      <c r="AE54" s="72">
        <v>0</v>
      </c>
      <c r="AF54" s="72">
        <v>0</v>
      </c>
      <c r="AG54" s="66">
        <v>32</v>
      </c>
      <c r="AH54" s="53">
        <f t="shared" si="2"/>
        <v>22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3</v>
      </c>
      <c r="M55" s="80">
        <v>5.2</v>
      </c>
      <c r="N55" s="80">
        <v>2.9</v>
      </c>
      <c r="O55" s="80">
        <v>4.4000000000000004</v>
      </c>
      <c r="P55" s="80">
        <v>5.4</v>
      </c>
      <c r="Q55" s="78">
        <v>2.1</v>
      </c>
      <c r="R55" s="78">
        <v>0</v>
      </c>
      <c r="S55" s="50">
        <v>0</v>
      </c>
      <c r="T55" s="50">
        <v>0</v>
      </c>
      <c r="U55" s="50">
        <v>0</v>
      </c>
      <c r="V55" s="50">
        <v>0</v>
      </c>
      <c r="W55" s="78">
        <v>0</v>
      </c>
      <c r="X55" s="78">
        <v>6.8</v>
      </c>
      <c r="Y55" s="78">
        <v>10.199999999999999</v>
      </c>
      <c r="Z55" s="78">
        <v>7</v>
      </c>
      <c r="AA55" s="78">
        <v>5.5</v>
      </c>
      <c r="AB55" s="78">
        <v>2.1</v>
      </c>
      <c r="AC55" s="78">
        <v>5.2</v>
      </c>
      <c r="AD55" s="78">
        <v>2</v>
      </c>
      <c r="AE55" s="78">
        <v>0</v>
      </c>
      <c r="AF55" s="78">
        <v>0</v>
      </c>
      <c r="AG55" s="81">
        <v>14</v>
      </c>
      <c r="AH55" s="53">
        <f t="shared" si="2"/>
        <v>10.199999999999999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23.3</v>
      </c>
      <c r="M56" s="71">
        <f t="shared" si="7"/>
        <v>50</v>
      </c>
      <c r="N56" s="71">
        <f t="shared" si="7"/>
        <v>24.5</v>
      </c>
      <c r="O56" s="71">
        <f t="shared" si="7"/>
        <v>46.5</v>
      </c>
      <c r="P56" s="71">
        <f t="shared" si="7"/>
        <v>50.3</v>
      </c>
      <c r="Q56" s="71">
        <f t="shared" si="7"/>
        <v>18.800000000000004</v>
      </c>
      <c r="R56" s="71">
        <f t="shared" si="7"/>
        <v>0</v>
      </c>
      <c r="S56" s="71">
        <f t="shared" si="7"/>
        <v>0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0</v>
      </c>
      <c r="X56" s="71">
        <f t="shared" si="7"/>
        <v>80</v>
      </c>
      <c r="Y56" s="71">
        <f t="shared" si="7"/>
        <v>87.2</v>
      </c>
      <c r="Z56" s="71">
        <f t="shared" si="7"/>
        <v>54.5</v>
      </c>
      <c r="AA56" s="71">
        <f t="shared" si="7"/>
        <v>49.9</v>
      </c>
      <c r="AB56" s="71">
        <f t="shared" si="7"/>
        <v>21.900000000000002</v>
      </c>
      <c r="AC56" s="71">
        <f t="shared" si="7"/>
        <v>44.2</v>
      </c>
      <c r="AD56" s="71">
        <f t="shared" si="7"/>
        <v>7.5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87.2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50</v>
      </c>
      <c r="C57" s="50">
        <v>48</v>
      </c>
      <c r="D57" s="50">
        <v>45</v>
      </c>
      <c r="E57" s="50">
        <v>26.5</v>
      </c>
      <c r="F57" s="50">
        <v>27.3</v>
      </c>
      <c r="G57" s="50">
        <v>36</v>
      </c>
      <c r="H57" s="50">
        <v>35</v>
      </c>
      <c r="I57" s="50">
        <v>42</v>
      </c>
      <c r="J57" s="50">
        <v>50</v>
      </c>
      <c r="K57" s="50">
        <v>56</v>
      </c>
      <c r="L57" s="50">
        <v>63</v>
      </c>
      <c r="M57" s="50">
        <v>67.400000000000006</v>
      </c>
      <c r="N57" s="50">
        <v>68.099999999999994</v>
      </c>
      <c r="O57" s="50">
        <v>59.1</v>
      </c>
      <c r="P57" s="50">
        <v>63.9</v>
      </c>
      <c r="Q57" s="50">
        <v>65</v>
      </c>
      <c r="R57" s="50">
        <v>62.7</v>
      </c>
      <c r="S57" s="50">
        <v>68.7</v>
      </c>
      <c r="T57" s="50">
        <v>70.900000000000006</v>
      </c>
      <c r="U57" s="50">
        <v>69</v>
      </c>
      <c r="V57" s="50">
        <v>66.099999999999994</v>
      </c>
      <c r="W57" s="50">
        <v>66.099999999999994</v>
      </c>
      <c r="X57" s="50">
        <v>72</v>
      </c>
      <c r="Y57" s="50">
        <v>72.2</v>
      </c>
      <c r="Z57" s="50">
        <v>69.2</v>
      </c>
      <c r="AA57" s="50">
        <v>68.599999999999994</v>
      </c>
      <c r="AB57" s="50">
        <v>65.599999999999994</v>
      </c>
      <c r="AC57" s="50">
        <v>71.3</v>
      </c>
      <c r="AD57" s="50">
        <v>71.099999999999994</v>
      </c>
      <c r="AE57" s="50">
        <v>67.7</v>
      </c>
      <c r="AF57" s="50">
        <v>63</v>
      </c>
      <c r="AG57" s="61"/>
      <c r="AH57" s="53">
        <f t="shared" si="2"/>
        <v>72.2</v>
      </c>
      <c r="AI57" s="54">
        <f t="shared" si="3"/>
        <v>26.5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160</v>
      </c>
      <c r="C59" s="72">
        <v>185</v>
      </c>
      <c r="D59" s="72">
        <v>152</v>
      </c>
      <c r="E59" s="72">
        <v>160</v>
      </c>
      <c r="F59" s="72">
        <v>91</v>
      </c>
      <c r="G59" s="72">
        <v>72</v>
      </c>
      <c r="H59" s="50">
        <v>115</v>
      </c>
      <c r="I59" s="50">
        <v>194</v>
      </c>
      <c r="J59" s="50">
        <v>270</v>
      </c>
      <c r="K59" s="50">
        <v>300</v>
      </c>
      <c r="L59" s="50">
        <v>50</v>
      </c>
      <c r="M59" s="72">
        <v>109</v>
      </c>
      <c r="N59" s="72">
        <v>140.9</v>
      </c>
      <c r="O59" s="72">
        <v>318.7</v>
      </c>
      <c r="P59" s="72">
        <v>324</v>
      </c>
      <c r="Q59" s="72">
        <v>330</v>
      </c>
      <c r="R59" s="72">
        <v>332</v>
      </c>
      <c r="S59" s="72">
        <v>322.10000000000002</v>
      </c>
      <c r="T59" s="72">
        <v>320</v>
      </c>
      <c r="U59" s="72">
        <v>330</v>
      </c>
      <c r="V59" s="72">
        <v>305</v>
      </c>
      <c r="W59" s="72">
        <v>131.80000000000001</v>
      </c>
      <c r="X59" s="72">
        <v>40</v>
      </c>
      <c r="Y59" s="72">
        <v>65</v>
      </c>
      <c r="Z59" s="72">
        <v>127.7</v>
      </c>
      <c r="AA59" s="72">
        <v>137</v>
      </c>
      <c r="AB59" s="72">
        <v>215</v>
      </c>
      <c r="AC59" s="72">
        <v>227.8</v>
      </c>
      <c r="AD59" s="72">
        <v>207</v>
      </c>
      <c r="AE59" s="72">
        <v>288.7</v>
      </c>
      <c r="AF59" s="72">
        <v>300</v>
      </c>
      <c r="AG59" s="84"/>
      <c r="AH59" s="53">
        <f t="shared" si="2"/>
        <v>332</v>
      </c>
      <c r="AI59" s="54">
        <f t="shared" si="3"/>
        <v>40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72">
        <v>0</v>
      </c>
      <c r="N60" s="72">
        <v>0</v>
      </c>
      <c r="O60" s="72">
        <v>0</v>
      </c>
      <c r="P60" s="72">
        <v>0</v>
      </c>
      <c r="Q60" s="72">
        <v>37.6</v>
      </c>
      <c r="R60" s="72">
        <v>38.5</v>
      </c>
      <c r="S60" s="72">
        <v>37.4</v>
      </c>
      <c r="T60" s="72">
        <v>40</v>
      </c>
      <c r="U60" s="72">
        <v>39</v>
      </c>
      <c r="V60" s="72">
        <v>39.200000000000003</v>
      </c>
      <c r="W60" s="72">
        <v>41.9</v>
      </c>
      <c r="X60" s="72">
        <v>41.9</v>
      </c>
      <c r="Y60" s="72">
        <v>46.1</v>
      </c>
      <c r="Z60" s="72">
        <v>44.6</v>
      </c>
      <c r="AA60" s="72">
        <v>43.4</v>
      </c>
      <c r="AB60" s="72">
        <v>40</v>
      </c>
      <c r="AC60" s="72">
        <v>43.5</v>
      </c>
      <c r="AD60" s="72">
        <v>46.5</v>
      </c>
      <c r="AE60" s="72">
        <v>0</v>
      </c>
      <c r="AF60" s="72">
        <v>0</v>
      </c>
      <c r="AG60" s="84"/>
      <c r="AH60" s="53">
        <f t="shared" si="2"/>
        <v>46.5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0</v>
      </c>
      <c r="N61" s="50">
        <v>86.5</v>
      </c>
      <c r="O61" s="50">
        <v>0</v>
      </c>
      <c r="P61" s="50">
        <v>28.8</v>
      </c>
      <c r="Q61" s="50">
        <v>27.6</v>
      </c>
      <c r="R61" s="50">
        <v>27.3</v>
      </c>
      <c r="S61" s="50">
        <v>0</v>
      </c>
      <c r="T61" s="50">
        <v>0</v>
      </c>
      <c r="U61" s="50">
        <v>0</v>
      </c>
      <c r="V61" s="50">
        <v>81</v>
      </c>
      <c r="W61" s="50">
        <v>75.7</v>
      </c>
      <c r="X61" s="50">
        <v>55.2</v>
      </c>
      <c r="Y61" s="50">
        <v>75.8</v>
      </c>
      <c r="Z61" s="50">
        <v>79.7</v>
      </c>
      <c r="AA61" s="50">
        <v>80.099999999999994</v>
      </c>
      <c r="AB61" s="50">
        <v>85.6</v>
      </c>
      <c r="AC61" s="50">
        <v>0</v>
      </c>
      <c r="AD61" s="50">
        <v>0</v>
      </c>
      <c r="AE61" s="50">
        <v>0</v>
      </c>
      <c r="AF61" s="50">
        <v>0</v>
      </c>
      <c r="AG61" s="84"/>
      <c r="AH61" s="53">
        <f t="shared" si="2"/>
        <v>86.5</v>
      </c>
      <c r="AI61" s="54">
        <f t="shared" si="3"/>
        <v>0</v>
      </c>
      <c r="AK61" s="55"/>
    </row>
    <row r="62" spans="1:37" x14ac:dyDescent="0.25">
      <c r="A62" s="65" t="s">
        <v>70</v>
      </c>
      <c r="B62" s="50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0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0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0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0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0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0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0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210</v>
      </c>
      <c r="C68" s="71">
        <f>SUM(C57:C67)</f>
        <v>233</v>
      </c>
      <c r="D68" s="71">
        <f t="shared" ref="D68:AF68" si="8">SUM(D57:D67)</f>
        <v>197</v>
      </c>
      <c r="E68" s="71">
        <f t="shared" si="8"/>
        <v>186.5</v>
      </c>
      <c r="F68" s="71">
        <f t="shared" si="8"/>
        <v>118.3</v>
      </c>
      <c r="G68" s="71">
        <f t="shared" si="8"/>
        <v>108</v>
      </c>
      <c r="H68" s="71">
        <f t="shared" si="8"/>
        <v>150</v>
      </c>
      <c r="I68" s="71">
        <f t="shared" si="8"/>
        <v>236</v>
      </c>
      <c r="J68" s="71">
        <f t="shared" si="8"/>
        <v>320</v>
      </c>
      <c r="K68" s="71">
        <f t="shared" si="8"/>
        <v>356</v>
      </c>
      <c r="L68" s="71">
        <f t="shared" si="8"/>
        <v>113</v>
      </c>
      <c r="M68" s="71">
        <f t="shared" si="8"/>
        <v>176.4</v>
      </c>
      <c r="N68" s="71">
        <f t="shared" si="8"/>
        <v>295.5</v>
      </c>
      <c r="O68" s="71">
        <f t="shared" si="8"/>
        <v>377.8</v>
      </c>
      <c r="P68" s="71">
        <f t="shared" si="8"/>
        <v>416.7</v>
      </c>
      <c r="Q68" s="71">
        <f t="shared" si="8"/>
        <v>460.20000000000005</v>
      </c>
      <c r="R68" s="71">
        <f t="shared" si="8"/>
        <v>460.5</v>
      </c>
      <c r="S68" s="71">
        <f t="shared" si="8"/>
        <v>428.2</v>
      </c>
      <c r="T68" s="71">
        <f t="shared" si="8"/>
        <v>430.9</v>
      </c>
      <c r="U68" s="71">
        <f t="shared" si="8"/>
        <v>438</v>
      </c>
      <c r="V68" s="71">
        <f t="shared" si="8"/>
        <v>491.3</v>
      </c>
      <c r="W68" s="71">
        <f t="shared" si="8"/>
        <v>315.5</v>
      </c>
      <c r="X68" s="71">
        <f t="shared" si="8"/>
        <v>209.10000000000002</v>
      </c>
      <c r="Y68" s="71">
        <f t="shared" si="8"/>
        <v>259.09999999999997</v>
      </c>
      <c r="Z68" s="71">
        <f t="shared" si="8"/>
        <v>321.2</v>
      </c>
      <c r="AA68" s="71">
        <f t="shared" si="8"/>
        <v>329.1</v>
      </c>
      <c r="AB68" s="71">
        <f t="shared" si="8"/>
        <v>406.20000000000005</v>
      </c>
      <c r="AC68" s="71">
        <f t="shared" si="8"/>
        <v>342.6</v>
      </c>
      <c r="AD68" s="71">
        <f t="shared" si="8"/>
        <v>324.60000000000002</v>
      </c>
      <c r="AE68" s="71">
        <f t="shared" si="8"/>
        <v>356.4</v>
      </c>
      <c r="AF68" s="71">
        <f t="shared" si="8"/>
        <v>363</v>
      </c>
      <c r="AG68" s="76">
        <f>SUM(AG57:AG67)</f>
        <v>0</v>
      </c>
      <c r="AH68" s="53">
        <f t="shared" si="2"/>
        <v>491.3</v>
      </c>
      <c r="AI68" s="54">
        <f t="shared" si="3"/>
        <v>108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819.44</v>
      </c>
      <c r="C73" s="88">
        <f>C68+C56+C52+C38+C72</f>
        <v>778.44</v>
      </c>
      <c r="D73" s="88">
        <f t="shared" ref="D73:AG73" si="10">D68+D56+D52+D38+D72</f>
        <v>765.33999999999992</v>
      </c>
      <c r="E73" s="88">
        <f t="shared" si="10"/>
        <v>760.94</v>
      </c>
      <c r="F73" s="88">
        <f t="shared" si="10"/>
        <v>773.74</v>
      </c>
      <c r="G73" s="88">
        <f t="shared" si="10"/>
        <v>802.74</v>
      </c>
      <c r="H73" s="88">
        <f t="shared" si="10"/>
        <v>851.54</v>
      </c>
      <c r="I73" s="88">
        <f t="shared" si="10"/>
        <v>947.54</v>
      </c>
      <c r="J73" s="88">
        <f t="shared" si="10"/>
        <v>1031.54</v>
      </c>
      <c r="K73" s="88">
        <f t="shared" si="10"/>
        <v>1148.8399999999999</v>
      </c>
      <c r="L73" s="88">
        <f t="shared" si="10"/>
        <v>1330.7400000000002</v>
      </c>
      <c r="M73" s="88">
        <f t="shared" si="10"/>
        <v>1406.2400000000002</v>
      </c>
      <c r="N73" s="88">
        <f t="shared" si="10"/>
        <v>1385.3400000000001</v>
      </c>
      <c r="O73" s="88">
        <f t="shared" si="10"/>
        <v>1374.8400000000001</v>
      </c>
      <c r="P73" s="88">
        <f t="shared" si="10"/>
        <v>1322.44</v>
      </c>
      <c r="Q73" s="88">
        <f t="shared" si="10"/>
        <v>1236.8400000000001</v>
      </c>
      <c r="R73" s="88">
        <f t="shared" si="10"/>
        <v>1183.24</v>
      </c>
      <c r="S73" s="88">
        <f t="shared" si="10"/>
        <v>1181.94</v>
      </c>
      <c r="T73" s="88">
        <f t="shared" si="10"/>
        <v>1197.6399999999999</v>
      </c>
      <c r="U73" s="88">
        <f t="shared" si="10"/>
        <v>1200.74</v>
      </c>
      <c r="V73" s="88">
        <f t="shared" si="10"/>
        <v>1247.44</v>
      </c>
      <c r="W73" s="88">
        <f t="shared" si="10"/>
        <v>1328.8400000000001</v>
      </c>
      <c r="X73" s="88">
        <f t="shared" si="10"/>
        <v>1330.2400000000002</v>
      </c>
      <c r="Y73" s="88">
        <f t="shared" si="10"/>
        <v>1540.44</v>
      </c>
      <c r="Z73" s="88">
        <f t="shared" si="10"/>
        <v>1472.8400000000001</v>
      </c>
      <c r="AA73" s="88">
        <f t="shared" si="10"/>
        <v>1458.24</v>
      </c>
      <c r="AB73" s="88">
        <f t="shared" si="10"/>
        <v>1400.94</v>
      </c>
      <c r="AC73" s="88">
        <f t="shared" si="10"/>
        <v>1353.1399999999999</v>
      </c>
      <c r="AD73" s="88">
        <f t="shared" si="10"/>
        <v>1276.8400000000001</v>
      </c>
      <c r="AE73" s="88">
        <f t="shared" si="10"/>
        <v>1096.8399999999999</v>
      </c>
      <c r="AF73" s="88">
        <f t="shared" si="10"/>
        <v>956.63999999999987</v>
      </c>
      <c r="AG73" s="88">
        <f t="shared" si="10"/>
        <v>2144.14</v>
      </c>
      <c r="AH73" s="53">
        <f t="shared" si="2"/>
        <v>1540.44</v>
      </c>
      <c r="AI73" s="54">
        <f t="shared" si="3"/>
        <v>760.94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819.44</v>
      </c>
      <c r="C75" s="88">
        <f>C73+C74</f>
        <v>778.44</v>
      </c>
      <c r="D75" s="88">
        <f t="shared" ref="D75:AF75" si="11">D72+D68+D56+D52+D38+D74</f>
        <v>765.33999999999992</v>
      </c>
      <c r="E75" s="88">
        <f t="shared" si="11"/>
        <v>760.94</v>
      </c>
      <c r="F75" s="88">
        <f t="shared" si="11"/>
        <v>773.74</v>
      </c>
      <c r="G75" s="88">
        <f t="shared" si="11"/>
        <v>802.74</v>
      </c>
      <c r="H75" s="88">
        <f t="shared" si="11"/>
        <v>851.54</v>
      </c>
      <c r="I75" s="88">
        <f t="shared" si="11"/>
        <v>947.54</v>
      </c>
      <c r="J75" s="88">
        <f t="shared" si="11"/>
        <v>1031.54</v>
      </c>
      <c r="K75" s="88">
        <f t="shared" si="11"/>
        <v>1148.8399999999999</v>
      </c>
      <c r="L75" s="88">
        <f t="shared" si="11"/>
        <v>1330.7400000000002</v>
      </c>
      <c r="M75" s="88">
        <f t="shared" si="11"/>
        <v>1406.2400000000002</v>
      </c>
      <c r="N75" s="88">
        <f t="shared" si="11"/>
        <v>1385.3400000000001</v>
      </c>
      <c r="O75" s="88">
        <f t="shared" si="11"/>
        <v>1374.8400000000001</v>
      </c>
      <c r="P75" s="88">
        <f t="shared" si="11"/>
        <v>1322.44</v>
      </c>
      <c r="Q75" s="88">
        <f t="shared" si="11"/>
        <v>1236.8400000000001</v>
      </c>
      <c r="R75" s="88">
        <f t="shared" si="11"/>
        <v>1183.24</v>
      </c>
      <c r="S75" s="88">
        <f t="shared" si="11"/>
        <v>1181.94</v>
      </c>
      <c r="T75" s="88">
        <f t="shared" si="11"/>
        <v>1197.6399999999999</v>
      </c>
      <c r="U75" s="88">
        <f t="shared" si="11"/>
        <v>1200.74</v>
      </c>
      <c r="V75" s="88">
        <f t="shared" si="11"/>
        <v>1247.44</v>
      </c>
      <c r="W75" s="88">
        <f t="shared" si="11"/>
        <v>1328.8400000000001</v>
      </c>
      <c r="X75" s="88">
        <f t="shared" si="11"/>
        <v>1330.2400000000002</v>
      </c>
      <c r="Y75" s="88">
        <f t="shared" si="11"/>
        <v>1540.44</v>
      </c>
      <c r="Z75" s="88">
        <f t="shared" si="11"/>
        <v>1472.8400000000001</v>
      </c>
      <c r="AA75" s="88">
        <f t="shared" si="11"/>
        <v>1458.24</v>
      </c>
      <c r="AB75" s="88">
        <f t="shared" si="11"/>
        <v>1400.94</v>
      </c>
      <c r="AC75" s="88">
        <f t="shared" si="11"/>
        <v>1353.1399999999999</v>
      </c>
      <c r="AD75" s="88">
        <f t="shared" si="11"/>
        <v>1276.8400000000001</v>
      </c>
      <c r="AE75" s="88">
        <f t="shared" si="11"/>
        <v>1096.8399999999999</v>
      </c>
      <c r="AF75" s="88">
        <f t="shared" si="11"/>
        <v>956.63999999999987</v>
      </c>
      <c r="AG75" s="76">
        <f>AG72+AG68+AG56+AG52+AG38+AG74</f>
        <v>2144.14</v>
      </c>
      <c r="AH75" s="53">
        <f t="shared" si="2"/>
        <v>1540.44</v>
      </c>
      <c r="AI75" s="54">
        <f t="shared" si="3"/>
        <v>760.94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1638.88</v>
      </c>
      <c r="C83" s="71">
        <f t="shared" ref="C83:AG83" si="20">SUM(C70:C82)</f>
        <v>1556.88</v>
      </c>
      <c r="D83" s="71">
        <f t="shared" si="20"/>
        <v>1530.6799999999998</v>
      </c>
      <c r="E83" s="71">
        <f t="shared" si="20"/>
        <v>1521.88</v>
      </c>
      <c r="F83" s="71">
        <f t="shared" si="20"/>
        <v>1547.48</v>
      </c>
      <c r="G83" s="71">
        <f t="shared" si="20"/>
        <v>1605.48</v>
      </c>
      <c r="H83" s="71">
        <f t="shared" si="20"/>
        <v>1703.08</v>
      </c>
      <c r="I83" s="71">
        <f t="shared" si="20"/>
        <v>1895.08</v>
      </c>
      <c r="J83" s="71">
        <f t="shared" si="20"/>
        <v>2063.08</v>
      </c>
      <c r="K83" s="71">
        <f t="shared" si="20"/>
        <v>2297.6799999999998</v>
      </c>
      <c r="L83" s="71">
        <f t="shared" si="20"/>
        <v>2661.4800000000005</v>
      </c>
      <c r="M83" s="71">
        <f t="shared" si="20"/>
        <v>2812.4800000000005</v>
      </c>
      <c r="N83" s="71">
        <f t="shared" si="20"/>
        <v>2770.6800000000003</v>
      </c>
      <c r="O83" s="71">
        <f t="shared" si="20"/>
        <v>2749.6800000000003</v>
      </c>
      <c r="P83" s="71">
        <f t="shared" si="20"/>
        <v>2644.88</v>
      </c>
      <c r="Q83" s="71">
        <f t="shared" si="20"/>
        <v>2473.6800000000003</v>
      </c>
      <c r="R83" s="71">
        <f t="shared" si="20"/>
        <v>2366.48</v>
      </c>
      <c r="S83" s="71">
        <f t="shared" si="20"/>
        <v>2363.88</v>
      </c>
      <c r="T83" s="71">
        <f t="shared" si="20"/>
        <v>2395.2799999999997</v>
      </c>
      <c r="U83" s="71">
        <f t="shared" si="20"/>
        <v>2401.48</v>
      </c>
      <c r="V83" s="71">
        <f t="shared" si="20"/>
        <v>2494.88</v>
      </c>
      <c r="W83" s="71">
        <f t="shared" si="20"/>
        <v>2657.6800000000003</v>
      </c>
      <c r="X83" s="71">
        <f t="shared" si="20"/>
        <v>2660.4800000000005</v>
      </c>
      <c r="Y83" s="71">
        <f t="shared" si="20"/>
        <v>3080.88</v>
      </c>
      <c r="Z83" s="71">
        <f t="shared" si="20"/>
        <v>2945.6800000000003</v>
      </c>
      <c r="AA83" s="71">
        <f t="shared" si="20"/>
        <v>2916.48</v>
      </c>
      <c r="AB83" s="71">
        <f t="shared" si="20"/>
        <v>2801.88</v>
      </c>
      <c r="AC83" s="71">
        <f t="shared" si="20"/>
        <v>2706.2799999999997</v>
      </c>
      <c r="AD83" s="71">
        <f t="shared" si="20"/>
        <v>2553.6800000000003</v>
      </c>
      <c r="AE83" s="71">
        <f t="shared" si="20"/>
        <v>2193.6799999999998</v>
      </c>
      <c r="AF83" s="71">
        <f t="shared" si="20"/>
        <v>1913.2799999999997</v>
      </c>
      <c r="AG83" s="76">
        <f t="shared" si="20"/>
        <v>4360.08</v>
      </c>
      <c r="AH83" s="53">
        <f t="shared" si="13"/>
        <v>3080.88</v>
      </c>
      <c r="AI83" s="54">
        <f t="shared" si="14"/>
        <v>1521.88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50.02</v>
      </c>
      <c r="C84" s="95">
        <v>50.03</v>
      </c>
      <c r="D84" s="95">
        <v>50.01</v>
      </c>
      <c r="E84" s="95">
        <v>49.984999999999999</v>
      </c>
      <c r="F84" s="95">
        <v>49.926000000000002</v>
      </c>
      <c r="G84" s="95">
        <v>50.027000000000001</v>
      </c>
      <c r="H84" s="95">
        <v>50.036999999999999</v>
      </c>
      <c r="I84" s="95">
        <v>50.027999999999999</v>
      </c>
      <c r="J84" s="95">
        <v>50.094000000000001</v>
      </c>
      <c r="K84" s="95">
        <v>50.003</v>
      </c>
      <c r="L84" s="95">
        <v>50.02</v>
      </c>
      <c r="M84" s="95">
        <v>50.02</v>
      </c>
      <c r="N84" s="95">
        <v>49.956000000000003</v>
      </c>
      <c r="O84" s="95">
        <v>49.987000000000002</v>
      </c>
      <c r="P84" s="95">
        <v>49.953000000000003</v>
      </c>
      <c r="Q84" s="95">
        <v>49.938000000000002</v>
      </c>
      <c r="R84" s="95">
        <v>50.015999999999998</v>
      </c>
      <c r="S84" s="95">
        <v>50.073999999999998</v>
      </c>
      <c r="T84" s="95">
        <v>50.01</v>
      </c>
      <c r="U84" s="95">
        <v>50</v>
      </c>
      <c r="V84" s="95">
        <v>49.85</v>
      </c>
      <c r="W84" s="95">
        <v>50.05</v>
      </c>
      <c r="X84" s="95">
        <v>50.04</v>
      </c>
      <c r="Y84" s="95">
        <v>50.02</v>
      </c>
      <c r="Z84" s="95">
        <v>50.03</v>
      </c>
      <c r="AA84" s="95">
        <v>49.94</v>
      </c>
      <c r="AB84" s="95">
        <v>50.088999999999999</v>
      </c>
      <c r="AC84" s="95">
        <v>49.978999999999999</v>
      </c>
      <c r="AD84" s="95">
        <v>49.975999999999999</v>
      </c>
      <c r="AE84" s="95">
        <v>50.058999999999997</v>
      </c>
      <c r="AF84" s="95">
        <v>50.031999999999996</v>
      </c>
      <c r="AG84" s="96"/>
      <c r="AH84" s="53">
        <f t="shared" si="13"/>
        <v>50.094000000000001</v>
      </c>
      <c r="AI84" s="54">
        <f t="shared" si="14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2">
        <v>126.4</v>
      </c>
      <c r="C85" s="72">
        <v>127.9</v>
      </c>
      <c r="D85" s="72">
        <v>129.19999999999999</v>
      </c>
      <c r="E85" s="72">
        <v>129.19999999999999</v>
      </c>
      <c r="F85" s="72">
        <v>130.19999999999999</v>
      </c>
      <c r="G85" s="72">
        <v>128.69999999999999</v>
      </c>
      <c r="H85" s="72">
        <v>128.4</v>
      </c>
      <c r="I85" s="72">
        <v>125.7</v>
      </c>
      <c r="J85" s="72">
        <v>124.9</v>
      </c>
      <c r="K85" s="72">
        <v>124.7</v>
      </c>
      <c r="L85" s="72">
        <v>122.4</v>
      </c>
      <c r="M85" s="72">
        <v>122.4</v>
      </c>
      <c r="N85" s="72">
        <v>124.4</v>
      </c>
      <c r="O85" s="72">
        <v>120</v>
      </c>
      <c r="P85" s="72">
        <v>124.1</v>
      </c>
      <c r="Q85" s="72">
        <v>124.1</v>
      </c>
      <c r="R85" s="72">
        <v>123.4</v>
      </c>
      <c r="S85" s="72">
        <v>121.5</v>
      </c>
      <c r="T85" s="72">
        <v>122.7</v>
      </c>
      <c r="U85" s="72">
        <v>123</v>
      </c>
      <c r="V85" s="99">
        <v>124.4</v>
      </c>
      <c r="W85" s="99">
        <v>124.2</v>
      </c>
      <c r="X85" s="99">
        <v>124.4</v>
      </c>
      <c r="Y85" s="99">
        <v>123.6</v>
      </c>
      <c r="Z85" s="99">
        <v>124.6</v>
      </c>
      <c r="AA85" s="99">
        <v>124.1</v>
      </c>
      <c r="AB85" s="72">
        <v>125.1</v>
      </c>
      <c r="AC85" s="72">
        <v>122.7</v>
      </c>
      <c r="AD85" s="72">
        <v>123.7</v>
      </c>
      <c r="AE85" s="72">
        <v>124.9</v>
      </c>
      <c r="AF85" s="72">
        <v>127</v>
      </c>
      <c r="AG85" s="100"/>
      <c r="AH85" s="53">
        <f t="shared" si="13"/>
        <v>130.19999999999999</v>
      </c>
      <c r="AI85" s="54">
        <f t="shared" si="14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2">
        <v>130.69999999999999</v>
      </c>
      <c r="C86" s="72">
        <v>132.1</v>
      </c>
      <c r="D86" s="72">
        <v>133.19999999999999</v>
      </c>
      <c r="E86" s="72">
        <v>133.19999999999999</v>
      </c>
      <c r="F86" s="72">
        <v>134.1</v>
      </c>
      <c r="G86" s="72">
        <v>132.6</v>
      </c>
      <c r="H86" s="72">
        <v>132.30000000000001</v>
      </c>
      <c r="I86" s="72">
        <v>130</v>
      </c>
      <c r="J86" s="72">
        <v>128.69999999999999</v>
      </c>
      <c r="K86" s="72">
        <v>128.5</v>
      </c>
      <c r="L86" s="72">
        <v>126.1</v>
      </c>
      <c r="M86" s="72">
        <v>126.1</v>
      </c>
      <c r="N86" s="72">
        <v>126.8</v>
      </c>
      <c r="O86" s="72">
        <v>123.4</v>
      </c>
      <c r="P86" s="72">
        <v>126.8</v>
      </c>
      <c r="Q86" s="72">
        <v>127.2</v>
      </c>
      <c r="R86" s="72">
        <v>127.2</v>
      </c>
      <c r="S86" s="72">
        <v>125.6</v>
      </c>
      <c r="T86" s="72">
        <v>126.4</v>
      </c>
      <c r="U86" s="72">
        <v>126.4</v>
      </c>
      <c r="V86" s="99">
        <v>127</v>
      </c>
      <c r="W86" s="99">
        <v>126.4</v>
      </c>
      <c r="X86" s="99">
        <v>125.6</v>
      </c>
      <c r="Y86" s="99">
        <v>126.4</v>
      </c>
      <c r="Z86" s="99">
        <v>126.6</v>
      </c>
      <c r="AA86" s="99">
        <v>126.1</v>
      </c>
      <c r="AB86" s="72">
        <v>127.4</v>
      </c>
      <c r="AC86" s="72">
        <v>126.2</v>
      </c>
      <c r="AD86" s="72">
        <v>127</v>
      </c>
      <c r="AE86" s="72">
        <v>129</v>
      </c>
      <c r="AF86" s="72">
        <v>131.6</v>
      </c>
      <c r="AG86" s="100"/>
      <c r="AH86" s="53">
        <f t="shared" si="13"/>
        <v>134.1</v>
      </c>
      <c r="AI86" s="54">
        <f t="shared" si="14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2">
        <v>133.1</v>
      </c>
      <c r="C87" s="72">
        <v>133.30000000000001</v>
      </c>
      <c r="D87" s="72">
        <v>133.9</v>
      </c>
      <c r="E87" s="72">
        <v>133.19999999999999</v>
      </c>
      <c r="F87" s="72">
        <v>132.5</v>
      </c>
      <c r="G87" s="72">
        <v>132.1</v>
      </c>
      <c r="H87" s="72">
        <v>131.5</v>
      </c>
      <c r="I87" s="72">
        <v>131.4</v>
      </c>
      <c r="J87" s="72">
        <v>129.5</v>
      </c>
      <c r="K87" s="72">
        <v>127.9</v>
      </c>
      <c r="L87" s="72">
        <v>129.6</v>
      </c>
      <c r="M87" s="72">
        <v>129.6</v>
      </c>
      <c r="N87" s="72">
        <v>127.3</v>
      </c>
      <c r="O87" s="72">
        <v>128.19999999999999</v>
      </c>
      <c r="P87" s="72">
        <v>129.5</v>
      </c>
      <c r="Q87" s="72">
        <v>132.6</v>
      </c>
      <c r="R87" s="72">
        <v>131.9</v>
      </c>
      <c r="S87" s="72">
        <v>129.80000000000001</v>
      </c>
      <c r="T87" s="72">
        <v>130.4</v>
      </c>
      <c r="U87" s="72">
        <v>130.4</v>
      </c>
      <c r="V87" s="72">
        <v>128.5</v>
      </c>
      <c r="W87" s="72">
        <v>128.5</v>
      </c>
      <c r="X87" s="72">
        <v>128.80000000000001</v>
      </c>
      <c r="Y87" s="99">
        <v>128.30000000000001</v>
      </c>
      <c r="Z87" s="99">
        <v>130.5</v>
      </c>
      <c r="AA87" s="99">
        <v>130.80000000000001</v>
      </c>
      <c r="AB87" s="72">
        <v>131.4</v>
      </c>
      <c r="AC87" s="72">
        <v>131.6</v>
      </c>
      <c r="AD87" s="72">
        <v>132</v>
      </c>
      <c r="AE87" s="72">
        <v>130.80000000000001</v>
      </c>
      <c r="AF87" s="72">
        <v>131.6</v>
      </c>
      <c r="AG87" s="100"/>
      <c r="AH87" s="53">
        <f t="shared" si="13"/>
        <v>133.9</v>
      </c>
      <c r="AI87" s="54">
        <f t="shared" si="14"/>
        <v>127.3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72">
        <v>134.69999999999999</v>
      </c>
      <c r="C88" s="72">
        <v>134.9</v>
      </c>
      <c r="D88" s="72">
        <v>135.5</v>
      </c>
      <c r="E88" s="72">
        <v>135.5</v>
      </c>
      <c r="F88" s="72">
        <v>135.4</v>
      </c>
      <c r="G88" s="72">
        <v>134.69999999999999</v>
      </c>
      <c r="H88" s="72">
        <v>134</v>
      </c>
      <c r="I88" s="72">
        <v>133.1</v>
      </c>
      <c r="J88" s="72">
        <v>131.4</v>
      </c>
      <c r="K88" s="72">
        <v>130.69999999999999</v>
      </c>
      <c r="L88" s="72">
        <v>133.30000000000001</v>
      </c>
      <c r="M88" s="72">
        <v>133.30000000000001</v>
      </c>
      <c r="N88" s="72">
        <v>129.9</v>
      </c>
      <c r="O88" s="72">
        <v>132.69999999999999</v>
      </c>
      <c r="P88" s="72">
        <v>134.19999999999999</v>
      </c>
      <c r="Q88" s="72">
        <v>136.19999999999999</v>
      </c>
      <c r="R88" s="72">
        <v>135.19999999999999</v>
      </c>
      <c r="S88" s="72">
        <v>133.1</v>
      </c>
      <c r="T88" s="72">
        <v>132.6</v>
      </c>
      <c r="U88" s="72">
        <v>132.6</v>
      </c>
      <c r="V88" s="72">
        <v>131.5</v>
      </c>
      <c r="W88" s="72">
        <v>130.69999999999999</v>
      </c>
      <c r="X88" s="72">
        <v>130.19999999999999</v>
      </c>
      <c r="Y88" s="99">
        <v>132.9</v>
      </c>
      <c r="Z88" s="99">
        <v>133.1</v>
      </c>
      <c r="AA88" s="99">
        <v>133.80000000000001</v>
      </c>
      <c r="AB88" s="72">
        <v>135.4</v>
      </c>
      <c r="AC88" s="72">
        <v>135.80000000000001</v>
      </c>
      <c r="AD88" s="72">
        <v>135.1</v>
      </c>
      <c r="AE88" s="72">
        <v>133</v>
      </c>
      <c r="AF88" s="72">
        <v>133.6</v>
      </c>
      <c r="AG88" s="100"/>
      <c r="AH88" s="53">
        <f t="shared" si="13"/>
        <v>136.19999999999999</v>
      </c>
      <c r="AI88" s="54">
        <f t="shared" si="14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3">
        <v>128</v>
      </c>
      <c r="C89" s="103">
        <v>130.4</v>
      </c>
      <c r="D89" s="103">
        <v>132.1</v>
      </c>
      <c r="E89" s="103">
        <v>132.9</v>
      </c>
      <c r="F89" s="103">
        <v>135</v>
      </c>
      <c r="G89" s="103">
        <v>131.80000000000001</v>
      </c>
      <c r="H89" s="103">
        <v>134.1</v>
      </c>
      <c r="I89" s="103">
        <v>132.5</v>
      </c>
      <c r="J89" s="103">
        <v>131.6</v>
      </c>
      <c r="K89" s="103">
        <v>131.6</v>
      </c>
      <c r="L89" s="103">
        <v>131.5</v>
      </c>
      <c r="M89" s="103">
        <v>131.5</v>
      </c>
      <c r="N89" s="103">
        <v>133</v>
      </c>
      <c r="O89" s="103">
        <v>132.69999999999999</v>
      </c>
      <c r="P89" s="103">
        <v>134</v>
      </c>
      <c r="Q89" s="103">
        <v>131.6</v>
      </c>
      <c r="R89" s="103">
        <v>131.6</v>
      </c>
      <c r="S89" s="103">
        <v>132.1</v>
      </c>
      <c r="T89" s="103">
        <v>132.80000000000001</v>
      </c>
      <c r="U89" s="103">
        <v>132.80000000000001</v>
      </c>
      <c r="V89" s="103">
        <v>134.69999999999999</v>
      </c>
      <c r="W89" s="103">
        <v>134.6</v>
      </c>
      <c r="X89" s="103">
        <v>132.5</v>
      </c>
      <c r="Y89" s="99">
        <v>132.69999999999999</v>
      </c>
      <c r="Z89" s="99">
        <v>135.19999999999999</v>
      </c>
      <c r="AA89" s="99">
        <v>135.9</v>
      </c>
      <c r="AB89" s="103">
        <v>136.9</v>
      </c>
      <c r="AC89" s="103">
        <v>136.5</v>
      </c>
      <c r="AD89" s="103">
        <v>136.19999999999999</v>
      </c>
      <c r="AE89" s="103">
        <v>135.1</v>
      </c>
      <c r="AF89" s="103">
        <v>130.30000000000001</v>
      </c>
      <c r="AG89" s="104"/>
      <c r="AH89" s="53">
        <f t="shared" si="13"/>
        <v>136.9</v>
      </c>
      <c r="AI89" s="54">
        <f t="shared" si="14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2">
        <v>138</v>
      </c>
      <c r="C90" s="72">
        <v>139</v>
      </c>
      <c r="D90" s="72">
        <v>139.30000000000001</v>
      </c>
      <c r="E90" s="72">
        <v>139.5</v>
      </c>
      <c r="F90" s="72">
        <v>138.9</v>
      </c>
      <c r="G90" s="72">
        <v>138.5</v>
      </c>
      <c r="H90" s="72">
        <v>138.19999999999999</v>
      </c>
      <c r="I90" s="72">
        <v>136.4</v>
      </c>
      <c r="J90" s="72">
        <v>134.1</v>
      </c>
      <c r="K90" s="72">
        <v>132.69999999999999</v>
      </c>
      <c r="L90" s="72">
        <v>127.1</v>
      </c>
      <c r="M90" s="72">
        <v>127.1</v>
      </c>
      <c r="N90" s="72">
        <v>125.9</v>
      </c>
      <c r="O90" s="72">
        <v>132.5</v>
      </c>
      <c r="P90" s="72">
        <v>132.19999999999999</v>
      </c>
      <c r="Q90" s="72">
        <v>131.5</v>
      </c>
      <c r="R90" s="72">
        <v>132.1</v>
      </c>
      <c r="S90" s="72">
        <v>1338</v>
      </c>
      <c r="T90" s="72">
        <v>133.30000000000001</v>
      </c>
      <c r="U90" s="72">
        <v>133.30000000000001</v>
      </c>
      <c r="V90" s="72">
        <v>133.69999999999999</v>
      </c>
      <c r="W90" s="72">
        <v>131.1</v>
      </c>
      <c r="X90" s="72">
        <v>131.80000000000001</v>
      </c>
      <c r="Y90" s="99">
        <v>127.9</v>
      </c>
      <c r="Z90" s="99">
        <v>133.1</v>
      </c>
      <c r="AA90" s="99">
        <v>133.1</v>
      </c>
      <c r="AB90" s="72">
        <v>132.80000000000001</v>
      </c>
      <c r="AC90" s="72">
        <v>133.5</v>
      </c>
      <c r="AD90" s="72">
        <v>135.1</v>
      </c>
      <c r="AE90" s="72">
        <v>137.19999999999999</v>
      </c>
      <c r="AF90" s="72">
        <v>138.19999999999999</v>
      </c>
      <c r="AG90" s="100"/>
      <c r="AH90" s="53">
        <f t="shared" si="13"/>
        <v>1338</v>
      </c>
      <c r="AI90" s="54">
        <f t="shared" si="14"/>
        <v>125.9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190.74</v>
      </c>
      <c r="C93" s="113">
        <f>SUM(C15,C18,C21:C22,C42,C44:C45,C47,C49,C94:C97,C102,C108,C114,C123,C125,C137,C144,C147:C148,C155,C157,C159,C163:C165,C167:C169,C174,C180:C181,C183:C185,C193,C198)</f>
        <v>176.04</v>
      </c>
      <c r="D93" s="113">
        <f t="shared" ref="D93:AF93" si="21">SUM(D15,D18,D21:D22,D42,D44:D45,D47,D49,D94:D97,D102,D108,D114,D123,D125,D137,D144,D147:D148,D155,D157,D159,D163:D165,D167:D169,D174,D180:D181,D183:D185,D193,D198)</f>
        <v>169.64</v>
      </c>
      <c r="E93" s="113">
        <f t="shared" si="21"/>
        <v>167.14</v>
      </c>
      <c r="F93" s="113">
        <f t="shared" si="21"/>
        <v>167.23999999999998</v>
      </c>
      <c r="G93" s="112">
        <f t="shared" si="21"/>
        <v>187.14</v>
      </c>
      <c r="H93" s="112">
        <f t="shared" si="21"/>
        <v>206.64</v>
      </c>
      <c r="I93" s="112">
        <f t="shared" si="21"/>
        <v>238.83999999999997</v>
      </c>
      <c r="J93" s="112">
        <f t="shared" si="21"/>
        <v>284.64000000000004</v>
      </c>
      <c r="K93" s="112">
        <f t="shared" si="21"/>
        <v>337.94000000000005</v>
      </c>
      <c r="L93" s="112">
        <f t="shared" si="21"/>
        <v>396.64000000000004</v>
      </c>
      <c r="M93" s="112">
        <f t="shared" si="21"/>
        <v>397.24</v>
      </c>
      <c r="N93" s="112">
        <f t="shared" si="21"/>
        <v>419.04</v>
      </c>
      <c r="O93" s="112">
        <f t="shared" si="21"/>
        <v>414.64</v>
      </c>
      <c r="P93" s="112">
        <f t="shared" si="21"/>
        <v>401.74</v>
      </c>
      <c r="Q93" s="112">
        <f t="shared" si="21"/>
        <v>367.84000000000003</v>
      </c>
      <c r="R93" s="112">
        <f t="shared" si="21"/>
        <v>335.14</v>
      </c>
      <c r="S93" s="112">
        <f t="shared" si="21"/>
        <v>329.14000000000004</v>
      </c>
      <c r="T93" s="112">
        <f t="shared" si="21"/>
        <v>347.04</v>
      </c>
      <c r="U93" s="112">
        <f t="shared" si="21"/>
        <v>342.24</v>
      </c>
      <c r="V93" s="112">
        <f t="shared" si="21"/>
        <v>369.44000000000005</v>
      </c>
      <c r="W93" s="112">
        <f t="shared" si="21"/>
        <v>409.64000000000004</v>
      </c>
      <c r="X93" s="112">
        <f t="shared" si="21"/>
        <v>473.64</v>
      </c>
      <c r="Y93" s="112">
        <f t="shared" si="21"/>
        <v>495.04000000000008</v>
      </c>
      <c r="Z93" s="112">
        <f t="shared" si="21"/>
        <v>474.34000000000003</v>
      </c>
      <c r="AA93" s="112">
        <f t="shared" si="21"/>
        <v>467.04</v>
      </c>
      <c r="AB93" s="112">
        <f t="shared" si="21"/>
        <v>450.64</v>
      </c>
      <c r="AC93" s="112">
        <f t="shared" si="21"/>
        <v>435.34000000000003</v>
      </c>
      <c r="AD93" s="112">
        <f t="shared" si="21"/>
        <v>398.84000000000003</v>
      </c>
      <c r="AE93" s="112">
        <f t="shared" si="21"/>
        <v>317.44000000000005</v>
      </c>
      <c r="AF93" s="112">
        <f t="shared" si="21"/>
        <v>243.94</v>
      </c>
      <c r="AG93" s="114"/>
      <c r="AH93" s="53">
        <f>MAX(C93:AF93)</f>
        <v>495.04000000000008</v>
      </c>
      <c r="AI93" s="54">
        <f>MIN(C93:AF93)</f>
        <v>167.14</v>
      </c>
    </row>
    <row r="94" spans="1:88" x14ac:dyDescent="0.25">
      <c r="A94" s="115" t="s">
        <v>98</v>
      </c>
      <c r="B94" s="118">
        <v>-22.6</v>
      </c>
      <c r="C94" s="57">
        <v>-20.399999999999999</v>
      </c>
      <c r="D94" s="57">
        <v>-9.1999999999999993</v>
      </c>
      <c r="E94" s="57">
        <v>-8</v>
      </c>
      <c r="F94" s="57">
        <v>27</v>
      </c>
      <c r="G94" s="117">
        <v>47</v>
      </c>
      <c r="H94" s="117">
        <v>42</v>
      </c>
      <c r="I94" s="117">
        <v>42</v>
      </c>
      <c r="J94" s="117">
        <v>36</v>
      </c>
      <c r="K94" s="117">
        <v>43.3</v>
      </c>
      <c r="L94" s="117">
        <v>64</v>
      </c>
      <c r="M94" s="117">
        <v>64</v>
      </c>
      <c r="N94" s="117">
        <v>64</v>
      </c>
      <c r="O94" s="117">
        <v>69.099999999999994</v>
      </c>
      <c r="P94" s="117">
        <v>63.3</v>
      </c>
      <c r="Q94" s="117">
        <v>48</v>
      </c>
      <c r="R94" s="117">
        <v>49.8</v>
      </c>
      <c r="S94" s="117">
        <v>54.3</v>
      </c>
      <c r="T94" s="117">
        <v>56.8</v>
      </c>
      <c r="U94" s="117">
        <v>50</v>
      </c>
      <c r="V94" s="118">
        <v>44.7</v>
      </c>
      <c r="W94" s="118">
        <v>75.099999999999994</v>
      </c>
      <c r="X94" s="118">
        <v>72.3</v>
      </c>
      <c r="Y94" s="117">
        <v>68.5</v>
      </c>
      <c r="Z94" s="117">
        <v>77.900000000000006</v>
      </c>
      <c r="AA94" s="117">
        <v>81.5</v>
      </c>
      <c r="AB94" s="118">
        <v>64.8</v>
      </c>
      <c r="AC94" s="118">
        <v>75.8</v>
      </c>
      <c r="AD94" s="118">
        <v>76.8</v>
      </c>
      <c r="AE94" s="118">
        <v>44.4</v>
      </c>
      <c r="AF94" s="118">
        <v>-5.0999999999999996</v>
      </c>
      <c r="AG94" s="119">
        <v>75</v>
      </c>
      <c r="AH94" s="53">
        <f t="shared" ref="AH94:AH99" si="22">IF(ABS(MAX(C94:AF94))&gt;ABS(MIN(C94:AF94)),MAX(C94:AF94),MIN(C94:AF94))</f>
        <v>81.5</v>
      </c>
      <c r="AI94" s="120">
        <f t="shared" ref="AI94:AI99" si="23">INDEX($C$9:$AF$9,1,MATCH(AH94,C94:AF94,0))</f>
        <v>0.8125</v>
      </c>
    </row>
    <row r="95" spans="1:88" x14ac:dyDescent="0.25">
      <c r="A95" s="121" t="s">
        <v>99</v>
      </c>
      <c r="B95" s="72">
        <f>-16.7-18.8</f>
        <v>-35.5</v>
      </c>
      <c r="C95" s="59">
        <f>-20.7-23.2</f>
        <v>-43.9</v>
      </c>
      <c r="D95" s="59">
        <f>-23.3-25.9</f>
        <v>-49.2</v>
      </c>
      <c r="E95" s="59">
        <v>-50</v>
      </c>
      <c r="F95" s="59">
        <v>-60</v>
      </c>
      <c r="G95" s="59">
        <v>-54.5</v>
      </c>
      <c r="H95" s="59">
        <v>-44</v>
      </c>
      <c r="I95" s="59">
        <v>-34.799999999999997</v>
      </c>
      <c r="J95" s="59">
        <v>-14</v>
      </c>
      <c r="K95" s="59">
        <v>0</v>
      </c>
      <c r="L95" s="59">
        <v>22</v>
      </c>
      <c r="M95" s="59">
        <v>22</v>
      </c>
      <c r="N95" s="59">
        <v>32.299999999999997</v>
      </c>
      <c r="O95" s="59">
        <v>15.8</v>
      </c>
      <c r="P95" s="59">
        <v>24.4</v>
      </c>
      <c r="Q95" s="59">
        <v>25</v>
      </c>
      <c r="R95" s="59">
        <v>15.2</v>
      </c>
      <c r="S95" s="59">
        <v>-8.1</v>
      </c>
      <c r="T95" s="59">
        <f>1.2+1.5</f>
        <v>2.7</v>
      </c>
      <c r="U95" s="59">
        <v>3</v>
      </c>
      <c r="V95" s="59">
        <v>27</v>
      </c>
      <c r="W95" s="59">
        <f>16.2+18.3</f>
        <v>34.5</v>
      </c>
      <c r="X95" s="59">
        <f>30+27.3</f>
        <v>57.3</v>
      </c>
      <c r="Y95" s="59">
        <v>74.2</v>
      </c>
      <c r="Z95" s="59">
        <f>36+35</f>
        <v>71</v>
      </c>
      <c r="AA95" s="59">
        <f>34+34.1</f>
        <v>68.099999999999994</v>
      </c>
      <c r="AB95" s="72">
        <v>77</v>
      </c>
      <c r="AC95" s="72">
        <v>54</v>
      </c>
      <c r="AD95" s="72">
        <v>22.3</v>
      </c>
      <c r="AE95" s="72">
        <v>-3.5</v>
      </c>
      <c r="AF95" s="72">
        <v>-23.6</v>
      </c>
      <c r="AG95" s="119">
        <v>240</v>
      </c>
      <c r="AH95" s="53">
        <f t="shared" si="22"/>
        <v>77</v>
      </c>
      <c r="AI95" s="120">
        <f t="shared" si="23"/>
        <v>0.83333333333333337</v>
      </c>
    </row>
    <row r="96" spans="1:88" x14ac:dyDescent="0.25">
      <c r="A96" s="121" t="s">
        <v>100</v>
      </c>
      <c r="B96" s="72">
        <v>0</v>
      </c>
      <c r="C96" s="59">
        <v>-3.1</v>
      </c>
      <c r="D96" s="59">
        <v>-2</v>
      </c>
      <c r="E96" s="59">
        <v>-7.5</v>
      </c>
      <c r="F96" s="59">
        <v>-5.4</v>
      </c>
      <c r="G96" s="59">
        <v>-4</v>
      </c>
      <c r="H96" s="59">
        <v>-4</v>
      </c>
      <c r="I96" s="59">
        <v>-2</v>
      </c>
      <c r="J96" s="59">
        <v>3</v>
      </c>
      <c r="K96" s="59">
        <v>17</v>
      </c>
      <c r="L96" s="59">
        <v>24</v>
      </c>
      <c r="M96" s="59">
        <v>24</v>
      </c>
      <c r="N96" s="59">
        <v>23.9</v>
      </c>
      <c r="O96" s="59">
        <v>41.4</v>
      </c>
      <c r="P96" s="59">
        <v>34.799999999999997</v>
      </c>
      <c r="Q96" s="59">
        <v>22.2</v>
      </c>
      <c r="R96" s="59">
        <v>8.1999999999999993</v>
      </c>
      <c r="S96" s="59">
        <v>6.3</v>
      </c>
      <c r="T96" s="59">
        <v>8.6</v>
      </c>
      <c r="U96" s="59">
        <v>10</v>
      </c>
      <c r="V96" s="59">
        <v>22</v>
      </c>
      <c r="W96" s="59">
        <v>23</v>
      </c>
      <c r="X96" s="59">
        <v>65.599999999999994</v>
      </c>
      <c r="Y96" s="59">
        <v>67.8</v>
      </c>
      <c r="Z96" s="59">
        <v>46.9</v>
      </c>
      <c r="AA96" s="59">
        <v>42.7</v>
      </c>
      <c r="AB96" s="72">
        <v>39.700000000000003</v>
      </c>
      <c r="AC96" s="72">
        <v>43.3</v>
      </c>
      <c r="AD96" s="72">
        <v>26</v>
      </c>
      <c r="AE96" s="72">
        <v>9.6999999999999993</v>
      </c>
      <c r="AF96" s="72">
        <v>8.5</v>
      </c>
      <c r="AG96" s="119">
        <v>60</v>
      </c>
      <c r="AH96" s="53">
        <f t="shared" si="22"/>
        <v>67.8</v>
      </c>
      <c r="AI96" s="120">
        <f t="shared" si="23"/>
        <v>0.77083333333333337</v>
      </c>
    </row>
    <row r="97" spans="1:37" x14ac:dyDescent="0.25">
      <c r="A97" s="123" t="s">
        <v>101</v>
      </c>
      <c r="B97" s="125">
        <v>65.3</v>
      </c>
      <c r="C97" s="62">
        <v>59.9</v>
      </c>
      <c r="D97" s="62">
        <v>46.4</v>
      </c>
      <c r="E97" s="62">
        <v>49</v>
      </c>
      <c r="F97" s="62">
        <v>22</v>
      </c>
      <c r="G97" s="62">
        <v>15</v>
      </c>
      <c r="H97" s="62">
        <v>29</v>
      </c>
      <c r="I97" s="62">
        <v>50</v>
      </c>
      <c r="J97" s="62">
        <v>76</v>
      </c>
      <c r="K97" s="62">
        <v>94</v>
      </c>
      <c r="L97" s="62">
        <v>103</v>
      </c>
      <c r="M97" s="62">
        <v>103</v>
      </c>
      <c r="N97" s="62">
        <v>112.8</v>
      </c>
      <c r="O97" s="62">
        <v>106.1</v>
      </c>
      <c r="P97" s="62">
        <v>95.2</v>
      </c>
      <c r="Q97" s="62">
        <v>88.6</v>
      </c>
      <c r="R97" s="62">
        <v>79.900000000000006</v>
      </c>
      <c r="S97" s="62">
        <v>96.4</v>
      </c>
      <c r="T97" s="62">
        <v>100.7</v>
      </c>
      <c r="U97" s="62">
        <v>101</v>
      </c>
      <c r="V97" s="62">
        <v>95.5</v>
      </c>
      <c r="W97" s="62">
        <v>97</v>
      </c>
      <c r="X97" s="62">
        <v>98.4</v>
      </c>
      <c r="Y97" s="62">
        <v>104.5</v>
      </c>
      <c r="Z97" s="62">
        <v>98.5</v>
      </c>
      <c r="AA97" s="62">
        <v>94.7</v>
      </c>
      <c r="AB97" s="125">
        <v>88.9</v>
      </c>
      <c r="AC97" s="125">
        <v>82</v>
      </c>
      <c r="AD97" s="125">
        <v>93.2</v>
      </c>
      <c r="AE97" s="125">
        <v>84.8</v>
      </c>
      <c r="AF97" s="125">
        <v>81.8</v>
      </c>
      <c r="AG97" s="126">
        <v>120</v>
      </c>
      <c r="AH97" s="53">
        <f t="shared" si="22"/>
        <v>112.8</v>
      </c>
      <c r="AI97" s="120">
        <f t="shared" si="23"/>
        <v>0.375</v>
      </c>
    </row>
    <row r="98" spans="1:37" x14ac:dyDescent="0.25">
      <c r="A98" s="123" t="s">
        <v>102</v>
      </c>
      <c r="B98" s="125">
        <v>71.400000000000006</v>
      </c>
      <c r="C98" s="62">
        <v>70.2</v>
      </c>
      <c r="D98" s="62">
        <v>54</v>
      </c>
      <c r="E98" s="62">
        <v>59</v>
      </c>
      <c r="F98" s="62">
        <v>31</v>
      </c>
      <c r="G98" s="62">
        <v>23</v>
      </c>
      <c r="H98" s="62">
        <v>32</v>
      </c>
      <c r="I98" s="62">
        <v>56</v>
      </c>
      <c r="J98" s="62">
        <v>74</v>
      </c>
      <c r="K98" s="62">
        <v>85</v>
      </c>
      <c r="L98" s="62">
        <v>100</v>
      </c>
      <c r="M98" s="62">
        <v>100</v>
      </c>
      <c r="N98" s="62">
        <v>70.3</v>
      </c>
      <c r="O98" s="62">
        <v>99.1</v>
      </c>
      <c r="P98" s="62">
        <v>81.8</v>
      </c>
      <c r="Q98" s="62">
        <v>105</v>
      </c>
      <c r="R98" s="62">
        <v>84.6</v>
      </c>
      <c r="S98" s="62">
        <v>96.8</v>
      </c>
      <c r="T98" s="62">
        <v>96.4</v>
      </c>
      <c r="U98" s="62">
        <v>99</v>
      </c>
      <c r="V98" s="62">
        <v>67.7</v>
      </c>
      <c r="W98" s="62">
        <v>62.4</v>
      </c>
      <c r="X98" s="62">
        <v>66.900000000000006</v>
      </c>
      <c r="Y98" s="62">
        <v>85.8</v>
      </c>
      <c r="Z98" s="62">
        <v>79.8</v>
      </c>
      <c r="AA98" s="62">
        <v>79.099999999999994</v>
      </c>
      <c r="AB98" s="125">
        <v>94.5</v>
      </c>
      <c r="AC98" s="125">
        <v>94.2</v>
      </c>
      <c r="AD98" s="125">
        <v>82.6</v>
      </c>
      <c r="AE98" s="125">
        <v>82.5</v>
      </c>
      <c r="AF98" s="125">
        <v>86.8</v>
      </c>
      <c r="AG98" s="126"/>
      <c r="AH98" s="53">
        <f t="shared" si="22"/>
        <v>105</v>
      </c>
      <c r="AI98" s="120">
        <f t="shared" si="23"/>
        <v>0.5</v>
      </c>
    </row>
    <row r="99" spans="1:37" ht="15.75" thickBot="1" x14ac:dyDescent="0.3">
      <c r="A99" s="123" t="s">
        <v>103</v>
      </c>
      <c r="B99" s="125">
        <v>54</v>
      </c>
      <c r="C99" s="62">
        <v>52.1</v>
      </c>
      <c r="D99" s="62">
        <v>51.2</v>
      </c>
      <c r="E99" s="62">
        <v>47</v>
      </c>
      <c r="F99" s="62">
        <v>31</v>
      </c>
      <c r="G99" s="62">
        <v>7</v>
      </c>
      <c r="H99" s="62">
        <v>16</v>
      </c>
      <c r="I99" s="62">
        <v>15</v>
      </c>
      <c r="J99" s="62">
        <v>32</v>
      </c>
      <c r="K99" s="62">
        <v>26</v>
      </c>
      <c r="L99" s="62">
        <v>18</v>
      </c>
      <c r="M99" s="62">
        <v>18</v>
      </c>
      <c r="N99" s="62">
        <v>10.5</v>
      </c>
      <c r="O99" s="62">
        <v>9.5</v>
      </c>
      <c r="P99" s="62">
        <v>5.5</v>
      </c>
      <c r="Q99" s="62">
        <v>18.7</v>
      </c>
      <c r="R99" s="62">
        <v>18.100000000000001</v>
      </c>
      <c r="S99" s="62">
        <v>7.6</v>
      </c>
      <c r="T99" s="62">
        <v>2</v>
      </c>
      <c r="U99" s="62">
        <v>9.1999999999999993</v>
      </c>
      <c r="V99" s="62">
        <v>6.6</v>
      </c>
      <c r="W99" s="62">
        <v>-8.8000000000000007</v>
      </c>
      <c r="X99" s="62">
        <v>-1.8</v>
      </c>
      <c r="Y99" s="62">
        <v>8.8000000000000007</v>
      </c>
      <c r="Z99" s="62">
        <v>2.8</v>
      </c>
      <c r="AA99" s="62">
        <v>1</v>
      </c>
      <c r="AB99" s="125">
        <v>3.2</v>
      </c>
      <c r="AC99" s="125">
        <v>1.3</v>
      </c>
      <c r="AD99" s="125">
        <v>-4</v>
      </c>
      <c r="AE99" s="125">
        <v>24.9</v>
      </c>
      <c r="AF99" s="125">
        <v>44.6</v>
      </c>
      <c r="AG99" s="127"/>
      <c r="AH99" s="53">
        <f t="shared" si="22"/>
        <v>52.1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1406.2400000000002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2078/09/2)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819.44</v>
      </c>
      <c r="U213" s="173">
        <f t="shared" si="60"/>
        <v>778.44</v>
      </c>
      <c r="V213" s="173">
        <f t="shared" si="60"/>
        <v>765.33999999999992</v>
      </c>
      <c r="W213" s="173">
        <f t="shared" si="60"/>
        <v>760.94</v>
      </c>
      <c r="X213" s="173">
        <f t="shared" si="60"/>
        <v>773.74</v>
      </c>
      <c r="Y213" s="173">
        <f t="shared" si="60"/>
        <v>802.74</v>
      </c>
      <c r="Z213" s="173">
        <f t="shared" si="60"/>
        <v>851.54</v>
      </c>
      <c r="AA213" s="173">
        <f t="shared" si="60"/>
        <v>947.54</v>
      </c>
      <c r="AB213" s="173">
        <f t="shared" si="60"/>
        <v>1031.54</v>
      </c>
      <c r="AC213" s="173">
        <f t="shared" si="60"/>
        <v>1148.8399999999999</v>
      </c>
      <c r="AD213" s="173">
        <f t="shared" si="60"/>
        <v>1330.7400000000002</v>
      </c>
      <c r="AE213" s="173">
        <f t="shared" si="60"/>
        <v>1406.2400000000002</v>
      </c>
      <c r="AF213" s="173">
        <f t="shared" si="60"/>
        <v>1385.3400000000001</v>
      </c>
      <c r="AG213" s="173">
        <f t="shared" si="60"/>
        <v>1374.8400000000001</v>
      </c>
      <c r="AH213" s="173">
        <f t="shared" si="60"/>
        <v>1322.44</v>
      </c>
      <c r="AI213" s="173">
        <f t="shared" si="60"/>
        <v>1236.8400000000001</v>
      </c>
      <c r="AJ213" s="173">
        <f t="shared" si="60"/>
        <v>1183.24</v>
      </c>
      <c r="AK213" s="173">
        <f t="shared" si="60"/>
        <v>1181.94</v>
      </c>
      <c r="AL213" s="173">
        <f t="shared" si="60"/>
        <v>1197.6399999999999</v>
      </c>
      <c r="AM213" s="173">
        <f t="shared" si="60"/>
        <v>1200.74</v>
      </c>
      <c r="AN213" s="173">
        <f t="shared" si="60"/>
        <v>1247.44</v>
      </c>
      <c r="AO213" s="173">
        <f t="shared" si="60"/>
        <v>1328.8400000000001</v>
      </c>
      <c r="AP213" s="173">
        <f t="shared" si="60"/>
        <v>1330.2400000000002</v>
      </c>
      <c r="AQ213" s="173">
        <f t="shared" si="60"/>
        <v>1540.44</v>
      </c>
      <c r="AR213" s="173">
        <f t="shared" si="60"/>
        <v>1472.8400000000001</v>
      </c>
      <c r="AS213" s="173">
        <f t="shared" si="60"/>
        <v>1458.24</v>
      </c>
      <c r="AT213" s="173">
        <f t="shared" si="60"/>
        <v>1400.94</v>
      </c>
      <c r="AU213" s="173">
        <f t="shared" si="60"/>
        <v>1353.1399999999999</v>
      </c>
      <c r="AV213" s="173">
        <f t="shared" si="60"/>
        <v>1276.8400000000001</v>
      </c>
      <c r="AW213" s="173">
        <f t="shared" si="60"/>
        <v>1096.8399999999999</v>
      </c>
      <c r="AX213" s="173">
        <f t="shared" si="60"/>
        <v>956.63999999999987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N62:N67 P39:R39 M39:O42 O61:O67 P40:Q42 R42 P60:R67 X91:AA91 AB81:AF81 C81:R81 C56:AF56 C82:AF83 D193:AF199 B193:B199 AB84:AF91 C68:AF80 B9:AF10 B191:AF191 AF57:AF59 AG73 AB94:AF99 U212:AF212 M61:N61 M60:O60 C63:L67 C57:L61 M36:R37 N45:R48 R40:U41 U40:Z42 M53:AF55 Y85:AA90 Z40:AE43 M58:AA59 M11:AE14 M16:AF32 S36:AF36 AF12:AF14 AF43">
    <cfRule type="expression" dxfId="11545" priority="295">
      <formula>B$9&gt;=20/24</formula>
    </cfRule>
    <cfRule type="expression" dxfId="11544" priority="296">
      <formula>AND(B$9&gt;=14/24,B$9&lt;20/24)</formula>
    </cfRule>
    <cfRule type="expression" dxfId="11543" priority="297">
      <formula>AND(B$9&gt;=8/24,B$9&lt;14/24)</formula>
    </cfRule>
    <cfRule type="expression" dxfId="11542" priority="298">
      <formula>B$9&lt;8/24</formula>
    </cfRule>
  </conditionalFormatting>
  <conditionalFormatting sqref="AL4:AL6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1541" priority="290">
      <formula>M$9&gt;=20/24</formula>
    </cfRule>
    <cfRule type="expression" dxfId="11540" priority="291">
      <formula>AND(M$9&gt;=14/24,M$9&lt;20/24)</formula>
    </cfRule>
    <cfRule type="expression" dxfId="11539" priority="292">
      <formula>AND(M$9&gt;=8/24,M$9&lt;14/24)</formula>
    </cfRule>
    <cfRule type="expression" dxfId="11538" priority="293">
      <formula>M$9&lt;8/24</formula>
    </cfRule>
  </conditionalFormatting>
  <conditionalFormatting sqref="M43:R43">
    <cfRule type="expression" dxfId="11537" priority="286">
      <formula>M$9&gt;=20/24</formula>
    </cfRule>
    <cfRule type="expression" dxfId="11536" priority="287">
      <formula>AND(M$9&gt;=14/24,M$9&lt;20/24)</formula>
    </cfRule>
    <cfRule type="expression" dxfId="11535" priority="288">
      <formula>AND(M$9&gt;=8/24,M$9&lt;14/24)</formula>
    </cfRule>
    <cfRule type="expression" dxfId="11534" priority="289">
      <formula>M$9&lt;8/24</formula>
    </cfRule>
  </conditionalFormatting>
  <conditionalFormatting sqref="S39:AE39">
    <cfRule type="expression" dxfId="11533" priority="278">
      <formula>S$9&gt;=20/24</formula>
    </cfRule>
    <cfRule type="expression" dxfId="11532" priority="279">
      <formula>AND(S$9&gt;=14/24,S$9&lt;20/24)</formula>
    </cfRule>
    <cfRule type="expression" dxfId="11531" priority="280">
      <formula>AND(S$9&gt;=8/24,S$9&lt;14/24)</formula>
    </cfRule>
    <cfRule type="expression" dxfId="11530" priority="281">
      <formula>S$9&lt;8/24</formula>
    </cfRule>
  </conditionalFormatting>
  <conditionalFormatting sqref="S57:AE57">
    <cfRule type="expression" dxfId="11529" priority="274">
      <formula>S$9&gt;=20/24</formula>
    </cfRule>
    <cfRule type="expression" dxfId="11528" priority="275">
      <formula>AND(S$9&gt;=14/24,S$9&lt;20/24)</formula>
    </cfRule>
    <cfRule type="expression" dxfId="11527" priority="276">
      <formula>AND(S$9&gt;=8/24,S$9&lt;14/24)</formula>
    </cfRule>
    <cfRule type="expression" dxfId="11526" priority="277">
      <formula>S$9&lt;8/24</formula>
    </cfRule>
  </conditionalFormatting>
  <conditionalFormatting sqref="S81:AA81">
    <cfRule type="expression" dxfId="11525" priority="270">
      <formula>S$9&gt;=20/24</formula>
    </cfRule>
    <cfRule type="expression" dxfId="11524" priority="271">
      <formula>AND(S$9&gt;=14/24,S$9&lt;20/24)</formula>
    </cfRule>
    <cfRule type="expression" dxfId="11523" priority="272">
      <formula>AND(S$9&gt;=8/24,S$9&lt;14/24)</formula>
    </cfRule>
    <cfRule type="expression" dxfId="11522" priority="273">
      <formula>S$9&lt;8/24</formula>
    </cfRule>
  </conditionalFormatting>
  <conditionalFormatting sqref="V84:AA84">
    <cfRule type="expression" dxfId="11521" priority="266">
      <formula>V$9&gt;=20/24</formula>
    </cfRule>
    <cfRule type="expression" dxfId="11520" priority="267">
      <formula>AND(V$9&gt;=14/24,V$9&lt;20/24)</formula>
    </cfRule>
    <cfRule type="expression" dxfId="11519" priority="268">
      <formula>AND(V$9&gt;=8/24,V$9&lt;14/24)</formula>
    </cfRule>
    <cfRule type="expression" dxfId="11518" priority="269">
      <formula>V$9&lt;8/24</formula>
    </cfRule>
  </conditionalFormatting>
  <conditionalFormatting sqref="M35:AF35">
    <cfRule type="expression" dxfId="11517" priority="262">
      <formula>M$9&gt;=20/24</formula>
    </cfRule>
    <cfRule type="expression" dxfId="11516" priority="263">
      <formula>AND(M$9&gt;=14/24,M$9&lt;20/24)</formula>
    </cfRule>
    <cfRule type="expression" dxfId="11515" priority="264">
      <formula>AND(M$9&gt;=8/24,M$9&lt;14/24)</formula>
    </cfRule>
    <cfRule type="expression" dxfId="11514" priority="265">
      <formula>M$9&lt;8/24</formula>
    </cfRule>
  </conditionalFormatting>
  <conditionalFormatting sqref="M49:AF49">
    <cfRule type="expression" dxfId="11513" priority="258">
      <formula>M$9&gt;=20/24</formula>
    </cfRule>
    <cfRule type="expression" dxfId="11512" priority="259">
      <formula>AND(M$9&gt;=14/24,M$9&lt;20/24)</formula>
    </cfRule>
    <cfRule type="expression" dxfId="11511" priority="260">
      <formula>AND(M$9&gt;=8/24,M$9&lt;14/24)</formula>
    </cfRule>
    <cfRule type="expression" dxfId="11510" priority="261">
      <formula>M$9&lt;8/24</formula>
    </cfRule>
  </conditionalFormatting>
  <conditionalFormatting sqref="M50:R50">
    <cfRule type="expression" dxfId="11509" priority="254">
      <formula>M$9&gt;=20/24</formula>
    </cfRule>
    <cfRule type="expression" dxfId="11508" priority="255">
      <formula>AND(M$9&gt;=14/24,M$9&lt;20/24)</formula>
    </cfRule>
    <cfRule type="expression" dxfId="11507" priority="256">
      <formula>AND(M$9&gt;=8/24,M$9&lt;14/24)</formula>
    </cfRule>
    <cfRule type="expression" dxfId="11506" priority="257">
      <formula>M$9&lt;8/24</formula>
    </cfRule>
  </conditionalFormatting>
  <conditionalFormatting sqref="M45:R48">
    <cfRule type="expression" dxfId="11505" priority="250">
      <formula>M$9&gt;=20/24</formula>
    </cfRule>
    <cfRule type="expression" dxfId="11504" priority="251">
      <formula>AND(M$9&gt;=14/24,M$9&lt;20/24)</formula>
    </cfRule>
    <cfRule type="expression" dxfId="11503" priority="252">
      <formula>AND(M$9&gt;=8/24,M$9&lt;14/24)</formula>
    </cfRule>
    <cfRule type="expression" dxfId="11502" priority="253">
      <formula>M$9&lt;8/24</formula>
    </cfRule>
  </conditionalFormatting>
  <conditionalFormatting sqref="S37:AE37">
    <cfRule type="expression" dxfId="11501" priority="246">
      <formula>S$9&gt;=20/24</formula>
    </cfRule>
    <cfRule type="expression" dxfId="11500" priority="247">
      <formula>AND(S$9&gt;=14/24,S$9&lt;20/24)</formula>
    </cfRule>
    <cfRule type="expression" dxfId="11499" priority="248">
      <formula>AND(S$9&gt;=8/24,S$9&lt;14/24)</formula>
    </cfRule>
    <cfRule type="expression" dxfId="11498" priority="249">
      <formula>S$9&lt;8/24</formula>
    </cfRule>
  </conditionalFormatting>
  <conditionalFormatting sqref="S42:U43 U43:AA43 S45:AF48">
    <cfRule type="expression" dxfId="11497" priority="238">
      <formula>S$9&gt;=20/24</formula>
    </cfRule>
    <cfRule type="expression" dxfId="11496" priority="239">
      <formula>AND(S$9&gt;=14/24,S$9&lt;20/24)</formula>
    </cfRule>
    <cfRule type="expression" dxfId="11495" priority="240">
      <formula>AND(S$9&gt;=8/24,S$9&lt;14/24)</formula>
    </cfRule>
    <cfRule type="expression" dxfId="11494" priority="241">
      <formula>S$9&lt;8/24</formula>
    </cfRule>
  </conditionalFormatting>
  <conditionalFormatting sqref="S49:AF49">
    <cfRule type="expression" dxfId="11493" priority="234">
      <formula>S$9&gt;=20/24</formula>
    </cfRule>
    <cfRule type="expression" dxfId="11492" priority="235">
      <formula>AND(S$9&gt;=14/24,S$9&lt;20/24)</formula>
    </cfRule>
    <cfRule type="expression" dxfId="11491" priority="236">
      <formula>AND(S$9&gt;=8/24,S$9&lt;14/24)</formula>
    </cfRule>
    <cfRule type="expression" dxfId="11490" priority="237">
      <formula>S$9&lt;8/24</formula>
    </cfRule>
  </conditionalFormatting>
  <conditionalFormatting sqref="S50:AF50">
    <cfRule type="expression" dxfId="11489" priority="230">
      <formula>S$9&gt;=20/24</formula>
    </cfRule>
    <cfRule type="expression" dxfId="11488" priority="231">
      <formula>AND(S$9&gt;=14/24,S$9&lt;20/24)</formula>
    </cfRule>
    <cfRule type="expression" dxfId="11487" priority="232">
      <formula>AND(S$9&gt;=8/24,S$9&lt;14/24)</formula>
    </cfRule>
    <cfRule type="expression" dxfId="11486" priority="233">
      <formula>S$9&lt;8/24</formula>
    </cfRule>
  </conditionalFormatting>
  <conditionalFormatting sqref="S60:T67 U61:U67 V62:AA67 AB60:AF67">
    <cfRule type="expression" dxfId="11485" priority="226">
      <formula>S$9&gt;=20/24</formula>
    </cfRule>
    <cfRule type="expression" dxfId="11484" priority="227">
      <formula>AND(S$9&gt;=14/24,S$9&lt;20/24)</formula>
    </cfRule>
    <cfRule type="expression" dxfId="11483" priority="228">
      <formula>AND(S$9&gt;=8/24,S$9&lt;14/24)</formula>
    </cfRule>
    <cfRule type="expression" dxfId="11482" priority="229">
      <formula>S$9&lt;8/24</formula>
    </cfRule>
  </conditionalFormatting>
  <conditionalFormatting sqref="C62:L62">
    <cfRule type="expression" dxfId="11481" priority="222">
      <formula>C$9&gt;=20/24</formula>
    </cfRule>
    <cfRule type="expression" dxfId="11480" priority="223">
      <formula>AND(C$9&gt;=14/24,C$9&lt;20/24)</formula>
    </cfRule>
    <cfRule type="expression" dxfId="11479" priority="224">
      <formula>AND(C$9&gt;=8/24,C$9&lt;14/24)</formula>
    </cfRule>
    <cfRule type="expression" dxfId="11478" priority="225">
      <formula>C$9&lt;8/24</formula>
    </cfRule>
  </conditionalFormatting>
  <conditionalFormatting sqref="V94:AA97">
    <cfRule type="expression" dxfId="11477" priority="218">
      <formula>V$9&gt;=20/24</formula>
    </cfRule>
    <cfRule type="expression" dxfId="11476" priority="219">
      <formula>AND(V$9&gt;=14/24,V$9&lt;20/24)</formula>
    </cfRule>
    <cfRule type="expression" dxfId="11475" priority="220">
      <formula>AND(V$9&gt;=8/24,V$9&lt;14/24)</formula>
    </cfRule>
    <cfRule type="expression" dxfId="11474" priority="221">
      <formula>V$9&lt;8/24</formula>
    </cfRule>
  </conditionalFormatting>
  <conditionalFormatting sqref="AG51 E11:S11 M12:S14 G37:AF37 M16:AF32 T11:AF14 M34:AF36 C38:AF56">
    <cfRule type="expression" dxfId="11473" priority="217">
      <formula>C11&gt;$AG11</formula>
    </cfRule>
  </conditionalFormatting>
  <conditionalFormatting sqref="A100:A156 A84:A97 A11:A14 A16:A32 A45:A72 A80:A82 A74:A78 A35:A43 A169:A199">
    <cfRule type="expression" dxfId="11472" priority="216">
      <formula>$AH11=0</formula>
    </cfRule>
  </conditionalFormatting>
  <conditionalFormatting sqref="V98:AA98">
    <cfRule type="expression" dxfId="11471" priority="212">
      <formula>V$9&gt;=20/24</formula>
    </cfRule>
    <cfRule type="expression" dxfId="11470" priority="213">
      <formula>AND(V$9&gt;=14/24,V$9&lt;20/24)</formula>
    </cfRule>
    <cfRule type="expression" dxfId="11469" priority="214">
      <formula>AND(V$9&gt;=8/24,V$9&lt;14/24)</formula>
    </cfRule>
    <cfRule type="expression" dxfId="11468" priority="215">
      <formula>V$9&lt;8/24</formula>
    </cfRule>
  </conditionalFormatting>
  <conditionalFormatting sqref="A98">
    <cfRule type="expression" dxfId="11467" priority="211">
      <formula>$AH98=0</formula>
    </cfRule>
  </conditionalFormatting>
  <conditionalFormatting sqref="M62:M67">
    <cfRule type="expression" dxfId="11466" priority="199">
      <formula>M$9&gt;=20/24</formula>
    </cfRule>
    <cfRule type="expression" dxfId="11465" priority="200">
      <formula>AND(M$9&gt;=14/24,M$9&lt;20/24)</formula>
    </cfRule>
    <cfRule type="expression" dxfId="11464" priority="201">
      <formula>AND(M$9&gt;=8/24,M$9&lt;14/24)</formula>
    </cfRule>
    <cfRule type="expression" dxfId="11463" priority="202">
      <formula>M$9&lt;8/24</formula>
    </cfRule>
  </conditionalFormatting>
  <conditionalFormatting sqref="AL3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M34:AF34">
    <cfRule type="expression" dxfId="11462" priority="190">
      <formula>M$9&gt;=20/24</formula>
    </cfRule>
    <cfRule type="expression" dxfId="11461" priority="191">
      <formula>AND(M$9&gt;=14/24,M$9&lt;20/24)</formula>
    </cfRule>
    <cfRule type="expression" dxfId="11460" priority="192">
      <formula>AND(M$9&gt;=8/24,M$9&lt;14/24)</formula>
    </cfRule>
    <cfRule type="expression" dxfId="11459" priority="193">
      <formula>M$9&lt;8/24</formula>
    </cfRule>
  </conditionalFormatting>
  <conditionalFormatting sqref="A34">
    <cfRule type="expression" dxfId="11458" priority="185">
      <formula>$AH34=0</formula>
    </cfRule>
  </conditionalFormatting>
  <conditionalFormatting sqref="A83">
    <cfRule type="expression" dxfId="11457" priority="184">
      <formula>$AH83=0</formula>
    </cfRule>
  </conditionalFormatting>
  <conditionalFormatting sqref="M15:AF15">
    <cfRule type="expression" dxfId="11456" priority="176">
      <formula>M$9&gt;=20/24</formula>
    </cfRule>
    <cfRule type="expression" dxfId="11455" priority="177">
      <formula>AND(M$9&gt;=14/24,M$9&lt;20/24)</formula>
    </cfRule>
    <cfRule type="expression" dxfId="11454" priority="178">
      <formula>AND(M$9&gt;=8/24,M$9&lt;14/24)</formula>
    </cfRule>
    <cfRule type="expression" dxfId="11453" priority="179">
      <formula>M$9&lt;8/24</formula>
    </cfRule>
  </conditionalFormatting>
  <conditionalFormatting sqref="M15:AF15">
    <cfRule type="expression" dxfId="11452" priority="175">
      <formula>M15&gt;$AG15</formula>
    </cfRule>
  </conditionalFormatting>
  <conditionalFormatting sqref="A15">
    <cfRule type="expression" dxfId="11451" priority="174">
      <formula>$AH15=0</formula>
    </cfRule>
  </conditionalFormatting>
  <conditionalFormatting sqref="A163:A168">
    <cfRule type="expression" dxfId="11450" priority="173">
      <formula>$AH163=0</formula>
    </cfRule>
  </conditionalFormatting>
  <conditionalFormatting sqref="A157:A162">
    <cfRule type="expression" dxfId="11449" priority="172">
      <formula>$AH157=0</formula>
    </cfRule>
  </conditionalFormatting>
  <conditionalFormatting sqref="Z44:AF44">
    <cfRule type="expression" dxfId="11448" priority="168">
      <formula>Z$9&gt;=20/24</formula>
    </cfRule>
    <cfRule type="expression" dxfId="11447" priority="169">
      <formula>AND(Z$9&gt;=14/24,Z$9&lt;20/24)</formula>
    </cfRule>
    <cfRule type="expression" dxfId="11446" priority="170">
      <formula>AND(Z$9&gt;=8/24,Z$9&lt;14/24)</formula>
    </cfRule>
    <cfRule type="expression" dxfId="11445" priority="171">
      <formula>Z$9&lt;8/24</formula>
    </cfRule>
  </conditionalFormatting>
  <conditionalFormatting sqref="M44:R44">
    <cfRule type="expression" dxfId="11444" priority="164">
      <formula>M$9&gt;=20/24</formula>
    </cfRule>
    <cfRule type="expression" dxfId="11443" priority="165">
      <formula>AND(M$9&gt;=14/24,M$9&lt;20/24)</formula>
    </cfRule>
    <cfRule type="expression" dxfId="11442" priority="166">
      <formula>AND(M$9&gt;=8/24,M$9&lt;14/24)</formula>
    </cfRule>
    <cfRule type="expression" dxfId="11441" priority="167">
      <formula>M$9&lt;8/24</formula>
    </cfRule>
  </conditionalFormatting>
  <conditionalFormatting sqref="S44:AF44">
    <cfRule type="expression" dxfId="11440" priority="160">
      <formula>S$9&gt;=20/24</formula>
    </cfRule>
    <cfRule type="expression" dxfId="11439" priority="161">
      <formula>AND(S$9&gt;=14/24,S$9&lt;20/24)</formula>
    </cfRule>
    <cfRule type="expression" dxfId="11438" priority="162">
      <formula>AND(S$9&gt;=8/24,S$9&lt;14/24)</formula>
    </cfRule>
    <cfRule type="expression" dxfId="11437" priority="163">
      <formula>S$9&lt;8/24</formula>
    </cfRule>
  </conditionalFormatting>
  <conditionalFormatting sqref="A44">
    <cfRule type="expression" dxfId="11436" priority="159">
      <formula>$AH44=0</formula>
    </cfRule>
  </conditionalFormatting>
  <conditionalFormatting sqref="A79">
    <cfRule type="expression" dxfId="11435" priority="158">
      <formula>$AH79=0</formula>
    </cfRule>
  </conditionalFormatting>
  <conditionalFormatting sqref="A73">
    <cfRule type="expression" dxfId="11434" priority="157">
      <formula>$AH73=0</formula>
    </cfRule>
  </conditionalFormatting>
  <conditionalFormatting sqref="AL34:AL35 AL7:AL31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U60:V60 V61 W60:AA61">
    <cfRule type="expression" dxfId="11433" priority="153">
      <formula>U$9&gt;=20/24</formula>
    </cfRule>
    <cfRule type="expression" dxfId="11432" priority="154">
      <formula>AND(U$9&gt;=14/24,U$9&lt;20/24)</formula>
    </cfRule>
    <cfRule type="expression" dxfId="11431" priority="155">
      <formula>AND(U$9&gt;=8/24,U$9&lt;14/24)</formula>
    </cfRule>
    <cfRule type="expression" dxfId="11430" priority="156">
      <formula>U$9&lt;8/24</formula>
    </cfRule>
  </conditionalFormatting>
  <conditionalFormatting sqref="U91:W91 V85:X90">
    <cfRule type="expression" dxfId="11429" priority="149">
      <formula>U$9&gt;=20/24</formula>
    </cfRule>
    <cfRule type="expression" dxfId="11428" priority="150">
      <formula>AND(U$9&gt;=14/24,U$9&lt;20/24)</formula>
    </cfRule>
    <cfRule type="expression" dxfId="11427" priority="151">
      <formula>AND(U$9&gt;=8/24,U$9&lt;14/24)</formula>
    </cfRule>
    <cfRule type="expression" dxfId="11426" priority="152">
      <formula>U$9&lt;8/24</formula>
    </cfRule>
  </conditionalFormatting>
  <conditionalFormatting sqref="C84:R91 S85:T91 U85:U90">
    <cfRule type="expression" dxfId="11425" priority="145">
      <formula>C$9&gt;=20/24</formula>
    </cfRule>
    <cfRule type="expression" dxfId="11424" priority="146">
      <formula>AND(C$9&gt;=14/24,C$9&lt;20/24)</formula>
    </cfRule>
    <cfRule type="expression" dxfId="11423" priority="147">
      <formula>AND(C$9&gt;=8/24,C$9&lt;14/24)</formula>
    </cfRule>
    <cfRule type="expression" dxfId="11422" priority="148">
      <formula>C$9&lt;8/24</formula>
    </cfRule>
  </conditionalFormatting>
  <conditionalFormatting sqref="S84:U84">
    <cfRule type="expression" dxfId="11421" priority="141">
      <formula>S$9&gt;=20/24</formula>
    </cfRule>
    <cfRule type="expression" dxfId="11420" priority="142">
      <formula>AND(S$9&gt;=14/24,S$9&lt;20/24)</formula>
    </cfRule>
    <cfRule type="expression" dxfId="11419" priority="143">
      <formula>AND(S$9&gt;=8/24,S$9&lt;14/24)</formula>
    </cfRule>
    <cfRule type="expression" dxfId="11418" priority="144">
      <formula>S$9&lt;8/24</formula>
    </cfRule>
  </conditionalFormatting>
  <conditionalFormatting sqref="C94:F94 C95:N97">
    <cfRule type="expression" dxfId="11417" priority="137">
      <formula>C$9&gt;=20/24</formula>
    </cfRule>
    <cfRule type="expression" dxfId="11416" priority="138">
      <formula>AND(C$9&gt;=14/24,C$9&lt;20/24)</formula>
    </cfRule>
    <cfRule type="expression" dxfId="11415" priority="139">
      <formula>AND(C$9&gt;=8/24,C$9&lt;14/24)</formula>
    </cfRule>
    <cfRule type="expression" dxfId="11414" priority="140">
      <formula>C$9&lt;8/24</formula>
    </cfRule>
  </conditionalFormatting>
  <conditionalFormatting sqref="O94:R97">
    <cfRule type="expression" dxfId="11413" priority="133">
      <formula>O$9&gt;=20/24</formula>
    </cfRule>
    <cfRule type="expression" dxfId="11412" priority="134">
      <formula>AND(O$9&gt;=14/24,O$9&lt;20/24)</formula>
    </cfRule>
    <cfRule type="expression" dxfId="11411" priority="135">
      <formula>AND(O$9&gt;=8/24,O$9&lt;14/24)</formula>
    </cfRule>
    <cfRule type="expression" dxfId="11410" priority="136">
      <formula>O$9&lt;8/24</formula>
    </cfRule>
  </conditionalFormatting>
  <conditionalFormatting sqref="S94:U97">
    <cfRule type="expression" dxfId="11409" priority="129">
      <formula>S$9&gt;=20/24</formula>
    </cfRule>
    <cfRule type="expression" dxfId="11408" priority="130">
      <formula>AND(S$9&gt;=14/24,S$9&lt;20/24)</formula>
    </cfRule>
    <cfRule type="expression" dxfId="11407" priority="131">
      <formula>AND(S$9&gt;=8/24,S$9&lt;14/24)</formula>
    </cfRule>
    <cfRule type="expression" dxfId="11406" priority="132">
      <formula>S$9&lt;8/24</formula>
    </cfRule>
  </conditionalFormatting>
  <conditionalFormatting sqref="C98:N98">
    <cfRule type="expression" dxfId="11405" priority="125">
      <formula>C$9&gt;=20/24</formula>
    </cfRule>
    <cfRule type="expression" dxfId="11404" priority="126">
      <formula>AND(C$9&gt;=14/24,C$9&lt;20/24)</formula>
    </cfRule>
    <cfRule type="expression" dxfId="11403" priority="127">
      <formula>AND(C$9&gt;=8/24,C$9&lt;14/24)</formula>
    </cfRule>
    <cfRule type="expression" dxfId="11402" priority="128">
      <formula>C$9&lt;8/24</formula>
    </cfRule>
  </conditionalFormatting>
  <conditionalFormatting sqref="O98:R98">
    <cfRule type="expression" dxfId="11401" priority="121">
      <formula>O$9&gt;=20/24</formula>
    </cfRule>
    <cfRule type="expression" dxfId="11400" priority="122">
      <formula>AND(O$9&gt;=14/24,O$9&lt;20/24)</formula>
    </cfRule>
    <cfRule type="expression" dxfId="11399" priority="123">
      <formula>AND(O$9&gt;=8/24,O$9&lt;14/24)</formula>
    </cfRule>
    <cfRule type="expression" dxfId="11398" priority="124">
      <formula>O$9&lt;8/24</formula>
    </cfRule>
  </conditionalFormatting>
  <conditionalFormatting sqref="S98:U98">
    <cfRule type="expression" dxfId="11397" priority="117">
      <formula>S$9&gt;=20/24</formula>
    </cfRule>
    <cfRule type="expression" dxfId="11396" priority="118">
      <formula>AND(S$9&gt;=14/24,S$9&lt;20/24)</formula>
    </cfRule>
    <cfRule type="expression" dxfId="11395" priority="119">
      <formula>AND(S$9&gt;=8/24,S$9&lt;14/24)</formula>
    </cfRule>
    <cfRule type="expression" dxfId="11394" priority="120">
      <formula>S$9&lt;8/24</formula>
    </cfRule>
  </conditionalFormatting>
  <conditionalFormatting sqref="G94:N94">
    <cfRule type="expression" dxfId="11393" priority="109">
      <formula>G$9&gt;=20/24</formula>
    </cfRule>
    <cfRule type="expression" dxfId="11392" priority="110">
      <formula>AND(G$9&gt;=14/24,G$9&lt;20/24)</formula>
    </cfRule>
    <cfRule type="expression" dxfId="11391" priority="111">
      <formula>AND(G$9&gt;=8/24,G$9&lt;14/24)</formula>
    </cfRule>
    <cfRule type="expression" dxfId="11390" priority="112">
      <formula>G$9&lt;8/24</formula>
    </cfRule>
  </conditionalFormatting>
  <conditionalFormatting sqref="V94:X94">
    <cfRule type="expression" dxfId="11389" priority="105">
      <formula>V$9&gt;=20/24</formula>
    </cfRule>
    <cfRule type="expression" dxfId="11388" priority="106">
      <formula>AND(V$9&gt;=14/24,V$9&lt;20/24)</formula>
    </cfRule>
    <cfRule type="expression" dxfId="11387" priority="107">
      <formula>AND(V$9&gt;=8/24,V$9&lt;14/24)</formula>
    </cfRule>
    <cfRule type="expression" dxfId="11386" priority="108">
      <formula>V$9&lt;8/24</formula>
    </cfRule>
  </conditionalFormatting>
  <conditionalFormatting sqref="O94:U94">
    <cfRule type="expression" dxfId="11385" priority="101">
      <formula>O$9&gt;=20/24</formula>
    </cfRule>
    <cfRule type="expression" dxfId="11384" priority="102">
      <formula>AND(O$9&gt;=14/24,O$9&lt;20/24)</formula>
    </cfRule>
    <cfRule type="expression" dxfId="11383" priority="103">
      <formula>AND(O$9&gt;=8/24,O$9&lt;14/24)</formula>
    </cfRule>
    <cfRule type="expression" dxfId="11382" priority="104">
      <formula>O$9&lt;8/24</formula>
    </cfRule>
  </conditionalFormatting>
  <conditionalFormatting sqref="V99:AA99">
    <cfRule type="expression" dxfId="11381" priority="97">
      <formula>V$9&gt;=20/24</formula>
    </cfRule>
    <cfRule type="expression" dxfId="11380" priority="98">
      <formula>AND(V$9&gt;=14/24,V$9&lt;20/24)</formula>
    </cfRule>
    <cfRule type="expression" dxfId="11379" priority="99">
      <formula>AND(V$9&gt;=8/24,V$9&lt;14/24)</formula>
    </cfRule>
    <cfRule type="expression" dxfId="11378" priority="100">
      <formula>V$9&lt;8/24</formula>
    </cfRule>
  </conditionalFormatting>
  <conditionalFormatting sqref="C99:N99">
    <cfRule type="expression" dxfId="11377" priority="93">
      <formula>C$9&gt;=20/24</formula>
    </cfRule>
    <cfRule type="expression" dxfId="11376" priority="94">
      <formula>AND(C$9&gt;=14/24,C$9&lt;20/24)</formula>
    </cfRule>
    <cfRule type="expression" dxfId="11375" priority="95">
      <formula>AND(C$9&gt;=8/24,C$9&lt;14/24)</formula>
    </cfRule>
    <cfRule type="expression" dxfId="11374" priority="96">
      <formula>C$9&lt;8/24</formula>
    </cfRule>
  </conditionalFormatting>
  <conditionalFormatting sqref="O99:R99">
    <cfRule type="expression" dxfId="11373" priority="89">
      <formula>O$9&gt;=20/24</formula>
    </cfRule>
    <cfRule type="expression" dxfId="11372" priority="90">
      <formula>AND(O$9&gt;=14/24,O$9&lt;20/24)</formula>
    </cfRule>
    <cfRule type="expression" dxfId="11371" priority="91">
      <formula>AND(O$9&gt;=8/24,O$9&lt;14/24)</formula>
    </cfRule>
    <cfRule type="expression" dxfId="11370" priority="92">
      <formula>O$9&lt;8/24</formula>
    </cfRule>
  </conditionalFormatting>
  <conditionalFormatting sqref="S99:U99">
    <cfRule type="expression" dxfId="11369" priority="85">
      <formula>S$9&gt;=20/24</formula>
    </cfRule>
    <cfRule type="expression" dxfId="11368" priority="86">
      <formula>AND(S$9&gt;=14/24,S$9&lt;20/24)</formula>
    </cfRule>
    <cfRule type="expression" dxfId="11367" priority="87">
      <formula>AND(S$9&gt;=8/24,S$9&lt;14/24)</formula>
    </cfRule>
    <cfRule type="expression" dxfId="11366" priority="88">
      <formula>S$9&lt;8/24</formula>
    </cfRule>
  </conditionalFormatting>
  <conditionalFormatting sqref="AB58:AE59">
    <cfRule type="expression" dxfId="11365" priority="69">
      <formula>AB$9&gt;=20/24</formula>
    </cfRule>
    <cfRule type="expression" dxfId="11364" priority="70">
      <formula>AND(AB$9&gt;=14/24,AB$9&lt;20/24)</formula>
    </cfRule>
    <cfRule type="expression" dxfId="11363" priority="71">
      <formula>AND(AB$9&gt;=8/24,AB$9&lt;14/24)</formula>
    </cfRule>
    <cfRule type="expression" dxfId="11362" priority="72">
      <formula>AB$9&lt;8/24</formula>
    </cfRule>
  </conditionalFormatting>
  <conditionalFormatting sqref="AL33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361" priority="302">
      <formula>C$9&gt;=20/24</formula>
    </cfRule>
    <cfRule type="expression" dxfId="11360" priority="303">
      <formula>AND(C$9&gt;=14/24,C$9&lt;20/24)</formula>
    </cfRule>
    <cfRule type="expression" dxfId="11359" priority="304">
      <formula>AND(C$9&gt;=8/24,C$9&lt;14/24)</formula>
    </cfRule>
    <cfRule type="expression" dxfId="11358" priority="305">
      <formula>C$9&lt;8/24</formula>
    </cfRule>
  </conditionalFormatting>
  <conditionalFormatting sqref="A200">
    <cfRule type="expression" dxfId="11357" priority="306">
      <formula>$AH200=0</formula>
    </cfRule>
  </conditionalFormatting>
  <conditionalFormatting sqref="AG212">
    <cfRule type="expression" dxfId="11356" priority="307">
      <formula>B$9&gt;=20/24</formula>
    </cfRule>
    <cfRule type="expression" dxfId="11355" priority="308">
      <formula>AND(B$9&gt;=14/24,B$9&lt;20/24)</formula>
    </cfRule>
    <cfRule type="expression" dxfId="11354" priority="309">
      <formula>AND(B$9&gt;=8/24,B$9&lt;14/24)</formula>
    </cfRule>
    <cfRule type="expression" dxfId="11353" priority="310">
      <formula>B$9&lt;8/24</formula>
    </cfRule>
  </conditionalFormatting>
  <conditionalFormatting sqref="S8">
    <cfRule type="expression" dxfId="11352" priority="63">
      <formula>U$9&gt;=20/24</formula>
    </cfRule>
    <cfRule type="expression" dxfId="11351" priority="64">
      <formula>AND(U$9&gt;=14/24,U$9&lt;20/24)</formula>
    </cfRule>
    <cfRule type="expression" dxfId="11350" priority="65">
      <formula>AND(U$9&gt;=8/24,U$9&lt;14/24)</formula>
    </cfRule>
    <cfRule type="expression" dxfId="11349" priority="66">
      <formula>U$9&lt;8/24</formula>
    </cfRule>
  </conditionalFormatting>
  <conditionalFormatting sqref="AB8">
    <cfRule type="expression" dxfId="11348" priority="59">
      <formula>AD$9&gt;=20/24</formula>
    </cfRule>
    <cfRule type="expression" dxfId="11347" priority="60">
      <formula>AND(AD$9&gt;=14/24,AD$9&lt;20/24)</formula>
    </cfRule>
    <cfRule type="expression" dxfId="11346" priority="61">
      <formula>AND(AD$9&gt;=8/24,AD$9&lt;14/24)</formula>
    </cfRule>
    <cfRule type="expression" dxfId="11345" priority="62">
      <formula>AD$9&lt;8/24</formula>
    </cfRule>
  </conditionalFormatting>
  <conditionalFormatting sqref="AH212:AX212">
    <cfRule type="expression" dxfId="11344" priority="311">
      <formula>AG$9&gt;=20/24</formula>
    </cfRule>
    <cfRule type="expression" dxfId="11343" priority="312">
      <formula>AND(AG$9&gt;=14/24,AG$9&lt;20/24)</formula>
    </cfRule>
    <cfRule type="expression" dxfId="11342" priority="313">
      <formula>AND(AG$9&gt;=8/24,AG$9&lt;14/24)</formula>
    </cfRule>
    <cfRule type="expression" dxfId="11341" priority="314">
      <formula>AG$9&lt;8/24</formula>
    </cfRule>
  </conditionalFormatting>
  <conditionalFormatting sqref="T212">
    <cfRule type="expression" dxfId="11340" priority="315">
      <formula>AX$9&gt;=20/24</formula>
    </cfRule>
    <cfRule type="expression" dxfId="11339" priority="316">
      <formula>AND(AX$9&gt;=14/24,AX$9&lt;20/24)</formula>
    </cfRule>
    <cfRule type="expression" dxfId="11338" priority="317">
      <formula>AND(AX$9&gt;=8/24,AX$9&lt;14/24)</formula>
    </cfRule>
    <cfRule type="expression" dxfId="11337" priority="318">
      <formula>AX$9&lt;8/24</formula>
    </cfRule>
  </conditionalFormatting>
  <conditionalFormatting sqref="A99">
    <cfRule type="expression" dxfId="11336" priority="58">
      <formula>$AH99=0</formula>
    </cfRule>
  </conditionalFormatting>
  <conditionalFormatting sqref="M33:AF33">
    <cfRule type="expression" dxfId="11335" priority="54">
      <formula>M$9&gt;=20/24</formula>
    </cfRule>
    <cfRule type="expression" dxfId="11334" priority="55">
      <formula>AND(M$9&gt;=14/24,M$9&lt;20/24)</formula>
    </cfRule>
    <cfRule type="expression" dxfId="11333" priority="56">
      <formula>AND(M$9&gt;=8/24,M$9&lt;14/24)</formula>
    </cfRule>
    <cfRule type="expression" dxfId="11332" priority="57">
      <formula>M$9&lt;8/24</formula>
    </cfRule>
  </conditionalFormatting>
  <conditionalFormatting sqref="M33:AF33">
    <cfRule type="expression" dxfId="11331" priority="45">
      <formula>M33&gt;$AG33</formula>
    </cfRule>
  </conditionalFormatting>
  <conditionalFormatting sqref="B94:B99 B53:B91 B11:D11">
    <cfRule type="expression" dxfId="11330" priority="41">
      <formula>B$9&gt;=20/24</formula>
    </cfRule>
    <cfRule type="expression" dxfId="11329" priority="42">
      <formula>AND(B$9&gt;=14/24,B$9&lt;20/24)</formula>
    </cfRule>
    <cfRule type="expression" dxfId="11328" priority="43">
      <formula>AND(B$9&gt;=8/24,B$9&lt;14/24)</formula>
    </cfRule>
    <cfRule type="expression" dxfId="11327" priority="44">
      <formula>B$9&lt;8/24</formula>
    </cfRule>
  </conditionalFormatting>
  <conditionalFormatting sqref="B38:B56 B11:D11">
    <cfRule type="expression" dxfId="11326" priority="40">
      <formula>B11&gt;$AG11</formula>
    </cfRule>
  </conditionalFormatting>
  <conditionalFormatting sqref="B18:L30 B36:L36">
    <cfRule type="expression" dxfId="11325" priority="36">
      <formula>B$9&gt;=20/24</formula>
    </cfRule>
    <cfRule type="expression" dxfId="11324" priority="37">
      <formula>AND(B$9&gt;=14/24,B$9&lt;20/24)</formula>
    </cfRule>
    <cfRule type="expression" dxfId="11323" priority="38">
      <formula>AND(B$9&gt;=8/24,B$9&lt;14/24)</formula>
    </cfRule>
    <cfRule type="expression" dxfId="11322" priority="39">
      <formula>B$9&lt;8/24</formula>
    </cfRule>
  </conditionalFormatting>
  <conditionalFormatting sqref="B37:F37">
    <cfRule type="expression" dxfId="11321" priority="32">
      <formula>B$9&gt;=20/24</formula>
    </cfRule>
    <cfRule type="expression" dxfId="11320" priority="33">
      <formula>AND(B$9&gt;=14/24,B$9&lt;20/24)</formula>
    </cfRule>
    <cfRule type="expression" dxfId="11319" priority="34">
      <formula>AND(B$9&gt;=8/24,B$9&lt;14/24)</formula>
    </cfRule>
    <cfRule type="expression" dxfId="11318" priority="35">
      <formula>B$9&lt;8/24</formula>
    </cfRule>
  </conditionalFormatting>
  <conditionalFormatting sqref="B31:L32 B35:L35">
    <cfRule type="expression" dxfId="11317" priority="28">
      <formula>B$9&gt;=20/24</formula>
    </cfRule>
    <cfRule type="expression" dxfId="11316" priority="29">
      <formula>AND(B$9&gt;=14/24,B$9&lt;20/24)</formula>
    </cfRule>
    <cfRule type="expression" dxfId="11315" priority="30">
      <formula>AND(B$9&gt;=8/24,B$9&lt;14/24)</formula>
    </cfRule>
    <cfRule type="expression" dxfId="11314" priority="31">
      <formula>B$9&lt;8/24</formula>
    </cfRule>
  </conditionalFormatting>
  <conditionalFormatting sqref="B34:F37 B18:L32 G34:L36">
    <cfRule type="expression" dxfId="11313" priority="27">
      <formula>B18&gt;$AG18</formula>
    </cfRule>
  </conditionalFormatting>
  <conditionalFormatting sqref="B34:L34">
    <cfRule type="expression" dxfId="11312" priority="23">
      <formula>B$9&gt;=20/24</formula>
    </cfRule>
    <cfRule type="expression" dxfId="11311" priority="24">
      <formula>AND(B$9&gt;=14/24,B$9&lt;20/24)</formula>
    </cfRule>
    <cfRule type="expression" dxfId="11310" priority="25">
      <formula>AND(B$9&gt;=8/24,B$9&lt;14/24)</formula>
    </cfRule>
    <cfRule type="expression" dxfId="11309" priority="26">
      <formula>B$9&lt;8/24</formula>
    </cfRule>
  </conditionalFormatting>
  <conditionalFormatting sqref="B12:L16">
    <cfRule type="expression" dxfId="11308" priority="19">
      <formula>B$9&gt;=20/24</formula>
    </cfRule>
    <cfRule type="expression" dxfId="11307" priority="20">
      <formula>AND(B$9&gt;=14/24,B$9&lt;20/24)</formula>
    </cfRule>
    <cfRule type="expression" dxfId="11306" priority="21">
      <formula>AND(B$9&gt;=8/24,B$9&lt;14/24)</formula>
    </cfRule>
    <cfRule type="expression" dxfId="11305" priority="22">
      <formula>B$9&lt;8/24</formula>
    </cfRule>
  </conditionalFormatting>
  <conditionalFormatting sqref="B17:L17">
    <cfRule type="expression" dxfId="11304" priority="15">
      <formula>B$9&gt;=20/24</formula>
    </cfRule>
    <cfRule type="expression" dxfId="11303" priority="16">
      <formula>AND(B$9&gt;=14/24,B$9&lt;20/24)</formula>
    </cfRule>
    <cfRule type="expression" dxfId="11302" priority="17">
      <formula>AND(B$9&gt;=8/24,B$9&lt;14/24)</formula>
    </cfRule>
    <cfRule type="expression" dxfId="11301" priority="18">
      <formula>B$9&lt;8/24</formula>
    </cfRule>
  </conditionalFormatting>
  <conditionalFormatting sqref="B12:L13">
    <cfRule type="expression" dxfId="11300" priority="11">
      <formula>B$9&gt;=20/24</formula>
    </cfRule>
    <cfRule type="expression" dxfId="11299" priority="12">
      <formula>AND(B$9&gt;=14/24,B$9&lt;20/24)</formula>
    </cfRule>
    <cfRule type="expression" dxfId="11298" priority="13">
      <formula>AND(B$9&gt;=8/24,B$9&lt;14/24)</formula>
    </cfRule>
    <cfRule type="expression" dxfId="11297" priority="14">
      <formula>B$9&lt;8/24</formula>
    </cfRule>
  </conditionalFormatting>
  <conditionalFormatting sqref="B33:L33">
    <cfRule type="expression" dxfId="11296" priority="7">
      <formula>B$9&gt;=20/24</formula>
    </cfRule>
    <cfRule type="expression" dxfId="11295" priority="8">
      <formula>AND(B$9&gt;=14/24,B$9&lt;20/24)</formula>
    </cfRule>
    <cfRule type="expression" dxfId="11294" priority="9">
      <formula>AND(B$9&gt;=8/24,B$9&lt;14/24)</formula>
    </cfRule>
    <cfRule type="expression" dxfId="11293" priority="10">
      <formula>B$9&lt;8/24</formula>
    </cfRule>
  </conditionalFormatting>
  <conditionalFormatting sqref="B33:L33">
    <cfRule type="expression" dxfId="11292" priority="6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8" id="{61B27176-5388-4DB9-929C-463659EC43D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O27" sqref="O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2078/09/3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301.89999999999998</v>
      </c>
      <c r="C5" s="32">
        <f t="shared" si="0"/>
        <v>266.89999999999998</v>
      </c>
      <c r="D5" s="32">
        <f t="shared" si="0"/>
        <v>248.2</v>
      </c>
      <c r="E5" s="32">
        <f t="shared" si="0"/>
        <v>248.5</v>
      </c>
      <c r="F5" s="32">
        <f t="shared" si="0"/>
        <v>248.38</v>
      </c>
      <c r="G5" s="32">
        <f t="shared" si="0"/>
        <v>244.6</v>
      </c>
      <c r="H5" s="32">
        <f t="shared" si="0"/>
        <v>381.3</v>
      </c>
      <c r="I5" s="32">
        <f t="shared" si="0"/>
        <v>420.3</v>
      </c>
      <c r="J5" s="32">
        <f t="shared" si="0"/>
        <v>300.10000000000002</v>
      </c>
      <c r="K5" s="32">
        <f t="shared" si="0"/>
        <v>286.2</v>
      </c>
      <c r="L5" s="32">
        <f t="shared" si="0"/>
        <v>209.89999999999998</v>
      </c>
      <c r="M5" s="32">
        <f t="shared" si="0"/>
        <v>306.39999999999998</v>
      </c>
      <c r="N5" s="32">
        <f t="shared" si="0"/>
        <v>490.9</v>
      </c>
      <c r="O5" s="32">
        <f t="shared" si="0"/>
        <v>489.1</v>
      </c>
      <c r="P5" s="32">
        <f t="shared" si="0"/>
        <v>481.00000000000006</v>
      </c>
      <c r="Q5" s="32">
        <f t="shared" si="0"/>
        <v>480.5</v>
      </c>
      <c r="R5" s="32">
        <f t="shared" si="0"/>
        <v>494.2</v>
      </c>
      <c r="S5" s="32">
        <f t="shared" si="0"/>
        <v>542</v>
      </c>
      <c r="T5" s="32">
        <f t="shared" si="0"/>
        <v>515.4</v>
      </c>
      <c r="U5" s="32">
        <f t="shared" si="0"/>
        <v>324.20000000000005</v>
      </c>
      <c r="V5" s="32">
        <f t="shared" si="0"/>
        <v>369.20000000000005</v>
      </c>
      <c r="W5" s="32">
        <f t="shared" si="0"/>
        <v>343.8</v>
      </c>
      <c r="X5" s="32">
        <f t="shared" si="0"/>
        <v>357.09999999999997</v>
      </c>
      <c r="Y5" s="32">
        <f t="shared" si="0"/>
        <v>320.10000000000002</v>
      </c>
      <c r="Z5" s="32">
        <f t="shared" si="0"/>
        <v>369.4</v>
      </c>
      <c r="AA5" s="32">
        <f t="shared" si="0"/>
        <v>460.1</v>
      </c>
      <c r="AB5" s="32">
        <f t="shared" si="0"/>
        <v>440.09999999999997</v>
      </c>
      <c r="AC5" s="32">
        <f t="shared" si="0"/>
        <v>439.5</v>
      </c>
      <c r="AD5" s="32">
        <f t="shared" si="0"/>
        <v>324</v>
      </c>
      <c r="AE5" s="32">
        <f t="shared" si="0"/>
        <v>231.7</v>
      </c>
      <c r="AF5" s="32">
        <f>B68</f>
        <v>316.39999999999998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1501MW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Load=886</v>
      </c>
      <c r="B7" s="37">
        <f>B75</f>
        <v>936.93999999999994</v>
      </c>
      <c r="C7" s="37">
        <f t="shared" ref="C7:AF7" si="1">C75</f>
        <v>930.14</v>
      </c>
      <c r="D7" s="37">
        <f t="shared" si="1"/>
        <v>889.24</v>
      </c>
      <c r="E7" s="37">
        <f t="shared" si="1"/>
        <v>902.24</v>
      </c>
      <c r="F7" s="37">
        <f t="shared" si="1"/>
        <v>885.63999999999987</v>
      </c>
      <c r="G7" s="37">
        <f t="shared" si="1"/>
        <v>913.42</v>
      </c>
      <c r="H7" s="37">
        <f t="shared" si="1"/>
        <v>973.94</v>
      </c>
      <c r="I7" s="37">
        <f t="shared" si="1"/>
        <v>1057.6399999999999</v>
      </c>
      <c r="J7" s="37">
        <f t="shared" si="1"/>
        <v>1155.8400000000001</v>
      </c>
      <c r="K7" s="37">
        <f t="shared" si="1"/>
        <v>1288.24</v>
      </c>
      <c r="L7" s="37">
        <f t="shared" si="1"/>
        <v>1394.3400000000001</v>
      </c>
      <c r="M7" s="37">
        <f t="shared" si="1"/>
        <v>1501.3400000000001</v>
      </c>
      <c r="N7" s="37">
        <f t="shared" si="1"/>
        <v>1484.54</v>
      </c>
      <c r="O7" s="37">
        <f t="shared" si="1"/>
        <v>1469.84</v>
      </c>
      <c r="P7" s="37">
        <f t="shared" si="1"/>
        <v>1416.94</v>
      </c>
      <c r="Q7" s="37">
        <f t="shared" si="1"/>
        <v>1339.04</v>
      </c>
      <c r="R7" s="37">
        <f t="shared" si="1"/>
        <v>1306.4399999999998</v>
      </c>
      <c r="S7" s="37">
        <f t="shared" si="1"/>
        <v>1290.94</v>
      </c>
      <c r="T7" s="37">
        <f t="shared" si="1"/>
        <v>1312.1399999999999</v>
      </c>
      <c r="U7" s="37">
        <f t="shared" si="1"/>
        <v>1305.24</v>
      </c>
      <c r="V7" s="37">
        <f t="shared" si="1"/>
        <v>1344.04</v>
      </c>
      <c r="W7" s="37">
        <f t="shared" si="1"/>
        <v>1490.04</v>
      </c>
      <c r="X7" s="37">
        <f t="shared" si="1"/>
        <v>1621.94</v>
      </c>
      <c r="Y7" s="37">
        <f t="shared" si="1"/>
        <v>1645.0400000000002</v>
      </c>
      <c r="Z7" s="37">
        <f t="shared" si="1"/>
        <v>1577.8400000000001</v>
      </c>
      <c r="AA7" s="37">
        <f t="shared" si="1"/>
        <v>1542.6399999999999</v>
      </c>
      <c r="AB7" s="37">
        <f t="shared" si="1"/>
        <v>1486.04</v>
      </c>
      <c r="AC7" s="37">
        <f t="shared" si="1"/>
        <v>1443.7</v>
      </c>
      <c r="AD7" s="37">
        <f t="shared" si="1"/>
        <v>1216.44</v>
      </c>
      <c r="AE7" s="37">
        <f t="shared" si="1"/>
        <v>1085.94</v>
      </c>
      <c r="AF7" s="37">
        <f t="shared" si="1"/>
        <v>1008.6400000000001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</v>
      </c>
      <c r="C11" s="49">
        <v>76</v>
      </c>
      <c r="D11" s="49">
        <v>47</v>
      </c>
      <c r="E11" s="49">
        <v>55</v>
      </c>
      <c r="F11" s="49">
        <v>40</v>
      </c>
      <c r="G11" s="49">
        <v>50</v>
      </c>
      <c r="H11" s="49">
        <v>70</v>
      </c>
      <c r="I11" s="49">
        <v>30</v>
      </c>
      <c r="J11" s="49">
        <v>40</v>
      </c>
      <c r="K11" s="49">
        <v>200</v>
      </c>
      <c r="L11" s="49">
        <v>240</v>
      </c>
      <c r="M11" s="50">
        <v>380</v>
      </c>
      <c r="N11" s="50">
        <v>300</v>
      </c>
      <c r="O11" s="50">
        <v>110</v>
      </c>
      <c r="P11" s="50">
        <v>100</v>
      </c>
      <c r="Q11" s="50">
        <v>80</v>
      </c>
      <c r="R11" s="177">
        <v>70</v>
      </c>
      <c r="S11" s="50">
        <v>60</v>
      </c>
      <c r="T11" s="50">
        <v>60</v>
      </c>
      <c r="U11" s="50">
        <v>70</v>
      </c>
      <c r="V11" s="50">
        <v>240</v>
      </c>
      <c r="W11" s="50">
        <v>270</v>
      </c>
      <c r="X11" s="50">
        <v>373</v>
      </c>
      <c r="Y11" s="50">
        <v>360</v>
      </c>
      <c r="Z11" s="51">
        <v>330</v>
      </c>
      <c r="AA11" s="50">
        <v>250</v>
      </c>
      <c r="AB11" s="50">
        <v>106</v>
      </c>
      <c r="AC11" s="50">
        <v>100</v>
      </c>
      <c r="AD11" s="50">
        <v>30</v>
      </c>
      <c r="AE11" s="50">
        <v>15</v>
      </c>
      <c r="AF11" s="50">
        <v>30</v>
      </c>
      <c r="AG11" s="52">
        <v>456</v>
      </c>
      <c r="AH11" s="53">
        <f>MAX(B11:AF11)</f>
        <v>380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57">
        <v>40</v>
      </c>
      <c r="T12" s="57">
        <v>40</v>
      </c>
      <c r="U12" s="57">
        <v>40</v>
      </c>
      <c r="V12" s="57">
        <v>40</v>
      </c>
      <c r="W12" s="57">
        <v>40</v>
      </c>
      <c r="X12" s="57">
        <v>40</v>
      </c>
      <c r="Y12" s="57">
        <v>42</v>
      </c>
      <c r="Z12" s="50">
        <v>40</v>
      </c>
      <c r="AA12" s="50">
        <v>40</v>
      </c>
      <c r="AB12" s="50">
        <v>40</v>
      </c>
      <c r="AC12" s="50">
        <v>40</v>
      </c>
      <c r="AD12" s="50">
        <v>40</v>
      </c>
      <c r="AE12" s="50">
        <v>40</v>
      </c>
      <c r="AF12" s="50">
        <v>40</v>
      </c>
      <c r="AG12" s="58">
        <v>60</v>
      </c>
      <c r="AH12" s="53">
        <f t="shared" ref="AH12:AH75" si="2">MAX(B12:AF12)</f>
        <v>42</v>
      </c>
      <c r="AI12" s="54">
        <f t="shared" ref="AI12:AI75" si="3">MIN(B12:AF12)</f>
        <v>40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21.8</v>
      </c>
      <c r="C13" s="49">
        <v>21.8</v>
      </c>
      <c r="D13" s="49">
        <v>21.8</v>
      </c>
      <c r="E13" s="49">
        <v>22.3</v>
      </c>
      <c r="F13" s="49">
        <v>22.3</v>
      </c>
      <c r="G13" s="49">
        <v>22.5</v>
      </c>
      <c r="H13" s="49">
        <v>22.5</v>
      </c>
      <c r="I13" s="49">
        <v>22.5</v>
      </c>
      <c r="J13" s="49">
        <v>22.6</v>
      </c>
      <c r="K13" s="49">
        <v>22.6</v>
      </c>
      <c r="L13" s="49">
        <v>22.6</v>
      </c>
      <c r="M13" s="49">
        <v>22.5</v>
      </c>
      <c r="N13" s="49">
        <v>22.5</v>
      </c>
      <c r="O13" s="49">
        <v>22.5</v>
      </c>
      <c r="P13" s="49">
        <v>22.5</v>
      </c>
      <c r="Q13" s="49">
        <v>22.9</v>
      </c>
      <c r="R13" s="49">
        <v>22.9</v>
      </c>
      <c r="S13" s="57">
        <v>20.9</v>
      </c>
      <c r="T13" s="57">
        <v>22.2</v>
      </c>
      <c r="U13" s="57">
        <v>22.2</v>
      </c>
      <c r="V13" s="57">
        <v>22.2</v>
      </c>
      <c r="W13" s="57">
        <v>22.2</v>
      </c>
      <c r="X13" s="57">
        <v>22.2</v>
      </c>
      <c r="Y13" s="57">
        <v>22.2</v>
      </c>
      <c r="Z13" s="57">
        <v>22.2</v>
      </c>
      <c r="AA13" s="50">
        <v>23.2</v>
      </c>
      <c r="AB13" s="50">
        <v>22.2</v>
      </c>
      <c r="AC13" s="50">
        <v>22.2</v>
      </c>
      <c r="AD13" s="50">
        <v>22.2</v>
      </c>
      <c r="AE13" s="50">
        <v>22.2</v>
      </c>
      <c r="AF13" s="50">
        <v>22.2</v>
      </c>
      <c r="AG13" s="58">
        <v>52.4</v>
      </c>
      <c r="AH13" s="53">
        <f t="shared" si="2"/>
        <v>23.2</v>
      </c>
      <c r="AI13" s="54">
        <f t="shared" si="3"/>
        <v>20.9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0">
        <v>41.9</v>
      </c>
      <c r="C14" s="50">
        <v>41.9</v>
      </c>
      <c r="D14" s="50">
        <v>41.9</v>
      </c>
      <c r="E14" s="50">
        <v>40.6</v>
      </c>
      <c r="F14" s="50">
        <v>40.6</v>
      </c>
      <c r="G14" s="50">
        <v>40.6</v>
      </c>
      <c r="H14" s="50">
        <v>40.6</v>
      </c>
      <c r="I14" s="50">
        <v>40.6</v>
      </c>
      <c r="J14" s="50">
        <v>40.700000000000003</v>
      </c>
      <c r="K14" s="50">
        <v>40.700000000000003</v>
      </c>
      <c r="L14" s="50">
        <v>40.700000000000003</v>
      </c>
      <c r="M14" s="50">
        <v>42.2</v>
      </c>
      <c r="N14" s="50">
        <v>42.2</v>
      </c>
      <c r="O14" s="50">
        <v>42.2</v>
      </c>
      <c r="P14" s="50">
        <v>42.2</v>
      </c>
      <c r="Q14" s="50">
        <v>42.2</v>
      </c>
      <c r="R14" s="50">
        <v>42.2</v>
      </c>
      <c r="S14" s="59">
        <v>42</v>
      </c>
      <c r="T14" s="59">
        <v>41.8</v>
      </c>
      <c r="U14" s="59">
        <v>41.8</v>
      </c>
      <c r="V14" s="59">
        <v>41.8</v>
      </c>
      <c r="W14" s="59">
        <v>41.8</v>
      </c>
      <c r="X14" s="59">
        <v>41.8</v>
      </c>
      <c r="Y14" s="59">
        <v>41.6</v>
      </c>
      <c r="Z14" s="59">
        <v>41.6</v>
      </c>
      <c r="AA14" s="50">
        <v>41.9</v>
      </c>
      <c r="AB14" s="50">
        <v>41.8</v>
      </c>
      <c r="AC14" s="50">
        <v>41.8</v>
      </c>
      <c r="AD14" s="50">
        <v>41.8</v>
      </c>
      <c r="AE14" s="50">
        <v>41.8</v>
      </c>
      <c r="AF14" s="50">
        <v>41.8</v>
      </c>
      <c r="AG14" s="58">
        <v>50</v>
      </c>
      <c r="AH14" s="53">
        <f t="shared" si="2"/>
        <v>42.2</v>
      </c>
      <c r="AI14" s="54">
        <f t="shared" si="3"/>
        <v>40.6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0">
        <v>22.1</v>
      </c>
      <c r="C15" s="50">
        <v>22.1</v>
      </c>
      <c r="D15" s="50">
        <v>22.1</v>
      </c>
      <c r="E15" s="50">
        <v>23</v>
      </c>
      <c r="F15" s="50">
        <v>23</v>
      </c>
      <c r="G15" s="50">
        <v>23.1</v>
      </c>
      <c r="H15" s="50">
        <v>23.1</v>
      </c>
      <c r="I15" s="50">
        <v>23.1</v>
      </c>
      <c r="J15" s="50">
        <v>23.1</v>
      </c>
      <c r="K15" s="50">
        <v>23.1</v>
      </c>
      <c r="L15" s="50">
        <v>23.1</v>
      </c>
      <c r="M15" s="50">
        <v>22</v>
      </c>
      <c r="N15" s="50">
        <v>22</v>
      </c>
      <c r="O15" s="50">
        <v>22</v>
      </c>
      <c r="P15" s="50">
        <v>22</v>
      </c>
      <c r="Q15" s="50">
        <v>22</v>
      </c>
      <c r="R15" s="50">
        <v>22</v>
      </c>
      <c r="S15" s="59">
        <v>23</v>
      </c>
      <c r="T15" s="59">
        <v>22.9</v>
      </c>
      <c r="U15" s="59">
        <v>22.9</v>
      </c>
      <c r="V15" s="59">
        <v>22.9</v>
      </c>
      <c r="W15" s="59">
        <v>22.9</v>
      </c>
      <c r="X15" s="59">
        <v>22.9</v>
      </c>
      <c r="Y15" s="59">
        <v>23.1</v>
      </c>
      <c r="Z15" s="59">
        <v>23.1</v>
      </c>
      <c r="AA15" s="50">
        <v>23.2</v>
      </c>
      <c r="AB15" s="50">
        <v>23.2</v>
      </c>
      <c r="AC15" s="50">
        <v>23.2</v>
      </c>
      <c r="AD15" s="50">
        <v>23.2</v>
      </c>
      <c r="AE15" s="50">
        <v>23.2</v>
      </c>
      <c r="AF15" s="50">
        <v>23.2</v>
      </c>
      <c r="AG15" s="61">
        <v>45</v>
      </c>
      <c r="AH15" s="53">
        <f t="shared" si="2"/>
        <v>23.2</v>
      </c>
      <c r="AI15" s="54">
        <f t="shared" si="3"/>
        <v>22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12</v>
      </c>
      <c r="C16" s="50">
        <v>12</v>
      </c>
      <c r="D16" s="50">
        <v>12</v>
      </c>
      <c r="E16" s="50">
        <v>12</v>
      </c>
      <c r="F16" s="50">
        <v>12</v>
      </c>
      <c r="G16" s="50">
        <v>12</v>
      </c>
      <c r="H16" s="50">
        <v>12</v>
      </c>
      <c r="I16" s="50">
        <v>12</v>
      </c>
      <c r="J16" s="50">
        <v>12</v>
      </c>
      <c r="K16" s="50">
        <v>12</v>
      </c>
      <c r="L16" s="50">
        <v>12</v>
      </c>
      <c r="M16" s="50">
        <v>12</v>
      </c>
      <c r="N16" s="50">
        <v>12</v>
      </c>
      <c r="O16" s="50">
        <v>12</v>
      </c>
      <c r="P16" s="50">
        <v>12</v>
      </c>
      <c r="Q16" s="50">
        <v>11</v>
      </c>
      <c r="R16" s="50">
        <v>11</v>
      </c>
      <c r="S16" s="62">
        <v>11</v>
      </c>
      <c r="T16" s="62">
        <v>11</v>
      </c>
      <c r="U16" s="62">
        <v>11</v>
      </c>
      <c r="V16" s="62">
        <v>11</v>
      </c>
      <c r="W16" s="62">
        <v>11</v>
      </c>
      <c r="X16" s="62">
        <v>11</v>
      </c>
      <c r="Y16" s="62">
        <v>10</v>
      </c>
      <c r="Z16" s="62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12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9">
        <v>10</v>
      </c>
      <c r="T17" s="59">
        <v>10</v>
      </c>
      <c r="U17" s="59">
        <v>10</v>
      </c>
      <c r="V17" s="59">
        <v>10</v>
      </c>
      <c r="W17" s="59">
        <v>10</v>
      </c>
      <c r="X17" s="59">
        <v>10</v>
      </c>
      <c r="Y17" s="59">
        <v>10</v>
      </c>
      <c r="Z17" s="59">
        <v>10</v>
      </c>
      <c r="AA17" s="59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8">
        <v>42</v>
      </c>
      <c r="AH17" s="53">
        <f t="shared" si="2"/>
        <v>10</v>
      </c>
      <c r="AI17" s="54">
        <f t="shared" si="3"/>
        <v>10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8">
        <v>36</v>
      </c>
      <c r="AH18" s="53">
        <f t="shared" si="2"/>
        <v>10</v>
      </c>
      <c r="AI18" s="54">
        <f t="shared" si="3"/>
        <v>10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10.3</v>
      </c>
      <c r="C19" s="50">
        <v>10.3</v>
      </c>
      <c r="D19" s="50">
        <v>10.3</v>
      </c>
      <c r="E19" s="50">
        <v>10.6</v>
      </c>
      <c r="F19" s="50">
        <v>10.6</v>
      </c>
      <c r="G19" s="50">
        <v>10.199999999999999</v>
      </c>
      <c r="H19" s="50">
        <v>10.199999999999999</v>
      </c>
      <c r="I19" s="50">
        <v>10.199999999999999</v>
      </c>
      <c r="J19" s="50">
        <v>10.199999999999999</v>
      </c>
      <c r="K19" s="50">
        <v>10.199999999999999</v>
      </c>
      <c r="L19" s="50">
        <v>10.199999999999999</v>
      </c>
      <c r="M19" s="50">
        <v>10.199999999999999</v>
      </c>
      <c r="N19" s="50">
        <v>10.199999999999999</v>
      </c>
      <c r="O19" s="50">
        <v>10.199999999999999</v>
      </c>
      <c r="P19" s="50">
        <v>10.199999999999999</v>
      </c>
      <c r="Q19" s="50">
        <v>10.199999999999999</v>
      </c>
      <c r="R19" s="50">
        <v>10.199999999999999</v>
      </c>
      <c r="S19" s="50">
        <v>10.199999999999999</v>
      </c>
      <c r="T19" s="50">
        <v>10.199999999999999</v>
      </c>
      <c r="U19" s="50">
        <v>10.199999999999999</v>
      </c>
      <c r="V19" s="50">
        <v>10.199999999999999</v>
      </c>
      <c r="W19" s="50">
        <v>10.199999999999999</v>
      </c>
      <c r="X19" s="50">
        <v>10.199999999999999</v>
      </c>
      <c r="Y19" s="50">
        <v>10.199999999999999</v>
      </c>
      <c r="Z19" s="50">
        <v>10.199999999999999</v>
      </c>
      <c r="AA19" s="50">
        <v>10.199999999999999</v>
      </c>
      <c r="AB19" s="50">
        <v>10.199999999999999</v>
      </c>
      <c r="AC19" s="50">
        <v>10.199999999999999</v>
      </c>
      <c r="AD19" s="50">
        <v>10.199999999999999</v>
      </c>
      <c r="AE19" s="50">
        <v>10.199999999999999</v>
      </c>
      <c r="AF19" s="50">
        <v>10.199999999999999</v>
      </c>
      <c r="AG19" s="58">
        <v>30</v>
      </c>
      <c r="AH19" s="53">
        <f t="shared" si="2"/>
        <v>10.6</v>
      </c>
      <c r="AI19" s="54">
        <f t="shared" si="3"/>
        <v>10.199999999999999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72">
        <v>8.5</v>
      </c>
      <c r="C21" s="72">
        <v>8.5</v>
      </c>
      <c r="D21" s="72">
        <v>8.5</v>
      </c>
      <c r="E21" s="72">
        <v>8.5</v>
      </c>
      <c r="F21" s="72">
        <v>8.5</v>
      </c>
      <c r="G21" s="72">
        <v>8.5</v>
      </c>
      <c r="H21" s="72">
        <v>8.5</v>
      </c>
      <c r="I21" s="72">
        <v>8.5</v>
      </c>
      <c r="J21" s="72">
        <v>8.5</v>
      </c>
      <c r="K21" s="72">
        <v>8.5</v>
      </c>
      <c r="L21" s="72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12.1</v>
      </c>
      <c r="C22" s="50">
        <v>12.1</v>
      </c>
      <c r="D22" s="50">
        <v>12.1</v>
      </c>
      <c r="E22" s="50">
        <v>12.4</v>
      </c>
      <c r="F22" s="50">
        <v>12.4</v>
      </c>
      <c r="G22" s="50">
        <v>12.6</v>
      </c>
      <c r="H22" s="50">
        <v>12.6</v>
      </c>
      <c r="I22" s="50">
        <v>12.6</v>
      </c>
      <c r="J22" s="50">
        <v>12.2</v>
      </c>
      <c r="K22" s="50">
        <v>12.2</v>
      </c>
      <c r="L22" s="50">
        <v>12.2</v>
      </c>
      <c r="M22" s="50">
        <v>12.2</v>
      </c>
      <c r="N22" s="50">
        <v>12.2</v>
      </c>
      <c r="O22" s="50">
        <v>12.2</v>
      </c>
      <c r="P22" s="50">
        <v>12.2</v>
      </c>
      <c r="Q22" s="50">
        <v>12.2</v>
      </c>
      <c r="R22" s="50">
        <v>12.2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18.2</v>
      </c>
      <c r="Z22" s="50">
        <v>18.2</v>
      </c>
      <c r="AA22" s="50">
        <v>18.2</v>
      </c>
      <c r="AB22" s="50">
        <v>18.2</v>
      </c>
      <c r="AC22" s="50">
        <v>18.2</v>
      </c>
      <c r="AD22" s="50">
        <v>18.2</v>
      </c>
      <c r="AE22" s="50">
        <v>18.2</v>
      </c>
      <c r="AF22" s="50">
        <v>18.2</v>
      </c>
      <c r="AG22" s="58">
        <v>25</v>
      </c>
      <c r="AH22" s="53">
        <f t="shared" si="2"/>
        <v>18.2</v>
      </c>
      <c r="AI22" s="54">
        <f t="shared" si="3"/>
        <v>11.7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11</v>
      </c>
      <c r="C24" s="50">
        <v>11</v>
      </c>
      <c r="D24" s="50">
        <v>11</v>
      </c>
      <c r="E24" s="50">
        <v>11.7</v>
      </c>
      <c r="F24" s="50">
        <v>11.7</v>
      </c>
      <c r="G24" s="50">
        <v>11.9</v>
      </c>
      <c r="H24" s="50">
        <v>11.8</v>
      </c>
      <c r="I24" s="50">
        <v>13.2</v>
      </c>
      <c r="J24" s="50">
        <v>13.2</v>
      </c>
      <c r="K24" s="50">
        <v>13.2</v>
      </c>
      <c r="L24" s="50">
        <v>13.2</v>
      </c>
      <c r="M24" s="50">
        <v>13.2</v>
      </c>
      <c r="N24" s="50">
        <v>13.2</v>
      </c>
      <c r="O24" s="50">
        <v>13.2</v>
      </c>
      <c r="P24" s="50">
        <v>13.2</v>
      </c>
      <c r="Q24" s="50">
        <v>13.2</v>
      </c>
      <c r="R24" s="50">
        <v>13.2</v>
      </c>
      <c r="S24" s="50">
        <v>10.199999999999999</v>
      </c>
      <c r="T24" s="50">
        <v>10.199999999999999</v>
      </c>
      <c r="U24" s="50">
        <v>10.199999999999999</v>
      </c>
      <c r="V24" s="50">
        <v>10.199999999999999</v>
      </c>
      <c r="W24" s="50">
        <v>10.199999999999999</v>
      </c>
      <c r="X24" s="50">
        <v>10.199999999999999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13.2</v>
      </c>
      <c r="AI24" s="54">
        <f t="shared" si="3"/>
        <v>10.199999999999999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46.7</v>
      </c>
      <c r="C37" s="60">
        <v>49.6</v>
      </c>
      <c r="D37" s="60">
        <v>49.6</v>
      </c>
      <c r="E37" s="60">
        <f>17.4+30.2</f>
        <v>47.599999999999994</v>
      </c>
      <c r="F37" s="60">
        <f>17.9+32.1</f>
        <v>50</v>
      </c>
      <c r="G37" s="60">
        <f>17.9+32.1</f>
        <v>50</v>
      </c>
      <c r="H37" s="60">
        <f>17.7+31.7</f>
        <v>49.4</v>
      </c>
      <c r="I37" s="60">
        <f>17.5+31.3</f>
        <v>48.8</v>
      </c>
      <c r="J37" s="60">
        <f>17.8+32.3</f>
        <v>50.099999999999994</v>
      </c>
      <c r="K37" s="60">
        <f>17.5+31.2</f>
        <v>48.7</v>
      </c>
      <c r="L37" s="60">
        <f>17.5+31.7</f>
        <v>49.2</v>
      </c>
      <c r="M37" s="69">
        <f>31+17.2</f>
        <v>48.2</v>
      </c>
      <c r="N37" s="69">
        <v>48.5</v>
      </c>
      <c r="O37" s="69">
        <v>49.2</v>
      </c>
      <c r="P37" s="69">
        <v>49.2</v>
      </c>
      <c r="Q37" s="69">
        <f>32.5+17.9</f>
        <v>50.4</v>
      </c>
      <c r="R37" s="69">
        <f>32.5+17.9</f>
        <v>50.4</v>
      </c>
      <c r="S37" s="69">
        <f>17.5+31.7</f>
        <v>49.2</v>
      </c>
      <c r="T37" s="69">
        <f>17.6+32.7</f>
        <v>50.300000000000004</v>
      </c>
      <c r="U37" s="69">
        <f>17+31.9</f>
        <v>48.9</v>
      </c>
      <c r="V37" s="69">
        <f>17.2+33.3</f>
        <v>50.5</v>
      </c>
      <c r="W37" s="69">
        <f>16.7+31.7</f>
        <v>48.4</v>
      </c>
      <c r="X37" s="69">
        <f>15.8+29.2</f>
        <v>45</v>
      </c>
      <c r="Y37" s="69">
        <v>38.9</v>
      </c>
      <c r="Z37" s="69">
        <f>15.6+28.6</f>
        <v>44.2</v>
      </c>
      <c r="AA37" s="69">
        <f>14.2+27.7</f>
        <v>41.9</v>
      </c>
      <c r="AB37" s="69">
        <f>15.7+29.1</f>
        <v>44.8</v>
      </c>
      <c r="AC37" s="69">
        <f>15.8+28.9</f>
        <v>44.7</v>
      </c>
      <c r="AD37" s="69">
        <f>15.8+28.9</f>
        <v>44.7</v>
      </c>
      <c r="AE37" s="69">
        <f t="shared" ref="AE37:AF37" si="4">15.8+28.9</f>
        <v>44.7</v>
      </c>
      <c r="AF37" s="69">
        <f t="shared" si="4"/>
        <v>44.7</v>
      </c>
      <c r="AG37" s="66">
        <v>240</v>
      </c>
      <c r="AH37" s="53">
        <f t="shared" si="2"/>
        <v>50.5</v>
      </c>
      <c r="AI37" s="54">
        <f t="shared" si="3"/>
        <v>38.9</v>
      </c>
      <c r="AK37" s="55"/>
    </row>
    <row r="38" spans="1:88" ht="15.75" thickBot="1" x14ac:dyDescent="0.3">
      <c r="A38" s="70" t="s">
        <v>46</v>
      </c>
      <c r="B38" s="71">
        <f>SUM(B11:B36)</f>
        <v>457.59999999999997</v>
      </c>
      <c r="C38" s="71">
        <f t="shared" ref="C38:AF38" si="5">SUM(C11:C36)</f>
        <v>493.6</v>
      </c>
      <c r="D38" s="71">
        <f t="shared" si="5"/>
        <v>464.59999999999997</v>
      </c>
      <c r="E38" s="71">
        <f t="shared" si="5"/>
        <v>474</v>
      </c>
      <c r="F38" s="71">
        <f t="shared" si="5"/>
        <v>458.99999999999994</v>
      </c>
      <c r="G38" s="71">
        <f t="shared" si="5"/>
        <v>469.29999999999995</v>
      </c>
      <c r="H38" s="71">
        <f t="shared" si="5"/>
        <v>489.2</v>
      </c>
      <c r="I38" s="71">
        <f t="shared" si="5"/>
        <v>450.59999999999997</v>
      </c>
      <c r="J38" s="71">
        <f t="shared" si="5"/>
        <v>460.4</v>
      </c>
      <c r="K38" s="71">
        <f t="shared" si="5"/>
        <v>620.4</v>
      </c>
      <c r="L38" s="71">
        <f t="shared" si="5"/>
        <v>660.4</v>
      </c>
      <c r="M38" s="71">
        <f t="shared" si="5"/>
        <v>800.70000000000027</v>
      </c>
      <c r="N38" s="71">
        <f t="shared" si="5"/>
        <v>720.7</v>
      </c>
      <c r="O38" s="71">
        <f t="shared" si="5"/>
        <v>530.69999999999993</v>
      </c>
      <c r="P38" s="71">
        <f t="shared" si="5"/>
        <v>520.69999999999993</v>
      </c>
      <c r="Q38" s="71">
        <f t="shared" si="5"/>
        <v>500.09999999999997</v>
      </c>
      <c r="R38" s="71">
        <f t="shared" si="5"/>
        <v>490.09999999999997</v>
      </c>
      <c r="S38" s="71">
        <f t="shared" si="5"/>
        <v>475.4</v>
      </c>
      <c r="T38" s="71">
        <f t="shared" si="5"/>
        <v>476.4</v>
      </c>
      <c r="U38" s="71">
        <f t="shared" si="5"/>
        <v>486.4</v>
      </c>
      <c r="V38" s="71">
        <f t="shared" si="5"/>
        <v>656.39999999999986</v>
      </c>
      <c r="W38" s="71">
        <f t="shared" si="5"/>
        <v>686.4</v>
      </c>
      <c r="X38" s="71">
        <f t="shared" si="5"/>
        <v>789.4000000000002</v>
      </c>
      <c r="Y38" s="71">
        <f t="shared" si="5"/>
        <v>784.70000000000027</v>
      </c>
      <c r="Z38" s="71">
        <f t="shared" si="5"/>
        <v>752.7</v>
      </c>
      <c r="AA38" s="71">
        <f t="shared" si="5"/>
        <v>674.09999999999991</v>
      </c>
      <c r="AB38" s="71">
        <f t="shared" si="5"/>
        <v>529</v>
      </c>
      <c r="AC38" s="71">
        <f t="shared" si="5"/>
        <v>523</v>
      </c>
      <c r="AD38" s="71">
        <f t="shared" si="5"/>
        <v>452.99999999999994</v>
      </c>
      <c r="AE38" s="71">
        <f t="shared" si="5"/>
        <v>437.99999999999994</v>
      </c>
      <c r="AF38" s="71">
        <f t="shared" si="5"/>
        <v>452.99999999999994</v>
      </c>
      <c r="AG38" s="66">
        <f>SUM(AG11:AG37)</f>
        <v>1492.8299999999997</v>
      </c>
      <c r="AH38" s="53">
        <f t="shared" si="2"/>
        <v>800.70000000000027</v>
      </c>
      <c r="AI38" s="54">
        <f t="shared" si="3"/>
        <v>437.99999999999994</v>
      </c>
      <c r="AK38" s="55"/>
    </row>
    <row r="39" spans="1:88" x14ac:dyDescent="0.25">
      <c r="A39" s="56" t="s">
        <v>47</v>
      </c>
      <c r="B39" s="49">
        <v>32.6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30.2</v>
      </c>
      <c r="I39" s="60">
        <v>30.9</v>
      </c>
      <c r="J39" s="60">
        <v>65.8</v>
      </c>
      <c r="K39" s="60">
        <v>91.6</v>
      </c>
      <c r="L39" s="60">
        <v>146</v>
      </c>
      <c r="M39" s="50">
        <v>145.9</v>
      </c>
      <c r="N39" s="50">
        <v>135</v>
      </c>
      <c r="O39" s="50">
        <v>141.80000000000001</v>
      </c>
      <c r="P39" s="50">
        <v>121.6</v>
      </c>
      <c r="Q39" s="50">
        <v>101.7</v>
      </c>
      <c r="R39" s="50">
        <v>91</v>
      </c>
      <c r="S39" s="50">
        <v>86</v>
      </c>
      <c r="T39" s="50">
        <v>70.7</v>
      </c>
      <c r="U39" s="50">
        <v>81</v>
      </c>
      <c r="V39" s="50">
        <v>131.6</v>
      </c>
      <c r="W39" s="50">
        <v>144.6</v>
      </c>
      <c r="X39" s="50">
        <v>145.4</v>
      </c>
      <c r="Y39" s="50">
        <v>145.1</v>
      </c>
      <c r="Z39" s="50">
        <v>145.1</v>
      </c>
      <c r="AA39" s="50">
        <v>145</v>
      </c>
      <c r="AB39" s="50">
        <v>144.69999999999999</v>
      </c>
      <c r="AC39" s="50">
        <v>144.69999999999999</v>
      </c>
      <c r="AD39" s="50">
        <v>105</v>
      </c>
      <c r="AE39" s="50">
        <v>105</v>
      </c>
      <c r="AF39" s="50">
        <v>105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22.2</v>
      </c>
      <c r="G40" s="60">
        <v>34.799999999999997</v>
      </c>
      <c r="H40" s="60">
        <v>34.700000000000003</v>
      </c>
      <c r="I40" s="60">
        <v>34.700000000000003</v>
      </c>
      <c r="J40" s="60">
        <v>46.9</v>
      </c>
      <c r="K40" s="60">
        <v>69.7</v>
      </c>
      <c r="L40" s="60">
        <v>70.7</v>
      </c>
      <c r="M40" s="72">
        <v>70</v>
      </c>
      <c r="N40" s="72">
        <v>60</v>
      </c>
      <c r="O40" s="72">
        <v>60</v>
      </c>
      <c r="P40" s="72">
        <v>55.2</v>
      </c>
      <c r="Q40" s="72">
        <v>49.2</v>
      </c>
      <c r="R40" s="72">
        <v>46</v>
      </c>
      <c r="S40" s="72">
        <v>46.5</v>
      </c>
      <c r="T40" s="72">
        <v>25.8</v>
      </c>
      <c r="U40" s="72">
        <v>25.9</v>
      </c>
      <c r="V40" s="72">
        <v>33.299999999999997</v>
      </c>
      <c r="W40" s="72">
        <v>35.299999999999997</v>
      </c>
      <c r="X40" s="72">
        <v>56</v>
      </c>
      <c r="Y40" s="72">
        <v>71</v>
      </c>
      <c r="Z40" s="72">
        <v>71.099999999999994</v>
      </c>
      <c r="AA40" s="72">
        <v>70.5</v>
      </c>
      <c r="AB40" s="72">
        <v>72</v>
      </c>
      <c r="AC40" s="72">
        <v>70.5</v>
      </c>
      <c r="AD40" s="72">
        <v>48.9</v>
      </c>
      <c r="AE40" s="72">
        <v>48.9</v>
      </c>
      <c r="AF40" s="72">
        <v>48.9</v>
      </c>
      <c r="AG40" s="66">
        <v>70</v>
      </c>
      <c r="AH40" s="53">
        <f t="shared" si="2"/>
        <v>72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17.600000000000001</v>
      </c>
      <c r="C41" s="60">
        <v>24</v>
      </c>
      <c r="D41" s="60">
        <v>47.1</v>
      </c>
      <c r="E41" s="60">
        <v>69.400000000000006</v>
      </c>
      <c r="F41" s="60">
        <v>45.3</v>
      </c>
      <c r="G41" s="60">
        <v>35.299999999999997</v>
      </c>
      <c r="H41" s="60">
        <v>35.6</v>
      </c>
      <c r="I41" s="60">
        <v>35.5</v>
      </c>
      <c r="J41" s="60">
        <v>36.799999999999997</v>
      </c>
      <c r="K41" s="60">
        <v>65.8</v>
      </c>
      <c r="L41" s="60">
        <v>65.8</v>
      </c>
      <c r="M41" s="72">
        <v>67.7</v>
      </c>
      <c r="N41" s="72">
        <v>67</v>
      </c>
      <c r="O41" s="72">
        <v>66.400000000000006</v>
      </c>
      <c r="P41" s="72">
        <v>62.4</v>
      </c>
      <c r="Q41" s="72">
        <v>40.5</v>
      </c>
      <c r="R41" s="72">
        <v>33</v>
      </c>
      <c r="S41" s="72">
        <v>40.5</v>
      </c>
      <c r="T41" s="72">
        <v>34.299999999999997</v>
      </c>
      <c r="U41" s="72">
        <v>34.4</v>
      </c>
      <c r="V41" s="72">
        <v>35.6</v>
      </c>
      <c r="W41" s="72">
        <v>67.900000000000006</v>
      </c>
      <c r="X41" s="72">
        <v>67.400000000000006</v>
      </c>
      <c r="Y41" s="72">
        <v>65.5</v>
      </c>
      <c r="Z41" s="72">
        <v>65.900000000000006</v>
      </c>
      <c r="AA41" s="72">
        <v>66.3</v>
      </c>
      <c r="AB41" s="72">
        <v>65.900000000000006</v>
      </c>
      <c r="AC41" s="72">
        <v>66.900000000000006</v>
      </c>
      <c r="AD41" s="72">
        <v>50.9</v>
      </c>
      <c r="AE41" s="72">
        <v>50.9</v>
      </c>
      <c r="AF41" s="72">
        <v>50.9</v>
      </c>
      <c r="AG41" s="66">
        <v>69</v>
      </c>
      <c r="AH41" s="53">
        <f t="shared" si="2"/>
        <v>69.400000000000006</v>
      </c>
      <c r="AI41" s="54">
        <f t="shared" si="3"/>
        <v>17.600000000000001</v>
      </c>
      <c r="AK41" s="55"/>
    </row>
    <row r="42" spans="1:88" x14ac:dyDescent="0.25">
      <c r="A42" s="65" t="s">
        <v>50</v>
      </c>
      <c r="B42" s="60">
        <v>56.5</v>
      </c>
      <c r="C42" s="60">
        <v>54.4</v>
      </c>
      <c r="D42" s="60">
        <v>54.4</v>
      </c>
      <c r="E42" s="60">
        <v>54.4</v>
      </c>
      <c r="F42" s="60">
        <v>54.4</v>
      </c>
      <c r="G42" s="60">
        <v>54.4</v>
      </c>
      <c r="H42" s="60">
        <v>54.4</v>
      </c>
      <c r="I42" s="60">
        <v>54.4</v>
      </c>
      <c r="J42" s="60">
        <v>54.4</v>
      </c>
      <c r="K42" s="60">
        <v>54.4</v>
      </c>
      <c r="L42" s="60">
        <v>54.4</v>
      </c>
      <c r="M42" s="72">
        <v>58.5</v>
      </c>
      <c r="N42" s="72">
        <v>58.5</v>
      </c>
      <c r="O42" s="72">
        <v>58.5</v>
      </c>
      <c r="P42" s="72">
        <v>56.2</v>
      </c>
      <c r="Q42" s="72">
        <v>53.2</v>
      </c>
      <c r="R42" s="72">
        <v>53.7</v>
      </c>
      <c r="S42" s="72">
        <v>55.2</v>
      </c>
      <c r="T42" s="72">
        <v>55.9</v>
      </c>
      <c r="U42" s="72">
        <v>55.9</v>
      </c>
      <c r="V42" s="72">
        <v>55.9</v>
      </c>
      <c r="W42" s="72">
        <v>55.9</v>
      </c>
      <c r="X42" s="72">
        <v>55.9</v>
      </c>
      <c r="Y42" s="72">
        <v>55.9</v>
      </c>
      <c r="Z42" s="72">
        <v>55.9</v>
      </c>
      <c r="AA42" s="72">
        <v>55.9</v>
      </c>
      <c r="AB42" s="72">
        <v>54.1</v>
      </c>
      <c r="AC42" s="72">
        <v>54.1</v>
      </c>
      <c r="AD42" s="72">
        <v>54.6</v>
      </c>
      <c r="AE42" s="72">
        <v>54.6</v>
      </c>
      <c r="AF42" s="72">
        <v>54.6</v>
      </c>
      <c r="AG42" s="66">
        <v>60</v>
      </c>
      <c r="AH42" s="53">
        <f t="shared" si="2"/>
        <v>58.5</v>
      </c>
      <c r="AI42" s="54">
        <f t="shared" si="3"/>
        <v>53.2</v>
      </c>
      <c r="AK42" s="55"/>
    </row>
    <row r="43" spans="1:88" x14ac:dyDescent="0.25">
      <c r="A43" s="65" t="s">
        <v>51</v>
      </c>
      <c r="B43" s="72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15</v>
      </c>
      <c r="H43" s="60">
        <v>14</v>
      </c>
      <c r="I43" s="60">
        <v>14</v>
      </c>
      <c r="J43" s="60">
        <v>15</v>
      </c>
      <c r="K43" s="60">
        <v>30</v>
      </c>
      <c r="L43" s="60">
        <v>25</v>
      </c>
      <c r="M43" s="50">
        <v>30</v>
      </c>
      <c r="N43" s="50">
        <v>30</v>
      </c>
      <c r="O43" s="50">
        <v>25</v>
      </c>
      <c r="P43" s="50">
        <v>14.9</v>
      </c>
      <c r="Q43" s="50">
        <v>10.5</v>
      </c>
      <c r="R43" s="50">
        <v>10.5</v>
      </c>
      <c r="S43" s="50">
        <v>0</v>
      </c>
      <c r="T43" s="50">
        <v>0</v>
      </c>
      <c r="U43" s="50">
        <v>0</v>
      </c>
      <c r="V43" s="50">
        <v>9.5</v>
      </c>
      <c r="W43" s="50">
        <v>10.3</v>
      </c>
      <c r="X43" s="50">
        <v>23.5</v>
      </c>
      <c r="Y43" s="50">
        <v>28.2</v>
      </c>
      <c r="Z43" s="72">
        <v>27.9</v>
      </c>
      <c r="AA43" s="72">
        <v>22.5</v>
      </c>
      <c r="AB43" s="72">
        <v>22.4</v>
      </c>
      <c r="AC43" s="72">
        <v>22.4</v>
      </c>
      <c r="AD43" s="72">
        <v>9</v>
      </c>
      <c r="AE43" s="72">
        <v>9</v>
      </c>
      <c r="AF43" s="72">
        <v>9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50">
        <v>18</v>
      </c>
      <c r="K45" s="50">
        <v>18</v>
      </c>
      <c r="L45" s="50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50">
        <v>4</v>
      </c>
      <c r="C46" s="50">
        <v>4</v>
      </c>
      <c r="D46" s="50">
        <v>4</v>
      </c>
      <c r="E46" s="50">
        <v>4</v>
      </c>
      <c r="F46" s="50">
        <v>4</v>
      </c>
      <c r="G46" s="50">
        <v>4</v>
      </c>
      <c r="H46" s="50">
        <v>4</v>
      </c>
      <c r="I46" s="50">
        <v>4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0</v>
      </c>
      <c r="R46" s="50">
        <v>0</v>
      </c>
      <c r="S46" s="50">
        <v>0</v>
      </c>
      <c r="T46" s="50">
        <v>4.7</v>
      </c>
      <c r="U46" s="50">
        <v>4.7</v>
      </c>
      <c r="V46" s="50">
        <v>4.7</v>
      </c>
      <c r="W46" s="50">
        <v>4.7</v>
      </c>
      <c r="X46" s="50">
        <v>4.7</v>
      </c>
      <c r="Y46" s="50">
        <v>4.7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4.7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6.4</v>
      </c>
      <c r="C48" s="50">
        <v>6.4</v>
      </c>
      <c r="D48" s="50">
        <v>6.4</v>
      </c>
      <c r="E48" s="50">
        <v>6.4</v>
      </c>
      <c r="F48" s="50">
        <v>6.4</v>
      </c>
      <c r="G48" s="50">
        <v>6.4</v>
      </c>
      <c r="H48" s="50">
        <v>6.4</v>
      </c>
      <c r="I48" s="50">
        <v>6.4</v>
      </c>
      <c r="J48" s="50">
        <v>6.4</v>
      </c>
      <c r="K48" s="50">
        <v>6.4</v>
      </c>
      <c r="L48" s="50">
        <v>6.4</v>
      </c>
      <c r="M48" s="50">
        <v>6.4</v>
      </c>
      <c r="N48" s="50">
        <v>6.4</v>
      </c>
      <c r="O48" s="50">
        <v>6.4</v>
      </c>
      <c r="P48" s="50">
        <v>6.4</v>
      </c>
      <c r="Q48" s="50">
        <v>6.4</v>
      </c>
      <c r="R48" s="50">
        <v>6.4</v>
      </c>
      <c r="S48" s="50">
        <v>6.4</v>
      </c>
      <c r="T48" s="50">
        <v>6.4</v>
      </c>
      <c r="U48" s="50">
        <v>6.4</v>
      </c>
      <c r="V48" s="50">
        <v>6.4</v>
      </c>
      <c r="W48" s="50">
        <v>6.4</v>
      </c>
      <c r="X48" s="50">
        <v>6.4</v>
      </c>
      <c r="Y48" s="50">
        <v>5.5</v>
      </c>
      <c r="Z48" s="50">
        <v>5.5</v>
      </c>
      <c r="AA48" s="50">
        <v>5.5</v>
      </c>
      <c r="AB48" s="50">
        <v>5.5</v>
      </c>
      <c r="AC48" s="50">
        <v>5.5</v>
      </c>
      <c r="AD48" s="50">
        <v>5.5</v>
      </c>
      <c r="AE48" s="50">
        <v>5.5</v>
      </c>
      <c r="AF48" s="50">
        <v>5.5</v>
      </c>
      <c r="AG48" s="66">
        <v>14</v>
      </c>
      <c r="AH48" s="53">
        <f t="shared" si="2"/>
        <v>6.4</v>
      </c>
      <c r="AI48" s="54">
        <f t="shared" si="3"/>
        <v>5.5</v>
      </c>
      <c r="AK48" s="55"/>
    </row>
    <row r="49" spans="1:37" x14ac:dyDescent="0.25">
      <c r="A49" s="65" t="s">
        <v>57</v>
      </c>
      <c r="B49" s="50">
        <v>7.3</v>
      </c>
      <c r="C49" s="50">
        <v>7.3</v>
      </c>
      <c r="D49" s="50">
        <v>7.3</v>
      </c>
      <c r="E49" s="50">
        <v>7.3</v>
      </c>
      <c r="F49" s="50">
        <v>7.3</v>
      </c>
      <c r="G49" s="50">
        <v>7.3</v>
      </c>
      <c r="H49" s="50">
        <v>7.3</v>
      </c>
      <c r="I49" s="50">
        <v>7.3</v>
      </c>
      <c r="J49" s="50">
        <v>7.3</v>
      </c>
      <c r="K49" s="50">
        <v>7.3</v>
      </c>
      <c r="L49" s="50">
        <v>7.3</v>
      </c>
      <c r="M49" s="50">
        <v>7.3</v>
      </c>
      <c r="N49" s="50">
        <v>7.3</v>
      </c>
      <c r="O49" s="50">
        <v>7.3</v>
      </c>
      <c r="P49" s="50">
        <v>7.3</v>
      </c>
      <c r="Q49" s="50">
        <v>7.3</v>
      </c>
      <c r="R49" s="50">
        <v>7.3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7.3</v>
      </c>
      <c r="AI49" s="54">
        <f t="shared" si="3"/>
        <v>7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162.94</v>
      </c>
      <c r="C52" s="71">
        <f t="shared" ref="C52:AF52" si="8">SUM(C39:C51)</f>
        <v>134.64000000000001</v>
      </c>
      <c r="D52" s="71">
        <f t="shared" si="8"/>
        <v>157.74</v>
      </c>
      <c r="E52" s="71">
        <f t="shared" si="8"/>
        <v>180.04000000000002</v>
      </c>
      <c r="F52" s="71">
        <f t="shared" si="8"/>
        <v>178.14000000000001</v>
      </c>
      <c r="G52" s="71">
        <f t="shared" si="8"/>
        <v>195.74</v>
      </c>
      <c r="H52" s="71">
        <f t="shared" si="8"/>
        <v>225.14000000000001</v>
      </c>
      <c r="I52" s="71">
        <f t="shared" si="8"/>
        <v>225.74</v>
      </c>
      <c r="J52" s="71">
        <f t="shared" si="8"/>
        <v>275.14000000000004</v>
      </c>
      <c r="K52" s="71">
        <f t="shared" si="8"/>
        <v>367.74</v>
      </c>
      <c r="L52" s="71">
        <f t="shared" si="8"/>
        <v>418.14</v>
      </c>
      <c r="M52" s="71">
        <f t="shared" si="8"/>
        <v>428.34000000000003</v>
      </c>
      <c r="N52" s="71">
        <f t="shared" si="8"/>
        <v>406.74</v>
      </c>
      <c r="O52" s="71">
        <f t="shared" si="8"/>
        <v>407.94000000000005</v>
      </c>
      <c r="P52" s="71">
        <f t="shared" si="8"/>
        <v>366.54</v>
      </c>
      <c r="Q52" s="71">
        <f t="shared" si="8"/>
        <v>307.34000000000003</v>
      </c>
      <c r="R52" s="71">
        <f t="shared" si="8"/>
        <v>286.44</v>
      </c>
      <c r="S52" s="71">
        <f t="shared" si="8"/>
        <v>280.14</v>
      </c>
      <c r="T52" s="71">
        <f t="shared" si="8"/>
        <v>243.34</v>
      </c>
      <c r="U52" s="71">
        <f t="shared" si="8"/>
        <v>253.84</v>
      </c>
      <c r="V52" s="71">
        <f t="shared" si="8"/>
        <v>322.53999999999996</v>
      </c>
      <c r="W52" s="71">
        <f t="shared" si="8"/>
        <v>370.64</v>
      </c>
      <c r="X52" s="71">
        <f t="shared" si="8"/>
        <v>404.84</v>
      </c>
      <c r="Y52" s="71">
        <f t="shared" si="8"/>
        <v>421.44</v>
      </c>
      <c r="Z52" s="71">
        <f t="shared" si="8"/>
        <v>421.44</v>
      </c>
      <c r="AA52" s="71">
        <f t="shared" si="8"/>
        <v>415.74</v>
      </c>
      <c r="AB52" s="71">
        <f t="shared" si="8"/>
        <v>414.64000000000004</v>
      </c>
      <c r="AC52" s="71">
        <f t="shared" si="8"/>
        <v>414.14000000000004</v>
      </c>
      <c r="AD52" s="71">
        <f t="shared" si="8"/>
        <v>323.94000000000005</v>
      </c>
      <c r="AE52" s="71">
        <f t="shared" si="8"/>
        <v>323.94000000000005</v>
      </c>
      <c r="AF52" s="71">
        <f t="shared" si="8"/>
        <v>323.94000000000005</v>
      </c>
      <c r="AG52" s="76">
        <f>SUM(AG39:AG51)</f>
        <v>489.91</v>
      </c>
      <c r="AH52" s="53">
        <f t="shared" si="2"/>
        <v>428.34000000000003</v>
      </c>
      <c r="AI52" s="54">
        <f t="shared" si="3"/>
        <v>134.64000000000001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20</v>
      </c>
      <c r="M53" s="77">
        <v>39</v>
      </c>
      <c r="N53" s="77">
        <v>30</v>
      </c>
      <c r="O53" s="77">
        <v>20</v>
      </c>
      <c r="P53" s="77">
        <v>24.5</v>
      </c>
      <c r="Q53" s="50">
        <v>29.3</v>
      </c>
      <c r="R53" s="50">
        <v>29</v>
      </c>
      <c r="S53" s="50">
        <v>23.6</v>
      </c>
      <c r="T53" s="50">
        <v>29.5</v>
      </c>
      <c r="U53" s="50">
        <v>29.3</v>
      </c>
      <c r="V53" s="50">
        <v>24.3</v>
      </c>
      <c r="W53" s="50">
        <v>40.299999999999997</v>
      </c>
      <c r="X53" s="50">
        <v>50.3</v>
      </c>
      <c r="Y53" s="50">
        <v>50.3</v>
      </c>
      <c r="Z53" s="50">
        <v>50.4</v>
      </c>
      <c r="AA53" s="50">
        <v>50</v>
      </c>
      <c r="AB53" s="50">
        <v>50</v>
      </c>
      <c r="AC53" s="50">
        <v>49.96</v>
      </c>
      <c r="AD53" s="50">
        <v>0</v>
      </c>
      <c r="AE53" s="50">
        <v>0</v>
      </c>
      <c r="AF53" s="50">
        <v>0</v>
      </c>
      <c r="AG53" s="61">
        <v>60</v>
      </c>
      <c r="AH53" s="53">
        <f t="shared" si="2"/>
        <v>50.4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7</v>
      </c>
      <c r="M54" s="77">
        <v>17.100000000000001</v>
      </c>
      <c r="N54" s="77">
        <v>15.2</v>
      </c>
      <c r="O54" s="77">
        <v>14.9</v>
      </c>
      <c r="P54" s="77">
        <v>11.8</v>
      </c>
      <c r="Q54" s="72">
        <v>15.6</v>
      </c>
      <c r="R54" s="72">
        <v>15</v>
      </c>
      <c r="S54" s="50">
        <v>12.9</v>
      </c>
      <c r="T54" s="50">
        <v>15.3</v>
      </c>
      <c r="U54" s="50">
        <v>14.9</v>
      </c>
      <c r="V54" s="72">
        <v>12.2</v>
      </c>
      <c r="W54" s="72">
        <v>17.2</v>
      </c>
      <c r="X54" s="72">
        <v>24.6</v>
      </c>
      <c r="Y54" s="72">
        <v>23.1</v>
      </c>
      <c r="Z54" s="72">
        <v>24.3</v>
      </c>
      <c r="AA54" s="72">
        <v>24.5</v>
      </c>
      <c r="AB54" s="72">
        <v>23.7</v>
      </c>
      <c r="AC54" s="72">
        <v>12.1</v>
      </c>
      <c r="AD54" s="72">
        <v>0</v>
      </c>
      <c r="AE54" s="72">
        <v>0</v>
      </c>
      <c r="AF54" s="72">
        <v>0</v>
      </c>
      <c r="AG54" s="66">
        <v>32</v>
      </c>
      <c r="AH54" s="53">
        <f t="shared" si="2"/>
        <v>24.6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2.6</v>
      </c>
      <c r="M55" s="80">
        <v>6.3</v>
      </c>
      <c r="N55" s="80">
        <v>5.5</v>
      </c>
      <c r="O55" s="80">
        <v>5.4</v>
      </c>
      <c r="P55" s="80">
        <v>4.3</v>
      </c>
      <c r="Q55" s="78">
        <v>5.7</v>
      </c>
      <c r="R55" s="78">
        <v>5.4</v>
      </c>
      <c r="S55" s="50">
        <v>4.7</v>
      </c>
      <c r="T55" s="50">
        <v>5.6</v>
      </c>
      <c r="U55" s="50">
        <v>5.4</v>
      </c>
      <c r="V55" s="78">
        <v>4.4000000000000004</v>
      </c>
      <c r="W55" s="78">
        <v>6.3</v>
      </c>
      <c r="X55" s="78">
        <v>9</v>
      </c>
      <c r="Y55" s="78">
        <v>8.4</v>
      </c>
      <c r="Z55" s="78">
        <v>8.9</v>
      </c>
      <c r="AA55" s="78">
        <v>8.9</v>
      </c>
      <c r="AB55" s="78">
        <v>8.6</v>
      </c>
      <c r="AC55" s="78">
        <v>4.4000000000000004</v>
      </c>
      <c r="AD55" s="78">
        <v>0</v>
      </c>
      <c r="AE55" s="78">
        <v>0</v>
      </c>
      <c r="AF55" s="78">
        <v>0</v>
      </c>
      <c r="AG55" s="81">
        <v>14</v>
      </c>
      <c r="AH55" s="53">
        <f t="shared" si="2"/>
        <v>9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9">SUM(D53:D55)</f>
        <v>0</v>
      </c>
      <c r="E56" s="71">
        <f t="shared" si="9"/>
        <v>0</v>
      </c>
      <c r="F56" s="71">
        <f t="shared" si="9"/>
        <v>0</v>
      </c>
      <c r="G56" s="71">
        <f t="shared" si="9"/>
        <v>0</v>
      </c>
      <c r="H56" s="71">
        <f t="shared" si="9"/>
        <v>0</v>
      </c>
      <c r="I56" s="71">
        <f t="shared" si="9"/>
        <v>0</v>
      </c>
      <c r="J56" s="71">
        <f t="shared" si="9"/>
        <v>0</v>
      </c>
      <c r="K56" s="71">
        <f t="shared" si="9"/>
        <v>0</v>
      </c>
      <c r="L56" s="71">
        <f t="shared" si="9"/>
        <v>29.6</v>
      </c>
      <c r="M56" s="71">
        <f t="shared" si="9"/>
        <v>62.4</v>
      </c>
      <c r="N56" s="71">
        <f t="shared" si="9"/>
        <v>50.7</v>
      </c>
      <c r="O56" s="71">
        <f t="shared" si="9"/>
        <v>40.299999999999997</v>
      </c>
      <c r="P56" s="71">
        <f t="shared" si="9"/>
        <v>40.599999999999994</v>
      </c>
      <c r="Q56" s="71">
        <f t="shared" si="9"/>
        <v>50.6</v>
      </c>
      <c r="R56" s="71">
        <f t="shared" si="9"/>
        <v>49.4</v>
      </c>
      <c r="S56" s="71">
        <f t="shared" si="9"/>
        <v>41.2</v>
      </c>
      <c r="T56" s="71">
        <f t="shared" si="9"/>
        <v>50.4</v>
      </c>
      <c r="U56" s="71">
        <f t="shared" si="9"/>
        <v>49.6</v>
      </c>
      <c r="V56" s="71">
        <f t="shared" si="9"/>
        <v>40.9</v>
      </c>
      <c r="W56" s="71">
        <f t="shared" si="9"/>
        <v>63.8</v>
      </c>
      <c r="X56" s="71">
        <f t="shared" si="9"/>
        <v>83.9</v>
      </c>
      <c r="Y56" s="71">
        <f t="shared" si="9"/>
        <v>81.800000000000011</v>
      </c>
      <c r="Z56" s="71">
        <f t="shared" si="9"/>
        <v>83.600000000000009</v>
      </c>
      <c r="AA56" s="71">
        <f t="shared" si="9"/>
        <v>83.4</v>
      </c>
      <c r="AB56" s="71">
        <f t="shared" si="9"/>
        <v>82.3</v>
      </c>
      <c r="AC56" s="71">
        <f t="shared" si="9"/>
        <v>66.460000000000008</v>
      </c>
      <c r="AD56" s="71">
        <f t="shared" si="9"/>
        <v>0</v>
      </c>
      <c r="AE56" s="71">
        <f t="shared" si="9"/>
        <v>0</v>
      </c>
      <c r="AF56" s="71">
        <f t="shared" si="9"/>
        <v>0</v>
      </c>
      <c r="AG56" s="76">
        <f>SUM(AG53:AG55)</f>
        <v>106</v>
      </c>
      <c r="AH56" s="53">
        <f t="shared" si="2"/>
        <v>83.9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70</v>
      </c>
      <c r="C57" s="50">
        <v>66.900000000000006</v>
      </c>
      <c r="D57" s="50">
        <v>65.900000000000006</v>
      </c>
      <c r="E57" s="50">
        <v>64.2</v>
      </c>
      <c r="F57" s="50">
        <v>62.5</v>
      </c>
      <c r="G57" s="50">
        <v>71.38</v>
      </c>
      <c r="H57" s="50">
        <v>61.9</v>
      </c>
      <c r="I57" s="50">
        <v>65.8</v>
      </c>
      <c r="J57" s="50">
        <v>75.3</v>
      </c>
      <c r="K57" s="50">
        <v>75.099999999999994</v>
      </c>
      <c r="L57" s="50">
        <v>72.2</v>
      </c>
      <c r="M57" s="50">
        <v>76.400000000000006</v>
      </c>
      <c r="N57" s="50">
        <v>72.900000000000006</v>
      </c>
      <c r="O57" s="50">
        <v>75.900000000000006</v>
      </c>
      <c r="P57" s="50">
        <v>74.3</v>
      </c>
      <c r="Q57" s="50">
        <v>64.099999999999994</v>
      </c>
      <c r="R57" s="50">
        <v>71.5</v>
      </c>
      <c r="S57" s="50">
        <v>70.5</v>
      </c>
      <c r="T57" s="50">
        <v>69.599999999999994</v>
      </c>
      <c r="U57" s="50">
        <v>67.2</v>
      </c>
      <c r="V57" s="50">
        <v>67.900000000000006</v>
      </c>
      <c r="W57" s="50">
        <v>67.2</v>
      </c>
      <c r="X57" s="50">
        <v>70.900000000000006</v>
      </c>
      <c r="Y57" s="50">
        <v>70.400000000000006</v>
      </c>
      <c r="Z57" s="50">
        <v>61</v>
      </c>
      <c r="AA57" s="50">
        <v>66.5</v>
      </c>
      <c r="AB57" s="50">
        <v>63.4</v>
      </c>
      <c r="AC57" s="50">
        <v>70.7</v>
      </c>
      <c r="AD57" s="50">
        <v>0</v>
      </c>
      <c r="AE57" s="50">
        <v>0</v>
      </c>
      <c r="AF57" s="50">
        <v>0</v>
      </c>
      <c r="AG57" s="61"/>
      <c r="AH57" s="53">
        <f t="shared" si="2"/>
        <v>76.400000000000006</v>
      </c>
      <c r="AI57" s="54">
        <f t="shared" si="3"/>
        <v>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91</v>
      </c>
      <c r="Z58" s="82">
        <v>82.2</v>
      </c>
      <c r="AA58" s="82">
        <v>0</v>
      </c>
      <c r="AB58" s="72">
        <v>78.2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91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246.4</v>
      </c>
      <c r="C59" s="72">
        <v>235</v>
      </c>
      <c r="D59" s="72">
        <v>201</v>
      </c>
      <c r="E59" s="72">
        <v>184</v>
      </c>
      <c r="F59" s="72">
        <v>186</v>
      </c>
      <c r="G59" s="72">
        <v>177</v>
      </c>
      <c r="H59" s="50">
        <v>182.7</v>
      </c>
      <c r="I59" s="50">
        <v>315.5</v>
      </c>
      <c r="J59" s="50">
        <v>345</v>
      </c>
      <c r="K59" s="50">
        <v>225</v>
      </c>
      <c r="L59" s="50">
        <v>173</v>
      </c>
      <c r="M59" s="72">
        <v>81.3</v>
      </c>
      <c r="N59" s="72">
        <v>150</v>
      </c>
      <c r="O59" s="72">
        <v>330</v>
      </c>
      <c r="P59" s="72">
        <v>325</v>
      </c>
      <c r="Q59" s="72">
        <v>329.1</v>
      </c>
      <c r="R59" s="72">
        <v>324</v>
      </c>
      <c r="S59" s="72">
        <v>337.2</v>
      </c>
      <c r="T59" s="72">
        <v>345.6</v>
      </c>
      <c r="U59" s="72">
        <v>315</v>
      </c>
      <c r="V59" s="72">
        <v>129.6</v>
      </c>
      <c r="W59" s="72">
        <v>173.4</v>
      </c>
      <c r="X59" s="83">
        <v>125</v>
      </c>
      <c r="Y59" s="83">
        <v>43.1</v>
      </c>
      <c r="Z59" s="83">
        <v>38.299999999999997</v>
      </c>
      <c r="AA59" s="83">
        <v>175</v>
      </c>
      <c r="AB59" s="72">
        <v>183.1</v>
      </c>
      <c r="AC59" s="72">
        <v>232</v>
      </c>
      <c r="AD59" s="72">
        <v>306</v>
      </c>
      <c r="AE59" s="72">
        <v>324</v>
      </c>
      <c r="AF59" s="72">
        <v>231.7</v>
      </c>
      <c r="AG59" s="84"/>
      <c r="AH59" s="53">
        <f t="shared" si="2"/>
        <v>345.6</v>
      </c>
      <c r="AI59" s="54">
        <f t="shared" si="3"/>
        <v>38.299999999999997</v>
      </c>
      <c r="AK59" s="55"/>
    </row>
    <row r="60" spans="1:37" x14ac:dyDescent="0.25">
      <c r="A60" s="65" t="s">
        <v>68</v>
      </c>
      <c r="B60" s="72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41</v>
      </c>
      <c r="M60" s="72">
        <v>52.2</v>
      </c>
      <c r="N60" s="72">
        <v>56</v>
      </c>
      <c r="O60" s="72">
        <v>55</v>
      </c>
      <c r="P60" s="72">
        <v>56.6</v>
      </c>
      <c r="Q60" s="72">
        <v>54.7</v>
      </c>
      <c r="R60" s="72">
        <v>55</v>
      </c>
      <c r="S60" s="72">
        <v>53.3</v>
      </c>
      <c r="T60" s="72">
        <v>48.2</v>
      </c>
      <c r="U60" s="72">
        <v>52</v>
      </c>
      <c r="V60" s="72">
        <v>55.3</v>
      </c>
      <c r="W60" s="72">
        <v>56.6</v>
      </c>
      <c r="X60" s="72">
        <v>54.6</v>
      </c>
      <c r="Y60" s="72">
        <v>58.9</v>
      </c>
      <c r="Z60" s="72">
        <v>57.2</v>
      </c>
      <c r="AA60" s="72">
        <v>54.8</v>
      </c>
      <c r="AB60" s="72">
        <v>50.1</v>
      </c>
      <c r="AC60" s="72">
        <v>52.4</v>
      </c>
      <c r="AD60" s="72">
        <v>51.6</v>
      </c>
      <c r="AE60" s="72">
        <v>0</v>
      </c>
      <c r="AF60" s="72">
        <v>0</v>
      </c>
      <c r="AG60" s="84"/>
      <c r="AH60" s="53">
        <f t="shared" si="2"/>
        <v>58.9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0</v>
      </c>
      <c r="N61" s="50">
        <v>27.5</v>
      </c>
      <c r="O61" s="50">
        <v>30</v>
      </c>
      <c r="P61" s="50">
        <v>33.200000000000003</v>
      </c>
      <c r="Q61" s="50">
        <v>33.1</v>
      </c>
      <c r="R61" s="50">
        <v>30</v>
      </c>
      <c r="S61" s="50">
        <v>33.200000000000003</v>
      </c>
      <c r="T61" s="50">
        <v>78.599999999999994</v>
      </c>
      <c r="U61" s="50">
        <v>81.2</v>
      </c>
      <c r="V61" s="50">
        <v>71.400000000000006</v>
      </c>
      <c r="W61" s="50">
        <v>72</v>
      </c>
      <c r="X61" s="50">
        <v>83.3</v>
      </c>
      <c r="Y61" s="50">
        <v>83.7</v>
      </c>
      <c r="Z61" s="50">
        <v>81.400000000000006</v>
      </c>
      <c r="AA61" s="50">
        <v>73.099999999999994</v>
      </c>
      <c r="AB61" s="50">
        <v>85.3</v>
      </c>
      <c r="AC61" s="50">
        <v>85</v>
      </c>
      <c r="AD61" s="50">
        <v>81.900000000000006</v>
      </c>
      <c r="AE61" s="50">
        <v>0</v>
      </c>
      <c r="AF61" s="50">
        <v>0</v>
      </c>
      <c r="AG61" s="84"/>
      <c r="AH61" s="53">
        <f t="shared" si="2"/>
        <v>85.3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10</v>
      </c>
      <c r="Y62" s="59">
        <v>10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10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0">
        <v>0</v>
      </c>
      <c r="N63" s="50">
        <v>0</v>
      </c>
      <c r="O63" s="50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9">
        <v>0</v>
      </c>
      <c r="R64" s="59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9">
        <v>0</v>
      </c>
      <c r="R65" s="59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72">
        <v>0</v>
      </c>
      <c r="O66" s="72">
        <v>0</v>
      </c>
      <c r="P66" s="62">
        <v>0</v>
      </c>
      <c r="Q66" s="59">
        <v>0</v>
      </c>
      <c r="R66" s="59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0">
        <v>0</v>
      </c>
      <c r="N67" s="50">
        <v>0</v>
      </c>
      <c r="O67" s="50">
        <v>0</v>
      </c>
      <c r="P67" s="62">
        <v>0</v>
      </c>
      <c r="Q67" s="59">
        <v>0</v>
      </c>
      <c r="R67" s="59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316.39999999999998</v>
      </c>
      <c r="C68" s="71">
        <f>SUM(C57:C67)</f>
        <v>301.89999999999998</v>
      </c>
      <c r="D68" s="71">
        <f t="shared" ref="D68:AF68" si="10">SUM(D57:D67)</f>
        <v>266.89999999999998</v>
      </c>
      <c r="E68" s="71">
        <f t="shared" si="10"/>
        <v>248.2</v>
      </c>
      <c r="F68" s="71">
        <f t="shared" si="10"/>
        <v>248.5</v>
      </c>
      <c r="G68" s="71">
        <f t="shared" si="10"/>
        <v>248.38</v>
      </c>
      <c r="H68" s="71">
        <f t="shared" si="10"/>
        <v>244.6</v>
      </c>
      <c r="I68" s="71">
        <f t="shared" si="10"/>
        <v>381.3</v>
      </c>
      <c r="J68" s="71">
        <f t="shared" si="10"/>
        <v>420.3</v>
      </c>
      <c r="K68" s="71">
        <f t="shared" si="10"/>
        <v>300.10000000000002</v>
      </c>
      <c r="L68" s="71">
        <f t="shared" si="10"/>
        <v>286.2</v>
      </c>
      <c r="M68" s="71">
        <f t="shared" si="10"/>
        <v>209.89999999999998</v>
      </c>
      <c r="N68" s="71">
        <f t="shared" si="10"/>
        <v>306.39999999999998</v>
      </c>
      <c r="O68" s="71">
        <f t="shared" si="10"/>
        <v>490.9</v>
      </c>
      <c r="P68" s="71">
        <f t="shared" si="10"/>
        <v>489.1</v>
      </c>
      <c r="Q68" s="71">
        <f t="shared" si="10"/>
        <v>481.00000000000006</v>
      </c>
      <c r="R68" s="71">
        <f t="shared" si="10"/>
        <v>480.5</v>
      </c>
      <c r="S68" s="71">
        <f t="shared" si="10"/>
        <v>494.2</v>
      </c>
      <c r="T68" s="71">
        <f t="shared" si="10"/>
        <v>542</v>
      </c>
      <c r="U68" s="71">
        <f t="shared" si="10"/>
        <v>515.4</v>
      </c>
      <c r="V68" s="71">
        <f t="shared" si="10"/>
        <v>324.20000000000005</v>
      </c>
      <c r="W68" s="71">
        <f t="shared" si="10"/>
        <v>369.20000000000005</v>
      </c>
      <c r="X68" s="71">
        <f t="shared" si="10"/>
        <v>343.8</v>
      </c>
      <c r="Y68" s="71">
        <f t="shared" si="10"/>
        <v>357.09999999999997</v>
      </c>
      <c r="Z68" s="71">
        <f t="shared" si="10"/>
        <v>320.10000000000002</v>
      </c>
      <c r="AA68" s="71">
        <f t="shared" si="10"/>
        <v>369.4</v>
      </c>
      <c r="AB68" s="71">
        <f t="shared" si="10"/>
        <v>460.1</v>
      </c>
      <c r="AC68" s="71">
        <f t="shared" si="10"/>
        <v>440.09999999999997</v>
      </c>
      <c r="AD68" s="71">
        <f t="shared" si="10"/>
        <v>439.5</v>
      </c>
      <c r="AE68" s="71">
        <f t="shared" si="10"/>
        <v>324</v>
      </c>
      <c r="AF68" s="71">
        <f t="shared" si="10"/>
        <v>231.7</v>
      </c>
      <c r="AG68" s="76">
        <f>SUM(AG57:AG67)</f>
        <v>0</v>
      </c>
      <c r="AH68" s="53">
        <f t="shared" si="2"/>
        <v>542</v>
      </c>
      <c r="AI68" s="54">
        <f t="shared" si="3"/>
        <v>209.89999999999998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1">SUM(D69:D71)</f>
        <v>0</v>
      </c>
      <c r="E72" s="71">
        <f t="shared" si="11"/>
        <v>0</v>
      </c>
      <c r="F72" s="71">
        <f t="shared" si="11"/>
        <v>0</v>
      </c>
      <c r="G72" s="71">
        <f t="shared" si="11"/>
        <v>0</v>
      </c>
      <c r="H72" s="71">
        <f t="shared" si="11"/>
        <v>0</v>
      </c>
      <c r="I72" s="71">
        <f t="shared" si="11"/>
        <v>0</v>
      </c>
      <c r="J72" s="71">
        <f t="shared" si="11"/>
        <v>0</v>
      </c>
      <c r="K72" s="71">
        <f t="shared" si="11"/>
        <v>0</v>
      </c>
      <c r="L72" s="71">
        <f t="shared" si="11"/>
        <v>0</v>
      </c>
      <c r="M72" s="71">
        <f t="shared" si="11"/>
        <v>0</v>
      </c>
      <c r="N72" s="71">
        <f t="shared" si="11"/>
        <v>0</v>
      </c>
      <c r="O72" s="71">
        <f t="shared" si="11"/>
        <v>0</v>
      </c>
      <c r="P72" s="71">
        <f t="shared" si="11"/>
        <v>0</v>
      </c>
      <c r="Q72" s="71">
        <f t="shared" si="11"/>
        <v>0</v>
      </c>
      <c r="R72" s="71">
        <f t="shared" si="11"/>
        <v>0</v>
      </c>
      <c r="S72" s="71">
        <f t="shared" si="11"/>
        <v>0</v>
      </c>
      <c r="T72" s="71">
        <f t="shared" si="11"/>
        <v>0</v>
      </c>
      <c r="U72" s="71">
        <f t="shared" si="11"/>
        <v>0</v>
      </c>
      <c r="V72" s="71">
        <f t="shared" si="11"/>
        <v>0</v>
      </c>
      <c r="W72" s="71">
        <f t="shared" si="11"/>
        <v>0</v>
      </c>
      <c r="X72" s="71">
        <f t="shared" si="11"/>
        <v>0</v>
      </c>
      <c r="Y72" s="71">
        <f t="shared" si="11"/>
        <v>0</v>
      </c>
      <c r="Z72" s="71">
        <f t="shared" si="11"/>
        <v>0</v>
      </c>
      <c r="AA72" s="71">
        <f t="shared" si="11"/>
        <v>0</v>
      </c>
      <c r="AB72" s="71">
        <f t="shared" si="11"/>
        <v>0</v>
      </c>
      <c r="AC72" s="71">
        <f t="shared" si="11"/>
        <v>0</v>
      </c>
      <c r="AD72" s="71">
        <f t="shared" si="11"/>
        <v>0</v>
      </c>
      <c r="AE72" s="71">
        <f t="shared" si="11"/>
        <v>0</v>
      </c>
      <c r="AF72" s="71">
        <f t="shared" si="11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936.93999999999994</v>
      </c>
      <c r="C73" s="88">
        <f>C68+C56+C52+C38+C72</f>
        <v>930.14</v>
      </c>
      <c r="D73" s="88">
        <f t="shared" ref="D73:AG73" si="12">D68+D56+D52+D38+D72</f>
        <v>889.24</v>
      </c>
      <c r="E73" s="88">
        <f t="shared" si="12"/>
        <v>902.24</v>
      </c>
      <c r="F73" s="88">
        <f t="shared" si="12"/>
        <v>885.63999999999987</v>
      </c>
      <c r="G73" s="88">
        <f t="shared" si="12"/>
        <v>913.42</v>
      </c>
      <c r="H73" s="88">
        <f t="shared" si="12"/>
        <v>958.94</v>
      </c>
      <c r="I73" s="88">
        <f t="shared" si="12"/>
        <v>1057.6399999999999</v>
      </c>
      <c r="J73" s="88">
        <f t="shared" si="12"/>
        <v>1155.8400000000001</v>
      </c>
      <c r="K73" s="88">
        <f t="shared" si="12"/>
        <v>1288.24</v>
      </c>
      <c r="L73" s="88">
        <f t="shared" si="12"/>
        <v>1394.3400000000001</v>
      </c>
      <c r="M73" s="88">
        <f t="shared" si="12"/>
        <v>1501.3400000000001</v>
      </c>
      <c r="N73" s="88">
        <f t="shared" si="12"/>
        <v>1484.54</v>
      </c>
      <c r="O73" s="88">
        <f t="shared" si="12"/>
        <v>1469.84</v>
      </c>
      <c r="P73" s="88">
        <f t="shared" si="12"/>
        <v>1416.94</v>
      </c>
      <c r="Q73" s="88">
        <f t="shared" si="12"/>
        <v>1339.04</v>
      </c>
      <c r="R73" s="88">
        <f t="shared" si="12"/>
        <v>1306.4399999999998</v>
      </c>
      <c r="S73" s="88">
        <f t="shared" si="12"/>
        <v>1290.94</v>
      </c>
      <c r="T73" s="88">
        <f t="shared" si="12"/>
        <v>1312.1399999999999</v>
      </c>
      <c r="U73" s="88">
        <f t="shared" si="12"/>
        <v>1305.24</v>
      </c>
      <c r="V73" s="88">
        <f t="shared" si="12"/>
        <v>1344.04</v>
      </c>
      <c r="W73" s="88">
        <f t="shared" si="12"/>
        <v>1490.04</v>
      </c>
      <c r="X73" s="88">
        <f t="shared" si="12"/>
        <v>1621.94</v>
      </c>
      <c r="Y73" s="88">
        <f t="shared" si="12"/>
        <v>1645.0400000000002</v>
      </c>
      <c r="Z73" s="88">
        <f t="shared" si="12"/>
        <v>1577.8400000000001</v>
      </c>
      <c r="AA73" s="88">
        <f t="shared" si="12"/>
        <v>1542.6399999999999</v>
      </c>
      <c r="AB73" s="88">
        <f t="shared" si="12"/>
        <v>1486.04</v>
      </c>
      <c r="AC73" s="88">
        <f t="shared" si="12"/>
        <v>1443.7</v>
      </c>
      <c r="AD73" s="88">
        <f t="shared" si="12"/>
        <v>1216.44</v>
      </c>
      <c r="AE73" s="88">
        <f t="shared" si="12"/>
        <v>1085.94</v>
      </c>
      <c r="AF73" s="88">
        <f t="shared" si="12"/>
        <v>1008.6400000000001</v>
      </c>
      <c r="AG73" s="88">
        <f t="shared" si="12"/>
        <v>2144.14</v>
      </c>
      <c r="AH73" s="53">
        <f t="shared" si="2"/>
        <v>1645.0400000000002</v>
      </c>
      <c r="AI73" s="54">
        <f t="shared" si="3"/>
        <v>885.63999999999987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>
        <v>15</v>
      </c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15</v>
      </c>
      <c r="AI74" s="54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936.93999999999994</v>
      </c>
      <c r="C75" s="88">
        <f>C73+C74</f>
        <v>930.14</v>
      </c>
      <c r="D75" s="88">
        <f t="shared" ref="D75:AF75" si="13">D72+D68+D56+D52+D38+D74</f>
        <v>889.24</v>
      </c>
      <c r="E75" s="88">
        <f t="shared" si="13"/>
        <v>902.24</v>
      </c>
      <c r="F75" s="88">
        <f t="shared" si="13"/>
        <v>885.63999999999987</v>
      </c>
      <c r="G75" s="88">
        <f t="shared" si="13"/>
        <v>913.42</v>
      </c>
      <c r="H75" s="88">
        <f t="shared" si="13"/>
        <v>973.94</v>
      </c>
      <c r="I75" s="88">
        <f t="shared" si="13"/>
        <v>1057.6399999999999</v>
      </c>
      <c r="J75" s="88">
        <f t="shared" si="13"/>
        <v>1155.8400000000001</v>
      </c>
      <c r="K75" s="88">
        <f t="shared" si="13"/>
        <v>1288.24</v>
      </c>
      <c r="L75" s="88">
        <f t="shared" si="13"/>
        <v>1394.3400000000001</v>
      </c>
      <c r="M75" s="88">
        <f t="shared" si="13"/>
        <v>1501.3400000000001</v>
      </c>
      <c r="N75" s="88">
        <f t="shared" si="13"/>
        <v>1484.54</v>
      </c>
      <c r="O75" s="88">
        <f t="shared" si="13"/>
        <v>1469.84</v>
      </c>
      <c r="P75" s="88">
        <f t="shared" si="13"/>
        <v>1416.94</v>
      </c>
      <c r="Q75" s="88">
        <f t="shared" si="13"/>
        <v>1339.04</v>
      </c>
      <c r="R75" s="88">
        <f t="shared" si="13"/>
        <v>1306.4399999999998</v>
      </c>
      <c r="S75" s="88">
        <f t="shared" si="13"/>
        <v>1290.94</v>
      </c>
      <c r="T75" s="88">
        <f t="shared" si="13"/>
        <v>1312.1399999999999</v>
      </c>
      <c r="U75" s="88">
        <f t="shared" si="13"/>
        <v>1305.24</v>
      </c>
      <c r="V75" s="88">
        <f t="shared" si="13"/>
        <v>1344.04</v>
      </c>
      <c r="W75" s="88">
        <f t="shared" si="13"/>
        <v>1490.04</v>
      </c>
      <c r="X75" s="88">
        <f t="shared" si="13"/>
        <v>1621.94</v>
      </c>
      <c r="Y75" s="88">
        <f t="shared" si="13"/>
        <v>1645.0400000000002</v>
      </c>
      <c r="Z75" s="88">
        <f t="shared" si="13"/>
        <v>1577.8400000000001</v>
      </c>
      <c r="AA75" s="88">
        <f t="shared" si="13"/>
        <v>1542.6399999999999</v>
      </c>
      <c r="AB75" s="88">
        <f t="shared" si="13"/>
        <v>1486.04</v>
      </c>
      <c r="AC75" s="88">
        <f t="shared" si="13"/>
        <v>1443.7</v>
      </c>
      <c r="AD75" s="88">
        <f t="shared" si="13"/>
        <v>1216.44</v>
      </c>
      <c r="AE75" s="88">
        <f t="shared" si="13"/>
        <v>1085.94</v>
      </c>
      <c r="AF75" s="88">
        <f t="shared" si="13"/>
        <v>1008.6400000000001</v>
      </c>
      <c r="AG75" s="76">
        <f>AG72+AG68+AG56+AG52+AG38+AG74</f>
        <v>2144.14</v>
      </c>
      <c r="AH75" s="53">
        <f t="shared" si="2"/>
        <v>1645.0400000000002</v>
      </c>
      <c r="AI75" s="54">
        <f t="shared" si="3"/>
        <v>885.63999999999987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4">IF(D60&lt;0,D60*-1,0)</f>
        <v>0</v>
      </c>
      <c r="E76" s="57">
        <f t="shared" si="14"/>
        <v>0</v>
      </c>
      <c r="F76" s="57">
        <f t="shared" si="14"/>
        <v>0</v>
      </c>
      <c r="G76" s="57">
        <f t="shared" si="14"/>
        <v>0</v>
      </c>
      <c r="H76" s="57">
        <f t="shared" si="14"/>
        <v>0</v>
      </c>
      <c r="I76" s="57">
        <f t="shared" si="14"/>
        <v>0</v>
      </c>
      <c r="J76" s="57">
        <f t="shared" si="14"/>
        <v>0</v>
      </c>
      <c r="K76" s="57">
        <f t="shared" si="14"/>
        <v>0</v>
      </c>
      <c r="L76" s="57">
        <f t="shared" si="14"/>
        <v>0</v>
      </c>
      <c r="M76" s="57">
        <f t="shared" si="14"/>
        <v>0</v>
      </c>
      <c r="N76" s="57">
        <f t="shared" si="14"/>
        <v>0</v>
      </c>
      <c r="O76" s="57">
        <f t="shared" si="14"/>
        <v>0</v>
      </c>
      <c r="P76" s="57">
        <f t="shared" si="14"/>
        <v>0</v>
      </c>
      <c r="Q76" s="57">
        <f t="shared" si="14"/>
        <v>0</v>
      </c>
      <c r="R76" s="57">
        <f t="shared" si="14"/>
        <v>0</v>
      </c>
      <c r="S76" s="57">
        <f t="shared" si="14"/>
        <v>0</v>
      </c>
      <c r="T76" s="57">
        <f t="shared" si="14"/>
        <v>0</v>
      </c>
      <c r="U76" s="57">
        <f t="shared" si="14"/>
        <v>0</v>
      </c>
      <c r="V76" s="57">
        <f t="shared" si="14"/>
        <v>0</v>
      </c>
      <c r="W76" s="57">
        <f t="shared" si="14"/>
        <v>0</v>
      </c>
      <c r="X76" s="57">
        <f t="shared" si="14"/>
        <v>0</v>
      </c>
      <c r="Y76" s="57">
        <f t="shared" si="14"/>
        <v>0</v>
      </c>
      <c r="Z76" s="57">
        <f t="shared" si="14"/>
        <v>0</v>
      </c>
      <c r="AA76" s="57">
        <f t="shared" si="14"/>
        <v>0</v>
      </c>
      <c r="AB76" s="57">
        <f t="shared" si="14"/>
        <v>0</v>
      </c>
      <c r="AC76" s="57">
        <f t="shared" si="14"/>
        <v>0</v>
      </c>
      <c r="AD76" s="57">
        <f t="shared" si="14"/>
        <v>0</v>
      </c>
      <c r="AE76" s="57">
        <f t="shared" si="14"/>
        <v>0</v>
      </c>
      <c r="AF76" s="57">
        <f t="shared" si="14"/>
        <v>0</v>
      </c>
      <c r="AG76" s="61"/>
      <c r="AH76" s="53">
        <f t="shared" ref="AH76:AH91" si="15">MAX(B76:AF76)</f>
        <v>0</v>
      </c>
      <c r="AI76" s="54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7">IF(D58&lt;0,D58*-1,0)</f>
        <v>0</v>
      </c>
      <c r="E77" s="57">
        <f t="shared" si="17"/>
        <v>0</v>
      </c>
      <c r="F77" s="57">
        <f t="shared" si="17"/>
        <v>0</v>
      </c>
      <c r="G77" s="57">
        <f t="shared" si="17"/>
        <v>0</v>
      </c>
      <c r="H77" s="57">
        <f t="shared" si="17"/>
        <v>0</v>
      </c>
      <c r="I77" s="57">
        <f t="shared" si="17"/>
        <v>0</v>
      </c>
      <c r="J77" s="57">
        <f t="shared" si="17"/>
        <v>0</v>
      </c>
      <c r="K77" s="57">
        <f t="shared" si="17"/>
        <v>0</v>
      </c>
      <c r="L77" s="57">
        <f t="shared" si="17"/>
        <v>0</v>
      </c>
      <c r="M77" s="57">
        <f t="shared" si="17"/>
        <v>0</v>
      </c>
      <c r="N77" s="57">
        <f t="shared" si="17"/>
        <v>0</v>
      </c>
      <c r="O77" s="57">
        <f t="shared" si="17"/>
        <v>0</v>
      </c>
      <c r="P77" s="57">
        <f t="shared" si="17"/>
        <v>0</v>
      </c>
      <c r="Q77" s="57">
        <f t="shared" si="17"/>
        <v>0</v>
      </c>
      <c r="R77" s="57">
        <f t="shared" si="17"/>
        <v>0</v>
      </c>
      <c r="S77" s="57">
        <f t="shared" si="17"/>
        <v>0</v>
      </c>
      <c r="T77" s="57">
        <f t="shared" si="17"/>
        <v>0</v>
      </c>
      <c r="U77" s="57">
        <f t="shared" si="17"/>
        <v>0</v>
      </c>
      <c r="V77" s="57">
        <f t="shared" si="17"/>
        <v>0</v>
      </c>
      <c r="W77" s="57">
        <f t="shared" si="17"/>
        <v>0</v>
      </c>
      <c r="X77" s="57">
        <f t="shared" si="17"/>
        <v>0</v>
      </c>
      <c r="Y77" s="57">
        <f t="shared" si="17"/>
        <v>0</v>
      </c>
      <c r="Z77" s="57">
        <f t="shared" si="17"/>
        <v>0</v>
      </c>
      <c r="AA77" s="57">
        <f t="shared" si="17"/>
        <v>0</v>
      </c>
      <c r="AB77" s="57">
        <f t="shared" si="17"/>
        <v>0</v>
      </c>
      <c r="AC77" s="57">
        <f t="shared" si="17"/>
        <v>0</v>
      </c>
      <c r="AD77" s="57">
        <f t="shared" si="17"/>
        <v>0</v>
      </c>
      <c r="AE77" s="57">
        <f t="shared" si="17"/>
        <v>0</v>
      </c>
      <c r="AF77" s="57">
        <f t="shared" si="17"/>
        <v>0</v>
      </c>
      <c r="AG77" s="66"/>
      <c r="AH77" s="53">
        <f t="shared" si="15"/>
        <v>0</v>
      </c>
      <c r="AI77" s="54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8">IF(D61&lt;0,D61*-1,0)</f>
        <v>0</v>
      </c>
      <c r="E78" s="57">
        <f t="shared" si="18"/>
        <v>0</v>
      </c>
      <c r="F78" s="57">
        <f t="shared" si="18"/>
        <v>0</v>
      </c>
      <c r="G78" s="57">
        <f t="shared" si="18"/>
        <v>0</v>
      </c>
      <c r="H78" s="57">
        <f t="shared" si="18"/>
        <v>0</v>
      </c>
      <c r="I78" s="57">
        <f t="shared" si="18"/>
        <v>0</v>
      </c>
      <c r="J78" s="57">
        <f t="shared" si="18"/>
        <v>0</v>
      </c>
      <c r="K78" s="57">
        <f t="shared" si="18"/>
        <v>0</v>
      </c>
      <c r="L78" s="57">
        <f t="shared" si="18"/>
        <v>0</v>
      </c>
      <c r="M78" s="57">
        <f t="shared" si="18"/>
        <v>0</v>
      </c>
      <c r="N78" s="57">
        <f t="shared" si="18"/>
        <v>0</v>
      </c>
      <c r="O78" s="57">
        <f t="shared" si="18"/>
        <v>0</v>
      </c>
      <c r="P78" s="57">
        <f t="shared" si="18"/>
        <v>0</v>
      </c>
      <c r="Q78" s="57">
        <f t="shared" si="18"/>
        <v>0</v>
      </c>
      <c r="R78" s="57">
        <f t="shared" si="18"/>
        <v>0</v>
      </c>
      <c r="S78" s="57">
        <f t="shared" si="18"/>
        <v>0</v>
      </c>
      <c r="T78" s="57">
        <f t="shared" si="18"/>
        <v>0</v>
      </c>
      <c r="U78" s="57">
        <f t="shared" si="18"/>
        <v>0</v>
      </c>
      <c r="V78" s="57">
        <f t="shared" si="18"/>
        <v>0</v>
      </c>
      <c r="W78" s="57">
        <f t="shared" si="18"/>
        <v>0</v>
      </c>
      <c r="X78" s="57">
        <f t="shared" si="18"/>
        <v>0</v>
      </c>
      <c r="Y78" s="57">
        <f t="shared" si="18"/>
        <v>0</v>
      </c>
      <c r="Z78" s="57">
        <f t="shared" si="18"/>
        <v>0</v>
      </c>
      <c r="AA78" s="57">
        <f t="shared" si="18"/>
        <v>0</v>
      </c>
      <c r="AB78" s="57">
        <f t="shared" si="18"/>
        <v>0</v>
      </c>
      <c r="AC78" s="57">
        <f t="shared" si="18"/>
        <v>0</v>
      </c>
      <c r="AD78" s="57">
        <f t="shared" si="18"/>
        <v>0</v>
      </c>
      <c r="AE78" s="57">
        <f t="shared" si="18"/>
        <v>0</v>
      </c>
      <c r="AF78" s="57">
        <f t="shared" si="18"/>
        <v>0</v>
      </c>
      <c r="AG78" s="91"/>
      <c r="AH78" s="53">
        <f t="shared" si="15"/>
        <v>0</v>
      </c>
      <c r="AI78" s="54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9">IF(D59&lt;0,D59*-1,0)</f>
        <v>0</v>
      </c>
      <c r="E79" s="57">
        <f t="shared" si="19"/>
        <v>0</v>
      </c>
      <c r="F79" s="57">
        <f t="shared" si="19"/>
        <v>0</v>
      </c>
      <c r="G79" s="57">
        <f t="shared" si="19"/>
        <v>0</v>
      </c>
      <c r="H79" s="57">
        <f t="shared" si="19"/>
        <v>0</v>
      </c>
      <c r="I79" s="57">
        <f t="shared" si="19"/>
        <v>0</v>
      </c>
      <c r="J79" s="57">
        <f t="shared" si="19"/>
        <v>0</v>
      </c>
      <c r="K79" s="57">
        <f t="shared" si="19"/>
        <v>0</v>
      </c>
      <c r="L79" s="57">
        <f t="shared" si="19"/>
        <v>0</v>
      </c>
      <c r="M79" s="57">
        <f t="shared" si="19"/>
        <v>0</v>
      </c>
      <c r="N79" s="57">
        <f t="shared" si="19"/>
        <v>0</v>
      </c>
      <c r="O79" s="57">
        <f t="shared" si="19"/>
        <v>0</v>
      </c>
      <c r="P79" s="57">
        <f t="shared" si="19"/>
        <v>0</v>
      </c>
      <c r="Q79" s="57">
        <f t="shared" si="19"/>
        <v>0</v>
      </c>
      <c r="R79" s="57">
        <f t="shared" si="19"/>
        <v>0</v>
      </c>
      <c r="S79" s="57">
        <f t="shared" si="19"/>
        <v>0</v>
      </c>
      <c r="T79" s="57">
        <f t="shared" si="19"/>
        <v>0</v>
      </c>
      <c r="U79" s="57">
        <f t="shared" si="19"/>
        <v>0</v>
      </c>
      <c r="V79" s="57">
        <f t="shared" si="19"/>
        <v>0</v>
      </c>
      <c r="W79" s="57">
        <f t="shared" si="19"/>
        <v>0</v>
      </c>
      <c r="X79" s="57">
        <f t="shared" si="19"/>
        <v>0</v>
      </c>
      <c r="Y79" s="57">
        <f t="shared" si="19"/>
        <v>0</v>
      </c>
      <c r="Z79" s="57">
        <f t="shared" si="19"/>
        <v>0</v>
      </c>
      <c r="AA79" s="57">
        <f t="shared" si="19"/>
        <v>0</v>
      </c>
      <c r="AB79" s="57">
        <f t="shared" si="19"/>
        <v>0</v>
      </c>
      <c r="AC79" s="57">
        <f t="shared" si="19"/>
        <v>0</v>
      </c>
      <c r="AD79" s="57">
        <f t="shared" si="19"/>
        <v>0</v>
      </c>
      <c r="AE79" s="57">
        <f t="shared" si="19"/>
        <v>0</v>
      </c>
      <c r="AF79" s="57">
        <f t="shared" si="19"/>
        <v>0</v>
      </c>
      <c r="AG79" s="91"/>
      <c r="AH79" s="53">
        <f t="shared" si="15"/>
        <v>0</v>
      </c>
      <c r="AI79" s="54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0">IF(D57&lt;0,D57*-1,0)</f>
        <v>0</v>
      </c>
      <c r="E80" s="57">
        <f t="shared" si="20"/>
        <v>0</v>
      </c>
      <c r="F80" s="57">
        <f t="shared" si="20"/>
        <v>0</v>
      </c>
      <c r="G80" s="57">
        <f t="shared" si="20"/>
        <v>0</v>
      </c>
      <c r="H80" s="57">
        <f t="shared" si="20"/>
        <v>0</v>
      </c>
      <c r="I80" s="57">
        <f t="shared" si="20"/>
        <v>0</v>
      </c>
      <c r="J80" s="57">
        <f t="shared" si="20"/>
        <v>0</v>
      </c>
      <c r="K80" s="57">
        <f t="shared" si="20"/>
        <v>0</v>
      </c>
      <c r="L80" s="57">
        <f t="shared" si="20"/>
        <v>0</v>
      </c>
      <c r="M80" s="57">
        <f t="shared" si="20"/>
        <v>0</v>
      </c>
      <c r="N80" s="57">
        <f t="shared" si="20"/>
        <v>0</v>
      </c>
      <c r="O80" s="57">
        <f t="shared" si="20"/>
        <v>0</v>
      </c>
      <c r="P80" s="57">
        <f t="shared" si="20"/>
        <v>0</v>
      </c>
      <c r="Q80" s="57">
        <f t="shared" si="20"/>
        <v>0</v>
      </c>
      <c r="R80" s="57">
        <f t="shared" si="20"/>
        <v>0</v>
      </c>
      <c r="S80" s="57">
        <f t="shared" si="20"/>
        <v>0</v>
      </c>
      <c r="T80" s="57">
        <f t="shared" si="20"/>
        <v>0</v>
      </c>
      <c r="U80" s="57">
        <f t="shared" si="20"/>
        <v>0</v>
      </c>
      <c r="V80" s="57">
        <f t="shared" si="20"/>
        <v>0</v>
      </c>
      <c r="W80" s="57">
        <f t="shared" si="20"/>
        <v>0</v>
      </c>
      <c r="X80" s="57">
        <f t="shared" si="20"/>
        <v>0</v>
      </c>
      <c r="Y80" s="57">
        <f t="shared" si="20"/>
        <v>0</v>
      </c>
      <c r="Z80" s="57">
        <f t="shared" si="20"/>
        <v>0</v>
      </c>
      <c r="AA80" s="57">
        <f t="shared" si="20"/>
        <v>0</v>
      </c>
      <c r="AB80" s="57">
        <f t="shared" si="20"/>
        <v>0</v>
      </c>
      <c r="AC80" s="57">
        <f t="shared" si="20"/>
        <v>0</v>
      </c>
      <c r="AD80" s="57">
        <f t="shared" si="20"/>
        <v>0</v>
      </c>
      <c r="AE80" s="57">
        <f t="shared" si="20"/>
        <v>0</v>
      </c>
      <c r="AF80" s="57">
        <f t="shared" si="20"/>
        <v>0</v>
      </c>
      <c r="AG80" s="91"/>
      <c r="AH80" s="53">
        <f t="shared" si="15"/>
        <v>0</v>
      </c>
      <c r="AI80" s="54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5"/>
        <v>0</v>
      </c>
      <c r="AI81" s="54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1">SUM(C76:C81)</f>
        <v>0</v>
      </c>
      <c r="D82" s="71">
        <f t="shared" si="21"/>
        <v>0</v>
      </c>
      <c r="E82" s="71">
        <f t="shared" si="21"/>
        <v>0</v>
      </c>
      <c r="F82" s="71">
        <f t="shared" si="21"/>
        <v>0</v>
      </c>
      <c r="G82" s="71">
        <f t="shared" si="21"/>
        <v>0</v>
      </c>
      <c r="H82" s="71">
        <f t="shared" si="21"/>
        <v>0</v>
      </c>
      <c r="I82" s="71">
        <f t="shared" si="21"/>
        <v>0</v>
      </c>
      <c r="J82" s="71">
        <f t="shared" si="21"/>
        <v>0</v>
      </c>
      <c r="K82" s="71">
        <f t="shared" si="21"/>
        <v>0</v>
      </c>
      <c r="L82" s="71">
        <f t="shared" si="21"/>
        <v>0</v>
      </c>
      <c r="M82" s="71">
        <f t="shared" si="21"/>
        <v>0</v>
      </c>
      <c r="N82" s="71">
        <f t="shared" si="21"/>
        <v>0</v>
      </c>
      <c r="O82" s="71">
        <f t="shared" si="21"/>
        <v>0</v>
      </c>
      <c r="P82" s="71">
        <f t="shared" si="21"/>
        <v>0</v>
      </c>
      <c r="Q82" s="71">
        <f t="shared" si="21"/>
        <v>0</v>
      </c>
      <c r="R82" s="71">
        <f t="shared" si="21"/>
        <v>0</v>
      </c>
      <c r="S82" s="71">
        <f t="shared" si="21"/>
        <v>0</v>
      </c>
      <c r="T82" s="71">
        <f t="shared" si="21"/>
        <v>0</v>
      </c>
      <c r="U82" s="71">
        <f t="shared" si="21"/>
        <v>0</v>
      </c>
      <c r="V82" s="71">
        <f t="shared" si="21"/>
        <v>0</v>
      </c>
      <c r="W82" s="71">
        <f t="shared" si="21"/>
        <v>0</v>
      </c>
      <c r="X82" s="71">
        <f t="shared" si="21"/>
        <v>0</v>
      </c>
      <c r="Y82" s="71">
        <f t="shared" si="21"/>
        <v>0</v>
      </c>
      <c r="Z82" s="71">
        <f t="shared" si="21"/>
        <v>0</v>
      </c>
      <c r="AA82" s="71">
        <f t="shared" si="21"/>
        <v>0</v>
      </c>
      <c r="AB82" s="71">
        <f t="shared" si="21"/>
        <v>0</v>
      </c>
      <c r="AC82" s="71">
        <f t="shared" si="21"/>
        <v>0</v>
      </c>
      <c r="AD82" s="71">
        <f t="shared" si="21"/>
        <v>0</v>
      </c>
      <c r="AE82" s="71">
        <f t="shared" si="21"/>
        <v>0</v>
      </c>
      <c r="AF82" s="71">
        <f t="shared" si="21"/>
        <v>0</v>
      </c>
      <c r="AG82" s="76">
        <f t="shared" si="21"/>
        <v>0</v>
      </c>
      <c r="AH82" s="53">
        <f t="shared" si="15"/>
        <v>0</v>
      </c>
      <c r="AI82" s="54">
        <f t="shared" si="16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1873.8799999999999</v>
      </c>
      <c r="C83" s="71">
        <f t="shared" ref="C83:AG83" si="22">SUM(C70:C82)</f>
        <v>1860.28</v>
      </c>
      <c r="D83" s="71">
        <f t="shared" si="22"/>
        <v>1778.48</v>
      </c>
      <c r="E83" s="71">
        <f t="shared" si="22"/>
        <v>1804.48</v>
      </c>
      <c r="F83" s="71">
        <f t="shared" si="22"/>
        <v>1771.2799999999997</v>
      </c>
      <c r="G83" s="71">
        <f t="shared" si="22"/>
        <v>1826.84</v>
      </c>
      <c r="H83" s="71">
        <f t="shared" si="22"/>
        <v>1947.88</v>
      </c>
      <c r="I83" s="71">
        <f t="shared" si="22"/>
        <v>2115.2799999999997</v>
      </c>
      <c r="J83" s="71">
        <f t="shared" si="22"/>
        <v>2311.6800000000003</v>
      </c>
      <c r="K83" s="71">
        <f t="shared" si="22"/>
        <v>2576.48</v>
      </c>
      <c r="L83" s="71">
        <f t="shared" si="22"/>
        <v>2788.6800000000003</v>
      </c>
      <c r="M83" s="71">
        <f t="shared" si="22"/>
        <v>3002.6800000000003</v>
      </c>
      <c r="N83" s="71">
        <f t="shared" si="22"/>
        <v>2969.08</v>
      </c>
      <c r="O83" s="71">
        <f t="shared" si="22"/>
        <v>2939.68</v>
      </c>
      <c r="P83" s="71">
        <f t="shared" si="22"/>
        <v>2833.88</v>
      </c>
      <c r="Q83" s="71">
        <f t="shared" si="22"/>
        <v>2678.08</v>
      </c>
      <c r="R83" s="71">
        <f t="shared" si="22"/>
        <v>2612.8799999999997</v>
      </c>
      <c r="S83" s="71">
        <f t="shared" si="22"/>
        <v>2581.88</v>
      </c>
      <c r="T83" s="71">
        <f t="shared" si="22"/>
        <v>2624.2799999999997</v>
      </c>
      <c r="U83" s="71">
        <f t="shared" si="22"/>
        <v>2610.48</v>
      </c>
      <c r="V83" s="71">
        <f t="shared" si="22"/>
        <v>2688.08</v>
      </c>
      <c r="W83" s="71">
        <f t="shared" si="22"/>
        <v>2980.08</v>
      </c>
      <c r="X83" s="71">
        <f t="shared" si="22"/>
        <v>3243.88</v>
      </c>
      <c r="Y83" s="71">
        <f t="shared" si="22"/>
        <v>3290.0800000000004</v>
      </c>
      <c r="Z83" s="71">
        <f t="shared" si="22"/>
        <v>3155.6800000000003</v>
      </c>
      <c r="AA83" s="71">
        <f t="shared" si="22"/>
        <v>3085.2799999999997</v>
      </c>
      <c r="AB83" s="71">
        <f t="shared" si="22"/>
        <v>2972.08</v>
      </c>
      <c r="AC83" s="71">
        <f t="shared" si="22"/>
        <v>2887.4</v>
      </c>
      <c r="AD83" s="71">
        <f t="shared" si="22"/>
        <v>2432.88</v>
      </c>
      <c r="AE83" s="71">
        <f t="shared" si="22"/>
        <v>2171.88</v>
      </c>
      <c r="AF83" s="71">
        <f t="shared" si="22"/>
        <v>2017.2800000000002</v>
      </c>
      <c r="AG83" s="76">
        <f t="shared" si="22"/>
        <v>4360.08</v>
      </c>
      <c r="AH83" s="53">
        <f t="shared" si="15"/>
        <v>3290.0800000000004</v>
      </c>
      <c r="AI83" s="54">
        <f t="shared" si="16"/>
        <v>1771.2799999999997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49.99</v>
      </c>
      <c r="C84" s="95">
        <v>49.953000000000003</v>
      </c>
      <c r="D84" s="95">
        <v>50.002000000000002</v>
      </c>
      <c r="E84" s="95">
        <v>50.015000000000001</v>
      </c>
      <c r="F84" s="95">
        <v>49.997999999999998</v>
      </c>
      <c r="G84" s="95">
        <v>49.997999999999998</v>
      </c>
      <c r="H84" s="95">
        <v>50.036999999999999</v>
      </c>
      <c r="I84" s="95">
        <v>49.999000000000002</v>
      </c>
      <c r="J84" s="95">
        <v>50.033000000000001</v>
      </c>
      <c r="K84" s="95">
        <v>50.037999999999997</v>
      </c>
      <c r="L84" s="95">
        <v>49.99</v>
      </c>
      <c r="M84" s="95">
        <v>49.994999999999997</v>
      </c>
      <c r="N84" s="95">
        <v>50.055</v>
      </c>
      <c r="O84" s="95">
        <v>50.036999999999999</v>
      </c>
      <c r="P84" s="95">
        <v>49.954000000000001</v>
      </c>
      <c r="Q84" s="95">
        <v>50.030999999999999</v>
      </c>
      <c r="R84" s="95">
        <v>50.008000000000003</v>
      </c>
      <c r="S84" s="95">
        <v>49.994999999999997</v>
      </c>
      <c r="T84" s="95">
        <v>50.034999999999997</v>
      </c>
      <c r="U84" s="95">
        <v>49.951000000000001</v>
      </c>
      <c r="V84" s="95">
        <v>49.893000000000001</v>
      </c>
      <c r="W84" s="95">
        <v>49.978999999999999</v>
      </c>
      <c r="X84" s="95">
        <v>50.000999999999998</v>
      </c>
      <c r="Y84" s="95">
        <v>49.991999999999997</v>
      </c>
      <c r="Z84" s="95">
        <v>50.002000000000002</v>
      </c>
      <c r="AA84" s="95">
        <v>49.869</v>
      </c>
      <c r="AB84" s="95">
        <v>49.911999999999999</v>
      </c>
      <c r="AC84" s="95">
        <v>49.97</v>
      </c>
      <c r="AD84" s="95">
        <v>50.07</v>
      </c>
      <c r="AE84" s="95">
        <v>50.07</v>
      </c>
      <c r="AF84" s="95">
        <v>49.84</v>
      </c>
      <c r="AG84" s="96"/>
      <c r="AH84" s="53">
        <f t="shared" si="15"/>
        <v>50.07</v>
      </c>
      <c r="AI84" s="54">
        <f t="shared" si="16"/>
        <v>49.84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126.1</v>
      </c>
      <c r="C85" s="72">
        <v>125.7</v>
      </c>
      <c r="D85" s="72">
        <v>126.3</v>
      </c>
      <c r="E85" s="72">
        <v>126.5</v>
      </c>
      <c r="F85" s="72">
        <v>127.9</v>
      </c>
      <c r="G85" s="72">
        <v>127.9</v>
      </c>
      <c r="H85" s="72">
        <v>127.9</v>
      </c>
      <c r="I85" s="72">
        <v>124.2</v>
      </c>
      <c r="J85" s="72">
        <v>124.5</v>
      </c>
      <c r="K85" s="72">
        <v>122.6</v>
      </c>
      <c r="L85" s="72">
        <v>123</v>
      </c>
      <c r="M85" s="72">
        <v>120.3</v>
      </c>
      <c r="N85" s="72">
        <v>122.9</v>
      </c>
      <c r="O85" s="72">
        <v>122</v>
      </c>
      <c r="P85" s="72">
        <v>123.7</v>
      </c>
      <c r="Q85" s="72">
        <v>124.6</v>
      </c>
      <c r="R85" s="72">
        <v>124.6</v>
      </c>
      <c r="S85" s="72">
        <v>125</v>
      </c>
      <c r="T85" s="72">
        <v>125.1</v>
      </c>
      <c r="U85" s="99">
        <v>125.8</v>
      </c>
      <c r="V85" s="99">
        <v>124.7</v>
      </c>
      <c r="W85" s="99">
        <v>124</v>
      </c>
      <c r="X85" s="99">
        <v>124</v>
      </c>
      <c r="Y85" s="99">
        <v>122.2</v>
      </c>
      <c r="Z85" s="99">
        <v>124.6</v>
      </c>
      <c r="AA85" s="99">
        <v>124.8</v>
      </c>
      <c r="AB85" s="72">
        <v>126.2</v>
      </c>
      <c r="AC85" s="72">
        <v>125.7</v>
      </c>
      <c r="AD85" s="72">
        <v>126.1</v>
      </c>
      <c r="AE85" s="72">
        <v>126.1</v>
      </c>
      <c r="AF85" s="72">
        <v>125.4</v>
      </c>
      <c r="AG85" s="100"/>
      <c r="AH85" s="53">
        <f t="shared" si="15"/>
        <v>127.9</v>
      </c>
      <c r="AI85" s="54">
        <f t="shared" si="16"/>
        <v>120.3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130.19999999999999</v>
      </c>
      <c r="C86" s="72">
        <v>129.9</v>
      </c>
      <c r="D86" s="72">
        <v>131</v>
      </c>
      <c r="E86" s="72">
        <v>131.4</v>
      </c>
      <c r="F86" s="72">
        <v>132.30000000000001</v>
      </c>
      <c r="G86" s="72">
        <v>132.30000000000001</v>
      </c>
      <c r="H86" s="72">
        <v>131.5</v>
      </c>
      <c r="I86" s="72">
        <v>128.5</v>
      </c>
      <c r="J86" s="72">
        <v>128.69999999999999</v>
      </c>
      <c r="K86" s="72">
        <v>127.1</v>
      </c>
      <c r="L86" s="72">
        <v>125.7</v>
      </c>
      <c r="M86" s="72">
        <v>123.7</v>
      </c>
      <c r="N86" s="72">
        <v>125</v>
      </c>
      <c r="O86" s="72">
        <v>125</v>
      </c>
      <c r="P86" s="72">
        <v>126.4</v>
      </c>
      <c r="Q86" s="72">
        <v>128</v>
      </c>
      <c r="R86" s="72">
        <v>128.19999999999999</v>
      </c>
      <c r="S86" s="72">
        <v>128.30000000000001</v>
      </c>
      <c r="T86" s="72">
        <v>128.30000000000001</v>
      </c>
      <c r="U86" s="99">
        <v>128.9</v>
      </c>
      <c r="V86" s="99">
        <v>127.4</v>
      </c>
      <c r="W86" s="99">
        <v>126.2</v>
      </c>
      <c r="X86" s="99">
        <v>126.2</v>
      </c>
      <c r="Y86" s="99">
        <v>124.9</v>
      </c>
      <c r="Z86" s="99">
        <v>126.7</v>
      </c>
      <c r="AA86" s="99">
        <v>127.9</v>
      </c>
      <c r="AB86" s="72">
        <v>128.1</v>
      </c>
      <c r="AC86" s="72">
        <v>128.1</v>
      </c>
      <c r="AD86" s="72">
        <v>128.80000000000001</v>
      </c>
      <c r="AE86" s="72">
        <v>128.80000000000001</v>
      </c>
      <c r="AF86" s="72">
        <v>130.19999999999999</v>
      </c>
      <c r="AG86" s="100"/>
      <c r="AH86" s="53">
        <f t="shared" si="15"/>
        <v>132.30000000000001</v>
      </c>
      <c r="AI86" s="54">
        <f t="shared" si="16"/>
        <v>123.7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130.4</v>
      </c>
      <c r="C87" s="72">
        <v>130.69999999999999</v>
      </c>
      <c r="D87" s="72">
        <v>130.9</v>
      </c>
      <c r="E87" s="72">
        <v>130.9</v>
      </c>
      <c r="F87" s="72">
        <v>131.19999999999999</v>
      </c>
      <c r="G87" s="72">
        <v>131.19999999999999</v>
      </c>
      <c r="H87" s="72">
        <v>129.80000000000001</v>
      </c>
      <c r="I87" s="72">
        <v>127.2</v>
      </c>
      <c r="J87" s="72">
        <v>126.3</v>
      </c>
      <c r="K87" s="72">
        <v>126.3</v>
      </c>
      <c r="L87" s="72">
        <v>127</v>
      </c>
      <c r="M87" s="72">
        <v>124.8</v>
      </c>
      <c r="N87" s="72">
        <v>128</v>
      </c>
      <c r="O87" s="72">
        <v>128</v>
      </c>
      <c r="P87" s="72">
        <v>128.80000000000001</v>
      </c>
      <c r="Q87" s="72">
        <v>133.6</v>
      </c>
      <c r="R87" s="72">
        <v>129.1</v>
      </c>
      <c r="S87" s="72">
        <v>127.1</v>
      </c>
      <c r="T87" s="72">
        <v>130.6</v>
      </c>
      <c r="U87" s="72">
        <v>130</v>
      </c>
      <c r="V87" s="72">
        <v>130.19999999999999</v>
      </c>
      <c r="W87" s="72">
        <v>127.5</v>
      </c>
      <c r="X87" s="72">
        <v>127.5</v>
      </c>
      <c r="Y87" s="99">
        <v>128.4</v>
      </c>
      <c r="Z87" s="99">
        <v>130.69999999999999</v>
      </c>
      <c r="AA87" s="99">
        <v>128</v>
      </c>
      <c r="AB87" s="72">
        <v>130.30000000000001</v>
      </c>
      <c r="AC87" s="72">
        <v>130.6</v>
      </c>
      <c r="AD87" s="72">
        <v>130.4</v>
      </c>
      <c r="AE87" s="72">
        <v>130.4</v>
      </c>
      <c r="AF87" s="72">
        <v>129.69999999999999</v>
      </c>
      <c r="AG87" s="100"/>
      <c r="AH87" s="53">
        <f t="shared" si="15"/>
        <v>133.6</v>
      </c>
      <c r="AI87" s="54">
        <f t="shared" si="16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132.6</v>
      </c>
      <c r="C88" s="72">
        <v>132.80000000000001</v>
      </c>
      <c r="D88" s="72">
        <v>133.1</v>
      </c>
      <c r="E88" s="72">
        <v>133.19999999999999</v>
      </c>
      <c r="F88" s="72">
        <v>133.4</v>
      </c>
      <c r="G88" s="72">
        <v>133.4</v>
      </c>
      <c r="H88" s="72">
        <v>131.6</v>
      </c>
      <c r="I88" s="72">
        <v>129.19999999999999</v>
      </c>
      <c r="J88" s="72">
        <v>129.9</v>
      </c>
      <c r="K88" s="72">
        <v>130.19999999999999</v>
      </c>
      <c r="L88" s="72">
        <v>130</v>
      </c>
      <c r="M88" s="72">
        <v>127.6</v>
      </c>
      <c r="N88" s="72">
        <v>131.69999999999999</v>
      </c>
      <c r="O88" s="72">
        <v>132</v>
      </c>
      <c r="P88" s="72">
        <v>132.9</v>
      </c>
      <c r="Q88" s="72">
        <v>136.69999999999999</v>
      </c>
      <c r="R88" s="72">
        <v>132.69999999999999</v>
      </c>
      <c r="S88" s="72">
        <v>130.4</v>
      </c>
      <c r="T88" s="72">
        <v>133.1</v>
      </c>
      <c r="U88" s="72">
        <v>130</v>
      </c>
      <c r="V88" s="72">
        <v>132.6</v>
      </c>
      <c r="W88" s="72">
        <v>129.1</v>
      </c>
      <c r="X88" s="72">
        <v>129.1</v>
      </c>
      <c r="Y88" s="99">
        <v>133</v>
      </c>
      <c r="Z88" s="99">
        <v>135.5</v>
      </c>
      <c r="AA88" s="99">
        <v>133.6</v>
      </c>
      <c r="AB88" s="72">
        <v>133.69999999999999</v>
      </c>
      <c r="AC88" s="72">
        <v>132.30000000000001</v>
      </c>
      <c r="AD88" s="72">
        <v>131.4</v>
      </c>
      <c r="AE88" s="72">
        <v>131.4</v>
      </c>
      <c r="AF88" s="72">
        <v>130.9</v>
      </c>
      <c r="AG88" s="100"/>
      <c r="AH88" s="53">
        <f t="shared" si="15"/>
        <v>136.69999999999999</v>
      </c>
      <c r="AI88" s="54">
        <f t="shared" si="16"/>
        <v>127.6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128.80000000000001</v>
      </c>
      <c r="C89" s="103">
        <v>124.3</v>
      </c>
      <c r="D89" s="103">
        <v>127.9</v>
      </c>
      <c r="E89" s="103">
        <v>129.19999999999999</v>
      </c>
      <c r="F89" s="103">
        <v>131</v>
      </c>
      <c r="G89" s="103">
        <v>131</v>
      </c>
      <c r="H89" s="103">
        <v>131.6</v>
      </c>
      <c r="I89" s="103">
        <v>127.9</v>
      </c>
      <c r="J89" s="103">
        <v>134.9</v>
      </c>
      <c r="K89" s="103">
        <v>132.5</v>
      </c>
      <c r="L89" s="103">
        <v>133.6</v>
      </c>
      <c r="M89" s="103">
        <v>131.6</v>
      </c>
      <c r="N89" s="103">
        <v>131</v>
      </c>
      <c r="O89" s="103">
        <v>131</v>
      </c>
      <c r="P89" s="103">
        <v>135.80000000000001</v>
      </c>
      <c r="Q89" s="103">
        <v>130.6</v>
      </c>
      <c r="R89" s="103">
        <v>131.9</v>
      </c>
      <c r="S89" s="103">
        <v>131.9</v>
      </c>
      <c r="T89" s="103">
        <v>131.6</v>
      </c>
      <c r="U89" s="103">
        <v>133.80000000000001</v>
      </c>
      <c r="V89" s="103">
        <v>135.5</v>
      </c>
      <c r="W89" s="103">
        <v>133.30000000000001</v>
      </c>
      <c r="X89" s="103">
        <v>133.30000000000001</v>
      </c>
      <c r="Y89" s="99">
        <v>133</v>
      </c>
      <c r="Z89" s="99">
        <v>144.6</v>
      </c>
      <c r="AA89" s="99">
        <v>133.30000000000001</v>
      </c>
      <c r="AB89" s="103">
        <v>134.6</v>
      </c>
      <c r="AC89" s="103">
        <v>132.6</v>
      </c>
      <c r="AD89" s="103">
        <v>133.6</v>
      </c>
      <c r="AE89" s="103">
        <v>133.6</v>
      </c>
      <c r="AF89" s="103">
        <v>127.7</v>
      </c>
      <c r="AG89" s="104"/>
      <c r="AH89" s="53">
        <f t="shared" si="15"/>
        <v>144.6</v>
      </c>
      <c r="AI89" s="54">
        <f t="shared" si="16"/>
        <v>124.3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134.80000000000001</v>
      </c>
      <c r="C90" s="72">
        <v>135.69999999999999</v>
      </c>
      <c r="D90" s="72">
        <v>136.19999999999999</v>
      </c>
      <c r="E90" s="72">
        <v>134.80000000000001</v>
      </c>
      <c r="F90" s="72">
        <v>132.30000000000001</v>
      </c>
      <c r="G90" s="72">
        <v>132.30000000000001</v>
      </c>
      <c r="H90" s="72">
        <v>135.1</v>
      </c>
      <c r="I90" s="72">
        <v>134.19999999999999</v>
      </c>
      <c r="J90" s="72">
        <v>128.30000000000001</v>
      </c>
      <c r="K90" s="72">
        <v>128.19999999999999</v>
      </c>
      <c r="L90" s="72">
        <v>124.7</v>
      </c>
      <c r="M90" s="72">
        <v>129.5</v>
      </c>
      <c r="N90" s="72">
        <v>129.6</v>
      </c>
      <c r="O90" s="72">
        <v>130.80000000000001</v>
      </c>
      <c r="P90" s="72">
        <v>135.5</v>
      </c>
      <c r="Q90" s="72">
        <v>135</v>
      </c>
      <c r="R90" s="72">
        <v>131.4</v>
      </c>
      <c r="S90" s="72">
        <v>133.30000000000001</v>
      </c>
      <c r="T90" s="72">
        <v>134.4</v>
      </c>
      <c r="U90" s="72">
        <v>129.9</v>
      </c>
      <c r="V90" s="72">
        <v>130.1</v>
      </c>
      <c r="W90" s="72">
        <v>130.5</v>
      </c>
      <c r="X90" s="72">
        <v>130.5</v>
      </c>
      <c r="Y90" s="99">
        <v>134.80000000000001</v>
      </c>
      <c r="Z90" s="99">
        <v>133.1</v>
      </c>
      <c r="AA90" s="99">
        <v>131</v>
      </c>
      <c r="AB90" s="72">
        <v>132</v>
      </c>
      <c r="AC90" s="72">
        <v>128.19999999999999</v>
      </c>
      <c r="AD90" s="72">
        <v>130</v>
      </c>
      <c r="AE90" s="72">
        <v>130</v>
      </c>
      <c r="AF90" s="72">
        <v>135.1</v>
      </c>
      <c r="AG90" s="100"/>
      <c r="AH90" s="53">
        <f t="shared" si="15"/>
        <v>136.19999999999999</v>
      </c>
      <c r="AI90" s="54">
        <f t="shared" si="16"/>
        <v>124.7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5"/>
        <v>0</v>
      </c>
      <c r="AI91" s="54">
        <f t="shared" si="16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203.33999999999997</v>
      </c>
      <c r="C93" s="113">
        <f>SUM(C15,C18,C21:C22,C42,C44:C45,C47,C49,C94:C97,C102,C108,C114,C123,C125,C137,C144,C147:C148,C155,C157,C159,C163:C165,C167:C169,C174,C180:C181,C183:C185,C193,C198)</f>
        <v>185.93999999999997</v>
      </c>
      <c r="D93" s="113">
        <f t="shared" ref="D93:AF93" si="23">SUM(D15,D18,D21:D22,D42,D44:D45,D47,D49,D94:D97,D102,D108,D114,D123,D125,D137,D144,D147:D148,D155,D157,D159,D163:D165,D167:D169,D174,D180:D181,D183:D185,D193,D198)</f>
        <v>181.23999999999995</v>
      </c>
      <c r="E93" s="113">
        <f t="shared" si="23"/>
        <v>179.83999999999997</v>
      </c>
      <c r="F93" s="113">
        <f t="shared" si="23"/>
        <v>185.14</v>
      </c>
      <c r="G93" s="112">
        <f t="shared" si="23"/>
        <v>185.44</v>
      </c>
      <c r="H93" s="112">
        <f t="shared" si="23"/>
        <v>226.14</v>
      </c>
      <c r="I93" s="112">
        <f t="shared" si="23"/>
        <v>256.64</v>
      </c>
      <c r="J93" s="112">
        <f t="shared" si="23"/>
        <v>300.94000000000005</v>
      </c>
      <c r="K93" s="112">
        <f t="shared" si="23"/>
        <v>355.64000000000004</v>
      </c>
      <c r="L93" s="112">
        <f t="shared" si="23"/>
        <v>403.64000000000004</v>
      </c>
      <c r="M93" s="112">
        <f t="shared" si="23"/>
        <v>433.64000000000004</v>
      </c>
      <c r="N93" s="112">
        <f t="shared" si="23"/>
        <v>433.44</v>
      </c>
      <c r="O93" s="112">
        <f t="shared" si="23"/>
        <v>443.34000000000003</v>
      </c>
      <c r="P93" s="112">
        <f t="shared" si="23"/>
        <v>416.44</v>
      </c>
      <c r="Q93" s="112">
        <f t="shared" si="23"/>
        <v>381.64000000000004</v>
      </c>
      <c r="R93" s="112">
        <f t="shared" si="23"/>
        <v>364.94000000000005</v>
      </c>
      <c r="S93" s="112">
        <f t="shared" si="23"/>
        <v>357.44000000000005</v>
      </c>
      <c r="T93" s="112">
        <f t="shared" si="23"/>
        <v>369.14000000000004</v>
      </c>
      <c r="U93" s="112">
        <f t="shared" si="23"/>
        <v>376.04000000000008</v>
      </c>
      <c r="V93" s="112">
        <f t="shared" si="23"/>
        <v>399.14000000000004</v>
      </c>
      <c r="W93" s="112">
        <f t="shared" si="23"/>
        <v>450.94000000000005</v>
      </c>
      <c r="X93" s="112">
        <f t="shared" si="23"/>
        <v>488.64000000000004</v>
      </c>
      <c r="Y93" s="112">
        <f t="shared" si="23"/>
        <v>502.03999999999996</v>
      </c>
      <c r="Z93" s="112">
        <f t="shared" si="23"/>
        <v>491.84000000000003</v>
      </c>
      <c r="AA93" s="112">
        <f t="shared" si="23"/>
        <v>483.04</v>
      </c>
      <c r="AB93" s="112">
        <f t="shared" si="23"/>
        <v>457.54</v>
      </c>
      <c r="AC93" s="112">
        <f t="shared" si="23"/>
        <v>434.24000000000007</v>
      </c>
      <c r="AD93" s="112">
        <f t="shared" si="23"/>
        <v>404.34000000000003</v>
      </c>
      <c r="AE93" s="112">
        <f t="shared" si="23"/>
        <v>321.64</v>
      </c>
      <c r="AF93" s="112">
        <f t="shared" si="23"/>
        <v>209.33999999999995</v>
      </c>
      <c r="AG93" s="114"/>
      <c r="AH93" s="53">
        <f>MAX(C93:AF93)</f>
        <v>502.03999999999996</v>
      </c>
      <c r="AI93" s="54">
        <f>MIN(C93:AF93)</f>
        <v>179.83999999999997</v>
      </c>
    </row>
    <row r="94" spans="1:88" x14ac:dyDescent="0.25">
      <c r="A94" s="115" t="s">
        <v>98</v>
      </c>
      <c r="B94" s="116">
        <v>-11.6</v>
      </c>
      <c r="C94" s="57">
        <v>-19.3</v>
      </c>
      <c r="D94" s="57">
        <v>-3.3</v>
      </c>
      <c r="E94" s="57">
        <v>2.2000000000000002</v>
      </c>
      <c r="F94" s="57">
        <v>4.9000000000000004</v>
      </c>
      <c r="G94" s="57">
        <v>4.9000000000000004</v>
      </c>
      <c r="H94" s="117">
        <v>15</v>
      </c>
      <c r="I94" s="117">
        <v>4.3</v>
      </c>
      <c r="J94" s="117">
        <v>24.5</v>
      </c>
      <c r="K94" s="117">
        <v>51.4</v>
      </c>
      <c r="L94" s="117">
        <v>76.3</v>
      </c>
      <c r="M94" s="118">
        <v>71.900000000000006</v>
      </c>
      <c r="N94" s="117">
        <v>59.6</v>
      </c>
      <c r="O94" s="117">
        <v>73.8</v>
      </c>
      <c r="P94" s="117">
        <v>60.8</v>
      </c>
      <c r="Q94" s="117">
        <v>45.2</v>
      </c>
      <c r="R94" s="117">
        <v>34</v>
      </c>
      <c r="S94" s="117">
        <v>35.5</v>
      </c>
      <c r="T94" s="117">
        <v>16.7</v>
      </c>
      <c r="U94" s="118">
        <v>18.100000000000001</v>
      </c>
      <c r="V94" s="118">
        <v>57.5</v>
      </c>
      <c r="W94" s="118">
        <v>61</v>
      </c>
      <c r="X94" s="117">
        <v>61.6</v>
      </c>
      <c r="Y94" s="117">
        <v>59.7</v>
      </c>
      <c r="Z94" s="117">
        <v>64.5</v>
      </c>
      <c r="AA94" s="117">
        <v>69.7</v>
      </c>
      <c r="AB94" s="118">
        <v>72</v>
      </c>
      <c r="AC94" s="118">
        <v>76.599999999999994</v>
      </c>
      <c r="AD94" s="118">
        <v>76.8</v>
      </c>
      <c r="AE94" s="118">
        <v>44.4</v>
      </c>
      <c r="AF94" s="118">
        <v>10.199999999999999</v>
      </c>
      <c r="AG94" s="119">
        <v>75</v>
      </c>
      <c r="AH94" s="53">
        <f t="shared" ref="AH94:AH99" si="24">IF(ABS(MAX(C94:AF94))&gt;ABS(MIN(C94:AF94)),MAX(C94:AF94),MIN(C94:AF94))</f>
        <v>76.8</v>
      </c>
      <c r="AI94" s="120">
        <f t="shared" ref="AI94:AI99" si="25">INDEX($C$9:$AF$9,1,MATCH(AH94,C94:AF94,0))</f>
        <v>0.875</v>
      </c>
    </row>
    <row r="95" spans="1:88" x14ac:dyDescent="0.25">
      <c r="A95" s="121" t="s">
        <v>99</v>
      </c>
      <c r="B95" s="122">
        <v>-40.299999999999997</v>
      </c>
      <c r="C95" s="59">
        <v>-41.1</v>
      </c>
      <c r="D95" s="59">
        <v>-49</v>
      </c>
      <c r="E95" s="59">
        <v>-54</v>
      </c>
      <c r="F95" s="59">
        <v>-48</v>
      </c>
      <c r="G95" s="59">
        <v>-48</v>
      </c>
      <c r="H95" s="59">
        <v>-33</v>
      </c>
      <c r="I95" s="59">
        <v>-22</v>
      </c>
      <c r="J95" s="59">
        <v>-9.3000000000000007</v>
      </c>
      <c r="K95" s="59">
        <v>0</v>
      </c>
      <c r="L95" s="59">
        <v>14</v>
      </c>
      <c r="M95" s="59">
        <v>28</v>
      </c>
      <c r="N95" s="59">
        <v>33.1</v>
      </c>
      <c r="O95" s="59">
        <v>38</v>
      </c>
      <c r="P95" s="59">
        <v>38</v>
      </c>
      <c r="Q95" s="59">
        <v>29.7</v>
      </c>
      <c r="R95" s="59">
        <v>19.399999999999999</v>
      </c>
      <c r="S95" s="59">
        <v>16.600000000000001</v>
      </c>
      <c r="T95" s="59">
        <v>37.5</v>
      </c>
      <c r="U95" s="59">
        <v>36</v>
      </c>
      <c r="V95" s="59">
        <v>66.8</v>
      </c>
      <c r="W95" s="59">
        <v>78</v>
      </c>
      <c r="X95" s="59">
        <v>83.5</v>
      </c>
      <c r="Y95" s="59">
        <v>88.7</v>
      </c>
      <c r="Z95" s="59">
        <v>78</v>
      </c>
      <c r="AA95" s="59">
        <v>67.7</v>
      </c>
      <c r="AB95" s="72">
        <v>57</v>
      </c>
      <c r="AC95" s="72">
        <f>23.1+22.1</f>
        <v>45.2</v>
      </c>
      <c r="AD95" s="72">
        <v>23</v>
      </c>
      <c r="AE95" s="72">
        <v>-2.8</v>
      </c>
      <c r="AF95" s="72">
        <f>-21-23.4</f>
        <v>-44.4</v>
      </c>
      <c r="AG95" s="119">
        <v>240</v>
      </c>
      <c r="AH95" s="53">
        <f t="shared" si="24"/>
        <v>88.7</v>
      </c>
      <c r="AI95" s="120">
        <f t="shared" si="25"/>
        <v>0.77083333333333337</v>
      </c>
    </row>
    <row r="96" spans="1:88" x14ac:dyDescent="0.25">
      <c r="A96" s="121" t="s">
        <v>100</v>
      </c>
      <c r="B96" s="122">
        <v>-2.6</v>
      </c>
      <c r="C96" s="59">
        <v>-5.5</v>
      </c>
      <c r="D96" s="59">
        <v>-6.7</v>
      </c>
      <c r="E96" s="59">
        <v>-10.9</v>
      </c>
      <c r="F96" s="59">
        <v>-8.9</v>
      </c>
      <c r="G96" s="59">
        <v>-8.9</v>
      </c>
      <c r="H96" s="59">
        <v>3.2</v>
      </c>
      <c r="I96" s="59">
        <v>3.9</v>
      </c>
      <c r="J96" s="59">
        <v>6</v>
      </c>
      <c r="K96" s="59">
        <v>12.9</v>
      </c>
      <c r="L96" s="59">
        <v>27</v>
      </c>
      <c r="M96" s="59">
        <v>49.7</v>
      </c>
      <c r="N96" s="59">
        <v>41.4</v>
      </c>
      <c r="O96" s="59">
        <v>32.200000000000003</v>
      </c>
      <c r="P96" s="59">
        <v>37.4</v>
      </c>
      <c r="Q96" s="59">
        <v>33.9</v>
      </c>
      <c r="R96" s="59">
        <v>23</v>
      </c>
      <c r="S96" s="59">
        <v>22.1</v>
      </c>
      <c r="T96" s="59">
        <v>28.9</v>
      </c>
      <c r="U96" s="59">
        <v>33.700000000000003</v>
      </c>
      <c r="V96" s="59">
        <v>36.4</v>
      </c>
      <c r="W96" s="59">
        <v>51</v>
      </c>
      <c r="X96" s="59">
        <v>60.5</v>
      </c>
      <c r="Y96" s="59">
        <v>60.7</v>
      </c>
      <c r="Z96" s="59">
        <v>60.8</v>
      </c>
      <c r="AA96" s="59">
        <v>61</v>
      </c>
      <c r="AB96" s="72">
        <v>53.7</v>
      </c>
      <c r="AC96" s="72">
        <v>38.6</v>
      </c>
      <c r="AD96" s="72">
        <v>24</v>
      </c>
      <c r="AE96" s="72">
        <v>9.6999999999999993</v>
      </c>
      <c r="AF96" s="72">
        <v>-4.4000000000000004</v>
      </c>
      <c r="AG96" s="119">
        <v>60</v>
      </c>
      <c r="AH96" s="53">
        <f t="shared" si="24"/>
        <v>61</v>
      </c>
      <c r="AI96" s="120">
        <f t="shared" si="25"/>
        <v>0.8125</v>
      </c>
    </row>
    <row r="97" spans="1:37" x14ac:dyDescent="0.25">
      <c r="A97" s="123" t="s">
        <v>101</v>
      </c>
      <c r="B97" s="124">
        <v>75.5</v>
      </c>
      <c r="C97" s="62">
        <v>71.599999999999994</v>
      </c>
      <c r="D97" s="62">
        <v>60</v>
      </c>
      <c r="E97" s="62">
        <v>61.1</v>
      </c>
      <c r="F97" s="62">
        <v>55.7</v>
      </c>
      <c r="G97" s="62">
        <v>55.7</v>
      </c>
      <c r="H97" s="62">
        <v>59.2</v>
      </c>
      <c r="I97" s="62">
        <v>88.7</v>
      </c>
      <c r="J97" s="62">
        <v>98.4</v>
      </c>
      <c r="K97" s="62">
        <v>110</v>
      </c>
      <c r="L97" s="62">
        <v>105</v>
      </c>
      <c r="M97" s="62">
        <v>99.7</v>
      </c>
      <c r="N97" s="62">
        <v>115</v>
      </c>
      <c r="O97" s="62">
        <v>115</v>
      </c>
      <c r="P97" s="62">
        <v>98.2</v>
      </c>
      <c r="Q97" s="62">
        <v>93.8</v>
      </c>
      <c r="R97" s="62">
        <v>109</v>
      </c>
      <c r="S97" s="62">
        <v>102</v>
      </c>
      <c r="T97" s="62">
        <v>104.2</v>
      </c>
      <c r="U97" s="62">
        <v>106.4</v>
      </c>
      <c r="V97" s="62">
        <v>56.6</v>
      </c>
      <c r="W97" s="62">
        <v>79.099999999999994</v>
      </c>
      <c r="X97" s="62">
        <v>101.2</v>
      </c>
      <c r="Y97" s="62">
        <v>104.4</v>
      </c>
      <c r="Z97" s="62">
        <v>100</v>
      </c>
      <c r="AA97" s="62">
        <v>96</v>
      </c>
      <c r="AB97" s="125">
        <v>88</v>
      </c>
      <c r="AC97" s="125">
        <v>87</v>
      </c>
      <c r="AD97" s="125">
        <v>93.2</v>
      </c>
      <c r="AE97" s="125">
        <v>83</v>
      </c>
      <c r="AF97" s="125">
        <v>60.6</v>
      </c>
      <c r="AG97" s="126">
        <v>120</v>
      </c>
      <c r="AH97" s="53">
        <f t="shared" si="24"/>
        <v>115</v>
      </c>
      <c r="AI97" s="120">
        <f t="shared" si="25"/>
        <v>0.375</v>
      </c>
    </row>
    <row r="98" spans="1:37" x14ac:dyDescent="0.25">
      <c r="A98" s="123" t="s">
        <v>102</v>
      </c>
      <c r="B98" s="124">
        <v>83.7</v>
      </c>
      <c r="C98" s="62">
        <v>80</v>
      </c>
      <c r="D98" s="62">
        <v>68</v>
      </c>
      <c r="E98" s="62">
        <v>70.3</v>
      </c>
      <c r="F98" s="62">
        <v>63.4</v>
      </c>
      <c r="G98" s="62">
        <v>63.4</v>
      </c>
      <c r="H98" s="62">
        <v>60</v>
      </c>
      <c r="I98" s="62">
        <v>90.3</v>
      </c>
      <c r="J98" s="62">
        <v>92.7</v>
      </c>
      <c r="K98" s="62">
        <v>92.7</v>
      </c>
      <c r="L98" s="62">
        <v>85</v>
      </c>
      <c r="M98" s="62" t="s">
        <v>218</v>
      </c>
      <c r="N98" s="62">
        <v>102</v>
      </c>
      <c r="O98" s="62">
        <v>92.3</v>
      </c>
      <c r="P98" s="62">
        <v>101.8</v>
      </c>
      <c r="Q98" s="62">
        <v>102.4</v>
      </c>
      <c r="R98" s="62">
        <v>100</v>
      </c>
      <c r="S98" s="62">
        <v>96.9</v>
      </c>
      <c r="T98" s="62">
        <v>94.8</v>
      </c>
      <c r="U98" s="62">
        <v>87.3</v>
      </c>
      <c r="V98" s="62">
        <v>99.1</v>
      </c>
      <c r="W98" s="62">
        <v>100.7</v>
      </c>
      <c r="X98" s="62">
        <v>100.3</v>
      </c>
      <c r="Y98" s="62">
        <v>104.8</v>
      </c>
      <c r="Z98" s="62">
        <v>89.3</v>
      </c>
      <c r="AA98" s="62">
        <v>79.5</v>
      </c>
      <c r="AB98" s="125">
        <v>71.099999999999994</v>
      </c>
      <c r="AC98" s="125">
        <v>59.8</v>
      </c>
      <c r="AD98" s="125">
        <v>82.6</v>
      </c>
      <c r="AE98" s="125">
        <v>82.5</v>
      </c>
      <c r="AF98" s="125">
        <v>69.7</v>
      </c>
      <c r="AG98" s="126"/>
      <c r="AH98" s="53">
        <f t="shared" si="24"/>
        <v>104.8</v>
      </c>
      <c r="AI98" s="120">
        <f t="shared" si="25"/>
        <v>0.77083333333333337</v>
      </c>
    </row>
    <row r="99" spans="1:37" ht="15.75" thickBot="1" x14ac:dyDescent="0.3">
      <c r="A99" s="123" t="s">
        <v>103</v>
      </c>
      <c r="B99" s="124">
        <v>52.9</v>
      </c>
      <c r="C99" s="62">
        <v>64.8</v>
      </c>
      <c r="D99" s="62">
        <v>57</v>
      </c>
      <c r="E99" s="62">
        <v>60.7</v>
      </c>
      <c r="F99" s="62">
        <v>62.2</v>
      </c>
      <c r="G99" s="62">
        <v>62.2</v>
      </c>
      <c r="H99" s="62">
        <v>50</v>
      </c>
      <c r="I99" s="62">
        <v>61.2</v>
      </c>
      <c r="J99" s="62">
        <v>40.9</v>
      </c>
      <c r="K99" s="62">
        <v>36.700000000000003</v>
      </c>
      <c r="L99" s="62">
        <v>-1.6</v>
      </c>
      <c r="M99" s="62">
        <v>3.3</v>
      </c>
      <c r="N99" s="62">
        <v>6</v>
      </c>
      <c r="O99" s="62">
        <v>6</v>
      </c>
      <c r="P99" s="62">
        <v>16.600000000000001</v>
      </c>
      <c r="Q99" s="62">
        <v>22.2</v>
      </c>
      <c r="R99" s="62">
        <v>31</v>
      </c>
      <c r="S99" s="62">
        <v>30.1</v>
      </c>
      <c r="T99" s="62">
        <v>37.6</v>
      </c>
      <c r="U99" s="62">
        <v>32.299999999999997</v>
      </c>
      <c r="V99" s="62">
        <v>7</v>
      </c>
      <c r="W99" s="62">
        <v>7.2</v>
      </c>
      <c r="X99" s="62">
        <v>13.4</v>
      </c>
      <c r="Y99" s="62">
        <v>19.3</v>
      </c>
      <c r="Z99" s="62">
        <v>18.100000000000001</v>
      </c>
      <c r="AA99" s="62">
        <v>14.9</v>
      </c>
      <c r="AB99" s="125">
        <v>11.6</v>
      </c>
      <c r="AC99" s="125">
        <v>5</v>
      </c>
      <c r="AD99" s="125">
        <v>-4.5</v>
      </c>
      <c r="AE99" s="125">
        <v>24.9</v>
      </c>
      <c r="AF99" s="125">
        <v>60.6</v>
      </c>
      <c r="AG99" s="127"/>
      <c r="AH99" s="53">
        <f t="shared" si="24"/>
        <v>64.8</v>
      </c>
      <c r="AI99" s="120">
        <f t="shared" si="25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6">AF101</f>
        <v>9.9</v>
      </c>
      <c r="C101" s="52">
        <v>9.9</v>
      </c>
      <c r="D101" s="133">
        <f t="shared" ref="D101:S106" si="27">C101</f>
        <v>9.9</v>
      </c>
      <c r="E101" s="133">
        <f t="shared" si="27"/>
        <v>9.9</v>
      </c>
      <c r="F101" s="133">
        <f t="shared" si="27"/>
        <v>9.9</v>
      </c>
      <c r="G101" s="133">
        <f t="shared" si="27"/>
        <v>9.9</v>
      </c>
      <c r="H101" s="133">
        <f t="shared" si="27"/>
        <v>9.9</v>
      </c>
      <c r="I101" s="133">
        <f t="shared" si="27"/>
        <v>9.9</v>
      </c>
      <c r="J101" s="133">
        <f t="shared" si="27"/>
        <v>9.9</v>
      </c>
      <c r="K101" s="133">
        <f t="shared" si="27"/>
        <v>9.9</v>
      </c>
      <c r="L101" s="133">
        <f t="shared" si="27"/>
        <v>9.9</v>
      </c>
      <c r="M101" s="133">
        <f t="shared" si="27"/>
        <v>9.9</v>
      </c>
      <c r="N101" s="133">
        <f t="shared" si="27"/>
        <v>9.9</v>
      </c>
      <c r="O101" s="133">
        <f t="shared" si="27"/>
        <v>9.9</v>
      </c>
      <c r="P101" s="133">
        <f t="shared" si="27"/>
        <v>9.9</v>
      </c>
      <c r="Q101" s="133">
        <f t="shared" si="27"/>
        <v>9.9</v>
      </c>
      <c r="R101" s="133">
        <f t="shared" si="27"/>
        <v>9.9</v>
      </c>
      <c r="S101" s="133">
        <f t="shared" si="27"/>
        <v>9.9</v>
      </c>
      <c r="T101" s="133">
        <f t="shared" ref="T101:AF106" si="28">S101</f>
        <v>9.9</v>
      </c>
      <c r="U101" s="133">
        <f t="shared" si="28"/>
        <v>9.9</v>
      </c>
      <c r="V101" s="133">
        <f t="shared" si="28"/>
        <v>9.9</v>
      </c>
      <c r="W101" s="133">
        <f t="shared" si="28"/>
        <v>9.9</v>
      </c>
      <c r="X101" s="133">
        <f t="shared" si="28"/>
        <v>9.9</v>
      </c>
      <c r="Y101" s="133">
        <f t="shared" si="28"/>
        <v>9.9</v>
      </c>
      <c r="Z101" s="133">
        <f t="shared" si="28"/>
        <v>9.9</v>
      </c>
      <c r="AA101" s="133">
        <f t="shared" si="28"/>
        <v>9.9</v>
      </c>
      <c r="AB101" s="133">
        <f t="shared" si="28"/>
        <v>9.9</v>
      </c>
      <c r="AC101" s="133">
        <f t="shared" si="28"/>
        <v>9.9</v>
      </c>
      <c r="AD101" s="133">
        <f t="shared" si="28"/>
        <v>9.9</v>
      </c>
      <c r="AE101" s="133">
        <f t="shared" si="28"/>
        <v>9.9</v>
      </c>
      <c r="AF101" s="133">
        <f t="shared" si="28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6"/>
        <v>9.6</v>
      </c>
      <c r="C102" s="136">
        <v>9.6</v>
      </c>
      <c r="D102" s="135">
        <f t="shared" si="27"/>
        <v>9.6</v>
      </c>
      <c r="E102" s="135">
        <f t="shared" si="27"/>
        <v>9.6</v>
      </c>
      <c r="F102" s="135">
        <f t="shared" si="27"/>
        <v>9.6</v>
      </c>
      <c r="G102" s="135">
        <f t="shared" si="27"/>
        <v>9.6</v>
      </c>
      <c r="H102" s="135">
        <f t="shared" si="27"/>
        <v>9.6</v>
      </c>
      <c r="I102" s="135">
        <f t="shared" si="27"/>
        <v>9.6</v>
      </c>
      <c r="J102" s="135">
        <f t="shared" si="27"/>
        <v>9.6</v>
      </c>
      <c r="K102" s="135">
        <f t="shared" si="27"/>
        <v>9.6</v>
      </c>
      <c r="L102" s="135">
        <f t="shared" si="27"/>
        <v>9.6</v>
      </c>
      <c r="M102" s="135">
        <f t="shared" si="27"/>
        <v>9.6</v>
      </c>
      <c r="N102" s="135">
        <f t="shared" si="27"/>
        <v>9.6</v>
      </c>
      <c r="O102" s="135">
        <f t="shared" si="27"/>
        <v>9.6</v>
      </c>
      <c r="P102" s="135">
        <f t="shared" si="27"/>
        <v>9.6</v>
      </c>
      <c r="Q102" s="135">
        <f t="shared" si="27"/>
        <v>9.6</v>
      </c>
      <c r="R102" s="135">
        <f t="shared" si="27"/>
        <v>9.6</v>
      </c>
      <c r="S102" s="135">
        <f t="shared" si="27"/>
        <v>9.6</v>
      </c>
      <c r="T102" s="135">
        <f t="shared" si="28"/>
        <v>9.6</v>
      </c>
      <c r="U102" s="135">
        <f t="shared" si="28"/>
        <v>9.6</v>
      </c>
      <c r="V102" s="135">
        <f t="shared" si="28"/>
        <v>9.6</v>
      </c>
      <c r="W102" s="135">
        <f t="shared" si="28"/>
        <v>9.6</v>
      </c>
      <c r="X102" s="135">
        <f t="shared" si="28"/>
        <v>9.6</v>
      </c>
      <c r="Y102" s="135">
        <f t="shared" si="28"/>
        <v>9.6</v>
      </c>
      <c r="Z102" s="135">
        <f t="shared" si="28"/>
        <v>9.6</v>
      </c>
      <c r="AA102" s="135">
        <f t="shared" si="28"/>
        <v>9.6</v>
      </c>
      <c r="AB102" s="135">
        <f t="shared" si="28"/>
        <v>9.6</v>
      </c>
      <c r="AC102" s="135">
        <f t="shared" si="28"/>
        <v>9.6</v>
      </c>
      <c r="AD102" s="135">
        <f t="shared" si="28"/>
        <v>9.6</v>
      </c>
      <c r="AE102" s="135">
        <f t="shared" si="28"/>
        <v>9.6</v>
      </c>
      <c r="AF102" s="135">
        <f t="shared" si="28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6"/>
        <v>9.98</v>
      </c>
      <c r="C103" s="136">
        <v>9.98</v>
      </c>
      <c r="D103" s="135">
        <f t="shared" si="27"/>
        <v>9.98</v>
      </c>
      <c r="E103" s="135">
        <f t="shared" si="27"/>
        <v>9.98</v>
      </c>
      <c r="F103" s="135">
        <f t="shared" si="27"/>
        <v>9.98</v>
      </c>
      <c r="G103" s="135">
        <f t="shared" si="27"/>
        <v>9.98</v>
      </c>
      <c r="H103" s="135">
        <f t="shared" si="27"/>
        <v>9.98</v>
      </c>
      <c r="I103" s="135">
        <f t="shared" si="27"/>
        <v>9.98</v>
      </c>
      <c r="J103" s="135">
        <f t="shared" si="27"/>
        <v>9.98</v>
      </c>
      <c r="K103" s="135">
        <f t="shared" si="27"/>
        <v>9.98</v>
      </c>
      <c r="L103" s="135">
        <f t="shared" si="27"/>
        <v>9.98</v>
      </c>
      <c r="M103" s="135">
        <f t="shared" si="27"/>
        <v>9.98</v>
      </c>
      <c r="N103" s="135">
        <f t="shared" si="27"/>
        <v>9.98</v>
      </c>
      <c r="O103" s="135">
        <f t="shared" si="27"/>
        <v>9.98</v>
      </c>
      <c r="P103" s="135">
        <f t="shared" si="27"/>
        <v>9.98</v>
      </c>
      <c r="Q103" s="135">
        <f t="shared" si="27"/>
        <v>9.98</v>
      </c>
      <c r="R103" s="135">
        <f t="shared" si="27"/>
        <v>9.98</v>
      </c>
      <c r="S103" s="135">
        <f t="shared" si="27"/>
        <v>9.98</v>
      </c>
      <c r="T103" s="135">
        <f t="shared" si="28"/>
        <v>9.98</v>
      </c>
      <c r="U103" s="135">
        <f t="shared" si="28"/>
        <v>9.98</v>
      </c>
      <c r="V103" s="135">
        <f t="shared" si="28"/>
        <v>9.98</v>
      </c>
      <c r="W103" s="135">
        <f t="shared" si="28"/>
        <v>9.98</v>
      </c>
      <c r="X103" s="135">
        <f t="shared" si="28"/>
        <v>9.98</v>
      </c>
      <c r="Y103" s="135">
        <f t="shared" si="28"/>
        <v>9.98</v>
      </c>
      <c r="Z103" s="135">
        <f t="shared" si="28"/>
        <v>9.98</v>
      </c>
      <c r="AA103" s="135">
        <f t="shared" si="28"/>
        <v>9.98</v>
      </c>
      <c r="AB103" s="135">
        <f t="shared" si="28"/>
        <v>9.98</v>
      </c>
      <c r="AC103" s="135">
        <f t="shared" si="28"/>
        <v>9.98</v>
      </c>
      <c r="AD103" s="135">
        <f t="shared" si="28"/>
        <v>9.98</v>
      </c>
      <c r="AE103" s="135">
        <f t="shared" si="28"/>
        <v>9.98</v>
      </c>
      <c r="AF103" s="135">
        <f t="shared" si="28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6"/>
        <v>9.1</v>
      </c>
      <c r="C104" s="136">
        <v>9.1</v>
      </c>
      <c r="D104" s="135">
        <f t="shared" si="27"/>
        <v>9.1</v>
      </c>
      <c r="E104" s="135">
        <f t="shared" si="27"/>
        <v>9.1</v>
      </c>
      <c r="F104" s="135">
        <f t="shared" si="27"/>
        <v>9.1</v>
      </c>
      <c r="G104" s="135">
        <f t="shared" si="27"/>
        <v>9.1</v>
      </c>
      <c r="H104" s="135">
        <f t="shared" si="27"/>
        <v>9.1</v>
      </c>
      <c r="I104" s="135">
        <f t="shared" si="27"/>
        <v>9.1</v>
      </c>
      <c r="J104" s="135">
        <f t="shared" si="27"/>
        <v>9.1</v>
      </c>
      <c r="K104" s="135">
        <f t="shared" si="27"/>
        <v>9.1</v>
      </c>
      <c r="L104" s="135">
        <f t="shared" si="27"/>
        <v>9.1</v>
      </c>
      <c r="M104" s="135">
        <f t="shared" si="27"/>
        <v>9.1</v>
      </c>
      <c r="N104" s="135">
        <f t="shared" si="27"/>
        <v>9.1</v>
      </c>
      <c r="O104" s="135">
        <f t="shared" si="27"/>
        <v>9.1</v>
      </c>
      <c r="P104" s="135">
        <f t="shared" si="27"/>
        <v>9.1</v>
      </c>
      <c r="Q104" s="135">
        <f t="shared" si="27"/>
        <v>9.1</v>
      </c>
      <c r="R104" s="135">
        <f t="shared" si="27"/>
        <v>9.1</v>
      </c>
      <c r="S104" s="135">
        <f t="shared" si="27"/>
        <v>9.1</v>
      </c>
      <c r="T104" s="135">
        <f t="shared" si="28"/>
        <v>9.1</v>
      </c>
      <c r="U104" s="135">
        <f t="shared" si="28"/>
        <v>9.1</v>
      </c>
      <c r="V104" s="135">
        <f t="shared" si="28"/>
        <v>9.1</v>
      </c>
      <c r="W104" s="135">
        <f t="shared" si="28"/>
        <v>9.1</v>
      </c>
      <c r="X104" s="135">
        <f t="shared" si="28"/>
        <v>9.1</v>
      </c>
      <c r="Y104" s="135">
        <f t="shared" si="28"/>
        <v>9.1</v>
      </c>
      <c r="Z104" s="135">
        <f t="shared" si="28"/>
        <v>9.1</v>
      </c>
      <c r="AA104" s="135">
        <f t="shared" si="28"/>
        <v>9.1</v>
      </c>
      <c r="AB104" s="135">
        <f t="shared" si="28"/>
        <v>9.1</v>
      </c>
      <c r="AC104" s="135">
        <f t="shared" si="28"/>
        <v>9.1</v>
      </c>
      <c r="AD104" s="135">
        <f t="shared" si="28"/>
        <v>9.1</v>
      </c>
      <c r="AE104" s="135">
        <f t="shared" si="28"/>
        <v>9.1</v>
      </c>
      <c r="AF104" s="135">
        <f t="shared" si="28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6"/>
        <v>9.18</v>
      </c>
      <c r="C105" s="136">
        <v>9.18</v>
      </c>
      <c r="D105" s="135">
        <f t="shared" si="27"/>
        <v>9.18</v>
      </c>
      <c r="E105" s="135">
        <f t="shared" si="27"/>
        <v>9.18</v>
      </c>
      <c r="F105" s="135">
        <f t="shared" si="27"/>
        <v>9.18</v>
      </c>
      <c r="G105" s="135">
        <f t="shared" si="27"/>
        <v>9.18</v>
      </c>
      <c r="H105" s="135">
        <f t="shared" si="27"/>
        <v>9.18</v>
      </c>
      <c r="I105" s="135">
        <f t="shared" si="27"/>
        <v>9.18</v>
      </c>
      <c r="J105" s="135">
        <f t="shared" si="27"/>
        <v>9.18</v>
      </c>
      <c r="K105" s="135">
        <f t="shared" si="27"/>
        <v>9.18</v>
      </c>
      <c r="L105" s="135">
        <f t="shared" si="27"/>
        <v>9.18</v>
      </c>
      <c r="M105" s="135">
        <f t="shared" si="27"/>
        <v>9.18</v>
      </c>
      <c r="N105" s="135">
        <f t="shared" si="27"/>
        <v>9.18</v>
      </c>
      <c r="O105" s="135">
        <f t="shared" si="27"/>
        <v>9.18</v>
      </c>
      <c r="P105" s="135">
        <f t="shared" si="27"/>
        <v>9.18</v>
      </c>
      <c r="Q105" s="135">
        <f t="shared" si="27"/>
        <v>9.18</v>
      </c>
      <c r="R105" s="135">
        <f t="shared" si="27"/>
        <v>9.18</v>
      </c>
      <c r="S105" s="135">
        <f t="shared" si="27"/>
        <v>9.18</v>
      </c>
      <c r="T105" s="135">
        <f t="shared" si="28"/>
        <v>9.18</v>
      </c>
      <c r="U105" s="135">
        <f t="shared" si="28"/>
        <v>9.18</v>
      </c>
      <c r="V105" s="135">
        <f t="shared" si="28"/>
        <v>9.18</v>
      </c>
      <c r="W105" s="135">
        <f t="shared" si="28"/>
        <v>9.18</v>
      </c>
      <c r="X105" s="135">
        <f t="shared" si="28"/>
        <v>9.18</v>
      </c>
      <c r="Y105" s="135">
        <f t="shared" si="28"/>
        <v>9.18</v>
      </c>
      <c r="Z105" s="135">
        <f t="shared" si="28"/>
        <v>9.18</v>
      </c>
      <c r="AA105" s="135">
        <f t="shared" si="28"/>
        <v>9.18</v>
      </c>
      <c r="AB105" s="135">
        <f t="shared" si="28"/>
        <v>9.18</v>
      </c>
      <c r="AC105" s="135">
        <f t="shared" si="28"/>
        <v>9.18</v>
      </c>
      <c r="AD105" s="135">
        <f t="shared" si="28"/>
        <v>9.18</v>
      </c>
      <c r="AE105" s="135">
        <f t="shared" si="28"/>
        <v>9.18</v>
      </c>
      <c r="AF105" s="135">
        <f t="shared" si="28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6"/>
        <v>7</v>
      </c>
      <c r="C106" s="136">
        <v>7</v>
      </c>
      <c r="D106" s="135">
        <f t="shared" si="27"/>
        <v>7</v>
      </c>
      <c r="E106" s="135">
        <f t="shared" si="27"/>
        <v>7</v>
      </c>
      <c r="F106" s="135">
        <f t="shared" si="27"/>
        <v>7</v>
      </c>
      <c r="G106" s="135">
        <f t="shared" si="27"/>
        <v>7</v>
      </c>
      <c r="H106" s="135">
        <f t="shared" si="27"/>
        <v>7</v>
      </c>
      <c r="I106" s="135">
        <f t="shared" si="27"/>
        <v>7</v>
      </c>
      <c r="J106" s="135">
        <f t="shared" si="27"/>
        <v>7</v>
      </c>
      <c r="K106" s="135">
        <f t="shared" si="27"/>
        <v>7</v>
      </c>
      <c r="L106" s="135">
        <f t="shared" si="27"/>
        <v>7</v>
      </c>
      <c r="M106" s="135">
        <f t="shared" si="27"/>
        <v>7</v>
      </c>
      <c r="N106" s="135">
        <f t="shared" si="27"/>
        <v>7</v>
      </c>
      <c r="O106" s="135">
        <f t="shared" si="27"/>
        <v>7</v>
      </c>
      <c r="P106" s="135">
        <f t="shared" si="27"/>
        <v>7</v>
      </c>
      <c r="Q106" s="135">
        <f t="shared" si="27"/>
        <v>7</v>
      </c>
      <c r="R106" s="135">
        <f t="shared" si="27"/>
        <v>7</v>
      </c>
      <c r="S106" s="135">
        <f t="shared" si="27"/>
        <v>7</v>
      </c>
      <c r="T106" s="135">
        <f t="shared" si="28"/>
        <v>7</v>
      </c>
      <c r="U106" s="135">
        <f t="shared" si="28"/>
        <v>7</v>
      </c>
      <c r="V106" s="135">
        <f t="shared" si="28"/>
        <v>7</v>
      </c>
      <c r="W106" s="135">
        <f t="shared" si="28"/>
        <v>7</v>
      </c>
      <c r="X106" s="135">
        <f t="shared" si="28"/>
        <v>7</v>
      </c>
      <c r="Y106" s="135">
        <f t="shared" si="28"/>
        <v>7</v>
      </c>
      <c r="Z106" s="135">
        <f t="shared" si="28"/>
        <v>7</v>
      </c>
      <c r="AA106" s="135">
        <f t="shared" si="28"/>
        <v>7</v>
      </c>
      <c r="AB106" s="135">
        <f t="shared" si="28"/>
        <v>7</v>
      </c>
      <c r="AC106" s="135">
        <f t="shared" si="28"/>
        <v>7</v>
      </c>
      <c r="AD106" s="135">
        <f t="shared" si="28"/>
        <v>7</v>
      </c>
      <c r="AE106" s="135">
        <f t="shared" si="28"/>
        <v>7</v>
      </c>
      <c r="AF106" s="135">
        <f t="shared" si="28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9">C108</f>
        <v>2.25</v>
      </c>
      <c r="E108" s="135">
        <f t="shared" si="29"/>
        <v>2.25</v>
      </c>
      <c r="F108" s="135">
        <f t="shared" si="29"/>
        <v>2.25</v>
      </c>
      <c r="G108" s="135">
        <f t="shared" si="29"/>
        <v>2.25</v>
      </c>
      <c r="H108" s="135">
        <f t="shared" si="29"/>
        <v>2.25</v>
      </c>
      <c r="I108" s="135">
        <f t="shared" si="29"/>
        <v>2.25</v>
      </c>
      <c r="J108" s="135">
        <f t="shared" si="29"/>
        <v>2.25</v>
      </c>
      <c r="K108" s="135">
        <f t="shared" si="29"/>
        <v>2.25</v>
      </c>
      <c r="L108" s="135">
        <f t="shared" si="29"/>
        <v>2.25</v>
      </c>
      <c r="M108" s="135">
        <f t="shared" si="29"/>
        <v>2.25</v>
      </c>
      <c r="N108" s="135">
        <f t="shared" si="29"/>
        <v>2.25</v>
      </c>
      <c r="O108" s="135">
        <f t="shared" si="29"/>
        <v>2.25</v>
      </c>
      <c r="P108" s="135">
        <f t="shared" si="29"/>
        <v>2.25</v>
      </c>
      <c r="Q108" s="135">
        <f t="shared" si="29"/>
        <v>2.25</v>
      </c>
      <c r="R108" s="135">
        <f t="shared" si="29"/>
        <v>2.25</v>
      </c>
      <c r="S108" s="135">
        <f t="shared" si="29"/>
        <v>2.25</v>
      </c>
      <c r="T108" s="135">
        <f t="shared" ref="T108:AF109" si="30">S108</f>
        <v>2.25</v>
      </c>
      <c r="U108" s="135">
        <f t="shared" si="30"/>
        <v>2.25</v>
      </c>
      <c r="V108" s="135">
        <f t="shared" si="30"/>
        <v>2.25</v>
      </c>
      <c r="W108" s="135">
        <f t="shared" si="30"/>
        <v>2.25</v>
      </c>
      <c r="X108" s="135">
        <f t="shared" si="30"/>
        <v>2.25</v>
      </c>
      <c r="Y108" s="135">
        <f t="shared" si="30"/>
        <v>2.25</v>
      </c>
      <c r="Z108" s="135">
        <f t="shared" si="30"/>
        <v>2.25</v>
      </c>
      <c r="AA108" s="135">
        <f t="shared" si="30"/>
        <v>2.25</v>
      </c>
      <c r="AB108" s="135">
        <f t="shared" si="30"/>
        <v>2.25</v>
      </c>
      <c r="AC108" s="135">
        <f t="shared" si="30"/>
        <v>2.25</v>
      </c>
      <c r="AD108" s="135">
        <f t="shared" si="30"/>
        <v>2.25</v>
      </c>
      <c r="AE108" s="135">
        <f t="shared" si="30"/>
        <v>2.25</v>
      </c>
      <c r="AF108" s="135">
        <f t="shared" si="30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9"/>
        <v>1.64</v>
      </c>
      <c r="E109" s="135">
        <f t="shared" si="29"/>
        <v>1.64</v>
      </c>
      <c r="F109" s="135">
        <f t="shared" si="29"/>
        <v>1.64</v>
      </c>
      <c r="G109" s="135">
        <f t="shared" si="29"/>
        <v>1.64</v>
      </c>
      <c r="H109" s="135">
        <f t="shared" si="29"/>
        <v>1.64</v>
      </c>
      <c r="I109" s="135">
        <f t="shared" si="29"/>
        <v>1.64</v>
      </c>
      <c r="J109" s="135">
        <f t="shared" si="29"/>
        <v>1.64</v>
      </c>
      <c r="K109" s="135">
        <f t="shared" si="29"/>
        <v>1.64</v>
      </c>
      <c r="L109" s="135">
        <f t="shared" si="29"/>
        <v>1.64</v>
      </c>
      <c r="M109" s="135">
        <f t="shared" si="29"/>
        <v>1.64</v>
      </c>
      <c r="N109" s="135">
        <f t="shared" si="29"/>
        <v>1.64</v>
      </c>
      <c r="O109" s="135">
        <f t="shared" si="29"/>
        <v>1.64</v>
      </c>
      <c r="P109" s="135">
        <f t="shared" si="29"/>
        <v>1.64</v>
      </c>
      <c r="Q109" s="135">
        <f t="shared" si="29"/>
        <v>1.64</v>
      </c>
      <c r="R109" s="135">
        <f t="shared" si="29"/>
        <v>1.64</v>
      </c>
      <c r="S109" s="135">
        <f t="shared" si="29"/>
        <v>1.64</v>
      </c>
      <c r="T109" s="135">
        <f t="shared" si="30"/>
        <v>1.64</v>
      </c>
      <c r="U109" s="135">
        <f t="shared" si="30"/>
        <v>1.64</v>
      </c>
      <c r="V109" s="135">
        <f t="shared" si="30"/>
        <v>1.64</v>
      </c>
      <c r="W109" s="135">
        <f t="shared" si="30"/>
        <v>1.64</v>
      </c>
      <c r="X109" s="135">
        <f t="shared" si="30"/>
        <v>1.64</v>
      </c>
      <c r="Y109" s="135">
        <f t="shared" si="30"/>
        <v>1.64</v>
      </c>
      <c r="Z109" s="135">
        <f t="shared" si="30"/>
        <v>1.64</v>
      </c>
      <c r="AA109" s="135">
        <f t="shared" si="30"/>
        <v>1.64</v>
      </c>
      <c r="AB109" s="135">
        <f t="shared" si="30"/>
        <v>1.64</v>
      </c>
      <c r="AC109" s="135">
        <f t="shared" si="30"/>
        <v>1.64</v>
      </c>
      <c r="AD109" s="135">
        <f t="shared" si="30"/>
        <v>1.64</v>
      </c>
      <c r="AE109" s="135">
        <f t="shared" si="30"/>
        <v>1.64</v>
      </c>
      <c r="AF109" s="135">
        <f t="shared" si="30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1">AF111</f>
        <v>1.62</v>
      </c>
      <c r="C111" s="136">
        <v>1.62</v>
      </c>
      <c r="D111" s="135">
        <f t="shared" ref="D111:S118" si="32">C111</f>
        <v>1.62</v>
      </c>
      <c r="E111" s="135">
        <f t="shared" si="32"/>
        <v>1.62</v>
      </c>
      <c r="F111" s="135">
        <f t="shared" si="32"/>
        <v>1.62</v>
      </c>
      <c r="G111" s="135">
        <f t="shared" si="32"/>
        <v>1.62</v>
      </c>
      <c r="H111" s="135">
        <f t="shared" si="32"/>
        <v>1.62</v>
      </c>
      <c r="I111" s="135">
        <f t="shared" si="32"/>
        <v>1.62</v>
      </c>
      <c r="J111" s="135">
        <f t="shared" si="32"/>
        <v>1.62</v>
      </c>
      <c r="K111" s="135">
        <f t="shared" si="32"/>
        <v>1.62</v>
      </c>
      <c r="L111" s="135">
        <f t="shared" si="32"/>
        <v>1.62</v>
      </c>
      <c r="M111" s="135">
        <f t="shared" si="32"/>
        <v>1.62</v>
      </c>
      <c r="N111" s="135">
        <f t="shared" si="32"/>
        <v>1.62</v>
      </c>
      <c r="O111" s="135">
        <f t="shared" si="32"/>
        <v>1.62</v>
      </c>
      <c r="P111" s="135">
        <f t="shared" si="32"/>
        <v>1.62</v>
      </c>
      <c r="Q111" s="135">
        <f t="shared" si="32"/>
        <v>1.62</v>
      </c>
      <c r="R111" s="135">
        <f t="shared" si="32"/>
        <v>1.62</v>
      </c>
      <c r="S111" s="135">
        <f t="shared" si="32"/>
        <v>1.62</v>
      </c>
      <c r="T111" s="135">
        <f t="shared" ref="T111:AF126" si="33">S111</f>
        <v>1.62</v>
      </c>
      <c r="U111" s="135">
        <f t="shared" si="33"/>
        <v>1.62</v>
      </c>
      <c r="V111" s="135">
        <f t="shared" si="33"/>
        <v>1.62</v>
      </c>
      <c r="W111" s="135">
        <f t="shared" si="33"/>
        <v>1.62</v>
      </c>
      <c r="X111" s="135">
        <f t="shared" si="33"/>
        <v>1.62</v>
      </c>
      <c r="Y111" s="135">
        <f t="shared" si="33"/>
        <v>1.62</v>
      </c>
      <c r="Z111" s="135">
        <f t="shared" si="33"/>
        <v>1.62</v>
      </c>
      <c r="AA111" s="135">
        <f t="shared" si="33"/>
        <v>1.62</v>
      </c>
      <c r="AB111" s="135">
        <f t="shared" si="33"/>
        <v>1.62</v>
      </c>
      <c r="AC111" s="135">
        <f t="shared" si="33"/>
        <v>1.62</v>
      </c>
      <c r="AD111" s="135">
        <f t="shared" si="33"/>
        <v>1.62</v>
      </c>
      <c r="AE111" s="135">
        <f t="shared" si="33"/>
        <v>1.62</v>
      </c>
      <c r="AF111" s="135">
        <f t="shared" si="33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1"/>
        <v>8.36</v>
      </c>
      <c r="C112" s="136">
        <v>8.36</v>
      </c>
      <c r="D112" s="135">
        <f t="shared" si="32"/>
        <v>8.36</v>
      </c>
      <c r="E112" s="135">
        <f t="shared" si="32"/>
        <v>8.36</v>
      </c>
      <c r="F112" s="135">
        <f t="shared" si="32"/>
        <v>8.36</v>
      </c>
      <c r="G112" s="135">
        <f t="shared" si="32"/>
        <v>8.36</v>
      </c>
      <c r="H112" s="135">
        <f t="shared" si="32"/>
        <v>8.36</v>
      </c>
      <c r="I112" s="135">
        <f t="shared" si="32"/>
        <v>8.36</v>
      </c>
      <c r="J112" s="135">
        <f t="shared" si="32"/>
        <v>8.36</v>
      </c>
      <c r="K112" s="135">
        <f t="shared" si="32"/>
        <v>8.36</v>
      </c>
      <c r="L112" s="135">
        <f t="shared" si="32"/>
        <v>8.36</v>
      </c>
      <c r="M112" s="135">
        <f t="shared" si="32"/>
        <v>8.36</v>
      </c>
      <c r="N112" s="135">
        <f t="shared" si="32"/>
        <v>8.36</v>
      </c>
      <c r="O112" s="135">
        <f t="shared" si="32"/>
        <v>8.36</v>
      </c>
      <c r="P112" s="135">
        <f t="shared" si="32"/>
        <v>8.36</v>
      </c>
      <c r="Q112" s="135">
        <f t="shared" si="32"/>
        <v>8.36</v>
      </c>
      <c r="R112" s="135">
        <f t="shared" si="32"/>
        <v>8.36</v>
      </c>
      <c r="S112" s="135">
        <f t="shared" si="32"/>
        <v>8.36</v>
      </c>
      <c r="T112" s="135">
        <f t="shared" si="33"/>
        <v>8.36</v>
      </c>
      <c r="U112" s="135">
        <f t="shared" si="33"/>
        <v>8.36</v>
      </c>
      <c r="V112" s="135">
        <f t="shared" si="33"/>
        <v>8.36</v>
      </c>
      <c r="W112" s="135">
        <f t="shared" si="33"/>
        <v>8.36</v>
      </c>
      <c r="X112" s="135">
        <f t="shared" si="33"/>
        <v>8.36</v>
      </c>
      <c r="Y112" s="135">
        <f t="shared" si="33"/>
        <v>8.36</v>
      </c>
      <c r="Z112" s="135">
        <f t="shared" si="33"/>
        <v>8.36</v>
      </c>
      <c r="AA112" s="135">
        <f t="shared" si="33"/>
        <v>8.36</v>
      </c>
      <c r="AB112" s="135">
        <f t="shared" si="33"/>
        <v>8.36</v>
      </c>
      <c r="AC112" s="135">
        <f t="shared" si="33"/>
        <v>8.36</v>
      </c>
      <c r="AD112" s="135">
        <f t="shared" si="33"/>
        <v>8.36</v>
      </c>
      <c r="AE112" s="135">
        <f t="shared" si="33"/>
        <v>8.36</v>
      </c>
      <c r="AF112" s="135">
        <f t="shared" si="33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1"/>
        <v>5.4</v>
      </c>
      <c r="C113" s="136">
        <v>8</v>
      </c>
      <c r="D113" s="135">
        <f t="shared" si="32"/>
        <v>8</v>
      </c>
      <c r="E113" s="135">
        <f t="shared" si="32"/>
        <v>8</v>
      </c>
      <c r="F113" s="135">
        <f t="shared" si="32"/>
        <v>8</v>
      </c>
      <c r="G113" s="135">
        <f t="shared" si="32"/>
        <v>8</v>
      </c>
      <c r="H113" s="135">
        <f t="shared" si="32"/>
        <v>8</v>
      </c>
      <c r="I113" s="135">
        <f t="shared" si="32"/>
        <v>8</v>
      </c>
      <c r="J113" s="135">
        <v>5.4</v>
      </c>
      <c r="K113" s="135">
        <f t="shared" si="32"/>
        <v>5.4</v>
      </c>
      <c r="L113" s="135">
        <f t="shared" si="32"/>
        <v>5.4</v>
      </c>
      <c r="M113" s="135">
        <f t="shared" si="32"/>
        <v>5.4</v>
      </c>
      <c r="N113" s="135">
        <f t="shared" si="32"/>
        <v>5.4</v>
      </c>
      <c r="O113" s="135">
        <f t="shared" si="32"/>
        <v>5.4</v>
      </c>
      <c r="P113" s="135">
        <f t="shared" si="32"/>
        <v>5.4</v>
      </c>
      <c r="Q113" s="135">
        <f t="shared" si="32"/>
        <v>5.4</v>
      </c>
      <c r="R113" s="135">
        <f t="shared" si="32"/>
        <v>5.4</v>
      </c>
      <c r="S113" s="135">
        <f t="shared" si="32"/>
        <v>5.4</v>
      </c>
      <c r="T113" s="135">
        <f t="shared" si="33"/>
        <v>5.4</v>
      </c>
      <c r="U113" s="135">
        <f t="shared" si="33"/>
        <v>5.4</v>
      </c>
      <c r="V113" s="135">
        <f t="shared" si="33"/>
        <v>5.4</v>
      </c>
      <c r="W113" s="135">
        <f t="shared" si="33"/>
        <v>5.4</v>
      </c>
      <c r="X113" s="135">
        <f t="shared" si="33"/>
        <v>5.4</v>
      </c>
      <c r="Y113" s="135">
        <f t="shared" si="33"/>
        <v>5.4</v>
      </c>
      <c r="Z113" s="135">
        <f t="shared" si="33"/>
        <v>5.4</v>
      </c>
      <c r="AA113" s="135">
        <f t="shared" si="33"/>
        <v>5.4</v>
      </c>
      <c r="AB113" s="135">
        <f t="shared" si="33"/>
        <v>5.4</v>
      </c>
      <c r="AC113" s="135">
        <f t="shared" si="33"/>
        <v>5.4</v>
      </c>
      <c r="AD113" s="135">
        <f t="shared" si="33"/>
        <v>5.4</v>
      </c>
      <c r="AE113" s="135">
        <f t="shared" si="33"/>
        <v>5.4</v>
      </c>
      <c r="AF113" s="135">
        <f t="shared" si="33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1"/>
        <v>6.57</v>
      </c>
      <c r="C114" s="136">
        <v>6.57</v>
      </c>
      <c r="D114" s="135">
        <f t="shared" si="32"/>
        <v>6.57</v>
      </c>
      <c r="E114" s="135">
        <f t="shared" si="32"/>
        <v>6.57</v>
      </c>
      <c r="F114" s="135">
        <f t="shared" si="32"/>
        <v>6.57</v>
      </c>
      <c r="G114" s="135">
        <f t="shared" si="32"/>
        <v>6.57</v>
      </c>
      <c r="H114" s="135">
        <f t="shared" si="32"/>
        <v>6.57</v>
      </c>
      <c r="I114" s="135">
        <f t="shared" si="32"/>
        <v>6.57</v>
      </c>
      <c r="J114" s="135">
        <f t="shared" si="32"/>
        <v>6.57</v>
      </c>
      <c r="K114" s="135">
        <f t="shared" si="32"/>
        <v>6.57</v>
      </c>
      <c r="L114" s="135">
        <f t="shared" si="32"/>
        <v>6.57</v>
      </c>
      <c r="M114" s="135">
        <f t="shared" si="32"/>
        <v>6.57</v>
      </c>
      <c r="N114" s="135">
        <f t="shared" si="32"/>
        <v>6.57</v>
      </c>
      <c r="O114" s="135">
        <f t="shared" si="32"/>
        <v>6.57</v>
      </c>
      <c r="P114" s="135">
        <f t="shared" si="32"/>
        <v>6.57</v>
      </c>
      <c r="Q114" s="135">
        <f t="shared" si="32"/>
        <v>6.57</v>
      </c>
      <c r="R114" s="135">
        <f t="shared" si="32"/>
        <v>6.57</v>
      </c>
      <c r="S114" s="135">
        <f t="shared" si="32"/>
        <v>6.57</v>
      </c>
      <c r="T114" s="135">
        <f t="shared" si="33"/>
        <v>6.57</v>
      </c>
      <c r="U114" s="135">
        <f t="shared" si="33"/>
        <v>6.57</v>
      </c>
      <c r="V114" s="135">
        <f t="shared" si="33"/>
        <v>6.57</v>
      </c>
      <c r="W114" s="135">
        <f t="shared" si="33"/>
        <v>6.57</v>
      </c>
      <c r="X114" s="135">
        <f t="shared" si="33"/>
        <v>6.57</v>
      </c>
      <c r="Y114" s="135">
        <f t="shared" si="33"/>
        <v>6.57</v>
      </c>
      <c r="Z114" s="135">
        <f t="shared" si="33"/>
        <v>6.57</v>
      </c>
      <c r="AA114" s="135">
        <f t="shared" si="33"/>
        <v>6.57</v>
      </c>
      <c r="AB114" s="135">
        <f t="shared" si="33"/>
        <v>6.57</v>
      </c>
      <c r="AC114" s="135">
        <f t="shared" si="33"/>
        <v>6.57</v>
      </c>
      <c r="AD114" s="135">
        <f t="shared" si="33"/>
        <v>6.57</v>
      </c>
      <c r="AE114" s="135">
        <f t="shared" si="33"/>
        <v>6.57</v>
      </c>
      <c r="AF114" s="135">
        <f t="shared" si="33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1"/>
        <v>3.43</v>
      </c>
      <c r="C115" s="136">
        <v>3.43</v>
      </c>
      <c r="D115" s="135">
        <f t="shared" si="32"/>
        <v>3.43</v>
      </c>
      <c r="E115" s="135">
        <f t="shared" si="32"/>
        <v>3.43</v>
      </c>
      <c r="F115" s="135">
        <f t="shared" si="32"/>
        <v>3.43</v>
      </c>
      <c r="G115" s="135">
        <f t="shared" si="32"/>
        <v>3.43</v>
      </c>
      <c r="H115" s="135">
        <f t="shared" si="32"/>
        <v>3.43</v>
      </c>
      <c r="I115" s="135">
        <f t="shared" si="32"/>
        <v>3.43</v>
      </c>
      <c r="J115" s="135">
        <f t="shared" si="32"/>
        <v>3.43</v>
      </c>
      <c r="K115" s="135">
        <f t="shared" si="32"/>
        <v>3.43</v>
      </c>
      <c r="L115" s="135">
        <f t="shared" si="32"/>
        <v>3.43</v>
      </c>
      <c r="M115" s="135">
        <f t="shared" si="32"/>
        <v>3.43</v>
      </c>
      <c r="N115" s="135">
        <f t="shared" si="32"/>
        <v>3.43</v>
      </c>
      <c r="O115" s="135">
        <f t="shared" si="32"/>
        <v>3.43</v>
      </c>
      <c r="P115" s="135">
        <f t="shared" si="32"/>
        <v>3.43</v>
      </c>
      <c r="Q115" s="135">
        <f t="shared" si="32"/>
        <v>3.43</v>
      </c>
      <c r="R115" s="135">
        <f t="shared" si="32"/>
        <v>3.43</v>
      </c>
      <c r="S115" s="135">
        <f t="shared" si="32"/>
        <v>3.43</v>
      </c>
      <c r="T115" s="135">
        <f t="shared" si="33"/>
        <v>3.43</v>
      </c>
      <c r="U115" s="135">
        <f t="shared" si="33"/>
        <v>3.43</v>
      </c>
      <c r="V115" s="135">
        <f t="shared" si="33"/>
        <v>3.43</v>
      </c>
      <c r="W115" s="135">
        <f t="shared" si="33"/>
        <v>3.43</v>
      </c>
      <c r="X115" s="135">
        <f t="shared" si="33"/>
        <v>3.43</v>
      </c>
      <c r="Y115" s="135">
        <f t="shared" si="33"/>
        <v>3.43</v>
      </c>
      <c r="Z115" s="135">
        <f t="shared" si="33"/>
        <v>3.43</v>
      </c>
      <c r="AA115" s="135">
        <f t="shared" si="33"/>
        <v>3.43</v>
      </c>
      <c r="AB115" s="135">
        <f t="shared" si="33"/>
        <v>3.43</v>
      </c>
      <c r="AC115" s="135">
        <f t="shared" si="33"/>
        <v>3.43</v>
      </c>
      <c r="AD115" s="135">
        <f t="shared" si="33"/>
        <v>3.43</v>
      </c>
      <c r="AE115" s="135">
        <f t="shared" si="33"/>
        <v>3.43</v>
      </c>
      <c r="AF115" s="135">
        <f t="shared" si="33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1"/>
        <v>2.96</v>
      </c>
      <c r="C116" s="136">
        <v>2.96</v>
      </c>
      <c r="D116" s="135">
        <f t="shared" si="32"/>
        <v>2.96</v>
      </c>
      <c r="E116" s="135">
        <f t="shared" si="32"/>
        <v>2.96</v>
      </c>
      <c r="F116" s="135">
        <f t="shared" si="32"/>
        <v>2.96</v>
      </c>
      <c r="G116" s="135">
        <f t="shared" si="32"/>
        <v>2.96</v>
      </c>
      <c r="H116" s="135">
        <f t="shared" si="32"/>
        <v>2.96</v>
      </c>
      <c r="I116" s="135">
        <f t="shared" si="32"/>
        <v>2.96</v>
      </c>
      <c r="J116" s="135">
        <f t="shared" si="32"/>
        <v>2.96</v>
      </c>
      <c r="K116" s="135">
        <f t="shared" si="32"/>
        <v>2.96</v>
      </c>
      <c r="L116" s="135">
        <f t="shared" si="32"/>
        <v>2.96</v>
      </c>
      <c r="M116" s="135">
        <f t="shared" si="32"/>
        <v>2.96</v>
      </c>
      <c r="N116" s="135">
        <f t="shared" si="32"/>
        <v>2.96</v>
      </c>
      <c r="O116" s="135">
        <f t="shared" si="32"/>
        <v>2.96</v>
      </c>
      <c r="P116" s="135">
        <f t="shared" si="32"/>
        <v>2.96</v>
      </c>
      <c r="Q116" s="135">
        <f t="shared" si="32"/>
        <v>2.96</v>
      </c>
      <c r="R116" s="135">
        <f t="shared" si="32"/>
        <v>2.96</v>
      </c>
      <c r="S116" s="135">
        <f t="shared" si="32"/>
        <v>2.96</v>
      </c>
      <c r="T116" s="135">
        <f t="shared" si="33"/>
        <v>2.96</v>
      </c>
      <c r="U116" s="135">
        <f t="shared" si="33"/>
        <v>2.96</v>
      </c>
      <c r="V116" s="135">
        <f t="shared" si="33"/>
        <v>2.96</v>
      </c>
      <c r="W116" s="135">
        <f t="shared" si="33"/>
        <v>2.96</v>
      </c>
      <c r="X116" s="135">
        <f t="shared" si="33"/>
        <v>2.96</v>
      </c>
      <c r="Y116" s="135">
        <f t="shared" si="33"/>
        <v>2.96</v>
      </c>
      <c r="Z116" s="135">
        <f t="shared" si="33"/>
        <v>2.96</v>
      </c>
      <c r="AA116" s="135">
        <f t="shared" si="33"/>
        <v>2.96</v>
      </c>
      <c r="AB116" s="135">
        <f t="shared" si="33"/>
        <v>2.96</v>
      </c>
      <c r="AC116" s="135">
        <f t="shared" si="33"/>
        <v>2.96</v>
      </c>
      <c r="AD116" s="135">
        <f t="shared" si="33"/>
        <v>2.96</v>
      </c>
      <c r="AE116" s="135">
        <f t="shared" si="33"/>
        <v>2.96</v>
      </c>
      <c r="AF116" s="135">
        <f t="shared" si="33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1"/>
        <v>8</v>
      </c>
      <c r="C117" s="136">
        <v>8</v>
      </c>
      <c r="D117" s="135">
        <f t="shared" si="32"/>
        <v>8</v>
      </c>
      <c r="E117" s="135">
        <f t="shared" si="32"/>
        <v>8</v>
      </c>
      <c r="F117" s="135">
        <f t="shared" si="32"/>
        <v>8</v>
      </c>
      <c r="G117" s="135">
        <f t="shared" si="32"/>
        <v>8</v>
      </c>
      <c r="H117" s="135">
        <f t="shared" si="32"/>
        <v>8</v>
      </c>
      <c r="I117" s="135">
        <f t="shared" si="32"/>
        <v>8</v>
      </c>
      <c r="J117" s="135">
        <f t="shared" si="32"/>
        <v>8</v>
      </c>
      <c r="K117" s="135">
        <f t="shared" si="32"/>
        <v>8</v>
      </c>
      <c r="L117" s="135">
        <f t="shared" si="32"/>
        <v>8</v>
      </c>
      <c r="M117" s="135">
        <f t="shared" si="32"/>
        <v>8</v>
      </c>
      <c r="N117" s="135">
        <f t="shared" si="32"/>
        <v>8</v>
      </c>
      <c r="O117" s="135">
        <f t="shared" si="32"/>
        <v>8</v>
      </c>
      <c r="P117" s="135">
        <f t="shared" si="32"/>
        <v>8</v>
      </c>
      <c r="Q117" s="135">
        <f t="shared" si="32"/>
        <v>8</v>
      </c>
      <c r="R117" s="135">
        <f t="shared" si="32"/>
        <v>8</v>
      </c>
      <c r="S117" s="135">
        <f t="shared" si="32"/>
        <v>8</v>
      </c>
      <c r="T117" s="135">
        <f t="shared" si="33"/>
        <v>8</v>
      </c>
      <c r="U117" s="135">
        <f t="shared" si="33"/>
        <v>8</v>
      </c>
      <c r="V117" s="135">
        <f t="shared" si="33"/>
        <v>8</v>
      </c>
      <c r="W117" s="135">
        <f t="shared" si="33"/>
        <v>8</v>
      </c>
      <c r="X117" s="135">
        <f t="shared" si="33"/>
        <v>8</v>
      </c>
      <c r="Y117" s="135">
        <f t="shared" si="33"/>
        <v>8</v>
      </c>
      <c r="Z117" s="135">
        <f t="shared" si="33"/>
        <v>8</v>
      </c>
      <c r="AA117" s="135">
        <f t="shared" si="33"/>
        <v>8</v>
      </c>
      <c r="AB117" s="135">
        <f t="shared" si="33"/>
        <v>8</v>
      </c>
      <c r="AC117" s="135">
        <f t="shared" si="33"/>
        <v>8</v>
      </c>
      <c r="AD117" s="135">
        <f t="shared" si="33"/>
        <v>8</v>
      </c>
      <c r="AE117" s="135">
        <f t="shared" si="33"/>
        <v>8</v>
      </c>
      <c r="AF117" s="135">
        <f t="shared" si="33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1"/>
        <v>7</v>
      </c>
      <c r="C118" s="136">
        <v>7</v>
      </c>
      <c r="D118" s="135">
        <f>C118</f>
        <v>7</v>
      </c>
      <c r="E118" s="135">
        <f t="shared" si="32"/>
        <v>7</v>
      </c>
      <c r="F118" s="135">
        <f t="shared" si="32"/>
        <v>7</v>
      </c>
      <c r="G118" s="135">
        <f t="shared" si="32"/>
        <v>7</v>
      </c>
      <c r="H118" s="135">
        <f t="shared" si="32"/>
        <v>7</v>
      </c>
      <c r="I118" s="135">
        <f t="shared" si="32"/>
        <v>7</v>
      </c>
      <c r="J118" s="135">
        <f t="shared" si="32"/>
        <v>7</v>
      </c>
      <c r="K118" s="135">
        <f t="shared" si="32"/>
        <v>7</v>
      </c>
      <c r="L118" s="135">
        <f t="shared" si="32"/>
        <v>7</v>
      </c>
      <c r="M118" s="135">
        <f t="shared" si="32"/>
        <v>7</v>
      </c>
      <c r="N118" s="135">
        <f t="shared" si="32"/>
        <v>7</v>
      </c>
      <c r="O118" s="135">
        <f t="shared" si="32"/>
        <v>7</v>
      </c>
      <c r="P118" s="135">
        <f t="shared" si="32"/>
        <v>7</v>
      </c>
      <c r="Q118" s="135">
        <f t="shared" si="32"/>
        <v>7</v>
      </c>
      <c r="R118" s="135">
        <f t="shared" si="32"/>
        <v>7</v>
      </c>
      <c r="S118" s="135">
        <f t="shared" si="32"/>
        <v>7</v>
      </c>
      <c r="T118" s="135">
        <f t="shared" si="33"/>
        <v>7</v>
      </c>
      <c r="U118" s="135">
        <f t="shared" si="33"/>
        <v>7</v>
      </c>
      <c r="V118" s="135">
        <f t="shared" si="33"/>
        <v>7</v>
      </c>
      <c r="W118" s="135">
        <f t="shared" si="33"/>
        <v>7</v>
      </c>
      <c r="X118" s="135">
        <f t="shared" si="33"/>
        <v>7</v>
      </c>
      <c r="Y118" s="135">
        <f t="shared" si="33"/>
        <v>7</v>
      </c>
      <c r="Z118" s="135">
        <f t="shared" si="33"/>
        <v>7</v>
      </c>
      <c r="AA118" s="135">
        <f t="shared" si="33"/>
        <v>7</v>
      </c>
      <c r="AB118" s="135">
        <f t="shared" si="33"/>
        <v>7</v>
      </c>
      <c r="AC118" s="135">
        <f t="shared" si="33"/>
        <v>7</v>
      </c>
      <c r="AD118" s="135">
        <f t="shared" si="33"/>
        <v>7</v>
      </c>
      <c r="AE118" s="135">
        <f t="shared" si="33"/>
        <v>7</v>
      </c>
      <c r="AF118" s="135">
        <f t="shared" si="33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1"/>
        <v>3.47</v>
      </c>
      <c r="C119" s="136">
        <v>3.47</v>
      </c>
      <c r="D119" s="135">
        <f t="shared" ref="D119:S128" si="34">C119</f>
        <v>3.47</v>
      </c>
      <c r="E119" s="135">
        <f t="shared" si="34"/>
        <v>3.47</v>
      </c>
      <c r="F119" s="135">
        <f t="shared" si="34"/>
        <v>3.47</v>
      </c>
      <c r="G119" s="135">
        <f t="shared" si="34"/>
        <v>3.47</v>
      </c>
      <c r="H119" s="135">
        <f t="shared" si="34"/>
        <v>3.47</v>
      </c>
      <c r="I119" s="135">
        <f t="shared" si="34"/>
        <v>3.47</v>
      </c>
      <c r="J119" s="135">
        <f t="shared" si="34"/>
        <v>3.47</v>
      </c>
      <c r="K119" s="135">
        <f t="shared" si="34"/>
        <v>3.47</v>
      </c>
      <c r="L119" s="135">
        <f t="shared" si="34"/>
        <v>3.47</v>
      </c>
      <c r="M119" s="135">
        <f t="shared" si="34"/>
        <v>3.47</v>
      </c>
      <c r="N119" s="135">
        <f t="shared" si="34"/>
        <v>3.47</v>
      </c>
      <c r="O119" s="135">
        <f t="shared" si="34"/>
        <v>3.47</v>
      </c>
      <c r="P119" s="135">
        <f t="shared" si="34"/>
        <v>3.47</v>
      </c>
      <c r="Q119" s="135">
        <f t="shared" si="34"/>
        <v>3.47</v>
      </c>
      <c r="R119" s="135">
        <f t="shared" si="34"/>
        <v>3.47</v>
      </c>
      <c r="S119" s="135">
        <f t="shared" si="34"/>
        <v>3.47</v>
      </c>
      <c r="T119" s="135">
        <f t="shared" si="33"/>
        <v>3.47</v>
      </c>
      <c r="U119" s="135">
        <f t="shared" si="33"/>
        <v>3.47</v>
      </c>
      <c r="V119" s="135">
        <f t="shared" si="33"/>
        <v>3.47</v>
      </c>
      <c r="W119" s="135">
        <f t="shared" si="33"/>
        <v>3.47</v>
      </c>
      <c r="X119" s="135">
        <f t="shared" si="33"/>
        <v>3.47</v>
      </c>
      <c r="Y119" s="135">
        <f t="shared" si="33"/>
        <v>3.47</v>
      </c>
      <c r="Z119" s="135">
        <f t="shared" si="33"/>
        <v>3.47</v>
      </c>
      <c r="AA119" s="135">
        <f t="shared" si="33"/>
        <v>3.47</v>
      </c>
      <c r="AB119" s="135">
        <f t="shared" si="33"/>
        <v>3.47</v>
      </c>
      <c r="AC119" s="135">
        <f t="shared" si="33"/>
        <v>3.47</v>
      </c>
      <c r="AD119" s="135">
        <f t="shared" si="33"/>
        <v>3.47</v>
      </c>
      <c r="AE119" s="135">
        <f t="shared" si="33"/>
        <v>3.47</v>
      </c>
      <c r="AF119" s="135">
        <f t="shared" si="33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1"/>
        <v>2.1</v>
      </c>
      <c r="C120" s="136">
        <v>2.1</v>
      </c>
      <c r="D120" s="135">
        <f t="shared" si="34"/>
        <v>2.1</v>
      </c>
      <c r="E120" s="135">
        <f t="shared" si="34"/>
        <v>2.1</v>
      </c>
      <c r="F120" s="135">
        <f t="shared" si="34"/>
        <v>2.1</v>
      </c>
      <c r="G120" s="135">
        <f t="shared" si="34"/>
        <v>2.1</v>
      </c>
      <c r="H120" s="135">
        <f t="shared" si="34"/>
        <v>2.1</v>
      </c>
      <c r="I120" s="135">
        <f t="shared" si="34"/>
        <v>2.1</v>
      </c>
      <c r="J120" s="135">
        <f t="shared" si="34"/>
        <v>2.1</v>
      </c>
      <c r="K120" s="135">
        <f t="shared" si="34"/>
        <v>2.1</v>
      </c>
      <c r="L120" s="135">
        <f t="shared" si="34"/>
        <v>2.1</v>
      </c>
      <c r="M120" s="135">
        <f t="shared" si="34"/>
        <v>2.1</v>
      </c>
      <c r="N120" s="135">
        <f t="shared" si="34"/>
        <v>2.1</v>
      </c>
      <c r="O120" s="135">
        <f t="shared" si="34"/>
        <v>2.1</v>
      </c>
      <c r="P120" s="135">
        <f t="shared" si="34"/>
        <v>2.1</v>
      </c>
      <c r="Q120" s="135">
        <f t="shared" si="34"/>
        <v>2.1</v>
      </c>
      <c r="R120" s="135">
        <f t="shared" si="34"/>
        <v>2.1</v>
      </c>
      <c r="S120" s="135">
        <f t="shared" si="34"/>
        <v>2.1</v>
      </c>
      <c r="T120" s="135">
        <f t="shared" si="33"/>
        <v>2.1</v>
      </c>
      <c r="U120" s="135">
        <f t="shared" si="33"/>
        <v>2.1</v>
      </c>
      <c r="V120" s="135">
        <f t="shared" si="33"/>
        <v>2.1</v>
      </c>
      <c r="W120" s="135">
        <f t="shared" si="33"/>
        <v>2.1</v>
      </c>
      <c r="X120" s="135">
        <f t="shared" si="33"/>
        <v>2.1</v>
      </c>
      <c r="Y120" s="135">
        <f t="shared" si="33"/>
        <v>2.1</v>
      </c>
      <c r="Z120" s="135">
        <f t="shared" si="33"/>
        <v>2.1</v>
      </c>
      <c r="AA120" s="135">
        <f t="shared" si="33"/>
        <v>2.1</v>
      </c>
      <c r="AB120" s="135">
        <f t="shared" si="33"/>
        <v>2.1</v>
      </c>
      <c r="AC120" s="135">
        <f t="shared" si="33"/>
        <v>2.1</v>
      </c>
      <c r="AD120" s="135">
        <f t="shared" si="33"/>
        <v>2.1</v>
      </c>
      <c r="AE120" s="135">
        <f t="shared" si="33"/>
        <v>2.1</v>
      </c>
      <c r="AF120" s="135">
        <f t="shared" si="33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1"/>
        <v>9.3000000000000007</v>
      </c>
      <c r="C121" s="136">
        <v>9.3000000000000007</v>
      </c>
      <c r="D121" s="135">
        <f t="shared" si="34"/>
        <v>9.3000000000000007</v>
      </c>
      <c r="E121" s="135">
        <f t="shared" si="34"/>
        <v>9.3000000000000007</v>
      </c>
      <c r="F121" s="135">
        <f t="shared" si="34"/>
        <v>9.3000000000000007</v>
      </c>
      <c r="G121" s="135">
        <f t="shared" si="34"/>
        <v>9.3000000000000007</v>
      </c>
      <c r="H121" s="135">
        <f t="shared" si="34"/>
        <v>9.3000000000000007</v>
      </c>
      <c r="I121" s="135">
        <f t="shared" si="34"/>
        <v>9.3000000000000007</v>
      </c>
      <c r="J121" s="135">
        <f t="shared" si="34"/>
        <v>9.3000000000000007</v>
      </c>
      <c r="K121" s="135">
        <f t="shared" si="34"/>
        <v>9.3000000000000007</v>
      </c>
      <c r="L121" s="135">
        <f t="shared" si="34"/>
        <v>9.3000000000000007</v>
      </c>
      <c r="M121" s="135">
        <f t="shared" si="34"/>
        <v>9.3000000000000007</v>
      </c>
      <c r="N121" s="135">
        <f t="shared" si="34"/>
        <v>9.3000000000000007</v>
      </c>
      <c r="O121" s="135">
        <f t="shared" si="34"/>
        <v>9.3000000000000007</v>
      </c>
      <c r="P121" s="135">
        <f t="shared" si="34"/>
        <v>9.3000000000000007</v>
      </c>
      <c r="Q121" s="135">
        <f t="shared" si="34"/>
        <v>9.3000000000000007</v>
      </c>
      <c r="R121" s="135">
        <f t="shared" si="34"/>
        <v>9.3000000000000007</v>
      </c>
      <c r="S121" s="135">
        <f t="shared" si="34"/>
        <v>9.3000000000000007</v>
      </c>
      <c r="T121" s="135">
        <f t="shared" si="33"/>
        <v>9.3000000000000007</v>
      </c>
      <c r="U121" s="135">
        <f t="shared" si="33"/>
        <v>9.3000000000000007</v>
      </c>
      <c r="V121" s="135">
        <f t="shared" si="33"/>
        <v>9.3000000000000007</v>
      </c>
      <c r="W121" s="135">
        <f t="shared" si="33"/>
        <v>9.3000000000000007</v>
      </c>
      <c r="X121" s="135">
        <f t="shared" si="33"/>
        <v>9.3000000000000007</v>
      </c>
      <c r="Y121" s="135">
        <f t="shared" si="33"/>
        <v>9.3000000000000007</v>
      </c>
      <c r="Z121" s="135">
        <f t="shared" si="33"/>
        <v>9.3000000000000007</v>
      </c>
      <c r="AA121" s="135">
        <f t="shared" si="33"/>
        <v>9.3000000000000007</v>
      </c>
      <c r="AB121" s="135">
        <f t="shared" si="33"/>
        <v>9.3000000000000007</v>
      </c>
      <c r="AC121" s="135">
        <f t="shared" si="33"/>
        <v>9.3000000000000007</v>
      </c>
      <c r="AD121" s="135">
        <f t="shared" si="33"/>
        <v>9.3000000000000007</v>
      </c>
      <c r="AE121" s="135">
        <f t="shared" si="33"/>
        <v>9.3000000000000007</v>
      </c>
      <c r="AF121" s="135">
        <f t="shared" si="33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1"/>
        <v>0</v>
      </c>
      <c r="C122" s="136">
        <v>0</v>
      </c>
      <c r="D122" s="135">
        <f t="shared" si="34"/>
        <v>0</v>
      </c>
      <c r="E122" s="135">
        <f t="shared" si="34"/>
        <v>0</v>
      </c>
      <c r="F122" s="135">
        <f t="shared" si="34"/>
        <v>0</v>
      </c>
      <c r="G122" s="135">
        <f t="shared" si="34"/>
        <v>0</v>
      </c>
      <c r="H122" s="135">
        <f t="shared" si="34"/>
        <v>0</v>
      </c>
      <c r="I122" s="135">
        <f t="shared" si="34"/>
        <v>0</v>
      </c>
      <c r="J122" s="135">
        <f t="shared" si="34"/>
        <v>0</v>
      </c>
      <c r="K122" s="135">
        <f t="shared" si="34"/>
        <v>0</v>
      </c>
      <c r="L122" s="135">
        <f t="shared" si="34"/>
        <v>0</v>
      </c>
      <c r="M122" s="135">
        <f t="shared" si="34"/>
        <v>0</v>
      </c>
      <c r="N122" s="135">
        <f t="shared" si="34"/>
        <v>0</v>
      </c>
      <c r="O122" s="135">
        <f t="shared" si="34"/>
        <v>0</v>
      </c>
      <c r="P122" s="135">
        <f t="shared" si="34"/>
        <v>0</v>
      </c>
      <c r="Q122" s="135">
        <f t="shared" si="34"/>
        <v>0</v>
      </c>
      <c r="R122" s="135">
        <f t="shared" si="34"/>
        <v>0</v>
      </c>
      <c r="S122" s="135">
        <f t="shared" si="34"/>
        <v>0</v>
      </c>
      <c r="T122" s="135">
        <f t="shared" si="33"/>
        <v>0</v>
      </c>
      <c r="U122" s="135">
        <f t="shared" si="33"/>
        <v>0</v>
      </c>
      <c r="V122" s="135">
        <f t="shared" si="33"/>
        <v>0</v>
      </c>
      <c r="W122" s="135">
        <f t="shared" si="33"/>
        <v>0</v>
      </c>
      <c r="X122" s="135">
        <f t="shared" si="33"/>
        <v>0</v>
      </c>
      <c r="Y122" s="135">
        <f t="shared" si="33"/>
        <v>0</v>
      </c>
      <c r="Z122" s="135">
        <f t="shared" si="33"/>
        <v>0</v>
      </c>
      <c r="AA122" s="135">
        <f t="shared" si="33"/>
        <v>0</v>
      </c>
      <c r="AB122" s="135">
        <f t="shared" si="33"/>
        <v>0</v>
      </c>
      <c r="AC122" s="135">
        <f t="shared" si="33"/>
        <v>0</v>
      </c>
      <c r="AD122" s="135">
        <f t="shared" si="33"/>
        <v>0</v>
      </c>
      <c r="AE122" s="135">
        <f t="shared" si="33"/>
        <v>0</v>
      </c>
      <c r="AF122" s="135">
        <f t="shared" si="33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1"/>
        <v>0</v>
      </c>
      <c r="C123" s="136">
        <v>0</v>
      </c>
      <c r="D123" s="135">
        <f t="shared" si="34"/>
        <v>0</v>
      </c>
      <c r="E123" s="135">
        <f t="shared" si="34"/>
        <v>0</v>
      </c>
      <c r="F123" s="135">
        <f t="shared" si="34"/>
        <v>0</v>
      </c>
      <c r="G123" s="135">
        <f t="shared" si="34"/>
        <v>0</v>
      </c>
      <c r="H123" s="135">
        <f t="shared" si="34"/>
        <v>0</v>
      </c>
      <c r="I123" s="135">
        <f t="shared" si="34"/>
        <v>0</v>
      </c>
      <c r="J123" s="135">
        <f t="shared" si="34"/>
        <v>0</v>
      </c>
      <c r="K123" s="135">
        <f t="shared" si="34"/>
        <v>0</v>
      </c>
      <c r="L123" s="135">
        <f t="shared" si="34"/>
        <v>0</v>
      </c>
      <c r="M123" s="135">
        <f t="shared" si="34"/>
        <v>0</v>
      </c>
      <c r="N123" s="135">
        <f t="shared" si="34"/>
        <v>0</v>
      </c>
      <c r="O123" s="135">
        <f t="shared" si="34"/>
        <v>0</v>
      </c>
      <c r="P123" s="135">
        <f t="shared" si="34"/>
        <v>0</v>
      </c>
      <c r="Q123" s="135">
        <f t="shared" si="34"/>
        <v>0</v>
      </c>
      <c r="R123" s="135">
        <f t="shared" si="34"/>
        <v>0</v>
      </c>
      <c r="S123" s="135">
        <f t="shared" si="34"/>
        <v>0</v>
      </c>
      <c r="T123" s="135">
        <f t="shared" si="33"/>
        <v>0</v>
      </c>
      <c r="U123" s="135">
        <f t="shared" si="33"/>
        <v>0</v>
      </c>
      <c r="V123" s="135">
        <f t="shared" si="33"/>
        <v>0</v>
      </c>
      <c r="W123" s="135">
        <f t="shared" si="33"/>
        <v>0</v>
      </c>
      <c r="X123" s="135">
        <f t="shared" si="33"/>
        <v>0</v>
      </c>
      <c r="Y123" s="135">
        <f t="shared" si="33"/>
        <v>0</v>
      </c>
      <c r="Z123" s="135">
        <f t="shared" si="33"/>
        <v>0</v>
      </c>
      <c r="AA123" s="135">
        <f t="shared" si="33"/>
        <v>0</v>
      </c>
      <c r="AB123" s="135">
        <f t="shared" si="33"/>
        <v>0</v>
      </c>
      <c r="AC123" s="135">
        <f t="shared" si="33"/>
        <v>0</v>
      </c>
      <c r="AD123" s="135">
        <f t="shared" si="33"/>
        <v>0</v>
      </c>
      <c r="AE123" s="135">
        <f t="shared" si="33"/>
        <v>0</v>
      </c>
      <c r="AF123" s="135">
        <f t="shared" si="33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1"/>
        <v>5</v>
      </c>
      <c r="C124" s="136">
        <v>5</v>
      </c>
      <c r="D124" s="135">
        <f t="shared" si="34"/>
        <v>5</v>
      </c>
      <c r="E124" s="135">
        <f t="shared" si="34"/>
        <v>5</v>
      </c>
      <c r="F124" s="135">
        <f t="shared" si="34"/>
        <v>5</v>
      </c>
      <c r="G124" s="135">
        <f t="shared" si="34"/>
        <v>5</v>
      </c>
      <c r="H124" s="135">
        <f t="shared" si="34"/>
        <v>5</v>
      </c>
      <c r="I124" s="135">
        <f t="shared" si="34"/>
        <v>5</v>
      </c>
      <c r="J124" s="135">
        <f t="shared" si="34"/>
        <v>5</v>
      </c>
      <c r="K124" s="135">
        <f t="shared" si="34"/>
        <v>5</v>
      </c>
      <c r="L124" s="135">
        <f t="shared" si="34"/>
        <v>5</v>
      </c>
      <c r="M124" s="135">
        <f t="shared" si="34"/>
        <v>5</v>
      </c>
      <c r="N124" s="135">
        <f t="shared" si="34"/>
        <v>5</v>
      </c>
      <c r="O124" s="135">
        <f t="shared" si="34"/>
        <v>5</v>
      </c>
      <c r="P124" s="135">
        <f t="shared" si="34"/>
        <v>5</v>
      </c>
      <c r="Q124" s="135">
        <f t="shared" si="34"/>
        <v>5</v>
      </c>
      <c r="R124" s="135">
        <f t="shared" si="34"/>
        <v>5</v>
      </c>
      <c r="S124" s="135">
        <f t="shared" si="34"/>
        <v>5</v>
      </c>
      <c r="T124" s="135">
        <f t="shared" si="33"/>
        <v>5</v>
      </c>
      <c r="U124" s="135">
        <f t="shared" si="33"/>
        <v>5</v>
      </c>
      <c r="V124" s="135">
        <f t="shared" si="33"/>
        <v>5</v>
      </c>
      <c r="W124" s="135">
        <f t="shared" si="33"/>
        <v>5</v>
      </c>
      <c r="X124" s="135">
        <f t="shared" si="33"/>
        <v>5</v>
      </c>
      <c r="Y124" s="135">
        <f t="shared" si="33"/>
        <v>5</v>
      </c>
      <c r="Z124" s="135">
        <f t="shared" si="33"/>
        <v>5</v>
      </c>
      <c r="AA124" s="135">
        <f t="shared" si="33"/>
        <v>5</v>
      </c>
      <c r="AB124" s="135">
        <f t="shared" si="33"/>
        <v>5</v>
      </c>
      <c r="AC124" s="135">
        <f t="shared" si="33"/>
        <v>5</v>
      </c>
      <c r="AD124" s="135">
        <f t="shared" si="33"/>
        <v>5</v>
      </c>
      <c r="AE124" s="135">
        <f t="shared" si="33"/>
        <v>5</v>
      </c>
      <c r="AF124" s="135">
        <f t="shared" si="33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1"/>
        <v>1</v>
      </c>
      <c r="C125" s="136">
        <v>1</v>
      </c>
      <c r="D125" s="135">
        <f t="shared" si="34"/>
        <v>1</v>
      </c>
      <c r="E125" s="135">
        <f t="shared" si="34"/>
        <v>1</v>
      </c>
      <c r="F125" s="135">
        <f t="shared" si="34"/>
        <v>1</v>
      </c>
      <c r="G125" s="135">
        <f t="shared" si="34"/>
        <v>1</v>
      </c>
      <c r="H125" s="135">
        <f t="shared" si="34"/>
        <v>1</v>
      </c>
      <c r="I125" s="135">
        <f t="shared" si="34"/>
        <v>1</v>
      </c>
      <c r="J125" s="135">
        <f t="shared" si="34"/>
        <v>1</v>
      </c>
      <c r="K125" s="135">
        <f t="shared" si="34"/>
        <v>1</v>
      </c>
      <c r="L125" s="135">
        <f t="shared" si="34"/>
        <v>1</v>
      </c>
      <c r="M125" s="135">
        <f t="shared" si="34"/>
        <v>1</v>
      </c>
      <c r="N125" s="135">
        <f t="shared" si="34"/>
        <v>1</v>
      </c>
      <c r="O125" s="135">
        <f t="shared" si="34"/>
        <v>1</v>
      </c>
      <c r="P125" s="135">
        <f t="shared" si="34"/>
        <v>1</v>
      </c>
      <c r="Q125" s="135">
        <f t="shared" si="34"/>
        <v>1</v>
      </c>
      <c r="R125" s="135">
        <f t="shared" si="34"/>
        <v>1</v>
      </c>
      <c r="S125" s="135">
        <f t="shared" si="34"/>
        <v>1</v>
      </c>
      <c r="T125" s="135">
        <f t="shared" si="33"/>
        <v>1</v>
      </c>
      <c r="U125" s="135">
        <f t="shared" si="33"/>
        <v>1</v>
      </c>
      <c r="V125" s="135">
        <f t="shared" si="33"/>
        <v>1</v>
      </c>
      <c r="W125" s="135">
        <f t="shared" si="33"/>
        <v>1</v>
      </c>
      <c r="X125" s="135">
        <f t="shared" si="33"/>
        <v>1</v>
      </c>
      <c r="Y125" s="135">
        <f t="shared" si="33"/>
        <v>1</v>
      </c>
      <c r="Z125" s="135">
        <f t="shared" si="33"/>
        <v>1</v>
      </c>
      <c r="AA125" s="135">
        <f t="shared" si="33"/>
        <v>1</v>
      </c>
      <c r="AB125" s="135">
        <f t="shared" si="33"/>
        <v>1</v>
      </c>
      <c r="AC125" s="135">
        <f t="shared" si="33"/>
        <v>1</v>
      </c>
      <c r="AD125" s="135">
        <f t="shared" si="33"/>
        <v>1</v>
      </c>
      <c r="AE125" s="135">
        <f t="shared" si="33"/>
        <v>1</v>
      </c>
      <c r="AF125" s="135">
        <f t="shared" si="33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1"/>
        <v>1.58</v>
      </c>
      <c r="C126" s="136">
        <v>1.58</v>
      </c>
      <c r="D126" s="135">
        <f t="shared" si="34"/>
        <v>1.58</v>
      </c>
      <c r="E126" s="135">
        <f t="shared" si="34"/>
        <v>1.58</v>
      </c>
      <c r="F126" s="135">
        <f t="shared" si="34"/>
        <v>1.58</v>
      </c>
      <c r="G126" s="135">
        <f t="shared" si="34"/>
        <v>1.58</v>
      </c>
      <c r="H126" s="135">
        <f t="shared" si="34"/>
        <v>1.58</v>
      </c>
      <c r="I126" s="135">
        <f t="shared" si="34"/>
        <v>1.58</v>
      </c>
      <c r="J126" s="135">
        <f t="shared" si="34"/>
        <v>1.58</v>
      </c>
      <c r="K126" s="135">
        <f t="shared" si="34"/>
        <v>1.58</v>
      </c>
      <c r="L126" s="135">
        <f t="shared" si="34"/>
        <v>1.58</v>
      </c>
      <c r="M126" s="135">
        <f t="shared" si="34"/>
        <v>1.58</v>
      </c>
      <c r="N126" s="135">
        <f t="shared" si="34"/>
        <v>1.58</v>
      </c>
      <c r="O126" s="135">
        <f t="shared" si="34"/>
        <v>1.58</v>
      </c>
      <c r="P126" s="135">
        <f t="shared" si="34"/>
        <v>1.58</v>
      </c>
      <c r="Q126" s="135">
        <f t="shared" si="34"/>
        <v>1.58</v>
      </c>
      <c r="R126" s="135">
        <f t="shared" si="34"/>
        <v>1.58</v>
      </c>
      <c r="S126" s="135">
        <f t="shared" si="34"/>
        <v>1.58</v>
      </c>
      <c r="T126" s="135">
        <f t="shared" si="33"/>
        <v>1.58</v>
      </c>
      <c r="U126" s="135">
        <f t="shared" si="33"/>
        <v>1.58</v>
      </c>
      <c r="V126" s="135">
        <f t="shared" si="33"/>
        <v>1.58</v>
      </c>
      <c r="W126" s="135">
        <f t="shared" si="33"/>
        <v>1.58</v>
      </c>
      <c r="X126" s="135">
        <f t="shared" si="33"/>
        <v>1.58</v>
      </c>
      <c r="Y126" s="135">
        <f t="shared" si="33"/>
        <v>1.58</v>
      </c>
      <c r="Z126" s="135">
        <f t="shared" si="33"/>
        <v>1.58</v>
      </c>
      <c r="AA126" s="135">
        <f t="shared" si="33"/>
        <v>1.58</v>
      </c>
      <c r="AB126" s="135">
        <f t="shared" si="33"/>
        <v>1.58</v>
      </c>
      <c r="AC126" s="135">
        <f t="shared" si="33"/>
        <v>1.58</v>
      </c>
      <c r="AD126" s="135">
        <f t="shared" si="33"/>
        <v>1.58</v>
      </c>
      <c r="AE126" s="135">
        <f t="shared" si="33"/>
        <v>1.58</v>
      </c>
      <c r="AF126" s="135">
        <f t="shared" si="33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1"/>
        <v>1.46</v>
      </c>
      <c r="C127" s="136">
        <v>1.46</v>
      </c>
      <c r="D127" s="135">
        <f t="shared" si="34"/>
        <v>1.46</v>
      </c>
      <c r="E127" s="135">
        <f t="shared" si="34"/>
        <v>1.46</v>
      </c>
      <c r="F127" s="135">
        <f t="shared" si="34"/>
        <v>1.46</v>
      </c>
      <c r="G127" s="135">
        <f t="shared" si="34"/>
        <v>1.46</v>
      </c>
      <c r="H127" s="135">
        <f t="shared" si="34"/>
        <v>1.46</v>
      </c>
      <c r="I127" s="135">
        <f t="shared" si="34"/>
        <v>1.46</v>
      </c>
      <c r="J127" s="135">
        <f t="shared" si="34"/>
        <v>1.46</v>
      </c>
      <c r="K127" s="135">
        <f t="shared" si="34"/>
        <v>1.46</v>
      </c>
      <c r="L127" s="135">
        <f t="shared" si="34"/>
        <v>1.46</v>
      </c>
      <c r="M127" s="135">
        <f t="shared" si="34"/>
        <v>1.46</v>
      </c>
      <c r="N127" s="135">
        <f t="shared" si="34"/>
        <v>1.46</v>
      </c>
      <c r="O127" s="135">
        <f t="shared" si="34"/>
        <v>1.46</v>
      </c>
      <c r="P127" s="135">
        <f t="shared" si="34"/>
        <v>1.46</v>
      </c>
      <c r="Q127" s="135">
        <f t="shared" si="34"/>
        <v>1.46</v>
      </c>
      <c r="R127" s="135">
        <f t="shared" si="34"/>
        <v>1.46</v>
      </c>
      <c r="S127" s="135">
        <f t="shared" si="34"/>
        <v>1.46</v>
      </c>
      <c r="T127" s="135">
        <f t="shared" ref="T127:AF128" si="35">S127</f>
        <v>1.46</v>
      </c>
      <c r="U127" s="135">
        <f t="shared" si="35"/>
        <v>1.46</v>
      </c>
      <c r="V127" s="135">
        <f t="shared" si="35"/>
        <v>1.46</v>
      </c>
      <c r="W127" s="135">
        <f t="shared" si="35"/>
        <v>1.46</v>
      </c>
      <c r="X127" s="135">
        <f t="shared" si="35"/>
        <v>1.46</v>
      </c>
      <c r="Y127" s="135">
        <f t="shared" si="35"/>
        <v>1.46</v>
      </c>
      <c r="Z127" s="135">
        <f t="shared" si="35"/>
        <v>1.46</v>
      </c>
      <c r="AA127" s="135">
        <f t="shared" si="35"/>
        <v>1.46</v>
      </c>
      <c r="AB127" s="135">
        <f t="shared" si="35"/>
        <v>1.46</v>
      </c>
      <c r="AC127" s="135">
        <f t="shared" si="35"/>
        <v>1.46</v>
      </c>
      <c r="AD127" s="135">
        <f t="shared" si="35"/>
        <v>1.46</v>
      </c>
      <c r="AE127" s="135">
        <f t="shared" si="35"/>
        <v>1.46</v>
      </c>
      <c r="AF127" s="135">
        <f t="shared" si="35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1"/>
        <v>1.48</v>
      </c>
      <c r="C128" s="136">
        <v>1.48</v>
      </c>
      <c r="D128" s="135">
        <f t="shared" si="34"/>
        <v>1.48</v>
      </c>
      <c r="E128" s="135">
        <f t="shared" si="34"/>
        <v>1.48</v>
      </c>
      <c r="F128" s="135">
        <f t="shared" si="34"/>
        <v>1.48</v>
      </c>
      <c r="G128" s="135">
        <f t="shared" si="34"/>
        <v>1.48</v>
      </c>
      <c r="H128" s="135">
        <f t="shared" si="34"/>
        <v>1.48</v>
      </c>
      <c r="I128" s="135">
        <f t="shared" si="34"/>
        <v>1.48</v>
      </c>
      <c r="J128" s="135">
        <f t="shared" si="34"/>
        <v>1.48</v>
      </c>
      <c r="K128" s="135">
        <f t="shared" si="34"/>
        <v>1.48</v>
      </c>
      <c r="L128" s="135">
        <f t="shared" si="34"/>
        <v>1.48</v>
      </c>
      <c r="M128" s="135">
        <f t="shared" si="34"/>
        <v>1.48</v>
      </c>
      <c r="N128" s="135">
        <f t="shared" si="34"/>
        <v>1.48</v>
      </c>
      <c r="O128" s="135">
        <f t="shared" si="34"/>
        <v>1.48</v>
      </c>
      <c r="P128" s="135">
        <f t="shared" si="34"/>
        <v>1.48</v>
      </c>
      <c r="Q128" s="135">
        <f t="shared" si="34"/>
        <v>1.48</v>
      </c>
      <c r="R128" s="135">
        <f t="shared" si="34"/>
        <v>1.48</v>
      </c>
      <c r="S128" s="135">
        <f t="shared" si="34"/>
        <v>1.48</v>
      </c>
      <c r="T128" s="135">
        <f t="shared" si="35"/>
        <v>1.48</v>
      </c>
      <c r="U128" s="135">
        <f t="shared" si="35"/>
        <v>1.48</v>
      </c>
      <c r="V128" s="135">
        <f t="shared" si="35"/>
        <v>1.48</v>
      </c>
      <c r="W128" s="135">
        <f t="shared" si="35"/>
        <v>1.48</v>
      </c>
      <c r="X128" s="135">
        <f t="shared" si="35"/>
        <v>1.48</v>
      </c>
      <c r="Y128" s="135">
        <f t="shared" si="35"/>
        <v>1.48</v>
      </c>
      <c r="Z128" s="135">
        <f t="shared" si="35"/>
        <v>1.48</v>
      </c>
      <c r="AA128" s="135">
        <f t="shared" si="35"/>
        <v>1.48</v>
      </c>
      <c r="AB128" s="135">
        <f t="shared" si="35"/>
        <v>1.48</v>
      </c>
      <c r="AC128" s="135">
        <f t="shared" si="35"/>
        <v>1.48</v>
      </c>
      <c r="AD128" s="135">
        <f t="shared" si="35"/>
        <v>1.48</v>
      </c>
      <c r="AE128" s="135">
        <f t="shared" si="35"/>
        <v>1.48</v>
      </c>
      <c r="AF128" s="135">
        <f t="shared" si="35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6">AF130</f>
        <v>2.2000000000000002</v>
      </c>
      <c r="C130" s="136">
        <v>2.2000000000000002</v>
      </c>
      <c r="D130" s="135">
        <f t="shared" ref="D130:S137" si="37">C130</f>
        <v>2.2000000000000002</v>
      </c>
      <c r="E130" s="135">
        <f t="shared" si="37"/>
        <v>2.2000000000000002</v>
      </c>
      <c r="F130" s="135">
        <f t="shared" si="37"/>
        <v>2.2000000000000002</v>
      </c>
      <c r="G130" s="135">
        <f t="shared" si="37"/>
        <v>2.2000000000000002</v>
      </c>
      <c r="H130" s="135">
        <f t="shared" si="37"/>
        <v>2.2000000000000002</v>
      </c>
      <c r="I130" s="135">
        <f t="shared" si="37"/>
        <v>2.2000000000000002</v>
      </c>
      <c r="J130" s="135">
        <f t="shared" si="37"/>
        <v>2.2000000000000002</v>
      </c>
      <c r="K130" s="135">
        <f t="shared" si="37"/>
        <v>2.2000000000000002</v>
      </c>
      <c r="L130" s="135">
        <f t="shared" si="37"/>
        <v>2.2000000000000002</v>
      </c>
      <c r="M130" s="135">
        <f t="shared" si="37"/>
        <v>2.2000000000000002</v>
      </c>
      <c r="N130" s="135">
        <f t="shared" si="37"/>
        <v>2.2000000000000002</v>
      </c>
      <c r="O130" s="135">
        <f t="shared" si="37"/>
        <v>2.2000000000000002</v>
      </c>
      <c r="P130" s="135">
        <f t="shared" si="37"/>
        <v>2.2000000000000002</v>
      </c>
      <c r="Q130" s="135">
        <f t="shared" si="37"/>
        <v>2.2000000000000002</v>
      </c>
      <c r="R130" s="135">
        <f t="shared" si="37"/>
        <v>2.2000000000000002</v>
      </c>
      <c r="S130" s="135">
        <f t="shared" si="37"/>
        <v>2.2000000000000002</v>
      </c>
      <c r="T130" s="135">
        <f t="shared" ref="T130:AF137" si="38">S130</f>
        <v>2.2000000000000002</v>
      </c>
      <c r="U130" s="135">
        <f t="shared" si="38"/>
        <v>2.2000000000000002</v>
      </c>
      <c r="V130" s="135">
        <f t="shared" si="38"/>
        <v>2.2000000000000002</v>
      </c>
      <c r="W130" s="135">
        <f t="shared" si="38"/>
        <v>2.2000000000000002</v>
      </c>
      <c r="X130" s="135">
        <f t="shared" si="38"/>
        <v>2.2000000000000002</v>
      </c>
      <c r="Y130" s="135">
        <f t="shared" si="38"/>
        <v>2.2000000000000002</v>
      </c>
      <c r="Z130" s="135">
        <f t="shared" si="38"/>
        <v>2.2000000000000002</v>
      </c>
      <c r="AA130" s="135">
        <f t="shared" si="38"/>
        <v>2.2000000000000002</v>
      </c>
      <c r="AB130" s="135">
        <f t="shared" si="38"/>
        <v>2.2000000000000002</v>
      </c>
      <c r="AC130" s="135">
        <f t="shared" si="38"/>
        <v>2.2000000000000002</v>
      </c>
      <c r="AD130" s="135">
        <f t="shared" si="38"/>
        <v>2.2000000000000002</v>
      </c>
      <c r="AE130" s="135">
        <f t="shared" si="38"/>
        <v>2.2000000000000002</v>
      </c>
      <c r="AF130" s="135">
        <f t="shared" si="38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6"/>
        <v>2</v>
      </c>
      <c r="C131" s="136">
        <v>2</v>
      </c>
      <c r="D131" s="135">
        <f t="shared" si="37"/>
        <v>2</v>
      </c>
      <c r="E131" s="135">
        <f t="shared" si="37"/>
        <v>2</v>
      </c>
      <c r="F131" s="135">
        <f t="shared" si="37"/>
        <v>2</v>
      </c>
      <c r="G131" s="135">
        <f t="shared" si="37"/>
        <v>2</v>
      </c>
      <c r="H131" s="135">
        <f t="shared" si="37"/>
        <v>2</v>
      </c>
      <c r="I131" s="135">
        <f t="shared" si="37"/>
        <v>2</v>
      </c>
      <c r="J131" s="135">
        <f t="shared" si="37"/>
        <v>2</v>
      </c>
      <c r="K131" s="135">
        <f t="shared" si="37"/>
        <v>2</v>
      </c>
      <c r="L131" s="135">
        <f t="shared" si="37"/>
        <v>2</v>
      </c>
      <c r="M131" s="135">
        <f t="shared" si="37"/>
        <v>2</v>
      </c>
      <c r="N131" s="135">
        <f t="shared" si="37"/>
        <v>2</v>
      </c>
      <c r="O131" s="135">
        <f t="shared" si="37"/>
        <v>2</v>
      </c>
      <c r="P131" s="135">
        <f t="shared" si="37"/>
        <v>2</v>
      </c>
      <c r="Q131" s="135">
        <f t="shared" si="37"/>
        <v>2</v>
      </c>
      <c r="R131" s="135">
        <f t="shared" si="37"/>
        <v>2</v>
      </c>
      <c r="S131" s="135">
        <f t="shared" si="37"/>
        <v>2</v>
      </c>
      <c r="T131" s="135">
        <f t="shared" si="38"/>
        <v>2</v>
      </c>
      <c r="U131" s="135">
        <f t="shared" si="38"/>
        <v>2</v>
      </c>
      <c r="V131" s="135">
        <f t="shared" si="38"/>
        <v>2</v>
      </c>
      <c r="W131" s="135">
        <f t="shared" si="38"/>
        <v>2</v>
      </c>
      <c r="X131" s="135">
        <f t="shared" si="38"/>
        <v>2</v>
      </c>
      <c r="Y131" s="135">
        <f t="shared" si="38"/>
        <v>2</v>
      </c>
      <c r="Z131" s="135">
        <f t="shared" si="38"/>
        <v>2</v>
      </c>
      <c r="AA131" s="135">
        <f t="shared" si="38"/>
        <v>2</v>
      </c>
      <c r="AB131" s="135">
        <f t="shared" si="38"/>
        <v>2</v>
      </c>
      <c r="AC131" s="135">
        <f t="shared" si="38"/>
        <v>2</v>
      </c>
      <c r="AD131" s="135">
        <f t="shared" si="38"/>
        <v>2</v>
      </c>
      <c r="AE131" s="135">
        <f t="shared" si="38"/>
        <v>2</v>
      </c>
      <c r="AF131" s="135">
        <f t="shared" si="38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6"/>
        <v>1.25</v>
      </c>
      <c r="C132" s="136">
        <v>1.25</v>
      </c>
      <c r="D132" s="135">
        <f t="shared" si="37"/>
        <v>1.25</v>
      </c>
      <c r="E132" s="135">
        <f t="shared" si="37"/>
        <v>1.25</v>
      </c>
      <c r="F132" s="135">
        <f t="shared" si="37"/>
        <v>1.25</v>
      </c>
      <c r="G132" s="135">
        <f t="shared" si="37"/>
        <v>1.25</v>
      </c>
      <c r="H132" s="135">
        <f t="shared" si="37"/>
        <v>1.25</v>
      </c>
      <c r="I132" s="135">
        <f t="shared" si="37"/>
        <v>1.25</v>
      </c>
      <c r="J132" s="135">
        <f t="shared" si="37"/>
        <v>1.25</v>
      </c>
      <c r="K132" s="135">
        <f t="shared" si="37"/>
        <v>1.25</v>
      </c>
      <c r="L132" s="135">
        <f t="shared" si="37"/>
        <v>1.25</v>
      </c>
      <c r="M132" s="135">
        <f t="shared" si="37"/>
        <v>1.25</v>
      </c>
      <c r="N132" s="135">
        <f t="shared" si="37"/>
        <v>1.25</v>
      </c>
      <c r="O132" s="135">
        <f t="shared" si="37"/>
        <v>1.25</v>
      </c>
      <c r="P132" s="135">
        <f t="shared" si="37"/>
        <v>1.25</v>
      </c>
      <c r="Q132" s="135">
        <f t="shared" si="37"/>
        <v>1.25</v>
      </c>
      <c r="R132" s="135">
        <f t="shared" si="37"/>
        <v>1.25</v>
      </c>
      <c r="S132" s="135">
        <f t="shared" si="37"/>
        <v>1.25</v>
      </c>
      <c r="T132" s="135">
        <f t="shared" si="38"/>
        <v>1.25</v>
      </c>
      <c r="U132" s="135">
        <f t="shared" si="38"/>
        <v>1.25</v>
      </c>
      <c r="V132" s="135">
        <f t="shared" si="38"/>
        <v>1.25</v>
      </c>
      <c r="W132" s="135">
        <f t="shared" si="38"/>
        <v>1.25</v>
      </c>
      <c r="X132" s="135">
        <f t="shared" si="38"/>
        <v>1.25</v>
      </c>
      <c r="Y132" s="135">
        <f t="shared" si="38"/>
        <v>1.25</v>
      </c>
      <c r="Z132" s="135">
        <f t="shared" si="38"/>
        <v>1.25</v>
      </c>
      <c r="AA132" s="135">
        <f t="shared" si="38"/>
        <v>1.25</v>
      </c>
      <c r="AB132" s="135">
        <f t="shared" si="38"/>
        <v>1.25</v>
      </c>
      <c r="AC132" s="135">
        <f t="shared" si="38"/>
        <v>1.25</v>
      </c>
      <c r="AD132" s="135">
        <f t="shared" si="38"/>
        <v>1.25</v>
      </c>
      <c r="AE132" s="135">
        <f t="shared" si="38"/>
        <v>1.25</v>
      </c>
      <c r="AF132" s="135">
        <f t="shared" si="38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6"/>
        <v>1.1499999999999999</v>
      </c>
      <c r="C133" s="136">
        <v>1.1499999999999999</v>
      </c>
      <c r="D133" s="135">
        <f t="shared" si="37"/>
        <v>1.1499999999999999</v>
      </c>
      <c r="E133" s="135">
        <f t="shared" si="37"/>
        <v>1.1499999999999999</v>
      </c>
      <c r="F133" s="135">
        <f t="shared" si="37"/>
        <v>1.1499999999999999</v>
      </c>
      <c r="G133" s="135">
        <f t="shared" si="37"/>
        <v>1.1499999999999999</v>
      </c>
      <c r="H133" s="135">
        <f t="shared" si="37"/>
        <v>1.1499999999999999</v>
      </c>
      <c r="I133" s="135">
        <f t="shared" si="37"/>
        <v>1.1499999999999999</v>
      </c>
      <c r="J133" s="135">
        <f t="shared" si="37"/>
        <v>1.1499999999999999</v>
      </c>
      <c r="K133" s="135">
        <f t="shared" si="37"/>
        <v>1.1499999999999999</v>
      </c>
      <c r="L133" s="135">
        <f t="shared" si="37"/>
        <v>1.1499999999999999</v>
      </c>
      <c r="M133" s="135">
        <f t="shared" si="37"/>
        <v>1.1499999999999999</v>
      </c>
      <c r="N133" s="135">
        <f t="shared" si="37"/>
        <v>1.1499999999999999</v>
      </c>
      <c r="O133" s="135">
        <f t="shared" si="37"/>
        <v>1.1499999999999999</v>
      </c>
      <c r="P133" s="135">
        <f t="shared" si="37"/>
        <v>1.1499999999999999</v>
      </c>
      <c r="Q133" s="135">
        <f t="shared" si="37"/>
        <v>1.1499999999999999</v>
      </c>
      <c r="R133" s="135">
        <f t="shared" si="37"/>
        <v>1.1499999999999999</v>
      </c>
      <c r="S133" s="135">
        <f t="shared" si="37"/>
        <v>1.1499999999999999</v>
      </c>
      <c r="T133" s="135">
        <f t="shared" si="38"/>
        <v>1.1499999999999999</v>
      </c>
      <c r="U133" s="135">
        <f t="shared" si="38"/>
        <v>1.1499999999999999</v>
      </c>
      <c r="V133" s="135">
        <f t="shared" si="38"/>
        <v>1.1499999999999999</v>
      </c>
      <c r="W133" s="135">
        <f t="shared" si="38"/>
        <v>1.1499999999999999</v>
      </c>
      <c r="X133" s="135">
        <f t="shared" si="38"/>
        <v>1.1499999999999999</v>
      </c>
      <c r="Y133" s="135">
        <f t="shared" si="38"/>
        <v>1.1499999999999999</v>
      </c>
      <c r="Z133" s="135">
        <f t="shared" si="38"/>
        <v>1.1499999999999999</v>
      </c>
      <c r="AA133" s="135">
        <f t="shared" si="38"/>
        <v>1.1499999999999999</v>
      </c>
      <c r="AB133" s="135">
        <f t="shared" si="38"/>
        <v>1.1499999999999999</v>
      </c>
      <c r="AC133" s="135">
        <f t="shared" si="38"/>
        <v>1.1499999999999999</v>
      </c>
      <c r="AD133" s="135">
        <f t="shared" si="38"/>
        <v>1.1499999999999999</v>
      </c>
      <c r="AE133" s="135">
        <f t="shared" si="38"/>
        <v>1.1499999999999999</v>
      </c>
      <c r="AF133" s="135">
        <f t="shared" si="38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6"/>
        <v>2.133</v>
      </c>
      <c r="C134" s="136">
        <v>2.133</v>
      </c>
      <c r="D134" s="135">
        <f t="shared" si="37"/>
        <v>2.133</v>
      </c>
      <c r="E134" s="135">
        <f t="shared" si="37"/>
        <v>2.133</v>
      </c>
      <c r="F134" s="135">
        <f t="shared" si="37"/>
        <v>2.133</v>
      </c>
      <c r="G134" s="135">
        <f t="shared" si="37"/>
        <v>2.133</v>
      </c>
      <c r="H134" s="135">
        <f t="shared" si="37"/>
        <v>2.133</v>
      </c>
      <c r="I134" s="135">
        <f t="shared" si="37"/>
        <v>2.133</v>
      </c>
      <c r="J134" s="135">
        <f t="shared" si="37"/>
        <v>2.133</v>
      </c>
      <c r="K134" s="135">
        <f t="shared" si="37"/>
        <v>2.133</v>
      </c>
      <c r="L134" s="135">
        <f t="shared" si="37"/>
        <v>2.133</v>
      </c>
      <c r="M134" s="135">
        <f t="shared" si="37"/>
        <v>2.133</v>
      </c>
      <c r="N134" s="135">
        <f t="shared" si="37"/>
        <v>2.133</v>
      </c>
      <c r="O134" s="135">
        <f t="shared" si="37"/>
        <v>2.133</v>
      </c>
      <c r="P134" s="135">
        <f t="shared" si="37"/>
        <v>2.133</v>
      </c>
      <c r="Q134" s="135">
        <f t="shared" si="37"/>
        <v>2.133</v>
      </c>
      <c r="R134" s="135">
        <f t="shared" si="37"/>
        <v>2.133</v>
      </c>
      <c r="S134" s="135">
        <f t="shared" si="37"/>
        <v>2.133</v>
      </c>
      <c r="T134" s="135">
        <f t="shared" si="38"/>
        <v>2.133</v>
      </c>
      <c r="U134" s="135">
        <f t="shared" si="38"/>
        <v>2.133</v>
      </c>
      <c r="V134" s="135">
        <f t="shared" si="38"/>
        <v>2.133</v>
      </c>
      <c r="W134" s="135">
        <f t="shared" si="38"/>
        <v>2.133</v>
      </c>
      <c r="X134" s="135">
        <f t="shared" si="38"/>
        <v>2.133</v>
      </c>
      <c r="Y134" s="135">
        <f t="shared" si="38"/>
        <v>2.133</v>
      </c>
      <c r="Z134" s="135">
        <f t="shared" si="38"/>
        <v>2.133</v>
      </c>
      <c r="AA134" s="135">
        <f t="shared" si="38"/>
        <v>2.133</v>
      </c>
      <c r="AB134" s="135">
        <f t="shared" si="38"/>
        <v>2.133</v>
      </c>
      <c r="AC134" s="135">
        <f t="shared" si="38"/>
        <v>2.133</v>
      </c>
      <c r="AD134" s="135">
        <f t="shared" si="38"/>
        <v>2.133</v>
      </c>
      <c r="AE134" s="135">
        <f t="shared" si="38"/>
        <v>2.133</v>
      </c>
      <c r="AF134" s="135">
        <f t="shared" si="38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6"/>
        <v>2.09</v>
      </c>
      <c r="C135" s="136">
        <v>2.09</v>
      </c>
      <c r="D135" s="135">
        <f t="shared" si="37"/>
        <v>2.09</v>
      </c>
      <c r="E135" s="135">
        <f t="shared" si="37"/>
        <v>2.09</v>
      </c>
      <c r="F135" s="135">
        <f t="shared" si="37"/>
        <v>2.09</v>
      </c>
      <c r="G135" s="135">
        <f t="shared" si="37"/>
        <v>2.09</v>
      </c>
      <c r="H135" s="135">
        <f t="shared" si="37"/>
        <v>2.09</v>
      </c>
      <c r="I135" s="135">
        <f t="shared" si="37"/>
        <v>2.09</v>
      </c>
      <c r="J135" s="135">
        <f t="shared" si="37"/>
        <v>2.09</v>
      </c>
      <c r="K135" s="135">
        <f t="shared" si="37"/>
        <v>2.09</v>
      </c>
      <c r="L135" s="135">
        <f t="shared" si="37"/>
        <v>2.09</v>
      </c>
      <c r="M135" s="135">
        <f t="shared" si="37"/>
        <v>2.09</v>
      </c>
      <c r="N135" s="135">
        <f t="shared" si="37"/>
        <v>2.09</v>
      </c>
      <c r="O135" s="135">
        <f t="shared" si="37"/>
        <v>2.09</v>
      </c>
      <c r="P135" s="135">
        <f t="shared" si="37"/>
        <v>2.09</v>
      </c>
      <c r="Q135" s="135">
        <f t="shared" si="37"/>
        <v>2.09</v>
      </c>
      <c r="R135" s="135">
        <f t="shared" si="37"/>
        <v>2.09</v>
      </c>
      <c r="S135" s="135">
        <f t="shared" si="37"/>
        <v>2.09</v>
      </c>
      <c r="T135" s="135">
        <f t="shared" si="38"/>
        <v>2.09</v>
      </c>
      <c r="U135" s="135">
        <f t="shared" si="38"/>
        <v>2.09</v>
      </c>
      <c r="V135" s="135">
        <f t="shared" si="38"/>
        <v>2.09</v>
      </c>
      <c r="W135" s="135">
        <f t="shared" si="38"/>
        <v>2.09</v>
      </c>
      <c r="X135" s="135">
        <f t="shared" si="38"/>
        <v>2.09</v>
      </c>
      <c r="Y135" s="135">
        <f t="shared" si="38"/>
        <v>2.09</v>
      </c>
      <c r="Z135" s="135">
        <f t="shared" si="38"/>
        <v>2.09</v>
      </c>
      <c r="AA135" s="135">
        <f t="shared" si="38"/>
        <v>2.09</v>
      </c>
      <c r="AB135" s="135">
        <f t="shared" si="38"/>
        <v>2.09</v>
      </c>
      <c r="AC135" s="135">
        <f t="shared" si="38"/>
        <v>2.09</v>
      </c>
      <c r="AD135" s="135">
        <f t="shared" si="38"/>
        <v>2.09</v>
      </c>
      <c r="AE135" s="135">
        <f t="shared" si="38"/>
        <v>2.09</v>
      </c>
      <c r="AF135" s="135">
        <f t="shared" si="38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6"/>
        <v>1.1399999999999999</v>
      </c>
      <c r="C136" s="136">
        <v>1.1399999999999999</v>
      </c>
      <c r="D136" s="135">
        <f t="shared" si="37"/>
        <v>1.1399999999999999</v>
      </c>
      <c r="E136" s="135">
        <f t="shared" si="37"/>
        <v>1.1399999999999999</v>
      </c>
      <c r="F136" s="135">
        <f t="shared" si="37"/>
        <v>1.1399999999999999</v>
      </c>
      <c r="G136" s="135">
        <f t="shared" si="37"/>
        <v>1.1399999999999999</v>
      </c>
      <c r="H136" s="135">
        <f t="shared" si="37"/>
        <v>1.1399999999999999</v>
      </c>
      <c r="I136" s="135">
        <f t="shared" si="37"/>
        <v>1.1399999999999999</v>
      </c>
      <c r="J136" s="135">
        <f t="shared" si="37"/>
        <v>1.1399999999999999</v>
      </c>
      <c r="K136" s="135">
        <f t="shared" si="37"/>
        <v>1.1399999999999999</v>
      </c>
      <c r="L136" s="135">
        <f t="shared" si="37"/>
        <v>1.1399999999999999</v>
      </c>
      <c r="M136" s="135">
        <f t="shared" si="37"/>
        <v>1.1399999999999999</v>
      </c>
      <c r="N136" s="135">
        <f t="shared" si="37"/>
        <v>1.1399999999999999</v>
      </c>
      <c r="O136" s="135">
        <f t="shared" si="37"/>
        <v>1.1399999999999999</v>
      </c>
      <c r="P136" s="135">
        <f t="shared" si="37"/>
        <v>1.1399999999999999</v>
      </c>
      <c r="Q136" s="135">
        <f t="shared" si="37"/>
        <v>1.1399999999999999</v>
      </c>
      <c r="R136" s="135">
        <f t="shared" si="37"/>
        <v>1.1399999999999999</v>
      </c>
      <c r="S136" s="135">
        <f t="shared" si="37"/>
        <v>1.1399999999999999</v>
      </c>
      <c r="T136" s="135">
        <f t="shared" si="38"/>
        <v>1.1399999999999999</v>
      </c>
      <c r="U136" s="135">
        <f t="shared" si="38"/>
        <v>1.1399999999999999</v>
      </c>
      <c r="V136" s="135">
        <f t="shared" si="38"/>
        <v>1.1399999999999999</v>
      </c>
      <c r="W136" s="135">
        <f t="shared" si="38"/>
        <v>1.1399999999999999</v>
      </c>
      <c r="X136" s="135">
        <f t="shared" si="38"/>
        <v>1.1399999999999999</v>
      </c>
      <c r="Y136" s="135">
        <f t="shared" si="38"/>
        <v>1.1399999999999999</v>
      </c>
      <c r="Z136" s="135">
        <f t="shared" si="38"/>
        <v>1.1399999999999999</v>
      </c>
      <c r="AA136" s="135">
        <f t="shared" si="38"/>
        <v>1.1399999999999999</v>
      </c>
      <c r="AB136" s="135">
        <f t="shared" si="38"/>
        <v>1.1399999999999999</v>
      </c>
      <c r="AC136" s="135">
        <f t="shared" si="38"/>
        <v>1.1399999999999999</v>
      </c>
      <c r="AD136" s="135">
        <f t="shared" si="38"/>
        <v>1.1399999999999999</v>
      </c>
      <c r="AE136" s="135">
        <f t="shared" si="38"/>
        <v>1.1399999999999999</v>
      </c>
      <c r="AF136" s="135">
        <f t="shared" si="38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6"/>
        <v>0.82</v>
      </c>
      <c r="C137" s="136">
        <v>0.82</v>
      </c>
      <c r="D137" s="135">
        <f t="shared" si="37"/>
        <v>0.82</v>
      </c>
      <c r="E137" s="135">
        <f t="shared" si="37"/>
        <v>0.82</v>
      </c>
      <c r="F137" s="135">
        <f t="shared" si="37"/>
        <v>0.82</v>
      </c>
      <c r="G137" s="135">
        <f t="shared" si="37"/>
        <v>0.82</v>
      </c>
      <c r="H137" s="135">
        <f t="shared" si="37"/>
        <v>0.82</v>
      </c>
      <c r="I137" s="135">
        <f t="shared" si="37"/>
        <v>0.82</v>
      </c>
      <c r="J137" s="135">
        <f t="shared" si="37"/>
        <v>0.82</v>
      </c>
      <c r="K137" s="135">
        <f t="shared" si="37"/>
        <v>0.82</v>
      </c>
      <c r="L137" s="135">
        <f t="shared" si="37"/>
        <v>0.82</v>
      </c>
      <c r="M137" s="135">
        <f t="shared" si="37"/>
        <v>0.82</v>
      </c>
      <c r="N137" s="135">
        <f t="shared" si="37"/>
        <v>0.82</v>
      </c>
      <c r="O137" s="135">
        <f t="shared" si="37"/>
        <v>0.82</v>
      </c>
      <c r="P137" s="135">
        <f t="shared" si="37"/>
        <v>0.82</v>
      </c>
      <c r="Q137" s="135">
        <f t="shared" si="37"/>
        <v>0.82</v>
      </c>
      <c r="R137" s="135">
        <f t="shared" si="37"/>
        <v>0.82</v>
      </c>
      <c r="S137" s="135">
        <f t="shared" si="37"/>
        <v>0.82</v>
      </c>
      <c r="T137" s="135">
        <f t="shared" si="38"/>
        <v>0.82</v>
      </c>
      <c r="U137" s="135">
        <f t="shared" si="38"/>
        <v>0.82</v>
      </c>
      <c r="V137" s="135">
        <f t="shared" si="38"/>
        <v>0.82</v>
      </c>
      <c r="W137" s="135">
        <f t="shared" si="38"/>
        <v>0.82</v>
      </c>
      <c r="X137" s="135">
        <f t="shared" si="38"/>
        <v>0.82</v>
      </c>
      <c r="Y137" s="135">
        <f t="shared" si="38"/>
        <v>0.82</v>
      </c>
      <c r="Z137" s="135">
        <f t="shared" si="38"/>
        <v>0.82</v>
      </c>
      <c r="AA137" s="135">
        <f t="shared" si="38"/>
        <v>0.82</v>
      </c>
      <c r="AB137" s="135">
        <f t="shared" si="38"/>
        <v>0.82</v>
      </c>
      <c r="AC137" s="135">
        <f t="shared" si="38"/>
        <v>0.82</v>
      </c>
      <c r="AD137" s="135">
        <f t="shared" si="38"/>
        <v>0.82</v>
      </c>
      <c r="AE137" s="135">
        <f t="shared" si="38"/>
        <v>0.82</v>
      </c>
      <c r="AF137" s="135">
        <f t="shared" si="38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9">AF139</f>
        <v>2</v>
      </c>
      <c r="C139" s="136">
        <v>2</v>
      </c>
      <c r="D139" s="135">
        <f t="shared" ref="D139:S145" si="40">C139</f>
        <v>2</v>
      </c>
      <c r="E139" s="135">
        <f t="shared" si="40"/>
        <v>2</v>
      </c>
      <c r="F139" s="135">
        <f t="shared" si="40"/>
        <v>2</v>
      </c>
      <c r="G139" s="135">
        <f t="shared" si="40"/>
        <v>2</v>
      </c>
      <c r="H139" s="135">
        <f t="shared" si="40"/>
        <v>2</v>
      </c>
      <c r="I139" s="135">
        <f t="shared" si="40"/>
        <v>2</v>
      </c>
      <c r="J139" s="135">
        <f t="shared" si="40"/>
        <v>2</v>
      </c>
      <c r="K139" s="135">
        <f t="shared" si="40"/>
        <v>2</v>
      </c>
      <c r="L139" s="135">
        <f t="shared" si="40"/>
        <v>2</v>
      </c>
      <c r="M139" s="135">
        <f t="shared" si="40"/>
        <v>2</v>
      </c>
      <c r="N139" s="135">
        <f t="shared" si="40"/>
        <v>2</v>
      </c>
      <c r="O139" s="135">
        <f t="shared" si="40"/>
        <v>2</v>
      </c>
      <c r="P139" s="135">
        <f t="shared" si="40"/>
        <v>2</v>
      </c>
      <c r="Q139" s="135">
        <f t="shared" si="40"/>
        <v>2</v>
      </c>
      <c r="R139" s="135">
        <f t="shared" si="40"/>
        <v>2</v>
      </c>
      <c r="S139" s="135">
        <f t="shared" si="40"/>
        <v>2</v>
      </c>
      <c r="T139" s="135">
        <f t="shared" ref="T139:AF145" si="41">S139</f>
        <v>2</v>
      </c>
      <c r="U139" s="135">
        <f t="shared" si="41"/>
        <v>2</v>
      </c>
      <c r="V139" s="135">
        <f t="shared" si="41"/>
        <v>2</v>
      </c>
      <c r="W139" s="135">
        <f t="shared" si="41"/>
        <v>2</v>
      </c>
      <c r="X139" s="135">
        <f t="shared" si="41"/>
        <v>2</v>
      </c>
      <c r="Y139" s="135">
        <f t="shared" si="41"/>
        <v>2</v>
      </c>
      <c r="Z139" s="135">
        <f t="shared" si="41"/>
        <v>2</v>
      </c>
      <c r="AA139" s="135">
        <f t="shared" si="41"/>
        <v>2</v>
      </c>
      <c r="AB139" s="135">
        <f t="shared" si="41"/>
        <v>2</v>
      </c>
      <c r="AC139" s="135">
        <f t="shared" si="41"/>
        <v>2</v>
      </c>
      <c r="AD139" s="135">
        <f t="shared" si="41"/>
        <v>2</v>
      </c>
      <c r="AE139" s="135">
        <f t="shared" si="41"/>
        <v>2</v>
      </c>
      <c r="AF139" s="135">
        <f t="shared" si="41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9"/>
        <v>5.61</v>
      </c>
      <c r="C140" s="136">
        <v>5.61</v>
      </c>
      <c r="D140" s="135">
        <f t="shared" si="40"/>
        <v>5.61</v>
      </c>
      <c r="E140" s="135">
        <f t="shared" si="40"/>
        <v>5.61</v>
      </c>
      <c r="F140" s="135">
        <f t="shared" si="40"/>
        <v>5.61</v>
      </c>
      <c r="G140" s="135">
        <f t="shared" si="40"/>
        <v>5.61</v>
      </c>
      <c r="H140" s="135">
        <f t="shared" si="40"/>
        <v>5.61</v>
      </c>
      <c r="I140" s="135">
        <f t="shared" si="40"/>
        <v>5.61</v>
      </c>
      <c r="J140" s="135">
        <f t="shared" si="40"/>
        <v>5.61</v>
      </c>
      <c r="K140" s="135">
        <f t="shared" si="40"/>
        <v>5.61</v>
      </c>
      <c r="L140" s="135">
        <f t="shared" si="40"/>
        <v>5.61</v>
      </c>
      <c r="M140" s="135">
        <f t="shared" si="40"/>
        <v>5.61</v>
      </c>
      <c r="N140" s="135">
        <f t="shared" si="40"/>
        <v>5.61</v>
      </c>
      <c r="O140" s="135">
        <f t="shared" si="40"/>
        <v>5.61</v>
      </c>
      <c r="P140" s="135">
        <f t="shared" si="40"/>
        <v>5.61</v>
      </c>
      <c r="Q140" s="135">
        <f t="shared" si="40"/>
        <v>5.61</v>
      </c>
      <c r="R140" s="135">
        <f t="shared" si="40"/>
        <v>5.61</v>
      </c>
      <c r="S140" s="135">
        <f t="shared" si="40"/>
        <v>5.61</v>
      </c>
      <c r="T140" s="135">
        <f t="shared" si="41"/>
        <v>5.61</v>
      </c>
      <c r="U140" s="135">
        <f t="shared" si="41"/>
        <v>5.61</v>
      </c>
      <c r="V140" s="135">
        <f t="shared" si="41"/>
        <v>5.61</v>
      </c>
      <c r="W140" s="135">
        <f t="shared" si="41"/>
        <v>5.61</v>
      </c>
      <c r="X140" s="135">
        <f t="shared" si="41"/>
        <v>5.61</v>
      </c>
      <c r="Y140" s="135">
        <f t="shared" si="41"/>
        <v>5.61</v>
      </c>
      <c r="Z140" s="135">
        <f t="shared" si="41"/>
        <v>5.61</v>
      </c>
      <c r="AA140" s="135">
        <f t="shared" si="41"/>
        <v>5.61</v>
      </c>
      <c r="AB140" s="135">
        <f t="shared" si="41"/>
        <v>5.61</v>
      </c>
      <c r="AC140" s="135">
        <f t="shared" si="41"/>
        <v>5.61</v>
      </c>
      <c r="AD140" s="135">
        <f t="shared" si="41"/>
        <v>5.61</v>
      </c>
      <c r="AE140" s="135">
        <f t="shared" si="41"/>
        <v>5.61</v>
      </c>
      <c r="AF140" s="135">
        <f t="shared" si="41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9"/>
        <v>1.25</v>
      </c>
      <c r="C141" s="136">
        <v>1.25</v>
      </c>
      <c r="D141" s="135">
        <f t="shared" si="40"/>
        <v>1.25</v>
      </c>
      <c r="E141" s="135">
        <f t="shared" si="40"/>
        <v>1.25</v>
      </c>
      <c r="F141" s="135">
        <f t="shared" si="40"/>
        <v>1.25</v>
      </c>
      <c r="G141" s="135">
        <f t="shared" si="40"/>
        <v>1.25</v>
      </c>
      <c r="H141" s="135">
        <f t="shared" si="40"/>
        <v>1.25</v>
      </c>
      <c r="I141" s="135">
        <f t="shared" si="40"/>
        <v>1.25</v>
      </c>
      <c r="J141" s="135">
        <f t="shared" si="40"/>
        <v>1.25</v>
      </c>
      <c r="K141" s="135">
        <f t="shared" si="40"/>
        <v>1.25</v>
      </c>
      <c r="L141" s="135">
        <f t="shared" si="40"/>
        <v>1.25</v>
      </c>
      <c r="M141" s="135">
        <f t="shared" si="40"/>
        <v>1.25</v>
      </c>
      <c r="N141" s="135">
        <f t="shared" si="40"/>
        <v>1.25</v>
      </c>
      <c r="O141" s="135">
        <f t="shared" si="40"/>
        <v>1.25</v>
      </c>
      <c r="P141" s="135">
        <f t="shared" si="40"/>
        <v>1.25</v>
      </c>
      <c r="Q141" s="135">
        <f t="shared" si="40"/>
        <v>1.25</v>
      </c>
      <c r="R141" s="135">
        <f t="shared" si="40"/>
        <v>1.25</v>
      </c>
      <c r="S141" s="135">
        <f t="shared" si="40"/>
        <v>1.25</v>
      </c>
      <c r="T141" s="135">
        <f t="shared" si="41"/>
        <v>1.25</v>
      </c>
      <c r="U141" s="135">
        <f t="shared" si="41"/>
        <v>1.25</v>
      </c>
      <c r="V141" s="135">
        <f t="shared" si="41"/>
        <v>1.25</v>
      </c>
      <c r="W141" s="135">
        <f t="shared" si="41"/>
        <v>1.25</v>
      </c>
      <c r="X141" s="135">
        <f t="shared" si="41"/>
        <v>1.25</v>
      </c>
      <c r="Y141" s="135">
        <f t="shared" si="41"/>
        <v>1.25</v>
      </c>
      <c r="Z141" s="135">
        <f t="shared" si="41"/>
        <v>1.25</v>
      </c>
      <c r="AA141" s="135">
        <f t="shared" si="41"/>
        <v>1.25</v>
      </c>
      <c r="AB141" s="135">
        <f t="shared" si="41"/>
        <v>1.25</v>
      </c>
      <c r="AC141" s="135">
        <f t="shared" si="41"/>
        <v>1.25</v>
      </c>
      <c r="AD141" s="135">
        <f t="shared" si="41"/>
        <v>1.25</v>
      </c>
      <c r="AE141" s="135">
        <f t="shared" si="41"/>
        <v>1.25</v>
      </c>
      <c r="AF141" s="135">
        <f t="shared" si="41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9"/>
        <v>1.25</v>
      </c>
      <c r="C142" s="136">
        <v>1.25</v>
      </c>
      <c r="D142" s="135">
        <f t="shared" si="40"/>
        <v>1.25</v>
      </c>
      <c r="E142" s="135">
        <f t="shared" si="40"/>
        <v>1.25</v>
      </c>
      <c r="F142" s="135">
        <f t="shared" si="40"/>
        <v>1.25</v>
      </c>
      <c r="G142" s="135">
        <f t="shared" si="40"/>
        <v>1.25</v>
      </c>
      <c r="H142" s="135">
        <f t="shared" si="40"/>
        <v>1.25</v>
      </c>
      <c r="I142" s="135">
        <f t="shared" si="40"/>
        <v>1.25</v>
      </c>
      <c r="J142" s="135">
        <f t="shared" si="40"/>
        <v>1.25</v>
      </c>
      <c r="K142" s="135">
        <f t="shared" si="40"/>
        <v>1.25</v>
      </c>
      <c r="L142" s="135">
        <f t="shared" si="40"/>
        <v>1.25</v>
      </c>
      <c r="M142" s="135">
        <f t="shared" si="40"/>
        <v>1.25</v>
      </c>
      <c r="N142" s="135">
        <f t="shared" si="40"/>
        <v>1.25</v>
      </c>
      <c r="O142" s="135">
        <f t="shared" si="40"/>
        <v>1.25</v>
      </c>
      <c r="P142" s="135">
        <f t="shared" si="40"/>
        <v>1.25</v>
      </c>
      <c r="Q142" s="135">
        <f t="shared" si="40"/>
        <v>1.25</v>
      </c>
      <c r="R142" s="135">
        <f t="shared" si="40"/>
        <v>1.25</v>
      </c>
      <c r="S142" s="135">
        <f t="shared" si="40"/>
        <v>1.25</v>
      </c>
      <c r="T142" s="135">
        <f t="shared" si="41"/>
        <v>1.25</v>
      </c>
      <c r="U142" s="135">
        <f t="shared" si="41"/>
        <v>1.25</v>
      </c>
      <c r="V142" s="135">
        <f t="shared" si="41"/>
        <v>1.25</v>
      </c>
      <c r="W142" s="135">
        <f t="shared" si="41"/>
        <v>1.25</v>
      </c>
      <c r="X142" s="135">
        <f t="shared" si="41"/>
        <v>1.25</v>
      </c>
      <c r="Y142" s="135">
        <f t="shared" si="41"/>
        <v>1.25</v>
      </c>
      <c r="Z142" s="135">
        <f t="shared" si="41"/>
        <v>1.25</v>
      </c>
      <c r="AA142" s="135">
        <f t="shared" si="41"/>
        <v>1.25</v>
      </c>
      <c r="AB142" s="135">
        <f t="shared" si="41"/>
        <v>1.25</v>
      </c>
      <c r="AC142" s="135">
        <f t="shared" si="41"/>
        <v>1.25</v>
      </c>
      <c r="AD142" s="135">
        <f t="shared" si="41"/>
        <v>1.25</v>
      </c>
      <c r="AE142" s="135">
        <f t="shared" si="41"/>
        <v>1.25</v>
      </c>
      <c r="AF142" s="135">
        <f t="shared" si="41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9"/>
        <v>1.46</v>
      </c>
      <c r="C143" s="136">
        <v>1.46</v>
      </c>
      <c r="D143" s="135">
        <f t="shared" si="40"/>
        <v>1.46</v>
      </c>
      <c r="E143" s="135">
        <f t="shared" si="40"/>
        <v>1.46</v>
      </c>
      <c r="F143" s="135">
        <f t="shared" si="40"/>
        <v>1.46</v>
      </c>
      <c r="G143" s="135">
        <f t="shared" si="40"/>
        <v>1.46</v>
      </c>
      <c r="H143" s="135">
        <f t="shared" si="40"/>
        <v>1.46</v>
      </c>
      <c r="I143" s="135">
        <f t="shared" si="40"/>
        <v>1.46</v>
      </c>
      <c r="J143" s="135">
        <f t="shared" si="40"/>
        <v>1.46</v>
      </c>
      <c r="K143" s="135">
        <f t="shared" si="40"/>
        <v>1.46</v>
      </c>
      <c r="L143" s="135">
        <f t="shared" si="40"/>
        <v>1.46</v>
      </c>
      <c r="M143" s="135">
        <f t="shared" si="40"/>
        <v>1.46</v>
      </c>
      <c r="N143" s="135">
        <f t="shared" si="40"/>
        <v>1.46</v>
      </c>
      <c r="O143" s="135">
        <f t="shared" si="40"/>
        <v>1.46</v>
      </c>
      <c r="P143" s="135">
        <f t="shared" si="40"/>
        <v>1.46</v>
      </c>
      <c r="Q143" s="135">
        <f t="shared" si="40"/>
        <v>1.46</v>
      </c>
      <c r="R143" s="135">
        <f t="shared" si="40"/>
        <v>1.46</v>
      </c>
      <c r="S143" s="135">
        <f t="shared" si="40"/>
        <v>1.46</v>
      </c>
      <c r="T143" s="135">
        <f t="shared" si="41"/>
        <v>1.46</v>
      </c>
      <c r="U143" s="135">
        <f t="shared" si="41"/>
        <v>1.46</v>
      </c>
      <c r="V143" s="135">
        <f t="shared" si="41"/>
        <v>1.46</v>
      </c>
      <c r="W143" s="135">
        <f t="shared" si="41"/>
        <v>1.46</v>
      </c>
      <c r="X143" s="135">
        <f t="shared" si="41"/>
        <v>1.46</v>
      </c>
      <c r="Y143" s="135">
        <f t="shared" si="41"/>
        <v>1.46</v>
      </c>
      <c r="Z143" s="135">
        <f t="shared" si="41"/>
        <v>1.46</v>
      </c>
      <c r="AA143" s="135">
        <f t="shared" si="41"/>
        <v>1.46</v>
      </c>
      <c r="AB143" s="135">
        <f t="shared" si="41"/>
        <v>1.46</v>
      </c>
      <c r="AC143" s="135">
        <f t="shared" si="41"/>
        <v>1.46</v>
      </c>
      <c r="AD143" s="135">
        <f t="shared" si="41"/>
        <v>1.46</v>
      </c>
      <c r="AE143" s="135">
        <f t="shared" si="41"/>
        <v>1.46</v>
      </c>
      <c r="AF143" s="135">
        <f t="shared" si="41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9"/>
        <v>3</v>
      </c>
      <c r="C144" s="136">
        <v>3</v>
      </c>
      <c r="D144" s="135">
        <f t="shared" si="40"/>
        <v>3</v>
      </c>
      <c r="E144" s="135">
        <f t="shared" si="40"/>
        <v>3</v>
      </c>
      <c r="F144" s="135">
        <f t="shared" si="40"/>
        <v>3</v>
      </c>
      <c r="G144" s="135">
        <f t="shared" si="40"/>
        <v>3</v>
      </c>
      <c r="H144" s="135">
        <f t="shared" si="40"/>
        <v>3</v>
      </c>
      <c r="I144" s="135">
        <f t="shared" si="40"/>
        <v>3</v>
      </c>
      <c r="J144" s="135">
        <f t="shared" si="40"/>
        <v>3</v>
      </c>
      <c r="K144" s="135">
        <f t="shared" si="40"/>
        <v>3</v>
      </c>
      <c r="L144" s="135">
        <f t="shared" si="40"/>
        <v>3</v>
      </c>
      <c r="M144" s="135">
        <f t="shared" si="40"/>
        <v>3</v>
      </c>
      <c r="N144" s="135">
        <f t="shared" si="40"/>
        <v>3</v>
      </c>
      <c r="O144" s="135">
        <f t="shared" si="40"/>
        <v>3</v>
      </c>
      <c r="P144" s="135">
        <f t="shared" si="40"/>
        <v>3</v>
      </c>
      <c r="Q144" s="135">
        <f t="shared" si="40"/>
        <v>3</v>
      </c>
      <c r="R144" s="135">
        <f t="shared" si="40"/>
        <v>3</v>
      </c>
      <c r="S144" s="135">
        <f t="shared" si="40"/>
        <v>3</v>
      </c>
      <c r="T144" s="135">
        <f t="shared" si="41"/>
        <v>3</v>
      </c>
      <c r="U144" s="135">
        <f t="shared" si="41"/>
        <v>3</v>
      </c>
      <c r="V144" s="135">
        <f t="shared" si="41"/>
        <v>3</v>
      </c>
      <c r="W144" s="135">
        <f t="shared" si="41"/>
        <v>3</v>
      </c>
      <c r="X144" s="135">
        <f t="shared" si="41"/>
        <v>3</v>
      </c>
      <c r="Y144" s="135">
        <f t="shared" si="41"/>
        <v>3</v>
      </c>
      <c r="Z144" s="135">
        <f t="shared" si="41"/>
        <v>3</v>
      </c>
      <c r="AA144" s="135">
        <f t="shared" si="41"/>
        <v>3</v>
      </c>
      <c r="AB144" s="135">
        <f t="shared" si="41"/>
        <v>3</v>
      </c>
      <c r="AC144" s="135">
        <f t="shared" si="41"/>
        <v>3</v>
      </c>
      <c r="AD144" s="135">
        <f t="shared" si="41"/>
        <v>3</v>
      </c>
      <c r="AE144" s="135">
        <f t="shared" si="41"/>
        <v>3</v>
      </c>
      <c r="AF144" s="135">
        <f t="shared" si="41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9"/>
        <v>3.3</v>
      </c>
      <c r="C145" s="136">
        <v>3.3</v>
      </c>
      <c r="D145" s="135">
        <f t="shared" si="40"/>
        <v>3.3</v>
      </c>
      <c r="E145" s="135">
        <f t="shared" si="40"/>
        <v>3.3</v>
      </c>
      <c r="F145" s="135">
        <f t="shared" si="40"/>
        <v>3.3</v>
      </c>
      <c r="G145" s="135">
        <f t="shared" si="40"/>
        <v>3.3</v>
      </c>
      <c r="H145" s="135">
        <f t="shared" si="40"/>
        <v>3.3</v>
      </c>
      <c r="I145" s="135">
        <f t="shared" si="40"/>
        <v>3.3</v>
      </c>
      <c r="J145" s="135">
        <f t="shared" si="40"/>
        <v>3.3</v>
      </c>
      <c r="K145" s="135">
        <f t="shared" si="40"/>
        <v>3.3</v>
      </c>
      <c r="L145" s="135">
        <f t="shared" si="40"/>
        <v>3.3</v>
      </c>
      <c r="M145" s="135">
        <f t="shared" si="40"/>
        <v>3.3</v>
      </c>
      <c r="N145" s="135">
        <f t="shared" si="40"/>
        <v>3.3</v>
      </c>
      <c r="O145" s="135">
        <f t="shared" si="40"/>
        <v>3.3</v>
      </c>
      <c r="P145" s="135">
        <f t="shared" si="40"/>
        <v>3.3</v>
      </c>
      <c r="Q145" s="135">
        <f t="shared" si="40"/>
        <v>3.3</v>
      </c>
      <c r="R145" s="135">
        <f t="shared" si="40"/>
        <v>3.3</v>
      </c>
      <c r="S145" s="135">
        <f t="shared" si="40"/>
        <v>3.3</v>
      </c>
      <c r="T145" s="135">
        <f t="shared" si="41"/>
        <v>3.3</v>
      </c>
      <c r="U145" s="135">
        <f t="shared" si="41"/>
        <v>3.3</v>
      </c>
      <c r="V145" s="135">
        <f t="shared" si="41"/>
        <v>3.3</v>
      </c>
      <c r="W145" s="135">
        <f t="shared" si="41"/>
        <v>3.3</v>
      </c>
      <c r="X145" s="135">
        <f t="shared" si="41"/>
        <v>3.3</v>
      </c>
      <c r="Y145" s="135">
        <f t="shared" si="41"/>
        <v>3.3</v>
      </c>
      <c r="Z145" s="135">
        <f t="shared" si="41"/>
        <v>3.3</v>
      </c>
      <c r="AA145" s="135">
        <f t="shared" si="41"/>
        <v>3.3</v>
      </c>
      <c r="AB145" s="135">
        <f t="shared" si="41"/>
        <v>3.3</v>
      </c>
      <c r="AC145" s="135">
        <f t="shared" si="41"/>
        <v>3.3</v>
      </c>
      <c r="AD145" s="135">
        <f t="shared" si="41"/>
        <v>3.3</v>
      </c>
      <c r="AE145" s="135">
        <f t="shared" si="41"/>
        <v>3.3</v>
      </c>
      <c r="AF145" s="135">
        <f t="shared" si="41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2">C147</f>
        <v>1.76</v>
      </c>
      <c r="E147" s="135">
        <f t="shared" si="42"/>
        <v>1.76</v>
      </c>
      <c r="F147" s="135">
        <f t="shared" si="42"/>
        <v>1.76</v>
      </c>
      <c r="G147" s="135">
        <f t="shared" si="42"/>
        <v>1.76</v>
      </c>
      <c r="H147" s="135">
        <f t="shared" si="42"/>
        <v>1.76</v>
      </c>
      <c r="I147" s="135">
        <f t="shared" si="42"/>
        <v>1.76</v>
      </c>
      <c r="J147" s="135">
        <f t="shared" si="42"/>
        <v>1.76</v>
      </c>
      <c r="K147" s="135">
        <f t="shared" si="42"/>
        <v>1.76</v>
      </c>
      <c r="L147" s="135">
        <f t="shared" si="42"/>
        <v>1.76</v>
      </c>
      <c r="M147" s="135">
        <f t="shared" si="42"/>
        <v>1.76</v>
      </c>
      <c r="N147" s="135">
        <f t="shared" si="42"/>
        <v>1.76</v>
      </c>
      <c r="O147" s="135">
        <f t="shared" si="42"/>
        <v>1.76</v>
      </c>
      <c r="P147" s="135">
        <f t="shared" si="42"/>
        <v>1.76</v>
      </c>
      <c r="Q147" s="135">
        <f t="shared" si="42"/>
        <v>1.76</v>
      </c>
      <c r="R147" s="135">
        <f t="shared" si="42"/>
        <v>1.76</v>
      </c>
      <c r="S147" s="135">
        <f t="shared" si="42"/>
        <v>1.76</v>
      </c>
      <c r="T147" s="135">
        <f t="shared" ref="T147:AF148" si="43">S147</f>
        <v>1.76</v>
      </c>
      <c r="U147" s="135">
        <f t="shared" si="43"/>
        <v>1.76</v>
      </c>
      <c r="V147" s="135">
        <f t="shared" si="43"/>
        <v>1.76</v>
      </c>
      <c r="W147" s="135">
        <f t="shared" si="43"/>
        <v>1.76</v>
      </c>
      <c r="X147" s="135">
        <f t="shared" si="43"/>
        <v>1.76</v>
      </c>
      <c r="Y147" s="135">
        <f t="shared" si="43"/>
        <v>1.76</v>
      </c>
      <c r="Z147" s="135">
        <f t="shared" si="43"/>
        <v>1.76</v>
      </c>
      <c r="AA147" s="135">
        <f t="shared" si="43"/>
        <v>1.76</v>
      </c>
      <c r="AB147" s="135">
        <f t="shared" si="43"/>
        <v>1.76</v>
      </c>
      <c r="AC147" s="135">
        <f t="shared" si="43"/>
        <v>1.76</v>
      </c>
      <c r="AD147" s="135">
        <f t="shared" si="43"/>
        <v>1.76</v>
      </c>
      <c r="AE147" s="135">
        <f t="shared" si="43"/>
        <v>1.76</v>
      </c>
      <c r="AF147" s="135">
        <f t="shared" si="43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2"/>
        <v>0</v>
      </c>
      <c r="E148" s="135">
        <f t="shared" si="42"/>
        <v>0</v>
      </c>
      <c r="F148" s="135">
        <f t="shared" si="42"/>
        <v>0</v>
      </c>
      <c r="G148" s="135">
        <f t="shared" si="42"/>
        <v>0</v>
      </c>
      <c r="H148" s="135">
        <f t="shared" si="42"/>
        <v>0</v>
      </c>
      <c r="I148" s="135">
        <f t="shared" si="42"/>
        <v>0</v>
      </c>
      <c r="J148" s="135">
        <f t="shared" si="42"/>
        <v>0</v>
      </c>
      <c r="K148" s="135">
        <f t="shared" si="42"/>
        <v>0</v>
      </c>
      <c r="L148" s="135">
        <f t="shared" si="42"/>
        <v>0</v>
      </c>
      <c r="M148" s="135">
        <f t="shared" si="42"/>
        <v>0</v>
      </c>
      <c r="N148" s="135">
        <f t="shared" si="42"/>
        <v>0</v>
      </c>
      <c r="O148" s="135">
        <f t="shared" si="42"/>
        <v>0</v>
      </c>
      <c r="P148" s="135">
        <f t="shared" si="42"/>
        <v>0</v>
      </c>
      <c r="Q148" s="135">
        <f t="shared" si="42"/>
        <v>0</v>
      </c>
      <c r="R148" s="135">
        <f t="shared" si="42"/>
        <v>0</v>
      </c>
      <c r="S148" s="135">
        <f t="shared" si="42"/>
        <v>0</v>
      </c>
      <c r="T148" s="135">
        <f t="shared" si="43"/>
        <v>0</v>
      </c>
      <c r="U148" s="135">
        <f t="shared" si="43"/>
        <v>0</v>
      </c>
      <c r="V148" s="135">
        <f t="shared" si="43"/>
        <v>0</v>
      </c>
      <c r="W148" s="135">
        <f t="shared" si="43"/>
        <v>0</v>
      </c>
      <c r="X148" s="135">
        <f t="shared" si="43"/>
        <v>0</v>
      </c>
      <c r="Y148" s="135">
        <f t="shared" si="43"/>
        <v>0</v>
      </c>
      <c r="Z148" s="135">
        <f t="shared" si="43"/>
        <v>0</v>
      </c>
      <c r="AA148" s="135">
        <f t="shared" si="43"/>
        <v>0</v>
      </c>
      <c r="AB148" s="135">
        <f t="shared" si="43"/>
        <v>0</v>
      </c>
      <c r="AC148" s="135">
        <f t="shared" si="43"/>
        <v>0</v>
      </c>
      <c r="AD148" s="135">
        <f t="shared" si="43"/>
        <v>0</v>
      </c>
      <c r="AE148" s="135">
        <f t="shared" si="43"/>
        <v>0</v>
      </c>
      <c r="AF148" s="135">
        <f t="shared" si="43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4">C150</f>
        <v>0.1</v>
      </c>
      <c r="E150" s="135">
        <f t="shared" si="44"/>
        <v>0.1</v>
      </c>
      <c r="F150" s="135">
        <f t="shared" si="44"/>
        <v>0.1</v>
      </c>
      <c r="G150" s="135">
        <f t="shared" si="44"/>
        <v>0.1</v>
      </c>
      <c r="H150" s="135">
        <f t="shared" si="44"/>
        <v>0.1</v>
      </c>
      <c r="I150" s="135">
        <f t="shared" si="44"/>
        <v>0.1</v>
      </c>
      <c r="J150" s="135">
        <f t="shared" si="44"/>
        <v>0.1</v>
      </c>
      <c r="K150" s="135">
        <f t="shared" si="44"/>
        <v>0.1</v>
      </c>
      <c r="L150" s="135">
        <f t="shared" si="44"/>
        <v>0.1</v>
      </c>
      <c r="M150" s="135">
        <f t="shared" si="44"/>
        <v>0.1</v>
      </c>
      <c r="N150" s="135">
        <f t="shared" si="44"/>
        <v>0.1</v>
      </c>
      <c r="O150" s="135">
        <f t="shared" si="44"/>
        <v>0.1</v>
      </c>
      <c r="P150" s="135">
        <f t="shared" si="44"/>
        <v>0.1</v>
      </c>
      <c r="Q150" s="135">
        <f t="shared" si="44"/>
        <v>0.1</v>
      </c>
      <c r="R150" s="135">
        <f t="shared" si="44"/>
        <v>0.1</v>
      </c>
      <c r="S150" s="135">
        <f t="shared" si="44"/>
        <v>0.1</v>
      </c>
      <c r="T150" s="135">
        <f t="shared" ref="T150:AF153" si="45">S150</f>
        <v>0.1</v>
      </c>
      <c r="U150" s="135">
        <f t="shared" si="45"/>
        <v>0.1</v>
      </c>
      <c r="V150" s="135">
        <f t="shared" si="45"/>
        <v>0.1</v>
      </c>
      <c r="W150" s="135">
        <f t="shared" si="45"/>
        <v>0.1</v>
      </c>
      <c r="X150" s="135">
        <f t="shared" si="45"/>
        <v>0.1</v>
      </c>
      <c r="Y150" s="135">
        <f t="shared" si="45"/>
        <v>0.1</v>
      </c>
      <c r="Z150" s="135">
        <f t="shared" si="45"/>
        <v>0.1</v>
      </c>
      <c r="AA150" s="135">
        <f t="shared" si="45"/>
        <v>0.1</v>
      </c>
      <c r="AB150" s="135">
        <f t="shared" si="45"/>
        <v>0.1</v>
      </c>
      <c r="AC150" s="135">
        <f t="shared" si="45"/>
        <v>0.1</v>
      </c>
      <c r="AD150" s="135">
        <f t="shared" si="45"/>
        <v>0.1</v>
      </c>
      <c r="AE150" s="135">
        <f t="shared" si="45"/>
        <v>0.1</v>
      </c>
      <c r="AF150" s="135">
        <f t="shared" si="45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4"/>
        <v>2.0499999999999998</v>
      </c>
      <c r="E151" s="135">
        <f t="shared" si="44"/>
        <v>2.0499999999999998</v>
      </c>
      <c r="F151" s="135">
        <f t="shared" si="44"/>
        <v>2.0499999999999998</v>
      </c>
      <c r="G151" s="135">
        <f t="shared" si="44"/>
        <v>2.0499999999999998</v>
      </c>
      <c r="H151" s="135">
        <f t="shared" si="44"/>
        <v>2.0499999999999998</v>
      </c>
      <c r="I151" s="135">
        <f t="shared" si="44"/>
        <v>2.0499999999999998</v>
      </c>
      <c r="J151" s="135">
        <f t="shared" si="44"/>
        <v>2.0499999999999998</v>
      </c>
      <c r="K151" s="135">
        <f t="shared" si="44"/>
        <v>2.0499999999999998</v>
      </c>
      <c r="L151" s="135">
        <f t="shared" si="44"/>
        <v>2.0499999999999998</v>
      </c>
      <c r="M151" s="135">
        <f t="shared" si="44"/>
        <v>2.0499999999999998</v>
      </c>
      <c r="N151" s="135">
        <f t="shared" si="44"/>
        <v>2.0499999999999998</v>
      </c>
      <c r="O151" s="135">
        <f t="shared" si="44"/>
        <v>2.0499999999999998</v>
      </c>
      <c r="P151" s="135">
        <f t="shared" si="44"/>
        <v>2.0499999999999998</v>
      </c>
      <c r="Q151" s="135">
        <f t="shared" si="44"/>
        <v>2.0499999999999998</v>
      </c>
      <c r="R151" s="135">
        <f t="shared" si="44"/>
        <v>2.0499999999999998</v>
      </c>
      <c r="S151" s="135">
        <f t="shared" si="44"/>
        <v>2.0499999999999998</v>
      </c>
      <c r="T151" s="135">
        <f t="shared" si="45"/>
        <v>2.0499999999999998</v>
      </c>
      <c r="U151" s="135">
        <f t="shared" si="45"/>
        <v>2.0499999999999998</v>
      </c>
      <c r="V151" s="135">
        <f t="shared" si="45"/>
        <v>2.0499999999999998</v>
      </c>
      <c r="W151" s="135">
        <f t="shared" si="45"/>
        <v>2.0499999999999998</v>
      </c>
      <c r="X151" s="135">
        <f t="shared" si="45"/>
        <v>2.0499999999999998</v>
      </c>
      <c r="Y151" s="135">
        <f t="shared" si="45"/>
        <v>2.0499999999999998</v>
      </c>
      <c r="Z151" s="135">
        <f t="shared" si="45"/>
        <v>2.0499999999999998</v>
      </c>
      <c r="AA151" s="135">
        <f t="shared" si="45"/>
        <v>2.0499999999999998</v>
      </c>
      <c r="AB151" s="135">
        <f t="shared" si="45"/>
        <v>2.0499999999999998</v>
      </c>
      <c r="AC151" s="135">
        <f t="shared" si="45"/>
        <v>2.0499999999999998</v>
      </c>
      <c r="AD151" s="135">
        <f t="shared" si="45"/>
        <v>2.0499999999999998</v>
      </c>
      <c r="AE151" s="135">
        <f t="shared" si="45"/>
        <v>2.0499999999999998</v>
      </c>
      <c r="AF151" s="135">
        <f t="shared" si="45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4"/>
        <v>2.7</v>
      </c>
      <c r="E152" s="135">
        <f t="shared" si="44"/>
        <v>2.7</v>
      </c>
      <c r="F152" s="135">
        <f t="shared" si="44"/>
        <v>2.7</v>
      </c>
      <c r="G152" s="135">
        <f t="shared" si="44"/>
        <v>2.7</v>
      </c>
      <c r="H152" s="135">
        <f t="shared" si="44"/>
        <v>2.7</v>
      </c>
      <c r="I152" s="135">
        <f t="shared" si="44"/>
        <v>2.7</v>
      </c>
      <c r="J152" s="135">
        <f t="shared" si="44"/>
        <v>2.7</v>
      </c>
      <c r="K152" s="135">
        <f t="shared" si="44"/>
        <v>2.7</v>
      </c>
      <c r="L152" s="135">
        <f t="shared" si="44"/>
        <v>2.7</v>
      </c>
      <c r="M152" s="135">
        <f t="shared" si="44"/>
        <v>2.7</v>
      </c>
      <c r="N152" s="135">
        <f t="shared" si="44"/>
        <v>2.7</v>
      </c>
      <c r="O152" s="135">
        <f t="shared" si="44"/>
        <v>2.7</v>
      </c>
      <c r="P152" s="135">
        <f t="shared" si="44"/>
        <v>2.7</v>
      </c>
      <c r="Q152" s="135">
        <f t="shared" si="44"/>
        <v>2.7</v>
      </c>
      <c r="R152" s="135">
        <f t="shared" si="44"/>
        <v>2.7</v>
      </c>
      <c r="S152" s="135">
        <f t="shared" si="44"/>
        <v>2.7</v>
      </c>
      <c r="T152" s="135">
        <f t="shared" si="45"/>
        <v>2.7</v>
      </c>
      <c r="U152" s="135">
        <f t="shared" si="45"/>
        <v>2.7</v>
      </c>
      <c r="V152" s="135">
        <f t="shared" si="45"/>
        <v>2.7</v>
      </c>
      <c r="W152" s="135">
        <f t="shared" si="45"/>
        <v>2.7</v>
      </c>
      <c r="X152" s="135">
        <f t="shared" si="45"/>
        <v>2.7</v>
      </c>
      <c r="Y152" s="135">
        <f t="shared" si="45"/>
        <v>2.7</v>
      </c>
      <c r="Z152" s="135">
        <f t="shared" si="45"/>
        <v>2.7</v>
      </c>
      <c r="AA152" s="135">
        <f t="shared" si="45"/>
        <v>2.7</v>
      </c>
      <c r="AB152" s="135">
        <f t="shared" si="45"/>
        <v>2.7</v>
      </c>
      <c r="AC152" s="135">
        <f t="shared" si="45"/>
        <v>2.7</v>
      </c>
      <c r="AD152" s="135">
        <f t="shared" si="45"/>
        <v>2.7</v>
      </c>
      <c r="AE152" s="135">
        <f t="shared" si="45"/>
        <v>2.7</v>
      </c>
      <c r="AF152" s="135">
        <f t="shared" si="45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4"/>
        <v>2.15</v>
      </c>
      <c r="E153" s="135">
        <f t="shared" si="44"/>
        <v>2.15</v>
      </c>
      <c r="F153" s="135">
        <f t="shared" si="44"/>
        <v>2.15</v>
      </c>
      <c r="G153" s="135">
        <f t="shared" si="44"/>
        <v>2.15</v>
      </c>
      <c r="H153" s="135">
        <f t="shared" si="44"/>
        <v>2.15</v>
      </c>
      <c r="I153" s="135">
        <f t="shared" si="44"/>
        <v>2.15</v>
      </c>
      <c r="J153" s="135">
        <f t="shared" si="44"/>
        <v>2.15</v>
      </c>
      <c r="K153" s="135">
        <f t="shared" si="44"/>
        <v>2.15</v>
      </c>
      <c r="L153" s="135">
        <f t="shared" si="44"/>
        <v>2.15</v>
      </c>
      <c r="M153" s="135">
        <f t="shared" si="44"/>
        <v>2.15</v>
      </c>
      <c r="N153" s="135">
        <f t="shared" si="44"/>
        <v>2.15</v>
      </c>
      <c r="O153" s="135">
        <f t="shared" si="44"/>
        <v>2.15</v>
      </c>
      <c r="P153" s="135">
        <f t="shared" si="44"/>
        <v>2.15</v>
      </c>
      <c r="Q153" s="135">
        <f t="shared" si="44"/>
        <v>2.15</v>
      </c>
      <c r="R153" s="135">
        <f t="shared" si="44"/>
        <v>2.15</v>
      </c>
      <c r="S153" s="135">
        <f t="shared" si="44"/>
        <v>2.15</v>
      </c>
      <c r="T153" s="135">
        <f t="shared" si="45"/>
        <v>2.15</v>
      </c>
      <c r="U153" s="135">
        <f t="shared" si="45"/>
        <v>2.15</v>
      </c>
      <c r="V153" s="135">
        <f t="shared" si="45"/>
        <v>2.15</v>
      </c>
      <c r="W153" s="135">
        <f t="shared" si="45"/>
        <v>2.15</v>
      </c>
      <c r="X153" s="135">
        <f t="shared" si="45"/>
        <v>2.15</v>
      </c>
      <c r="Y153" s="135">
        <f t="shared" si="45"/>
        <v>2.15</v>
      </c>
      <c r="Z153" s="135">
        <f t="shared" si="45"/>
        <v>2.15</v>
      </c>
      <c r="AA153" s="135">
        <f t="shared" si="45"/>
        <v>2.15</v>
      </c>
      <c r="AB153" s="135">
        <f t="shared" si="45"/>
        <v>2.15</v>
      </c>
      <c r="AC153" s="135">
        <f t="shared" si="45"/>
        <v>2.15</v>
      </c>
      <c r="AD153" s="135">
        <f t="shared" si="45"/>
        <v>2.15</v>
      </c>
      <c r="AE153" s="135">
        <f t="shared" si="45"/>
        <v>2.15</v>
      </c>
      <c r="AF153" s="135">
        <f t="shared" si="45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6">AF155</f>
        <v>0.9</v>
      </c>
      <c r="C155" s="136">
        <v>0.9</v>
      </c>
      <c r="D155" s="135">
        <f t="shared" ref="D155:S167" si="47">C155</f>
        <v>0.9</v>
      </c>
      <c r="E155" s="135">
        <f t="shared" si="47"/>
        <v>0.9</v>
      </c>
      <c r="F155" s="135">
        <f t="shared" si="47"/>
        <v>0.9</v>
      </c>
      <c r="G155" s="135">
        <f t="shared" si="47"/>
        <v>0.9</v>
      </c>
      <c r="H155" s="135">
        <f t="shared" si="47"/>
        <v>0.9</v>
      </c>
      <c r="I155" s="135">
        <f t="shared" si="47"/>
        <v>0.9</v>
      </c>
      <c r="J155" s="135">
        <f t="shared" si="47"/>
        <v>0.9</v>
      </c>
      <c r="K155" s="135">
        <f t="shared" si="47"/>
        <v>0.9</v>
      </c>
      <c r="L155" s="135">
        <f t="shared" si="47"/>
        <v>0.9</v>
      </c>
      <c r="M155" s="135">
        <f t="shared" si="47"/>
        <v>0.9</v>
      </c>
      <c r="N155" s="135">
        <f t="shared" si="47"/>
        <v>0.9</v>
      </c>
      <c r="O155" s="135">
        <f t="shared" si="47"/>
        <v>0.9</v>
      </c>
      <c r="P155" s="135">
        <f t="shared" si="47"/>
        <v>0.9</v>
      </c>
      <c r="Q155" s="135">
        <f t="shared" si="47"/>
        <v>0.9</v>
      </c>
      <c r="R155" s="135">
        <f t="shared" si="47"/>
        <v>0.9</v>
      </c>
      <c r="S155" s="135">
        <f t="shared" si="47"/>
        <v>0.9</v>
      </c>
      <c r="T155" s="135">
        <f t="shared" ref="S155:AF167" si="48">S155</f>
        <v>0.9</v>
      </c>
      <c r="U155" s="135">
        <f t="shared" si="48"/>
        <v>0.9</v>
      </c>
      <c r="V155" s="135">
        <f t="shared" si="48"/>
        <v>0.9</v>
      </c>
      <c r="W155" s="135">
        <f t="shared" si="48"/>
        <v>0.9</v>
      </c>
      <c r="X155" s="135">
        <f t="shared" si="48"/>
        <v>0.9</v>
      </c>
      <c r="Y155" s="135">
        <f t="shared" si="48"/>
        <v>0.9</v>
      </c>
      <c r="Z155" s="135">
        <f t="shared" si="48"/>
        <v>0.9</v>
      </c>
      <c r="AA155" s="135">
        <f t="shared" si="48"/>
        <v>0.9</v>
      </c>
      <c r="AB155" s="135">
        <f t="shared" si="48"/>
        <v>0.9</v>
      </c>
      <c r="AC155" s="135">
        <f t="shared" si="48"/>
        <v>0.9</v>
      </c>
      <c r="AD155" s="135">
        <f t="shared" si="48"/>
        <v>0.9</v>
      </c>
      <c r="AE155" s="135">
        <f t="shared" si="48"/>
        <v>0.9</v>
      </c>
      <c r="AF155" s="135">
        <f t="shared" si="48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6"/>
        <v>1.08</v>
      </c>
      <c r="C156" s="136">
        <v>1.08</v>
      </c>
      <c r="D156" s="135">
        <f t="shared" si="47"/>
        <v>1.08</v>
      </c>
      <c r="E156" s="135">
        <f t="shared" si="47"/>
        <v>1.08</v>
      </c>
      <c r="F156" s="135">
        <f t="shared" si="47"/>
        <v>1.08</v>
      </c>
      <c r="G156" s="135">
        <f t="shared" si="47"/>
        <v>1.08</v>
      </c>
      <c r="H156" s="135">
        <f t="shared" si="47"/>
        <v>1.08</v>
      </c>
      <c r="I156" s="135">
        <f t="shared" si="47"/>
        <v>1.08</v>
      </c>
      <c r="J156" s="135">
        <f t="shared" si="47"/>
        <v>1.08</v>
      </c>
      <c r="K156" s="135">
        <f t="shared" si="47"/>
        <v>1.08</v>
      </c>
      <c r="L156" s="135">
        <f t="shared" si="47"/>
        <v>1.08</v>
      </c>
      <c r="M156" s="135">
        <f t="shared" si="47"/>
        <v>1.08</v>
      </c>
      <c r="N156" s="135">
        <f t="shared" si="47"/>
        <v>1.08</v>
      </c>
      <c r="O156" s="135">
        <f t="shared" si="47"/>
        <v>1.08</v>
      </c>
      <c r="P156" s="135">
        <f t="shared" si="47"/>
        <v>1.08</v>
      </c>
      <c r="Q156" s="135">
        <f t="shared" si="47"/>
        <v>1.08</v>
      </c>
      <c r="R156" s="135">
        <f t="shared" si="47"/>
        <v>1.08</v>
      </c>
      <c r="S156" s="135">
        <f t="shared" si="47"/>
        <v>1.08</v>
      </c>
      <c r="T156" s="135">
        <f t="shared" si="48"/>
        <v>1.08</v>
      </c>
      <c r="U156" s="135">
        <f t="shared" si="48"/>
        <v>1.08</v>
      </c>
      <c r="V156" s="135">
        <f t="shared" si="48"/>
        <v>1.08</v>
      </c>
      <c r="W156" s="135">
        <f t="shared" si="48"/>
        <v>1.08</v>
      </c>
      <c r="X156" s="135">
        <f t="shared" si="48"/>
        <v>1.08</v>
      </c>
      <c r="Y156" s="135">
        <f t="shared" si="48"/>
        <v>1.08</v>
      </c>
      <c r="Z156" s="135">
        <f t="shared" si="48"/>
        <v>1.08</v>
      </c>
      <c r="AA156" s="135">
        <f t="shared" si="48"/>
        <v>1.08</v>
      </c>
      <c r="AB156" s="135">
        <f t="shared" si="48"/>
        <v>1.08</v>
      </c>
      <c r="AC156" s="135">
        <f t="shared" si="48"/>
        <v>1.08</v>
      </c>
      <c r="AD156" s="135">
        <f t="shared" si="48"/>
        <v>1.08</v>
      </c>
      <c r="AE156" s="135">
        <f t="shared" si="48"/>
        <v>1.08</v>
      </c>
      <c r="AF156" s="135">
        <f t="shared" si="48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6"/>
        <v>2.37</v>
      </c>
      <c r="C157" s="136">
        <v>2.37</v>
      </c>
      <c r="D157" s="135">
        <f t="shared" si="47"/>
        <v>2.37</v>
      </c>
      <c r="E157" s="135">
        <f t="shared" si="47"/>
        <v>2.37</v>
      </c>
      <c r="F157" s="135">
        <f t="shared" si="47"/>
        <v>2.37</v>
      </c>
      <c r="G157" s="135">
        <f t="shared" si="47"/>
        <v>2.37</v>
      </c>
      <c r="H157" s="135">
        <f t="shared" si="47"/>
        <v>2.37</v>
      </c>
      <c r="I157" s="135">
        <f t="shared" si="47"/>
        <v>2.37</v>
      </c>
      <c r="J157" s="135">
        <f t="shared" si="47"/>
        <v>2.37</v>
      </c>
      <c r="K157" s="135">
        <f t="shared" si="47"/>
        <v>2.37</v>
      </c>
      <c r="L157" s="135">
        <f t="shared" si="47"/>
        <v>2.37</v>
      </c>
      <c r="M157" s="135">
        <f t="shared" si="47"/>
        <v>2.37</v>
      </c>
      <c r="N157" s="135">
        <f t="shared" si="47"/>
        <v>2.37</v>
      </c>
      <c r="O157" s="135">
        <f t="shared" si="47"/>
        <v>2.37</v>
      </c>
      <c r="P157" s="135">
        <f t="shared" si="47"/>
        <v>2.37</v>
      </c>
      <c r="Q157" s="135">
        <f t="shared" si="47"/>
        <v>2.37</v>
      </c>
      <c r="R157" s="135">
        <f t="shared" si="47"/>
        <v>2.37</v>
      </c>
      <c r="S157" s="135">
        <f t="shared" si="47"/>
        <v>2.37</v>
      </c>
      <c r="T157" s="135">
        <f t="shared" si="48"/>
        <v>2.37</v>
      </c>
      <c r="U157" s="135">
        <f t="shared" si="48"/>
        <v>2.37</v>
      </c>
      <c r="V157" s="135">
        <f t="shared" si="48"/>
        <v>2.37</v>
      </c>
      <c r="W157" s="135">
        <f t="shared" si="48"/>
        <v>2.37</v>
      </c>
      <c r="X157" s="135">
        <f t="shared" si="48"/>
        <v>2.37</v>
      </c>
      <c r="Y157" s="135">
        <f t="shared" si="48"/>
        <v>2.37</v>
      </c>
      <c r="Z157" s="135">
        <f t="shared" si="48"/>
        <v>2.37</v>
      </c>
      <c r="AA157" s="135">
        <f t="shared" si="48"/>
        <v>2.37</v>
      </c>
      <c r="AB157" s="135">
        <f t="shared" si="48"/>
        <v>2.37</v>
      </c>
      <c r="AC157" s="135">
        <f t="shared" si="48"/>
        <v>2.37</v>
      </c>
      <c r="AD157" s="135">
        <f t="shared" si="48"/>
        <v>2.37</v>
      </c>
      <c r="AE157" s="135">
        <f t="shared" si="48"/>
        <v>2.37</v>
      </c>
      <c r="AF157" s="135">
        <f t="shared" si="48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6"/>
        <v>1.81</v>
      </c>
      <c r="C158" s="136">
        <v>1.81</v>
      </c>
      <c r="D158" s="135">
        <f t="shared" si="47"/>
        <v>1.81</v>
      </c>
      <c r="E158" s="135">
        <f t="shared" si="47"/>
        <v>1.81</v>
      </c>
      <c r="F158" s="135">
        <f t="shared" si="47"/>
        <v>1.81</v>
      </c>
      <c r="G158" s="135">
        <f t="shared" si="47"/>
        <v>1.81</v>
      </c>
      <c r="H158" s="135">
        <f t="shared" si="47"/>
        <v>1.81</v>
      </c>
      <c r="I158" s="135">
        <f t="shared" si="47"/>
        <v>1.81</v>
      </c>
      <c r="J158" s="135">
        <f t="shared" si="47"/>
        <v>1.81</v>
      </c>
      <c r="K158" s="135">
        <f t="shared" si="47"/>
        <v>1.81</v>
      </c>
      <c r="L158" s="135">
        <f t="shared" si="47"/>
        <v>1.81</v>
      </c>
      <c r="M158" s="135">
        <f t="shared" si="47"/>
        <v>1.81</v>
      </c>
      <c r="N158" s="135">
        <f t="shared" si="47"/>
        <v>1.81</v>
      </c>
      <c r="O158" s="135">
        <f t="shared" si="47"/>
        <v>1.81</v>
      </c>
      <c r="P158" s="135">
        <f t="shared" si="47"/>
        <v>1.81</v>
      </c>
      <c r="Q158" s="135">
        <f t="shared" si="47"/>
        <v>1.81</v>
      </c>
      <c r="R158" s="135">
        <f t="shared" si="47"/>
        <v>1.81</v>
      </c>
      <c r="S158" s="135">
        <f t="shared" si="47"/>
        <v>1.81</v>
      </c>
      <c r="T158" s="135">
        <f t="shared" si="48"/>
        <v>1.81</v>
      </c>
      <c r="U158" s="135">
        <f t="shared" si="48"/>
        <v>1.81</v>
      </c>
      <c r="V158" s="135">
        <f t="shared" si="48"/>
        <v>1.81</v>
      </c>
      <c r="W158" s="135">
        <f t="shared" si="48"/>
        <v>1.81</v>
      </c>
      <c r="X158" s="135">
        <f t="shared" si="48"/>
        <v>1.81</v>
      </c>
      <c r="Y158" s="135">
        <f t="shared" si="48"/>
        <v>1.81</v>
      </c>
      <c r="Z158" s="135">
        <f t="shared" si="48"/>
        <v>1.81</v>
      </c>
      <c r="AA158" s="135">
        <f t="shared" si="48"/>
        <v>1.81</v>
      </c>
      <c r="AB158" s="135">
        <f t="shared" si="48"/>
        <v>1.81</v>
      </c>
      <c r="AC158" s="135">
        <f t="shared" si="48"/>
        <v>1.81</v>
      </c>
      <c r="AD158" s="135">
        <f t="shared" si="48"/>
        <v>1.81</v>
      </c>
      <c r="AE158" s="135">
        <f t="shared" si="48"/>
        <v>1.81</v>
      </c>
      <c r="AF158" s="135">
        <f t="shared" si="48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6"/>
        <v>1.0900000000000001</v>
      </c>
      <c r="C159" s="136">
        <v>1.0900000000000001</v>
      </c>
      <c r="D159" s="135">
        <f t="shared" si="47"/>
        <v>1.0900000000000001</v>
      </c>
      <c r="E159" s="135">
        <f t="shared" si="47"/>
        <v>1.0900000000000001</v>
      </c>
      <c r="F159" s="135">
        <f t="shared" si="47"/>
        <v>1.0900000000000001</v>
      </c>
      <c r="G159" s="135">
        <f t="shared" si="47"/>
        <v>1.0900000000000001</v>
      </c>
      <c r="H159" s="135">
        <f t="shared" si="47"/>
        <v>1.0900000000000001</v>
      </c>
      <c r="I159" s="135">
        <f t="shared" si="47"/>
        <v>1.0900000000000001</v>
      </c>
      <c r="J159" s="135">
        <f t="shared" si="47"/>
        <v>1.0900000000000001</v>
      </c>
      <c r="K159" s="135">
        <f t="shared" si="47"/>
        <v>1.0900000000000001</v>
      </c>
      <c r="L159" s="135">
        <f t="shared" si="47"/>
        <v>1.0900000000000001</v>
      </c>
      <c r="M159" s="135">
        <f t="shared" si="47"/>
        <v>1.0900000000000001</v>
      </c>
      <c r="N159" s="135">
        <f t="shared" si="47"/>
        <v>1.0900000000000001</v>
      </c>
      <c r="O159" s="135">
        <f t="shared" si="47"/>
        <v>1.0900000000000001</v>
      </c>
      <c r="P159" s="135">
        <f t="shared" si="47"/>
        <v>1.0900000000000001</v>
      </c>
      <c r="Q159" s="135">
        <f t="shared" si="47"/>
        <v>1.0900000000000001</v>
      </c>
      <c r="R159" s="135">
        <f t="shared" si="47"/>
        <v>1.0900000000000001</v>
      </c>
      <c r="S159" s="135">
        <f t="shared" si="47"/>
        <v>1.0900000000000001</v>
      </c>
      <c r="T159" s="135">
        <f t="shared" si="48"/>
        <v>1.0900000000000001</v>
      </c>
      <c r="U159" s="135">
        <f t="shared" si="48"/>
        <v>1.0900000000000001</v>
      </c>
      <c r="V159" s="135">
        <f t="shared" si="48"/>
        <v>1.0900000000000001</v>
      </c>
      <c r="W159" s="135">
        <f t="shared" si="48"/>
        <v>1.0900000000000001</v>
      </c>
      <c r="X159" s="135">
        <f t="shared" si="48"/>
        <v>1.0900000000000001</v>
      </c>
      <c r="Y159" s="135">
        <f t="shared" si="48"/>
        <v>1.0900000000000001</v>
      </c>
      <c r="Z159" s="135">
        <f t="shared" si="48"/>
        <v>1.0900000000000001</v>
      </c>
      <c r="AA159" s="135">
        <f t="shared" si="48"/>
        <v>1.0900000000000001</v>
      </c>
      <c r="AB159" s="135">
        <f t="shared" si="48"/>
        <v>1.0900000000000001</v>
      </c>
      <c r="AC159" s="135">
        <f t="shared" si="48"/>
        <v>1.0900000000000001</v>
      </c>
      <c r="AD159" s="135">
        <f t="shared" si="48"/>
        <v>1.0900000000000001</v>
      </c>
      <c r="AE159" s="135">
        <f t="shared" si="48"/>
        <v>1.0900000000000001</v>
      </c>
      <c r="AF159" s="135">
        <f t="shared" si="48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6"/>
        <v>1.58</v>
      </c>
      <c r="C160" s="136">
        <v>1.58</v>
      </c>
      <c r="D160" s="135">
        <f t="shared" si="47"/>
        <v>1.58</v>
      </c>
      <c r="E160" s="135">
        <f t="shared" si="47"/>
        <v>1.58</v>
      </c>
      <c r="F160" s="135">
        <f t="shared" si="47"/>
        <v>1.58</v>
      </c>
      <c r="G160" s="135">
        <f t="shared" si="47"/>
        <v>1.58</v>
      </c>
      <c r="H160" s="135">
        <f t="shared" si="47"/>
        <v>1.58</v>
      </c>
      <c r="I160" s="135">
        <f t="shared" si="47"/>
        <v>1.58</v>
      </c>
      <c r="J160" s="135">
        <f t="shared" si="47"/>
        <v>1.58</v>
      </c>
      <c r="K160" s="135">
        <f t="shared" si="47"/>
        <v>1.58</v>
      </c>
      <c r="L160" s="135">
        <f t="shared" si="47"/>
        <v>1.58</v>
      </c>
      <c r="M160" s="135">
        <f t="shared" si="47"/>
        <v>1.58</v>
      </c>
      <c r="N160" s="135">
        <f t="shared" si="47"/>
        <v>1.58</v>
      </c>
      <c r="O160" s="135">
        <f t="shared" si="47"/>
        <v>1.58</v>
      </c>
      <c r="P160" s="135">
        <f t="shared" si="47"/>
        <v>1.58</v>
      </c>
      <c r="Q160" s="135">
        <f t="shared" si="47"/>
        <v>1.58</v>
      </c>
      <c r="R160" s="135">
        <f t="shared" si="47"/>
        <v>1.58</v>
      </c>
      <c r="S160" s="135">
        <f t="shared" si="47"/>
        <v>1.58</v>
      </c>
      <c r="T160" s="135">
        <f t="shared" si="48"/>
        <v>1.58</v>
      </c>
      <c r="U160" s="135">
        <f t="shared" si="48"/>
        <v>1.58</v>
      </c>
      <c r="V160" s="135">
        <f t="shared" si="48"/>
        <v>1.58</v>
      </c>
      <c r="W160" s="135">
        <f t="shared" si="48"/>
        <v>1.58</v>
      </c>
      <c r="X160" s="135">
        <f t="shared" si="48"/>
        <v>1.58</v>
      </c>
      <c r="Y160" s="135">
        <f t="shared" si="48"/>
        <v>1.58</v>
      </c>
      <c r="Z160" s="135">
        <f t="shared" si="48"/>
        <v>1.58</v>
      </c>
      <c r="AA160" s="135">
        <f t="shared" si="48"/>
        <v>1.58</v>
      </c>
      <c r="AB160" s="135">
        <f t="shared" si="48"/>
        <v>1.58</v>
      </c>
      <c r="AC160" s="135">
        <f t="shared" si="48"/>
        <v>1.58</v>
      </c>
      <c r="AD160" s="135">
        <f t="shared" si="48"/>
        <v>1.58</v>
      </c>
      <c r="AE160" s="135">
        <f t="shared" si="48"/>
        <v>1.58</v>
      </c>
      <c r="AF160" s="135">
        <f t="shared" si="48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6"/>
        <v>2</v>
      </c>
      <c r="C161" s="136">
        <v>2</v>
      </c>
      <c r="D161" s="135">
        <f t="shared" si="47"/>
        <v>2</v>
      </c>
      <c r="E161" s="135">
        <f t="shared" si="47"/>
        <v>2</v>
      </c>
      <c r="F161" s="135">
        <f t="shared" si="47"/>
        <v>2</v>
      </c>
      <c r="G161" s="135">
        <f t="shared" si="47"/>
        <v>2</v>
      </c>
      <c r="H161" s="135">
        <f t="shared" si="47"/>
        <v>2</v>
      </c>
      <c r="I161" s="135">
        <f t="shared" si="47"/>
        <v>2</v>
      </c>
      <c r="J161" s="135">
        <f t="shared" si="47"/>
        <v>2</v>
      </c>
      <c r="K161" s="135">
        <f t="shared" si="47"/>
        <v>2</v>
      </c>
      <c r="L161" s="135">
        <f t="shared" si="47"/>
        <v>2</v>
      </c>
      <c r="M161" s="135">
        <f t="shared" si="47"/>
        <v>2</v>
      </c>
      <c r="N161" s="135">
        <f t="shared" si="47"/>
        <v>2</v>
      </c>
      <c r="O161" s="135">
        <f t="shared" si="47"/>
        <v>2</v>
      </c>
      <c r="P161" s="135">
        <f t="shared" si="47"/>
        <v>2</v>
      </c>
      <c r="Q161" s="135">
        <f t="shared" si="47"/>
        <v>2</v>
      </c>
      <c r="R161" s="135">
        <f t="shared" si="47"/>
        <v>2</v>
      </c>
      <c r="S161" s="135">
        <f t="shared" si="47"/>
        <v>2</v>
      </c>
      <c r="T161" s="135">
        <f t="shared" si="48"/>
        <v>2</v>
      </c>
      <c r="U161" s="135">
        <f t="shared" si="48"/>
        <v>2</v>
      </c>
      <c r="V161" s="135">
        <f t="shared" si="48"/>
        <v>2</v>
      </c>
      <c r="W161" s="135">
        <f t="shared" si="48"/>
        <v>2</v>
      </c>
      <c r="X161" s="135">
        <f t="shared" si="48"/>
        <v>2</v>
      </c>
      <c r="Y161" s="135">
        <f t="shared" si="48"/>
        <v>2</v>
      </c>
      <c r="Z161" s="135">
        <f t="shared" si="48"/>
        <v>2</v>
      </c>
      <c r="AA161" s="135">
        <f t="shared" si="48"/>
        <v>2</v>
      </c>
      <c r="AB161" s="135">
        <f t="shared" si="48"/>
        <v>2</v>
      </c>
      <c r="AC161" s="135">
        <f t="shared" si="48"/>
        <v>2</v>
      </c>
      <c r="AD161" s="135">
        <f t="shared" si="48"/>
        <v>2</v>
      </c>
      <c r="AE161" s="135">
        <f t="shared" si="48"/>
        <v>2</v>
      </c>
      <c r="AF161" s="135">
        <f t="shared" si="48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6"/>
        <v>0.47</v>
      </c>
      <c r="C162" s="136">
        <v>0.47</v>
      </c>
      <c r="D162" s="135">
        <f t="shared" si="47"/>
        <v>0.47</v>
      </c>
      <c r="E162" s="135">
        <f t="shared" si="47"/>
        <v>0.47</v>
      </c>
      <c r="F162" s="135">
        <f t="shared" si="47"/>
        <v>0.47</v>
      </c>
      <c r="G162" s="135">
        <f t="shared" si="47"/>
        <v>0.47</v>
      </c>
      <c r="H162" s="135">
        <f t="shared" si="47"/>
        <v>0.47</v>
      </c>
      <c r="I162" s="135">
        <f t="shared" si="47"/>
        <v>0.47</v>
      </c>
      <c r="J162" s="135">
        <f t="shared" si="47"/>
        <v>0.47</v>
      </c>
      <c r="K162" s="135">
        <f t="shared" si="47"/>
        <v>0.47</v>
      </c>
      <c r="L162" s="135">
        <f t="shared" si="47"/>
        <v>0.47</v>
      </c>
      <c r="M162" s="135">
        <f t="shared" si="47"/>
        <v>0.47</v>
      </c>
      <c r="N162" s="135">
        <f t="shared" si="47"/>
        <v>0.47</v>
      </c>
      <c r="O162" s="135">
        <f t="shared" si="47"/>
        <v>0.47</v>
      </c>
      <c r="P162" s="135">
        <f t="shared" si="47"/>
        <v>0.47</v>
      </c>
      <c r="Q162" s="135">
        <f t="shared" si="47"/>
        <v>0.47</v>
      </c>
      <c r="R162" s="135">
        <f t="shared" si="47"/>
        <v>0.47</v>
      </c>
      <c r="S162" s="135">
        <f t="shared" si="47"/>
        <v>0.47</v>
      </c>
      <c r="T162" s="135">
        <f t="shared" si="48"/>
        <v>0.47</v>
      </c>
      <c r="U162" s="135">
        <f t="shared" si="48"/>
        <v>0.47</v>
      </c>
      <c r="V162" s="135">
        <f t="shared" si="48"/>
        <v>0.47</v>
      </c>
      <c r="W162" s="135">
        <f t="shared" si="48"/>
        <v>0.47</v>
      </c>
      <c r="X162" s="135">
        <f t="shared" si="48"/>
        <v>0.47</v>
      </c>
      <c r="Y162" s="135">
        <f t="shared" si="48"/>
        <v>0.47</v>
      </c>
      <c r="Z162" s="135">
        <f t="shared" si="48"/>
        <v>0.47</v>
      </c>
      <c r="AA162" s="135">
        <f t="shared" si="48"/>
        <v>0.47</v>
      </c>
      <c r="AB162" s="135">
        <f t="shared" si="48"/>
        <v>0.47</v>
      </c>
      <c r="AC162" s="135">
        <f t="shared" si="48"/>
        <v>0.47</v>
      </c>
      <c r="AD162" s="135">
        <f t="shared" si="48"/>
        <v>0.47</v>
      </c>
      <c r="AE162" s="135">
        <f t="shared" si="48"/>
        <v>0.47</v>
      </c>
      <c r="AF162" s="135">
        <f t="shared" si="48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6"/>
        <v>0</v>
      </c>
      <c r="C163" s="136">
        <v>0</v>
      </c>
      <c r="D163" s="135">
        <f t="shared" si="47"/>
        <v>0</v>
      </c>
      <c r="E163" s="135">
        <f t="shared" si="47"/>
        <v>0</v>
      </c>
      <c r="F163" s="135">
        <f t="shared" si="47"/>
        <v>0</v>
      </c>
      <c r="G163" s="135">
        <f t="shared" si="47"/>
        <v>0</v>
      </c>
      <c r="H163" s="135">
        <f t="shared" si="47"/>
        <v>0</v>
      </c>
      <c r="I163" s="135">
        <f t="shared" si="47"/>
        <v>0</v>
      </c>
      <c r="J163" s="135">
        <f t="shared" si="47"/>
        <v>0</v>
      </c>
      <c r="K163" s="135">
        <f t="shared" si="47"/>
        <v>0</v>
      </c>
      <c r="L163" s="135">
        <f t="shared" si="47"/>
        <v>0</v>
      </c>
      <c r="M163" s="135">
        <f t="shared" si="47"/>
        <v>0</v>
      </c>
      <c r="N163" s="135">
        <f t="shared" si="47"/>
        <v>0</v>
      </c>
      <c r="O163" s="135">
        <f t="shared" si="47"/>
        <v>0</v>
      </c>
      <c r="P163" s="135">
        <f t="shared" si="47"/>
        <v>0</v>
      </c>
      <c r="Q163" s="135">
        <f t="shared" si="47"/>
        <v>0</v>
      </c>
      <c r="R163" s="135">
        <f t="shared" si="47"/>
        <v>0</v>
      </c>
      <c r="S163" s="135">
        <f t="shared" si="47"/>
        <v>0</v>
      </c>
      <c r="T163" s="135">
        <f t="shared" si="48"/>
        <v>0</v>
      </c>
      <c r="U163" s="135">
        <f t="shared" si="48"/>
        <v>0</v>
      </c>
      <c r="V163" s="135">
        <f t="shared" si="48"/>
        <v>0</v>
      </c>
      <c r="W163" s="135">
        <f t="shared" si="48"/>
        <v>0</v>
      </c>
      <c r="X163" s="135">
        <f t="shared" si="48"/>
        <v>0</v>
      </c>
      <c r="Y163" s="135">
        <f t="shared" si="48"/>
        <v>0</v>
      </c>
      <c r="Z163" s="135">
        <f t="shared" si="48"/>
        <v>0</v>
      </c>
      <c r="AA163" s="135">
        <f t="shared" si="48"/>
        <v>0</v>
      </c>
      <c r="AB163" s="135">
        <f t="shared" si="48"/>
        <v>0</v>
      </c>
      <c r="AC163" s="135">
        <f t="shared" si="48"/>
        <v>0</v>
      </c>
      <c r="AD163" s="135">
        <f t="shared" si="48"/>
        <v>0</v>
      </c>
      <c r="AE163" s="135">
        <f t="shared" si="48"/>
        <v>0</v>
      </c>
      <c r="AF163" s="135">
        <f t="shared" si="48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6"/>
        <v>0</v>
      </c>
      <c r="C164" s="136">
        <v>0</v>
      </c>
      <c r="D164" s="135">
        <f t="shared" si="47"/>
        <v>0</v>
      </c>
      <c r="E164" s="135">
        <f t="shared" si="47"/>
        <v>0</v>
      </c>
      <c r="F164" s="135">
        <f t="shared" si="47"/>
        <v>0</v>
      </c>
      <c r="G164" s="135">
        <f t="shared" si="47"/>
        <v>0</v>
      </c>
      <c r="H164" s="135">
        <f t="shared" si="47"/>
        <v>0</v>
      </c>
      <c r="I164" s="135">
        <f t="shared" si="47"/>
        <v>0</v>
      </c>
      <c r="J164" s="135">
        <f t="shared" si="47"/>
        <v>0</v>
      </c>
      <c r="K164" s="135">
        <f t="shared" si="47"/>
        <v>0</v>
      </c>
      <c r="L164" s="135">
        <f t="shared" si="47"/>
        <v>0</v>
      </c>
      <c r="M164" s="135">
        <f t="shared" si="47"/>
        <v>0</v>
      </c>
      <c r="N164" s="135">
        <f t="shared" si="47"/>
        <v>0</v>
      </c>
      <c r="O164" s="135">
        <f t="shared" si="47"/>
        <v>0</v>
      </c>
      <c r="P164" s="135">
        <f t="shared" si="47"/>
        <v>0</v>
      </c>
      <c r="Q164" s="135">
        <f t="shared" si="47"/>
        <v>0</v>
      </c>
      <c r="R164" s="135">
        <f t="shared" si="47"/>
        <v>0</v>
      </c>
      <c r="S164" s="135">
        <f t="shared" si="48"/>
        <v>0</v>
      </c>
      <c r="T164" s="135">
        <f t="shared" si="48"/>
        <v>0</v>
      </c>
      <c r="U164" s="135">
        <f t="shared" si="48"/>
        <v>0</v>
      </c>
      <c r="V164" s="135">
        <f t="shared" si="48"/>
        <v>0</v>
      </c>
      <c r="W164" s="135">
        <f t="shared" si="48"/>
        <v>0</v>
      </c>
      <c r="X164" s="135">
        <f t="shared" si="48"/>
        <v>0</v>
      </c>
      <c r="Y164" s="135">
        <f t="shared" si="48"/>
        <v>0</v>
      </c>
      <c r="Z164" s="135">
        <f t="shared" si="48"/>
        <v>0</v>
      </c>
      <c r="AA164" s="135">
        <f t="shared" si="48"/>
        <v>0</v>
      </c>
      <c r="AB164" s="135">
        <f t="shared" si="48"/>
        <v>0</v>
      </c>
      <c r="AC164" s="135">
        <f t="shared" si="48"/>
        <v>0</v>
      </c>
      <c r="AD164" s="135">
        <f t="shared" si="48"/>
        <v>0</v>
      </c>
      <c r="AE164" s="135">
        <f t="shared" si="48"/>
        <v>0</v>
      </c>
      <c r="AF164" s="135">
        <f t="shared" si="48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6"/>
        <v>0.8</v>
      </c>
      <c r="C165" s="136">
        <v>0.8</v>
      </c>
      <c r="D165" s="135">
        <f t="shared" si="47"/>
        <v>0.8</v>
      </c>
      <c r="E165" s="135">
        <f t="shared" si="47"/>
        <v>0.8</v>
      </c>
      <c r="F165" s="135">
        <f t="shared" si="47"/>
        <v>0.8</v>
      </c>
      <c r="G165" s="135">
        <f t="shared" si="47"/>
        <v>0.8</v>
      </c>
      <c r="H165" s="135">
        <f t="shared" si="47"/>
        <v>0.8</v>
      </c>
      <c r="I165" s="135">
        <f t="shared" si="47"/>
        <v>0.8</v>
      </c>
      <c r="J165" s="135">
        <f t="shared" si="47"/>
        <v>0.8</v>
      </c>
      <c r="K165" s="135">
        <f t="shared" si="47"/>
        <v>0.8</v>
      </c>
      <c r="L165" s="135">
        <f t="shared" si="47"/>
        <v>0.8</v>
      </c>
      <c r="M165" s="135">
        <f t="shared" si="47"/>
        <v>0.8</v>
      </c>
      <c r="N165" s="135">
        <f t="shared" si="47"/>
        <v>0.8</v>
      </c>
      <c r="O165" s="135">
        <f t="shared" si="47"/>
        <v>0.8</v>
      </c>
      <c r="P165" s="135">
        <f t="shared" si="47"/>
        <v>0.8</v>
      </c>
      <c r="Q165" s="135">
        <f t="shared" si="47"/>
        <v>0.8</v>
      </c>
      <c r="R165" s="135">
        <f t="shared" si="47"/>
        <v>0.8</v>
      </c>
      <c r="S165" s="135">
        <f t="shared" si="48"/>
        <v>0.8</v>
      </c>
      <c r="T165" s="135">
        <f t="shared" si="48"/>
        <v>0.8</v>
      </c>
      <c r="U165" s="135">
        <f t="shared" si="48"/>
        <v>0.8</v>
      </c>
      <c r="V165" s="135">
        <f t="shared" si="48"/>
        <v>0.8</v>
      </c>
      <c r="W165" s="135">
        <f t="shared" si="48"/>
        <v>0.8</v>
      </c>
      <c r="X165" s="135">
        <f t="shared" si="48"/>
        <v>0.8</v>
      </c>
      <c r="Y165" s="135">
        <f t="shared" si="48"/>
        <v>0.8</v>
      </c>
      <c r="Z165" s="135">
        <f t="shared" si="48"/>
        <v>0.8</v>
      </c>
      <c r="AA165" s="135">
        <f t="shared" si="48"/>
        <v>0.8</v>
      </c>
      <c r="AB165" s="135">
        <f t="shared" si="48"/>
        <v>0.8</v>
      </c>
      <c r="AC165" s="135">
        <f t="shared" si="48"/>
        <v>0.8</v>
      </c>
      <c r="AD165" s="135">
        <f t="shared" si="48"/>
        <v>0.8</v>
      </c>
      <c r="AE165" s="135">
        <f t="shared" si="48"/>
        <v>0.8</v>
      </c>
      <c r="AF165" s="135">
        <f t="shared" si="48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6"/>
        <v>1.5</v>
      </c>
      <c r="C166" s="136">
        <v>1.5</v>
      </c>
      <c r="D166" s="135">
        <f t="shared" si="47"/>
        <v>1.5</v>
      </c>
      <c r="E166" s="135">
        <f t="shared" si="47"/>
        <v>1.5</v>
      </c>
      <c r="F166" s="135">
        <f t="shared" si="47"/>
        <v>1.5</v>
      </c>
      <c r="G166" s="135">
        <f t="shared" si="47"/>
        <v>1.5</v>
      </c>
      <c r="H166" s="135">
        <f t="shared" si="47"/>
        <v>1.5</v>
      </c>
      <c r="I166" s="135">
        <f t="shared" si="47"/>
        <v>1.5</v>
      </c>
      <c r="J166" s="135">
        <f t="shared" si="47"/>
        <v>1.5</v>
      </c>
      <c r="K166" s="135">
        <f t="shared" si="47"/>
        <v>1.5</v>
      </c>
      <c r="L166" s="135">
        <f t="shared" si="47"/>
        <v>1.5</v>
      </c>
      <c r="M166" s="135">
        <f t="shared" si="47"/>
        <v>1.5</v>
      </c>
      <c r="N166" s="135">
        <f t="shared" si="47"/>
        <v>1.5</v>
      </c>
      <c r="O166" s="135">
        <f t="shared" si="47"/>
        <v>1.5</v>
      </c>
      <c r="P166" s="135">
        <f t="shared" si="47"/>
        <v>1.5</v>
      </c>
      <c r="Q166" s="135">
        <f t="shared" si="47"/>
        <v>1.5</v>
      </c>
      <c r="R166" s="135">
        <f t="shared" si="47"/>
        <v>1.5</v>
      </c>
      <c r="S166" s="135">
        <f t="shared" si="48"/>
        <v>1.5</v>
      </c>
      <c r="T166" s="135">
        <f t="shared" si="48"/>
        <v>1.5</v>
      </c>
      <c r="U166" s="135">
        <f t="shared" si="48"/>
        <v>1.5</v>
      </c>
      <c r="V166" s="135">
        <f t="shared" si="48"/>
        <v>1.5</v>
      </c>
      <c r="W166" s="135">
        <f t="shared" si="48"/>
        <v>1.5</v>
      </c>
      <c r="X166" s="135">
        <f t="shared" si="48"/>
        <v>1.5</v>
      </c>
      <c r="Y166" s="135">
        <f t="shared" si="48"/>
        <v>1.5</v>
      </c>
      <c r="Z166" s="135">
        <f t="shared" si="48"/>
        <v>1.5</v>
      </c>
      <c r="AA166" s="135">
        <f t="shared" si="48"/>
        <v>1.5</v>
      </c>
      <c r="AB166" s="135">
        <f t="shared" si="48"/>
        <v>1.5</v>
      </c>
      <c r="AC166" s="135">
        <f t="shared" si="48"/>
        <v>1.5</v>
      </c>
      <c r="AD166" s="135">
        <f t="shared" si="48"/>
        <v>1.5</v>
      </c>
      <c r="AE166" s="135">
        <f t="shared" si="48"/>
        <v>1.5</v>
      </c>
      <c r="AF166" s="135">
        <f t="shared" si="48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6"/>
        <v>1</v>
      </c>
      <c r="C167" s="136">
        <v>1</v>
      </c>
      <c r="D167" s="135">
        <f t="shared" si="47"/>
        <v>1</v>
      </c>
      <c r="E167" s="135">
        <f t="shared" si="47"/>
        <v>1</v>
      </c>
      <c r="F167" s="135">
        <f t="shared" si="47"/>
        <v>1</v>
      </c>
      <c r="G167" s="135">
        <f t="shared" si="47"/>
        <v>1</v>
      </c>
      <c r="H167" s="135">
        <f t="shared" si="47"/>
        <v>1</v>
      </c>
      <c r="I167" s="135">
        <f t="shared" si="47"/>
        <v>1</v>
      </c>
      <c r="J167" s="135">
        <f t="shared" si="47"/>
        <v>1</v>
      </c>
      <c r="K167" s="135">
        <f t="shared" si="47"/>
        <v>1</v>
      </c>
      <c r="L167" s="135">
        <f t="shared" si="47"/>
        <v>1</v>
      </c>
      <c r="M167" s="135">
        <f t="shared" si="47"/>
        <v>1</v>
      </c>
      <c r="N167" s="135">
        <f t="shared" si="47"/>
        <v>1</v>
      </c>
      <c r="O167" s="135">
        <f t="shared" si="47"/>
        <v>1</v>
      </c>
      <c r="P167" s="135">
        <f t="shared" si="47"/>
        <v>1</v>
      </c>
      <c r="Q167" s="135">
        <f t="shared" si="47"/>
        <v>1</v>
      </c>
      <c r="R167" s="135">
        <f t="shared" si="47"/>
        <v>1</v>
      </c>
      <c r="S167" s="135">
        <f t="shared" si="48"/>
        <v>1</v>
      </c>
      <c r="T167" s="135">
        <f t="shared" si="48"/>
        <v>1</v>
      </c>
      <c r="U167" s="135">
        <f t="shared" si="48"/>
        <v>1</v>
      </c>
      <c r="V167" s="135">
        <f t="shared" si="48"/>
        <v>1</v>
      </c>
      <c r="W167" s="135">
        <f t="shared" si="48"/>
        <v>1</v>
      </c>
      <c r="X167" s="135">
        <f t="shared" si="48"/>
        <v>1</v>
      </c>
      <c r="Y167" s="135">
        <f t="shared" si="48"/>
        <v>1</v>
      </c>
      <c r="Z167" s="135">
        <f t="shared" si="48"/>
        <v>1</v>
      </c>
      <c r="AA167" s="135">
        <f t="shared" si="48"/>
        <v>1</v>
      </c>
      <c r="AB167" s="135">
        <f t="shared" si="48"/>
        <v>1</v>
      </c>
      <c r="AC167" s="135">
        <f t="shared" si="48"/>
        <v>1</v>
      </c>
      <c r="AD167" s="135">
        <f t="shared" si="48"/>
        <v>1</v>
      </c>
      <c r="AE167" s="135">
        <f t="shared" si="48"/>
        <v>1</v>
      </c>
      <c r="AF167" s="135">
        <f t="shared" si="48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9">AF169</f>
        <v>1</v>
      </c>
      <c r="C169" s="136">
        <v>1</v>
      </c>
      <c r="D169" s="135">
        <f t="shared" ref="D169:S176" si="50">C169</f>
        <v>1</v>
      </c>
      <c r="E169" s="135">
        <f t="shared" si="50"/>
        <v>1</v>
      </c>
      <c r="F169" s="135">
        <f t="shared" si="50"/>
        <v>1</v>
      </c>
      <c r="G169" s="135">
        <f t="shared" si="50"/>
        <v>1</v>
      </c>
      <c r="H169" s="135">
        <f t="shared" si="50"/>
        <v>1</v>
      </c>
      <c r="I169" s="135">
        <f t="shared" si="50"/>
        <v>1</v>
      </c>
      <c r="J169" s="135">
        <f t="shared" si="50"/>
        <v>1</v>
      </c>
      <c r="K169" s="135">
        <f t="shared" si="50"/>
        <v>1</v>
      </c>
      <c r="L169" s="135">
        <f t="shared" si="50"/>
        <v>1</v>
      </c>
      <c r="M169" s="135">
        <f t="shared" si="50"/>
        <v>1</v>
      </c>
      <c r="N169" s="135">
        <f t="shared" si="50"/>
        <v>1</v>
      </c>
      <c r="O169" s="135">
        <f t="shared" si="50"/>
        <v>1</v>
      </c>
      <c r="P169" s="135">
        <f t="shared" si="50"/>
        <v>1</v>
      </c>
      <c r="Q169" s="135">
        <f t="shared" si="50"/>
        <v>1</v>
      </c>
      <c r="R169" s="135">
        <f t="shared" si="50"/>
        <v>1</v>
      </c>
      <c r="S169" s="135">
        <f t="shared" si="50"/>
        <v>1</v>
      </c>
      <c r="T169" s="135">
        <f t="shared" ref="S169:AF176" si="51">S169</f>
        <v>1</v>
      </c>
      <c r="U169" s="135">
        <f t="shared" si="51"/>
        <v>1</v>
      </c>
      <c r="V169" s="135">
        <f t="shared" si="51"/>
        <v>1</v>
      </c>
      <c r="W169" s="135">
        <f t="shared" si="51"/>
        <v>1</v>
      </c>
      <c r="X169" s="135">
        <f t="shared" si="51"/>
        <v>1</v>
      </c>
      <c r="Y169" s="135">
        <f t="shared" si="51"/>
        <v>1</v>
      </c>
      <c r="Z169" s="135">
        <f t="shared" si="51"/>
        <v>1</v>
      </c>
      <c r="AA169" s="135">
        <f t="shared" si="51"/>
        <v>1</v>
      </c>
      <c r="AB169" s="135">
        <f t="shared" si="51"/>
        <v>1</v>
      </c>
      <c r="AC169" s="135">
        <f t="shared" si="51"/>
        <v>1</v>
      </c>
      <c r="AD169" s="135">
        <f t="shared" si="51"/>
        <v>1</v>
      </c>
      <c r="AE169" s="135">
        <f t="shared" si="51"/>
        <v>1</v>
      </c>
      <c r="AF169" s="135">
        <f t="shared" si="51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9"/>
        <v>0.42</v>
      </c>
      <c r="C170" s="136">
        <v>0.42</v>
      </c>
      <c r="D170" s="135">
        <f t="shared" si="50"/>
        <v>0.42</v>
      </c>
      <c r="E170" s="135">
        <f t="shared" si="50"/>
        <v>0.42</v>
      </c>
      <c r="F170" s="135">
        <f t="shared" si="50"/>
        <v>0.42</v>
      </c>
      <c r="G170" s="135">
        <f t="shared" si="50"/>
        <v>0.42</v>
      </c>
      <c r="H170" s="135">
        <f t="shared" si="50"/>
        <v>0.42</v>
      </c>
      <c r="I170" s="135">
        <f t="shared" si="50"/>
        <v>0.42</v>
      </c>
      <c r="J170" s="135">
        <f t="shared" si="50"/>
        <v>0.42</v>
      </c>
      <c r="K170" s="135">
        <f t="shared" si="50"/>
        <v>0.42</v>
      </c>
      <c r="L170" s="135">
        <f t="shared" si="50"/>
        <v>0.42</v>
      </c>
      <c r="M170" s="135">
        <f t="shared" si="50"/>
        <v>0.42</v>
      </c>
      <c r="N170" s="135">
        <f t="shared" si="50"/>
        <v>0.42</v>
      </c>
      <c r="O170" s="135">
        <f t="shared" si="50"/>
        <v>0.42</v>
      </c>
      <c r="P170" s="135">
        <f t="shared" si="50"/>
        <v>0.42</v>
      </c>
      <c r="Q170" s="135">
        <f t="shared" si="50"/>
        <v>0.42</v>
      </c>
      <c r="R170" s="135">
        <f t="shared" si="50"/>
        <v>0.42</v>
      </c>
      <c r="S170" s="135">
        <f t="shared" si="51"/>
        <v>0.42</v>
      </c>
      <c r="T170" s="135">
        <f t="shared" si="51"/>
        <v>0.42</v>
      </c>
      <c r="U170" s="135">
        <f t="shared" si="51"/>
        <v>0.42</v>
      </c>
      <c r="V170" s="135">
        <f t="shared" si="51"/>
        <v>0.42</v>
      </c>
      <c r="W170" s="135">
        <f t="shared" si="51"/>
        <v>0.42</v>
      </c>
      <c r="X170" s="135">
        <f t="shared" si="51"/>
        <v>0.42</v>
      </c>
      <c r="Y170" s="135">
        <f t="shared" si="51"/>
        <v>0.42</v>
      </c>
      <c r="Z170" s="135">
        <f t="shared" si="51"/>
        <v>0.42</v>
      </c>
      <c r="AA170" s="135">
        <f t="shared" si="51"/>
        <v>0.42</v>
      </c>
      <c r="AB170" s="135">
        <f t="shared" si="51"/>
        <v>0.42</v>
      </c>
      <c r="AC170" s="135">
        <f t="shared" si="51"/>
        <v>0.42</v>
      </c>
      <c r="AD170" s="135">
        <f t="shared" si="51"/>
        <v>0.42</v>
      </c>
      <c r="AE170" s="135">
        <f t="shared" si="51"/>
        <v>0.42</v>
      </c>
      <c r="AF170" s="135">
        <f t="shared" si="51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9"/>
        <v>0.46</v>
      </c>
      <c r="C171" s="136">
        <v>0.46</v>
      </c>
      <c r="D171" s="135">
        <f t="shared" si="50"/>
        <v>0.46</v>
      </c>
      <c r="E171" s="135">
        <f t="shared" si="50"/>
        <v>0.46</v>
      </c>
      <c r="F171" s="135">
        <f t="shared" si="50"/>
        <v>0.46</v>
      </c>
      <c r="G171" s="135">
        <f t="shared" si="50"/>
        <v>0.46</v>
      </c>
      <c r="H171" s="135">
        <f t="shared" si="50"/>
        <v>0.46</v>
      </c>
      <c r="I171" s="135">
        <f t="shared" si="50"/>
        <v>0.46</v>
      </c>
      <c r="J171" s="135">
        <f t="shared" si="50"/>
        <v>0.46</v>
      </c>
      <c r="K171" s="135">
        <f t="shared" si="50"/>
        <v>0.46</v>
      </c>
      <c r="L171" s="135">
        <f t="shared" si="50"/>
        <v>0.46</v>
      </c>
      <c r="M171" s="135">
        <f t="shared" si="50"/>
        <v>0.46</v>
      </c>
      <c r="N171" s="135">
        <f t="shared" si="50"/>
        <v>0.46</v>
      </c>
      <c r="O171" s="135">
        <f t="shared" si="50"/>
        <v>0.46</v>
      </c>
      <c r="P171" s="135">
        <f t="shared" si="50"/>
        <v>0.46</v>
      </c>
      <c r="Q171" s="135">
        <f t="shared" si="50"/>
        <v>0.46</v>
      </c>
      <c r="R171" s="135">
        <f t="shared" si="50"/>
        <v>0.46</v>
      </c>
      <c r="S171" s="135">
        <f t="shared" si="51"/>
        <v>0.46</v>
      </c>
      <c r="T171" s="135">
        <f t="shared" si="51"/>
        <v>0.46</v>
      </c>
      <c r="U171" s="135">
        <f t="shared" si="51"/>
        <v>0.46</v>
      </c>
      <c r="V171" s="135">
        <f t="shared" si="51"/>
        <v>0.46</v>
      </c>
      <c r="W171" s="135">
        <f t="shared" si="51"/>
        <v>0.46</v>
      </c>
      <c r="X171" s="135">
        <f t="shared" si="51"/>
        <v>0.46</v>
      </c>
      <c r="Y171" s="135">
        <f t="shared" si="51"/>
        <v>0.46</v>
      </c>
      <c r="Z171" s="135">
        <f t="shared" si="51"/>
        <v>0.46</v>
      </c>
      <c r="AA171" s="135">
        <f t="shared" si="51"/>
        <v>0.46</v>
      </c>
      <c r="AB171" s="135">
        <f t="shared" si="51"/>
        <v>0.46</v>
      </c>
      <c r="AC171" s="135">
        <f t="shared" si="51"/>
        <v>0.46</v>
      </c>
      <c r="AD171" s="135">
        <f t="shared" si="51"/>
        <v>0.46</v>
      </c>
      <c r="AE171" s="135">
        <f t="shared" si="51"/>
        <v>0.46</v>
      </c>
      <c r="AF171" s="135">
        <f t="shared" si="51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9"/>
        <v>0.85</v>
      </c>
      <c r="C172" s="136">
        <v>0.85</v>
      </c>
      <c r="D172" s="135">
        <f t="shared" si="50"/>
        <v>0.85</v>
      </c>
      <c r="E172" s="135">
        <f t="shared" si="50"/>
        <v>0.85</v>
      </c>
      <c r="F172" s="135">
        <f t="shared" si="50"/>
        <v>0.85</v>
      </c>
      <c r="G172" s="135">
        <f t="shared" si="50"/>
        <v>0.85</v>
      </c>
      <c r="H172" s="135">
        <f t="shared" si="50"/>
        <v>0.85</v>
      </c>
      <c r="I172" s="135">
        <f t="shared" si="50"/>
        <v>0.85</v>
      </c>
      <c r="J172" s="135">
        <f t="shared" si="50"/>
        <v>0.85</v>
      </c>
      <c r="K172" s="135">
        <f t="shared" si="50"/>
        <v>0.85</v>
      </c>
      <c r="L172" s="135">
        <f t="shared" si="50"/>
        <v>0.85</v>
      </c>
      <c r="M172" s="135">
        <f t="shared" si="50"/>
        <v>0.85</v>
      </c>
      <c r="N172" s="135">
        <f t="shared" si="50"/>
        <v>0.85</v>
      </c>
      <c r="O172" s="135">
        <f t="shared" si="50"/>
        <v>0.85</v>
      </c>
      <c r="P172" s="135">
        <f t="shared" si="50"/>
        <v>0.85</v>
      </c>
      <c r="Q172" s="135">
        <f t="shared" si="50"/>
        <v>0.85</v>
      </c>
      <c r="R172" s="135">
        <f t="shared" si="50"/>
        <v>0.85</v>
      </c>
      <c r="S172" s="135">
        <f t="shared" si="51"/>
        <v>0.85</v>
      </c>
      <c r="T172" s="135">
        <f t="shared" si="51"/>
        <v>0.85</v>
      </c>
      <c r="U172" s="135">
        <f t="shared" si="51"/>
        <v>0.85</v>
      </c>
      <c r="V172" s="135">
        <f t="shared" si="51"/>
        <v>0.85</v>
      </c>
      <c r="W172" s="135">
        <f t="shared" si="51"/>
        <v>0.85</v>
      </c>
      <c r="X172" s="135">
        <f t="shared" si="51"/>
        <v>0.85</v>
      </c>
      <c r="Y172" s="135">
        <f t="shared" si="51"/>
        <v>0.85</v>
      </c>
      <c r="Z172" s="135">
        <f t="shared" si="51"/>
        <v>0.85</v>
      </c>
      <c r="AA172" s="135">
        <f t="shared" si="51"/>
        <v>0.85</v>
      </c>
      <c r="AB172" s="135">
        <f t="shared" si="51"/>
        <v>0.85</v>
      </c>
      <c r="AC172" s="135">
        <f t="shared" si="51"/>
        <v>0.85</v>
      </c>
      <c r="AD172" s="135">
        <f t="shared" si="51"/>
        <v>0.85</v>
      </c>
      <c r="AE172" s="135">
        <f t="shared" si="51"/>
        <v>0.85</v>
      </c>
      <c r="AF172" s="135">
        <f t="shared" si="51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9"/>
        <v>0.9</v>
      </c>
      <c r="C173" s="136">
        <v>0.9</v>
      </c>
      <c r="D173" s="135">
        <f t="shared" si="50"/>
        <v>0.9</v>
      </c>
      <c r="E173" s="135">
        <f t="shared" si="50"/>
        <v>0.9</v>
      </c>
      <c r="F173" s="135">
        <f t="shared" si="50"/>
        <v>0.9</v>
      </c>
      <c r="G173" s="135">
        <f t="shared" si="50"/>
        <v>0.9</v>
      </c>
      <c r="H173" s="135">
        <f t="shared" si="50"/>
        <v>0.9</v>
      </c>
      <c r="I173" s="135">
        <f t="shared" si="50"/>
        <v>0.9</v>
      </c>
      <c r="J173" s="135">
        <f t="shared" si="50"/>
        <v>0.9</v>
      </c>
      <c r="K173" s="135">
        <f t="shared" si="50"/>
        <v>0.9</v>
      </c>
      <c r="L173" s="135">
        <f t="shared" si="50"/>
        <v>0.9</v>
      </c>
      <c r="M173" s="135">
        <f t="shared" si="50"/>
        <v>0.9</v>
      </c>
      <c r="N173" s="135">
        <f t="shared" si="50"/>
        <v>0.9</v>
      </c>
      <c r="O173" s="135">
        <f t="shared" si="50"/>
        <v>0.9</v>
      </c>
      <c r="P173" s="135">
        <f t="shared" si="50"/>
        <v>0.9</v>
      </c>
      <c r="Q173" s="135">
        <f t="shared" si="50"/>
        <v>0.9</v>
      </c>
      <c r="R173" s="135">
        <f t="shared" si="50"/>
        <v>0.9</v>
      </c>
      <c r="S173" s="135">
        <f t="shared" si="51"/>
        <v>0.9</v>
      </c>
      <c r="T173" s="135">
        <f t="shared" si="51"/>
        <v>0.9</v>
      </c>
      <c r="U173" s="135">
        <f t="shared" si="51"/>
        <v>0.9</v>
      </c>
      <c r="V173" s="135">
        <f t="shared" si="51"/>
        <v>0.9</v>
      </c>
      <c r="W173" s="135">
        <f t="shared" si="51"/>
        <v>0.9</v>
      </c>
      <c r="X173" s="135">
        <f t="shared" si="51"/>
        <v>0.9</v>
      </c>
      <c r="Y173" s="135">
        <f t="shared" si="51"/>
        <v>0.9</v>
      </c>
      <c r="Z173" s="135">
        <f t="shared" si="51"/>
        <v>0.9</v>
      </c>
      <c r="AA173" s="135">
        <f t="shared" si="51"/>
        <v>0.9</v>
      </c>
      <c r="AB173" s="135">
        <f t="shared" si="51"/>
        <v>0.9</v>
      </c>
      <c r="AC173" s="135">
        <f t="shared" si="51"/>
        <v>0.9</v>
      </c>
      <c r="AD173" s="135">
        <f t="shared" si="51"/>
        <v>0.9</v>
      </c>
      <c r="AE173" s="135">
        <f t="shared" si="51"/>
        <v>0.9</v>
      </c>
      <c r="AF173" s="135">
        <f t="shared" si="51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9"/>
        <v>0.44</v>
      </c>
      <c r="C174" s="136">
        <v>0.44</v>
      </c>
      <c r="D174" s="135">
        <f t="shared" si="50"/>
        <v>0.44</v>
      </c>
      <c r="E174" s="135">
        <f t="shared" si="50"/>
        <v>0.44</v>
      </c>
      <c r="F174" s="135">
        <f t="shared" si="50"/>
        <v>0.44</v>
      </c>
      <c r="G174" s="135">
        <f t="shared" si="50"/>
        <v>0.44</v>
      </c>
      <c r="H174" s="135">
        <f t="shared" si="50"/>
        <v>0.44</v>
      </c>
      <c r="I174" s="135">
        <f t="shared" si="50"/>
        <v>0.44</v>
      </c>
      <c r="J174" s="135">
        <f t="shared" si="50"/>
        <v>0.44</v>
      </c>
      <c r="K174" s="135">
        <f t="shared" si="50"/>
        <v>0.44</v>
      </c>
      <c r="L174" s="135">
        <f t="shared" si="50"/>
        <v>0.44</v>
      </c>
      <c r="M174" s="135">
        <f t="shared" si="50"/>
        <v>0.44</v>
      </c>
      <c r="N174" s="135">
        <f t="shared" si="50"/>
        <v>0.44</v>
      </c>
      <c r="O174" s="135">
        <f t="shared" si="50"/>
        <v>0.44</v>
      </c>
      <c r="P174" s="135">
        <f t="shared" si="50"/>
        <v>0.44</v>
      </c>
      <c r="Q174" s="135">
        <f t="shared" si="50"/>
        <v>0.44</v>
      </c>
      <c r="R174" s="135">
        <f t="shared" si="50"/>
        <v>0.44</v>
      </c>
      <c r="S174" s="135">
        <f t="shared" si="51"/>
        <v>0.44</v>
      </c>
      <c r="T174" s="135">
        <f t="shared" si="51"/>
        <v>0.44</v>
      </c>
      <c r="U174" s="135">
        <f t="shared" si="51"/>
        <v>0.44</v>
      </c>
      <c r="V174" s="135">
        <f t="shared" si="51"/>
        <v>0.44</v>
      </c>
      <c r="W174" s="135">
        <f t="shared" si="51"/>
        <v>0.44</v>
      </c>
      <c r="X174" s="135">
        <f t="shared" si="51"/>
        <v>0.44</v>
      </c>
      <c r="Y174" s="135">
        <f t="shared" si="51"/>
        <v>0.44</v>
      </c>
      <c r="Z174" s="135">
        <f t="shared" si="51"/>
        <v>0.44</v>
      </c>
      <c r="AA174" s="135">
        <f t="shared" si="51"/>
        <v>0.44</v>
      </c>
      <c r="AB174" s="135">
        <f t="shared" si="51"/>
        <v>0.44</v>
      </c>
      <c r="AC174" s="135">
        <f t="shared" si="51"/>
        <v>0.44</v>
      </c>
      <c r="AD174" s="135">
        <f t="shared" si="51"/>
        <v>0.44</v>
      </c>
      <c r="AE174" s="135">
        <f t="shared" si="51"/>
        <v>0.44</v>
      </c>
      <c r="AF174" s="135">
        <f t="shared" si="51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9"/>
        <v>2.1</v>
      </c>
      <c r="C175" s="136">
        <v>2.1</v>
      </c>
      <c r="D175" s="135">
        <f t="shared" si="50"/>
        <v>2.1</v>
      </c>
      <c r="E175" s="135">
        <f t="shared" si="50"/>
        <v>2.1</v>
      </c>
      <c r="F175" s="135">
        <f t="shared" si="50"/>
        <v>2.1</v>
      </c>
      <c r="G175" s="135">
        <f t="shared" si="50"/>
        <v>2.1</v>
      </c>
      <c r="H175" s="135">
        <f t="shared" si="50"/>
        <v>2.1</v>
      </c>
      <c r="I175" s="135">
        <f t="shared" si="50"/>
        <v>2.1</v>
      </c>
      <c r="J175" s="135">
        <f t="shared" si="50"/>
        <v>2.1</v>
      </c>
      <c r="K175" s="135">
        <f t="shared" si="50"/>
        <v>2.1</v>
      </c>
      <c r="L175" s="135">
        <f t="shared" si="50"/>
        <v>2.1</v>
      </c>
      <c r="M175" s="135">
        <f t="shared" si="50"/>
        <v>2.1</v>
      </c>
      <c r="N175" s="135">
        <f t="shared" si="50"/>
        <v>2.1</v>
      </c>
      <c r="O175" s="135">
        <f t="shared" si="50"/>
        <v>2.1</v>
      </c>
      <c r="P175" s="135">
        <f t="shared" si="50"/>
        <v>2.1</v>
      </c>
      <c r="Q175" s="135">
        <f t="shared" si="50"/>
        <v>2.1</v>
      </c>
      <c r="R175" s="135">
        <f t="shared" si="50"/>
        <v>2.1</v>
      </c>
      <c r="S175" s="135">
        <f t="shared" si="51"/>
        <v>2.1</v>
      </c>
      <c r="T175" s="135">
        <f t="shared" si="51"/>
        <v>2.1</v>
      </c>
      <c r="U175" s="135">
        <f t="shared" si="51"/>
        <v>2.1</v>
      </c>
      <c r="V175" s="135">
        <f t="shared" si="51"/>
        <v>2.1</v>
      </c>
      <c r="W175" s="135">
        <f t="shared" si="51"/>
        <v>2.1</v>
      </c>
      <c r="X175" s="135">
        <f t="shared" si="51"/>
        <v>2.1</v>
      </c>
      <c r="Y175" s="135">
        <f t="shared" si="51"/>
        <v>2.1</v>
      </c>
      <c r="Z175" s="135">
        <f t="shared" si="51"/>
        <v>2.1</v>
      </c>
      <c r="AA175" s="135">
        <f t="shared" si="51"/>
        <v>2.1</v>
      </c>
      <c r="AB175" s="135">
        <f t="shared" si="51"/>
        <v>2.1</v>
      </c>
      <c r="AC175" s="135">
        <f t="shared" si="51"/>
        <v>2.1</v>
      </c>
      <c r="AD175" s="135">
        <f t="shared" si="51"/>
        <v>2.1</v>
      </c>
      <c r="AE175" s="135">
        <f t="shared" si="51"/>
        <v>2.1</v>
      </c>
      <c r="AF175" s="135">
        <f t="shared" si="51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9"/>
        <v>0.9</v>
      </c>
      <c r="C176" s="136">
        <v>0.9</v>
      </c>
      <c r="D176" s="135">
        <f t="shared" si="50"/>
        <v>0.9</v>
      </c>
      <c r="E176" s="135">
        <f t="shared" si="50"/>
        <v>0.9</v>
      </c>
      <c r="F176" s="135">
        <f t="shared" si="50"/>
        <v>0.9</v>
      </c>
      <c r="G176" s="135">
        <f t="shared" si="50"/>
        <v>0.9</v>
      </c>
      <c r="H176" s="135">
        <f t="shared" si="50"/>
        <v>0.9</v>
      </c>
      <c r="I176" s="135">
        <f t="shared" si="50"/>
        <v>0.9</v>
      </c>
      <c r="J176" s="135">
        <f t="shared" si="50"/>
        <v>0.9</v>
      </c>
      <c r="K176" s="135">
        <f t="shared" si="50"/>
        <v>0.9</v>
      </c>
      <c r="L176" s="135">
        <f t="shared" si="50"/>
        <v>0.9</v>
      </c>
      <c r="M176" s="135">
        <f t="shared" si="50"/>
        <v>0.9</v>
      </c>
      <c r="N176" s="135">
        <f t="shared" si="50"/>
        <v>0.9</v>
      </c>
      <c r="O176" s="135">
        <f t="shared" si="50"/>
        <v>0.9</v>
      </c>
      <c r="P176" s="135">
        <f t="shared" si="50"/>
        <v>0.9</v>
      </c>
      <c r="Q176" s="135">
        <f t="shared" si="50"/>
        <v>0.9</v>
      </c>
      <c r="R176" s="135">
        <f t="shared" si="50"/>
        <v>0.9</v>
      </c>
      <c r="S176" s="135">
        <f t="shared" si="51"/>
        <v>0.9</v>
      </c>
      <c r="T176" s="135">
        <f t="shared" si="51"/>
        <v>0.9</v>
      </c>
      <c r="U176" s="135">
        <f t="shared" si="51"/>
        <v>0.9</v>
      </c>
      <c r="V176" s="135">
        <f t="shared" si="51"/>
        <v>0.9</v>
      </c>
      <c r="W176" s="135">
        <f t="shared" si="51"/>
        <v>0.9</v>
      </c>
      <c r="X176" s="135">
        <f t="shared" si="51"/>
        <v>0.9</v>
      </c>
      <c r="Y176" s="135">
        <f t="shared" si="51"/>
        <v>0.9</v>
      </c>
      <c r="Z176" s="135">
        <f t="shared" si="51"/>
        <v>0.9</v>
      </c>
      <c r="AA176" s="135">
        <f t="shared" si="51"/>
        <v>0.9</v>
      </c>
      <c r="AB176" s="135">
        <f t="shared" si="51"/>
        <v>0.9</v>
      </c>
      <c r="AC176" s="135">
        <f t="shared" si="51"/>
        <v>0.9</v>
      </c>
      <c r="AD176" s="135">
        <f t="shared" si="51"/>
        <v>0.9</v>
      </c>
      <c r="AE176" s="135">
        <f t="shared" si="51"/>
        <v>0.9</v>
      </c>
      <c r="AF176" s="135">
        <f t="shared" si="51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2">AF178</f>
        <v>0.57999999999999996</v>
      </c>
      <c r="C178" s="136">
        <v>0.57999999999999996</v>
      </c>
      <c r="D178" s="135">
        <f t="shared" ref="D178:S190" si="53">C178</f>
        <v>0.57999999999999996</v>
      </c>
      <c r="E178" s="135">
        <f t="shared" si="53"/>
        <v>0.57999999999999996</v>
      </c>
      <c r="F178" s="135">
        <f t="shared" si="53"/>
        <v>0.57999999999999996</v>
      </c>
      <c r="G178" s="135">
        <f t="shared" si="53"/>
        <v>0.57999999999999996</v>
      </c>
      <c r="H178" s="135">
        <f t="shared" si="53"/>
        <v>0.57999999999999996</v>
      </c>
      <c r="I178" s="135">
        <f t="shared" si="53"/>
        <v>0.57999999999999996</v>
      </c>
      <c r="J178" s="135">
        <f t="shared" si="53"/>
        <v>0.57999999999999996</v>
      </c>
      <c r="K178" s="135">
        <f t="shared" si="53"/>
        <v>0.57999999999999996</v>
      </c>
      <c r="L178" s="135">
        <f t="shared" si="53"/>
        <v>0.57999999999999996</v>
      </c>
      <c r="M178" s="135">
        <f t="shared" si="53"/>
        <v>0.57999999999999996</v>
      </c>
      <c r="N178" s="135">
        <f t="shared" si="53"/>
        <v>0.57999999999999996</v>
      </c>
      <c r="O178" s="135">
        <f t="shared" si="53"/>
        <v>0.57999999999999996</v>
      </c>
      <c r="P178" s="135">
        <f t="shared" si="53"/>
        <v>0.57999999999999996</v>
      </c>
      <c r="Q178" s="135">
        <f t="shared" si="53"/>
        <v>0.57999999999999996</v>
      </c>
      <c r="R178" s="135">
        <f t="shared" si="53"/>
        <v>0.57999999999999996</v>
      </c>
      <c r="S178" s="135">
        <f t="shared" si="53"/>
        <v>0.57999999999999996</v>
      </c>
      <c r="T178" s="135">
        <f t="shared" ref="S178:AF190" si="54">S178</f>
        <v>0.57999999999999996</v>
      </c>
      <c r="U178" s="135">
        <f t="shared" si="54"/>
        <v>0.57999999999999996</v>
      </c>
      <c r="V178" s="135">
        <f t="shared" si="54"/>
        <v>0.57999999999999996</v>
      </c>
      <c r="W178" s="135">
        <f t="shared" si="54"/>
        <v>0.57999999999999996</v>
      </c>
      <c r="X178" s="135">
        <f t="shared" si="54"/>
        <v>0.57999999999999996</v>
      </c>
      <c r="Y178" s="135">
        <f t="shared" si="54"/>
        <v>0.57999999999999996</v>
      </c>
      <c r="Z178" s="135">
        <f t="shared" si="54"/>
        <v>0.57999999999999996</v>
      </c>
      <c r="AA178" s="135">
        <f t="shared" si="54"/>
        <v>0.57999999999999996</v>
      </c>
      <c r="AB178" s="135">
        <f t="shared" si="54"/>
        <v>0.57999999999999996</v>
      </c>
      <c r="AC178" s="135">
        <f t="shared" si="54"/>
        <v>0.57999999999999996</v>
      </c>
      <c r="AD178" s="135">
        <f t="shared" si="54"/>
        <v>0.57999999999999996</v>
      </c>
      <c r="AE178" s="135">
        <f t="shared" si="54"/>
        <v>0.57999999999999996</v>
      </c>
      <c r="AF178" s="135">
        <f t="shared" si="54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2"/>
        <v>0.8</v>
      </c>
      <c r="C179" s="136">
        <v>0.8</v>
      </c>
      <c r="D179" s="135">
        <f t="shared" si="53"/>
        <v>0.8</v>
      </c>
      <c r="E179" s="135">
        <f t="shared" si="53"/>
        <v>0.8</v>
      </c>
      <c r="F179" s="135">
        <f t="shared" si="53"/>
        <v>0.8</v>
      </c>
      <c r="G179" s="135">
        <f t="shared" si="53"/>
        <v>0.8</v>
      </c>
      <c r="H179" s="135">
        <f t="shared" si="53"/>
        <v>0.8</v>
      </c>
      <c r="I179" s="135">
        <f t="shared" si="53"/>
        <v>0.8</v>
      </c>
      <c r="J179" s="135">
        <f t="shared" si="53"/>
        <v>0.8</v>
      </c>
      <c r="K179" s="135">
        <f t="shared" si="53"/>
        <v>0.8</v>
      </c>
      <c r="L179" s="135">
        <f t="shared" si="53"/>
        <v>0.8</v>
      </c>
      <c r="M179" s="135">
        <f t="shared" si="53"/>
        <v>0.8</v>
      </c>
      <c r="N179" s="135">
        <f t="shared" si="53"/>
        <v>0.8</v>
      </c>
      <c r="O179" s="135">
        <f t="shared" si="53"/>
        <v>0.8</v>
      </c>
      <c r="P179" s="135">
        <f t="shared" si="53"/>
        <v>0.8</v>
      </c>
      <c r="Q179" s="135">
        <f t="shared" si="53"/>
        <v>0.8</v>
      </c>
      <c r="R179" s="135">
        <f t="shared" si="53"/>
        <v>0.8</v>
      </c>
      <c r="S179" s="135">
        <f t="shared" si="53"/>
        <v>0.8</v>
      </c>
      <c r="T179" s="135">
        <f t="shared" si="54"/>
        <v>0.8</v>
      </c>
      <c r="U179" s="135">
        <f t="shared" si="54"/>
        <v>0.8</v>
      </c>
      <c r="V179" s="135">
        <f t="shared" si="54"/>
        <v>0.8</v>
      </c>
      <c r="W179" s="135">
        <f t="shared" si="54"/>
        <v>0.8</v>
      </c>
      <c r="X179" s="135">
        <f t="shared" si="54"/>
        <v>0.8</v>
      </c>
      <c r="Y179" s="135">
        <f t="shared" si="54"/>
        <v>0.8</v>
      </c>
      <c r="Z179" s="135">
        <f t="shared" si="54"/>
        <v>0.8</v>
      </c>
      <c r="AA179" s="135">
        <f t="shared" si="54"/>
        <v>0.8</v>
      </c>
      <c r="AB179" s="135">
        <f t="shared" si="54"/>
        <v>0.8</v>
      </c>
      <c r="AC179" s="135">
        <f t="shared" si="54"/>
        <v>0.8</v>
      </c>
      <c r="AD179" s="135">
        <f t="shared" si="54"/>
        <v>0.8</v>
      </c>
      <c r="AE179" s="135">
        <f t="shared" si="54"/>
        <v>0.8</v>
      </c>
      <c r="AF179" s="135">
        <f t="shared" si="54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2"/>
        <v>0</v>
      </c>
      <c r="C180" s="136">
        <v>0</v>
      </c>
      <c r="D180" s="135">
        <f t="shared" si="53"/>
        <v>0</v>
      </c>
      <c r="E180" s="135">
        <f t="shared" si="53"/>
        <v>0</v>
      </c>
      <c r="F180" s="135">
        <f t="shared" si="53"/>
        <v>0</v>
      </c>
      <c r="G180" s="135">
        <f t="shared" si="53"/>
        <v>0</v>
      </c>
      <c r="H180" s="135">
        <f t="shared" si="53"/>
        <v>0</v>
      </c>
      <c r="I180" s="135">
        <f t="shared" si="53"/>
        <v>0</v>
      </c>
      <c r="J180" s="135">
        <f t="shared" si="53"/>
        <v>0</v>
      </c>
      <c r="K180" s="135">
        <f t="shared" si="53"/>
        <v>0</v>
      </c>
      <c r="L180" s="135">
        <f t="shared" si="53"/>
        <v>0</v>
      </c>
      <c r="M180" s="135">
        <f t="shared" si="53"/>
        <v>0</v>
      </c>
      <c r="N180" s="135">
        <f t="shared" si="53"/>
        <v>0</v>
      </c>
      <c r="O180" s="135">
        <f t="shared" si="53"/>
        <v>0</v>
      </c>
      <c r="P180" s="135">
        <f t="shared" si="53"/>
        <v>0</v>
      </c>
      <c r="Q180" s="135">
        <f t="shared" si="53"/>
        <v>0</v>
      </c>
      <c r="R180" s="135">
        <f t="shared" si="53"/>
        <v>0</v>
      </c>
      <c r="S180" s="135">
        <f t="shared" si="53"/>
        <v>0</v>
      </c>
      <c r="T180" s="135">
        <f t="shared" si="54"/>
        <v>0</v>
      </c>
      <c r="U180" s="135">
        <f t="shared" si="54"/>
        <v>0</v>
      </c>
      <c r="V180" s="135">
        <f t="shared" si="54"/>
        <v>0</v>
      </c>
      <c r="W180" s="135">
        <f t="shared" si="54"/>
        <v>0</v>
      </c>
      <c r="X180" s="135">
        <f t="shared" si="54"/>
        <v>0</v>
      </c>
      <c r="Y180" s="135">
        <f t="shared" si="54"/>
        <v>0</v>
      </c>
      <c r="Z180" s="135">
        <f t="shared" si="54"/>
        <v>0</v>
      </c>
      <c r="AA180" s="135">
        <f t="shared" si="54"/>
        <v>0</v>
      </c>
      <c r="AB180" s="135">
        <f t="shared" si="54"/>
        <v>0</v>
      </c>
      <c r="AC180" s="135">
        <f t="shared" si="54"/>
        <v>0</v>
      </c>
      <c r="AD180" s="135">
        <f t="shared" si="54"/>
        <v>0</v>
      </c>
      <c r="AE180" s="135">
        <f t="shared" si="54"/>
        <v>0</v>
      </c>
      <c r="AF180" s="135">
        <f t="shared" si="54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2"/>
        <v>0.6</v>
      </c>
      <c r="C181" s="136">
        <v>0.6</v>
      </c>
      <c r="D181" s="135">
        <f t="shared" si="53"/>
        <v>0.6</v>
      </c>
      <c r="E181" s="135">
        <f t="shared" si="53"/>
        <v>0.6</v>
      </c>
      <c r="F181" s="135">
        <f t="shared" si="53"/>
        <v>0.6</v>
      </c>
      <c r="G181" s="135">
        <f t="shared" si="53"/>
        <v>0.6</v>
      </c>
      <c r="H181" s="135">
        <f t="shared" si="53"/>
        <v>0.6</v>
      </c>
      <c r="I181" s="135">
        <f t="shared" si="53"/>
        <v>0.6</v>
      </c>
      <c r="J181" s="135">
        <f t="shared" si="53"/>
        <v>0.6</v>
      </c>
      <c r="K181" s="135">
        <f t="shared" si="53"/>
        <v>0.6</v>
      </c>
      <c r="L181" s="135">
        <f t="shared" si="53"/>
        <v>0.6</v>
      </c>
      <c r="M181" s="135">
        <f t="shared" si="53"/>
        <v>0.6</v>
      </c>
      <c r="N181" s="135">
        <f t="shared" si="53"/>
        <v>0.6</v>
      </c>
      <c r="O181" s="135">
        <f t="shared" si="53"/>
        <v>0.6</v>
      </c>
      <c r="P181" s="135">
        <f t="shared" si="53"/>
        <v>0.6</v>
      </c>
      <c r="Q181" s="135">
        <f t="shared" si="53"/>
        <v>0.6</v>
      </c>
      <c r="R181" s="135">
        <f t="shared" si="53"/>
        <v>0.6</v>
      </c>
      <c r="S181" s="135">
        <f t="shared" si="53"/>
        <v>0.6</v>
      </c>
      <c r="T181" s="135">
        <f t="shared" si="54"/>
        <v>0.6</v>
      </c>
      <c r="U181" s="135">
        <f t="shared" si="54"/>
        <v>0.6</v>
      </c>
      <c r="V181" s="135">
        <f t="shared" si="54"/>
        <v>0.6</v>
      </c>
      <c r="W181" s="135">
        <f t="shared" si="54"/>
        <v>0.6</v>
      </c>
      <c r="X181" s="135">
        <f t="shared" si="54"/>
        <v>0.6</v>
      </c>
      <c r="Y181" s="135">
        <f t="shared" si="54"/>
        <v>0.6</v>
      </c>
      <c r="Z181" s="135">
        <f t="shared" si="54"/>
        <v>0.6</v>
      </c>
      <c r="AA181" s="135">
        <f t="shared" si="54"/>
        <v>0.6</v>
      </c>
      <c r="AB181" s="135">
        <f t="shared" si="54"/>
        <v>0.6</v>
      </c>
      <c r="AC181" s="135">
        <f t="shared" si="54"/>
        <v>0.6</v>
      </c>
      <c r="AD181" s="135">
        <f t="shared" si="54"/>
        <v>0.6</v>
      </c>
      <c r="AE181" s="135">
        <f t="shared" si="54"/>
        <v>0.6</v>
      </c>
      <c r="AF181" s="135">
        <f t="shared" si="54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2"/>
        <v>0.6</v>
      </c>
      <c r="C182" s="136">
        <v>0.6</v>
      </c>
      <c r="D182" s="135">
        <f t="shared" si="53"/>
        <v>0.6</v>
      </c>
      <c r="E182" s="135">
        <f t="shared" si="53"/>
        <v>0.6</v>
      </c>
      <c r="F182" s="135">
        <f t="shared" si="53"/>
        <v>0.6</v>
      </c>
      <c r="G182" s="135">
        <f t="shared" si="53"/>
        <v>0.6</v>
      </c>
      <c r="H182" s="135">
        <f t="shared" si="53"/>
        <v>0.6</v>
      </c>
      <c r="I182" s="135">
        <f t="shared" si="53"/>
        <v>0.6</v>
      </c>
      <c r="J182" s="135">
        <f t="shared" si="53"/>
        <v>0.6</v>
      </c>
      <c r="K182" s="135">
        <f t="shared" si="53"/>
        <v>0.6</v>
      </c>
      <c r="L182" s="135">
        <f t="shared" si="53"/>
        <v>0.6</v>
      </c>
      <c r="M182" s="135">
        <f t="shared" si="53"/>
        <v>0.6</v>
      </c>
      <c r="N182" s="135">
        <f t="shared" si="53"/>
        <v>0.6</v>
      </c>
      <c r="O182" s="135">
        <f t="shared" si="53"/>
        <v>0.6</v>
      </c>
      <c r="P182" s="135">
        <f t="shared" si="53"/>
        <v>0.6</v>
      </c>
      <c r="Q182" s="135">
        <f t="shared" si="53"/>
        <v>0.6</v>
      </c>
      <c r="R182" s="135">
        <f t="shared" si="53"/>
        <v>0.6</v>
      </c>
      <c r="S182" s="135">
        <f t="shared" si="53"/>
        <v>0.6</v>
      </c>
      <c r="T182" s="135">
        <f t="shared" si="54"/>
        <v>0.6</v>
      </c>
      <c r="U182" s="135">
        <f t="shared" si="54"/>
        <v>0.6</v>
      </c>
      <c r="V182" s="135">
        <f t="shared" si="54"/>
        <v>0.6</v>
      </c>
      <c r="W182" s="135">
        <f t="shared" si="54"/>
        <v>0.6</v>
      </c>
      <c r="X182" s="135">
        <f t="shared" si="54"/>
        <v>0.6</v>
      </c>
      <c r="Y182" s="135">
        <f t="shared" si="54"/>
        <v>0.6</v>
      </c>
      <c r="Z182" s="135">
        <f t="shared" si="54"/>
        <v>0.6</v>
      </c>
      <c r="AA182" s="135">
        <f t="shared" si="54"/>
        <v>0.6</v>
      </c>
      <c r="AB182" s="135">
        <f t="shared" si="54"/>
        <v>0.6</v>
      </c>
      <c r="AC182" s="135">
        <f t="shared" si="54"/>
        <v>0.6</v>
      </c>
      <c r="AD182" s="135">
        <f t="shared" si="54"/>
        <v>0.6</v>
      </c>
      <c r="AE182" s="135">
        <f t="shared" si="54"/>
        <v>0.6</v>
      </c>
      <c r="AF182" s="135">
        <f t="shared" si="54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2"/>
        <v>0.35</v>
      </c>
      <c r="C183" s="136">
        <v>0.35</v>
      </c>
      <c r="D183" s="135">
        <f t="shared" si="53"/>
        <v>0.35</v>
      </c>
      <c r="E183" s="135">
        <f t="shared" si="53"/>
        <v>0.35</v>
      </c>
      <c r="F183" s="135">
        <f t="shared" si="53"/>
        <v>0.35</v>
      </c>
      <c r="G183" s="135">
        <f t="shared" si="53"/>
        <v>0.35</v>
      </c>
      <c r="H183" s="135">
        <f t="shared" si="53"/>
        <v>0.35</v>
      </c>
      <c r="I183" s="135">
        <f t="shared" si="53"/>
        <v>0.35</v>
      </c>
      <c r="J183" s="135">
        <f t="shared" si="53"/>
        <v>0.35</v>
      </c>
      <c r="K183" s="135">
        <f t="shared" si="53"/>
        <v>0.35</v>
      </c>
      <c r="L183" s="135">
        <f t="shared" si="53"/>
        <v>0.35</v>
      </c>
      <c r="M183" s="135">
        <f t="shared" si="53"/>
        <v>0.35</v>
      </c>
      <c r="N183" s="135">
        <f t="shared" si="53"/>
        <v>0.35</v>
      </c>
      <c r="O183" s="135">
        <f t="shared" si="53"/>
        <v>0.35</v>
      </c>
      <c r="P183" s="135">
        <f t="shared" si="53"/>
        <v>0.35</v>
      </c>
      <c r="Q183" s="135">
        <f t="shared" si="53"/>
        <v>0.35</v>
      </c>
      <c r="R183" s="135">
        <f t="shared" si="53"/>
        <v>0.35</v>
      </c>
      <c r="S183" s="135">
        <f t="shared" si="53"/>
        <v>0.35</v>
      </c>
      <c r="T183" s="135">
        <f t="shared" si="54"/>
        <v>0.35</v>
      </c>
      <c r="U183" s="135">
        <f t="shared" si="54"/>
        <v>0.35</v>
      </c>
      <c r="V183" s="135">
        <f t="shared" si="54"/>
        <v>0.35</v>
      </c>
      <c r="W183" s="135">
        <f t="shared" si="54"/>
        <v>0.35</v>
      </c>
      <c r="X183" s="135">
        <f t="shared" si="54"/>
        <v>0.35</v>
      </c>
      <c r="Y183" s="135">
        <f t="shared" si="54"/>
        <v>0.35</v>
      </c>
      <c r="Z183" s="135">
        <f t="shared" si="54"/>
        <v>0.35</v>
      </c>
      <c r="AA183" s="135">
        <f t="shared" si="54"/>
        <v>0.35</v>
      </c>
      <c r="AB183" s="135">
        <f t="shared" si="54"/>
        <v>0.35</v>
      </c>
      <c r="AC183" s="135">
        <f t="shared" si="54"/>
        <v>0.35</v>
      </c>
      <c r="AD183" s="135">
        <f t="shared" si="54"/>
        <v>0.35</v>
      </c>
      <c r="AE183" s="135">
        <f t="shared" si="54"/>
        <v>0.35</v>
      </c>
      <c r="AF183" s="135">
        <f t="shared" si="54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2"/>
        <v>0.28999999999999998</v>
      </c>
      <c r="C184" s="136">
        <v>0.28999999999999998</v>
      </c>
      <c r="D184" s="135">
        <f t="shared" si="53"/>
        <v>0.28999999999999998</v>
      </c>
      <c r="E184" s="135">
        <f t="shared" si="53"/>
        <v>0.28999999999999998</v>
      </c>
      <c r="F184" s="135">
        <f t="shared" si="53"/>
        <v>0.28999999999999998</v>
      </c>
      <c r="G184" s="135">
        <f t="shared" si="53"/>
        <v>0.28999999999999998</v>
      </c>
      <c r="H184" s="135">
        <f t="shared" si="53"/>
        <v>0.28999999999999998</v>
      </c>
      <c r="I184" s="135">
        <f t="shared" si="53"/>
        <v>0.28999999999999998</v>
      </c>
      <c r="J184" s="135">
        <f t="shared" si="53"/>
        <v>0.28999999999999998</v>
      </c>
      <c r="K184" s="135">
        <f t="shared" si="53"/>
        <v>0.28999999999999998</v>
      </c>
      <c r="L184" s="135">
        <f t="shared" si="53"/>
        <v>0.28999999999999998</v>
      </c>
      <c r="M184" s="135">
        <f t="shared" si="53"/>
        <v>0.28999999999999998</v>
      </c>
      <c r="N184" s="135">
        <f t="shared" si="53"/>
        <v>0.28999999999999998</v>
      </c>
      <c r="O184" s="135">
        <f t="shared" si="53"/>
        <v>0.28999999999999998</v>
      </c>
      <c r="P184" s="135">
        <f t="shared" si="53"/>
        <v>0.28999999999999998</v>
      </c>
      <c r="Q184" s="135">
        <f t="shared" si="53"/>
        <v>0.28999999999999998</v>
      </c>
      <c r="R184" s="135">
        <f t="shared" si="53"/>
        <v>0.28999999999999998</v>
      </c>
      <c r="S184" s="135">
        <f t="shared" si="53"/>
        <v>0.28999999999999998</v>
      </c>
      <c r="T184" s="135">
        <f t="shared" si="54"/>
        <v>0.28999999999999998</v>
      </c>
      <c r="U184" s="135">
        <f t="shared" si="54"/>
        <v>0.28999999999999998</v>
      </c>
      <c r="V184" s="135">
        <f t="shared" si="54"/>
        <v>0.28999999999999998</v>
      </c>
      <c r="W184" s="135">
        <f t="shared" si="54"/>
        <v>0.28999999999999998</v>
      </c>
      <c r="X184" s="135">
        <f t="shared" si="54"/>
        <v>0.28999999999999998</v>
      </c>
      <c r="Y184" s="135">
        <f t="shared" si="54"/>
        <v>0.28999999999999998</v>
      </c>
      <c r="Z184" s="135">
        <f t="shared" si="54"/>
        <v>0.28999999999999998</v>
      </c>
      <c r="AA184" s="135">
        <f t="shared" si="54"/>
        <v>0.28999999999999998</v>
      </c>
      <c r="AB184" s="135">
        <f t="shared" si="54"/>
        <v>0.28999999999999998</v>
      </c>
      <c r="AC184" s="135">
        <f t="shared" si="54"/>
        <v>0.28999999999999998</v>
      </c>
      <c r="AD184" s="135">
        <f t="shared" si="54"/>
        <v>0.28999999999999998</v>
      </c>
      <c r="AE184" s="135">
        <f t="shared" si="54"/>
        <v>0.28999999999999998</v>
      </c>
      <c r="AF184" s="135">
        <f t="shared" si="54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2"/>
        <v>0.06</v>
      </c>
      <c r="C185" s="136">
        <v>0.06</v>
      </c>
      <c r="D185" s="135">
        <f t="shared" si="53"/>
        <v>0.06</v>
      </c>
      <c r="E185" s="135">
        <f t="shared" si="53"/>
        <v>0.06</v>
      </c>
      <c r="F185" s="135">
        <f t="shared" si="53"/>
        <v>0.06</v>
      </c>
      <c r="G185" s="135">
        <f t="shared" si="53"/>
        <v>0.06</v>
      </c>
      <c r="H185" s="135">
        <f t="shared" si="53"/>
        <v>0.06</v>
      </c>
      <c r="I185" s="135">
        <f t="shared" si="53"/>
        <v>0.06</v>
      </c>
      <c r="J185" s="135">
        <f t="shared" si="53"/>
        <v>0.06</v>
      </c>
      <c r="K185" s="135">
        <f t="shared" si="53"/>
        <v>0.06</v>
      </c>
      <c r="L185" s="135">
        <f t="shared" si="53"/>
        <v>0.06</v>
      </c>
      <c r="M185" s="135">
        <f t="shared" si="53"/>
        <v>0.06</v>
      </c>
      <c r="N185" s="135">
        <f t="shared" si="53"/>
        <v>0.06</v>
      </c>
      <c r="O185" s="135">
        <f t="shared" si="53"/>
        <v>0.06</v>
      </c>
      <c r="P185" s="135">
        <f t="shared" si="53"/>
        <v>0.06</v>
      </c>
      <c r="Q185" s="135">
        <f t="shared" si="53"/>
        <v>0.06</v>
      </c>
      <c r="R185" s="135">
        <f t="shared" si="53"/>
        <v>0.06</v>
      </c>
      <c r="S185" s="135">
        <f t="shared" si="53"/>
        <v>0.06</v>
      </c>
      <c r="T185" s="135">
        <f t="shared" si="54"/>
        <v>0.06</v>
      </c>
      <c r="U185" s="135">
        <f t="shared" si="54"/>
        <v>0.06</v>
      </c>
      <c r="V185" s="135">
        <f t="shared" si="54"/>
        <v>0.06</v>
      </c>
      <c r="W185" s="135">
        <f t="shared" si="54"/>
        <v>0.06</v>
      </c>
      <c r="X185" s="135">
        <f t="shared" si="54"/>
        <v>0.06</v>
      </c>
      <c r="Y185" s="135">
        <f t="shared" si="54"/>
        <v>0.06</v>
      </c>
      <c r="Z185" s="135">
        <f t="shared" si="54"/>
        <v>0.06</v>
      </c>
      <c r="AA185" s="135">
        <f t="shared" si="54"/>
        <v>0.06</v>
      </c>
      <c r="AB185" s="135">
        <f t="shared" si="54"/>
        <v>0.06</v>
      </c>
      <c r="AC185" s="135">
        <f t="shared" si="54"/>
        <v>0.06</v>
      </c>
      <c r="AD185" s="135">
        <f t="shared" si="54"/>
        <v>0.06</v>
      </c>
      <c r="AE185" s="135">
        <f t="shared" si="54"/>
        <v>0.06</v>
      </c>
      <c r="AF185" s="135">
        <f t="shared" si="54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2"/>
        <v>0.11</v>
      </c>
      <c r="C186" s="136">
        <v>0.11</v>
      </c>
      <c r="D186" s="135">
        <f t="shared" si="53"/>
        <v>0.11</v>
      </c>
      <c r="E186" s="135">
        <f t="shared" si="53"/>
        <v>0.11</v>
      </c>
      <c r="F186" s="135">
        <f t="shared" si="53"/>
        <v>0.11</v>
      </c>
      <c r="G186" s="135">
        <f t="shared" si="53"/>
        <v>0.11</v>
      </c>
      <c r="H186" s="135">
        <f t="shared" si="53"/>
        <v>0.11</v>
      </c>
      <c r="I186" s="135">
        <f t="shared" si="53"/>
        <v>0.11</v>
      </c>
      <c r="J186" s="135">
        <f t="shared" si="53"/>
        <v>0.11</v>
      </c>
      <c r="K186" s="135">
        <f t="shared" si="53"/>
        <v>0.11</v>
      </c>
      <c r="L186" s="135">
        <f t="shared" si="53"/>
        <v>0.11</v>
      </c>
      <c r="M186" s="135">
        <f t="shared" si="53"/>
        <v>0.11</v>
      </c>
      <c r="N186" s="135">
        <f t="shared" si="53"/>
        <v>0.11</v>
      </c>
      <c r="O186" s="135">
        <f t="shared" si="53"/>
        <v>0.11</v>
      </c>
      <c r="P186" s="135">
        <f t="shared" si="53"/>
        <v>0.11</v>
      </c>
      <c r="Q186" s="135">
        <f t="shared" si="53"/>
        <v>0.11</v>
      </c>
      <c r="R186" s="135">
        <f t="shared" si="53"/>
        <v>0.11</v>
      </c>
      <c r="S186" s="135">
        <f t="shared" si="53"/>
        <v>0.11</v>
      </c>
      <c r="T186" s="135">
        <f t="shared" si="54"/>
        <v>0.11</v>
      </c>
      <c r="U186" s="135">
        <f t="shared" si="54"/>
        <v>0.11</v>
      </c>
      <c r="V186" s="135">
        <f t="shared" si="54"/>
        <v>0.11</v>
      </c>
      <c r="W186" s="135">
        <f t="shared" si="54"/>
        <v>0.11</v>
      </c>
      <c r="X186" s="135">
        <f t="shared" si="54"/>
        <v>0.11</v>
      </c>
      <c r="Y186" s="135">
        <f t="shared" si="54"/>
        <v>0.11</v>
      </c>
      <c r="Z186" s="135">
        <f t="shared" si="54"/>
        <v>0.11</v>
      </c>
      <c r="AA186" s="135">
        <f t="shared" si="54"/>
        <v>0.11</v>
      </c>
      <c r="AB186" s="135">
        <f t="shared" si="54"/>
        <v>0.11</v>
      </c>
      <c r="AC186" s="135">
        <f t="shared" si="54"/>
        <v>0.11</v>
      </c>
      <c r="AD186" s="135">
        <f t="shared" si="54"/>
        <v>0.11</v>
      </c>
      <c r="AE186" s="135">
        <f t="shared" si="54"/>
        <v>0.11</v>
      </c>
      <c r="AF186" s="135">
        <f t="shared" si="54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2"/>
        <v>0.1</v>
      </c>
      <c r="C187" s="136">
        <v>0.1</v>
      </c>
      <c r="D187" s="135">
        <f t="shared" si="53"/>
        <v>0.1</v>
      </c>
      <c r="E187" s="135">
        <f t="shared" si="53"/>
        <v>0.1</v>
      </c>
      <c r="F187" s="135">
        <f t="shared" si="53"/>
        <v>0.1</v>
      </c>
      <c r="G187" s="135">
        <f t="shared" si="53"/>
        <v>0.1</v>
      </c>
      <c r="H187" s="135">
        <f t="shared" si="53"/>
        <v>0.1</v>
      </c>
      <c r="I187" s="135">
        <f t="shared" si="53"/>
        <v>0.1</v>
      </c>
      <c r="J187" s="135">
        <f t="shared" si="53"/>
        <v>0.1</v>
      </c>
      <c r="K187" s="135">
        <f t="shared" si="53"/>
        <v>0.1</v>
      </c>
      <c r="L187" s="135">
        <f t="shared" si="53"/>
        <v>0.1</v>
      </c>
      <c r="M187" s="135">
        <f t="shared" si="53"/>
        <v>0.1</v>
      </c>
      <c r="N187" s="135">
        <f t="shared" si="53"/>
        <v>0.1</v>
      </c>
      <c r="O187" s="135">
        <f t="shared" si="53"/>
        <v>0.1</v>
      </c>
      <c r="P187" s="135">
        <f t="shared" si="53"/>
        <v>0.1</v>
      </c>
      <c r="Q187" s="135">
        <f t="shared" si="53"/>
        <v>0.1</v>
      </c>
      <c r="R187" s="135">
        <f t="shared" si="53"/>
        <v>0.1</v>
      </c>
      <c r="S187" s="135">
        <f t="shared" si="54"/>
        <v>0.1</v>
      </c>
      <c r="T187" s="135">
        <f t="shared" si="54"/>
        <v>0.1</v>
      </c>
      <c r="U187" s="135">
        <f t="shared" si="54"/>
        <v>0.1</v>
      </c>
      <c r="V187" s="135">
        <f t="shared" si="54"/>
        <v>0.1</v>
      </c>
      <c r="W187" s="135">
        <f t="shared" si="54"/>
        <v>0.1</v>
      </c>
      <c r="X187" s="135">
        <f t="shared" si="54"/>
        <v>0.1</v>
      </c>
      <c r="Y187" s="135">
        <f t="shared" si="54"/>
        <v>0.1</v>
      </c>
      <c r="Z187" s="135">
        <f t="shared" si="54"/>
        <v>0.1</v>
      </c>
      <c r="AA187" s="135">
        <f t="shared" si="54"/>
        <v>0.1</v>
      </c>
      <c r="AB187" s="135">
        <f t="shared" si="54"/>
        <v>0.1</v>
      </c>
      <c r="AC187" s="135">
        <f t="shared" si="54"/>
        <v>0.1</v>
      </c>
      <c r="AD187" s="135">
        <f t="shared" si="54"/>
        <v>0.1</v>
      </c>
      <c r="AE187" s="135">
        <f t="shared" si="54"/>
        <v>0.1</v>
      </c>
      <c r="AF187" s="135">
        <f t="shared" si="54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2"/>
        <v>0.09</v>
      </c>
      <c r="C188" s="136">
        <v>0.09</v>
      </c>
      <c r="D188" s="135">
        <f t="shared" si="53"/>
        <v>0.09</v>
      </c>
      <c r="E188" s="135">
        <f t="shared" si="53"/>
        <v>0.09</v>
      </c>
      <c r="F188" s="135">
        <f t="shared" si="53"/>
        <v>0.09</v>
      </c>
      <c r="G188" s="135">
        <f t="shared" si="53"/>
        <v>0.09</v>
      </c>
      <c r="H188" s="135">
        <f t="shared" si="53"/>
        <v>0.09</v>
      </c>
      <c r="I188" s="135">
        <f t="shared" si="53"/>
        <v>0.09</v>
      </c>
      <c r="J188" s="135">
        <f t="shared" si="53"/>
        <v>0.09</v>
      </c>
      <c r="K188" s="135">
        <f t="shared" si="53"/>
        <v>0.09</v>
      </c>
      <c r="L188" s="135">
        <f t="shared" si="53"/>
        <v>0.09</v>
      </c>
      <c r="M188" s="135">
        <f t="shared" si="53"/>
        <v>0.09</v>
      </c>
      <c r="N188" s="135">
        <f t="shared" si="53"/>
        <v>0.09</v>
      </c>
      <c r="O188" s="135">
        <f t="shared" si="53"/>
        <v>0.09</v>
      </c>
      <c r="P188" s="135">
        <f t="shared" si="53"/>
        <v>0.09</v>
      </c>
      <c r="Q188" s="135">
        <f t="shared" si="53"/>
        <v>0.09</v>
      </c>
      <c r="R188" s="135">
        <f t="shared" si="53"/>
        <v>0.09</v>
      </c>
      <c r="S188" s="135">
        <f t="shared" si="54"/>
        <v>0.09</v>
      </c>
      <c r="T188" s="135">
        <f t="shared" si="54"/>
        <v>0.09</v>
      </c>
      <c r="U188" s="135">
        <f t="shared" si="54"/>
        <v>0.09</v>
      </c>
      <c r="V188" s="135">
        <f t="shared" si="54"/>
        <v>0.09</v>
      </c>
      <c r="W188" s="135">
        <f t="shared" si="54"/>
        <v>0.09</v>
      </c>
      <c r="X188" s="135">
        <f t="shared" si="54"/>
        <v>0.09</v>
      </c>
      <c r="Y188" s="135">
        <f t="shared" si="54"/>
        <v>0.09</v>
      </c>
      <c r="Z188" s="135">
        <f t="shared" si="54"/>
        <v>0.09</v>
      </c>
      <c r="AA188" s="135">
        <f t="shared" si="54"/>
        <v>0.09</v>
      </c>
      <c r="AB188" s="135">
        <f t="shared" si="54"/>
        <v>0.09</v>
      </c>
      <c r="AC188" s="135">
        <f t="shared" si="54"/>
        <v>0.09</v>
      </c>
      <c r="AD188" s="135">
        <f t="shared" si="54"/>
        <v>0.09</v>
      </c>
      <c r="AE188" s="135">
        <f t="shared" si="54"/>
        <v>0.09</v>
      </c>
      <c r="AF188" s="135">
        <f t="shared" si="54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2"/>
        <v>0.04</v>
      </c>
      <c r="C189" s="52">
        <v>0.04</v>
      </c>
      <c r="D189" s="135">
        <f t="shared" si="53"/>
        <v>0.04</v>
      </c>
      <c r="E189" s="135">
        <f t="shared" si="53"/>
        <v>0.04</v>
      </c>
      <c r="F189" s="135">
        <f t="shared" si="53"/>
        <v>0.04</v>
      </c>
      <c r="G189" s="135">
        <f t="shared" si="53"/>
        <v>0.04</v>
      </c>
      <c r="H189" s="135">
        <f t="shared" si="53"/>
        <v>0.04</v>
      </c>
      <c r="I189" s="135">
        <f t="shared" si="53"/>
        <v>0.04</v>
      </c>
      <c r="J189" s="135">
        <f t="shared" si="53"/>
        <v>0.04</v>
      </c>
      <c r="K189" s="135">
        <f t="shared" si="53"/>
        <v>0.04</v>
      </c>
      <c r="L189" s="135">
        <f t="shared" si="53"/>
        <v>0.04</v>
      </c>
      <c r="M189" s="135">
        <f t="shared" si="53"/>
        <v>0.04</v>
      </c>
      <c r="N189" s="135">
        <f t="shared" si="53"/>
        <v>0.04</v>
      </c>
      <c r="O189" s="135">
        <f t="shared" si="53"/>
        <v>0.04</v>
      </c>
      <c r="P189" s="135">
        <f t="shared" si="53"/>
        <v>0.04</v>
      </c>
      <c r="Q189" s="135">
        <f t="shared" si="53"/>
        <v>0.04</v>
      </c>
      <c r="R189" s="135">
        <f t="shared" si="53"/>
        <v>0.04</v>
      </c>
      <c r="S189" s="135">
        <f t="shared" si="54"/>
        <v>0.04</v>
      </c>
      <c r="T189" s="135">
        <f t="shared" si="54"/>
        <v>0.04</v>
      </c>
      <c r="U189" s="135">
        <f t="shared" si="54"/>
        <v>0.04</v>
      </c>
      <c r="V189" s="135">
        <f t="shared" si="54"/>
        <v>0.04</v>
      </c>
      <c r="W189" s="135">
        <f t="shared" si="54"/>
        <v>0.04</v>
      </c>
      <c r="X189" s="135">
        <f t="shared" si="54"/>
        <v>0.04</v>
      </c>
      <c r="Y189" s="135">
        <f t="shared" si="54"/>
        <v>0.04</v>
      </c>
      <c r="Z189" s="135">
        <f t="shared" si="54"/>
        <v>0.04</v>
      </c>
      <c r="AA189" s="135">
        <f t="shared" si="54"/>
        <v>0.04</v>
      </c>
      <c r="AB189" s="135">
        <f t="shared" si="54"/>
        <v>0.04</v>
      </c>
      <c r="AC189" s="135">
        <f t="shared" si="54"/>
        <v>0.04</v>
      </c>
      <c r="AD189" s="135">
        <f t="shared" si="54"/>
        <v>0.04</v>
      </c>
      <c r="AE189" s="135">
        <f t="shared" si="54"/>
        <v>0.04</v>
      </c>
      <c r="AF189" s="135">
        <f t="shared" si="54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2"/>
        <v>2.3E-2</v>
      </c>
      <c r="C190" s="52">
        <v>2.3E-2</v>
      </c>
      <c r="D190" s="135">
        <f>C190</f>
        <v>2.3E-2</v>
      </c>
      <c r="E190" s="135">
        <f t="shared" si="53"/>
        <v>2.3E-2</v>
      </c>
      <c r="F190" s="135">
        <f t="shared" si="53"/>
        <v>2.3E-2</v>
      </c>
      <c r="G190" s="135">
        <f t="shared" si="53"/>
        <v>2.3E-2</v>
      </c>
      <c r="H190" s="135">
        <f t="shared" si="53"/>
        <v>2.3E-2</v>
      </c>
      <c r="I190" s="135">
        <f t="shared" si="53"/>
        <v>2.3E-2</v>
      </c>
      <c r="J190" s="135">
        <f t="shared" si="53"/>
        <v>2.3E-2</v>
      </c>
      <c r="K190" s="135">
        <f t="shared" si="53"/>
        <v>2.3E-2</v>
      </c>
      <c r="L190" s="135">
        <f t="shared" si="53"/>
        <v>2.3E-2</v>
      </c>
      <c r="M190" s="135">
        <f t="shared" si="53"/>
        <v>2.3E-2</v>
      </c>
      <c r="N190" s="135">
        <f t="shared" si="53"/>
        <v>2.3E-2</v>
      </c>
      <c r="O190" s="135">
        <f t="shared" si="53"/>
        <v>2.3E-2</v>
      </c>
      <c r="P190" s="135">
        <f t="shared" si="53"/>
        <v>2.3E-2</v>
      </c>
      <c r="Q190" s="135">
        <f t="shared" si="53"/>
        <v>2.3E-2</v>
      </c>
      <c r="R190" s="135">
        <f t="shared" si="53"/>
        <v>2.3E-2</v>
      </c>
      <c r="S190" s="135">
        <f t="shared" si="54"/>
        <v>2.3E-2</v>
      </c>
      <c r="T190" s="135">
        <f t="shared" si="54"/>
        <v>2.3E-2</v>
      </c>
      <c r="U190" s="135">
        <f t="shared" si="54"/>
        <v>2.3E-2</v>
      </c>
      <c r="V190" s="135">
        <f t="shared" si="54"/>
        <v>2.3E-2</v>
      </c>
      <c r="W190" s="135">
        <f t="shared" si="54"/>
        <v>2.3E-2</v>
      </c>
      <c r="X190" s="135">
        <f t="shared" si="54"/>
        <v>2.3E-2</v>
      </c>
      <c r="Y190" s="135">
        <f t="shared" si="54"/>
        <v>2.3E-2</v>
      </c>
      <c r="Z190" s="135">
        <f t="shared" si="54"/>
        <v>2.3E-2</v>
      </c>
      <c r="AA190" s="135">
        <f t="shared" si="54"/>
        <v>2.3E-2</v>
      </c>
      <c r="AB190" s="135">
        <f t="shared" si="54"/>
        <v>2.3E-2</v>
      </c>
      <c r="AC190" s="135">
        <f t="shared" si="54"/>
        <v>2.3E-2</v>
      </c>
      <c r="AD190" s="135">
        <f t="shared" si="54"/>
        <v>2.3E-2</v>
      </c>
      <c r="AE190" s="135">
        <f t="shared" si="54"/>
        <v>2.3E-2</v>
      </c>
      <c r="AF190" s="135">
        <f t="shared" si="54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5">SUM(C101:C190)</f>
        <v>194.70600000000002</v>
      </c>
      <c r="D191" s="140">
        <f t="shared" si="55"/>
        <v>194.70600000000002</v>
      </c>
      <c r="E191" s="140">
        <f t="shared" si="55"/>
        <v>194.70600000000002</v>
      </c>
      <c r="F191" s="140">
        <f t="shared" si="55"/>
        <v>194.70600000000002</v>
      </c>
      <c r="G191" s="140">
        <f t="shared" si="55"/>
        <v>194.70600000000002</v>
      </c>
      <c r="H191" s="140">
        <f t="shared" si="55"/>
        <v>194.70600000000002</v>
      </c>
      <c r="I191" s="140">
        <f t="shared" si="55"/>
        <v>194.70600000000002</v>
      </c>
      <c r="J191" s="140">
        <f t="shared" si="55"/>
        <v>192.10600000000005</v>
      </c>
      <c r="K191" s="140">
        <f t="shared" si="55"/>
        <v>192.10600000000005</v>
      </c>
      <c r="L191" s="140">
        <f t="shared" si="55"/>
        <v>192.10600000000005</v>
      </c>
      <c r="M191" s="140">
        <f t="shared" si="55"/>
        <v>192.10600000000005</v>
      </c>
      <c r="N191" s="140">
        <f t="shared" si="55"/>
        <v>192.10600000000005</v>
      </c>
      <c r="O191" s="140">
        <f t="shared" si="55"/>
        <v>192.10600000000005</v>
      </c>
      <c r="P191" s="140">
        <f t="shared" si="55"/>
        <v>192.10600000000005</v>
      </c>
      <c r="Q191" s="140">
        <f t="shared" si="55"/>
        <v>192.10600000000005</v>
      </c>
      <c r="R191" s="140">
        <f t="shared" si="55"/>
        <v>192.10600000000005</v>
      </c>
      <c r="S191" s="140">
        <f t="shared" si="55"/>
        <v>192.10600000000005</v>
      </c>
      <c r="T191" s="140">
        <f t="shared" si="55"/>
        <v>192.10600000000005</v>
      </c>
      <c r="U191" s="140">
        <f t="shared" si="55"/>
        <v>192.10600000000005</v>
      </c>
      <c r="V191" s="140">
        <f t="shared" si="55"/>
        <v>192.10600000000005</v>
      </c>
      <c r="W191" s="140">
        <f t="shared" si="55"/>
        <v>192.10600000000005</v>
      </c>
      <c r="X191" s="140">
        <f t="shared" si="55"/>
        <v>192.10600000000005</v>
      </c>
      <c r="Y191" s="140">
        <f t="shared" si="55"/>
        <v>192.10600000000005</v>
      </c>
      <c r="Z191" s="140">
        <f t="shared" si="55"/>
        <v>192.10600000000005</v>
      </c>
      <c r="AA191" s="140">
        <f t="shared" si="55"/>
        <v>192.10600000000005</v>
      </c>
      <c r="AB191" s="140">
        <f t="shared" si="55"/>
        <v>192.10600000000005</v>
      </c>
      <c r="AC191" s="140">
        <f t="shared" si="55"/>
        <v>192.10600000000005</v>
      </c>
      <c r="AD191" s="140">
        <f t="shared" si="55"/>
        <v>192.10600000000005</v>
      </c>
      <c r="AE191" s="140">
        <f t="shared" si="55"/>
        <v>192.10600000000005</v>
      </c>
      <c r="AF191" s="140">
        <f t="shared" si="55"/>
        <v>192.10600000000005</v>
      </c>
      <c r="AG191" s="141">
        <f t="shared" si="55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6">AF193</f>
        <v>0.3</v>
      </c>
      <c r="C193" s="142">
        <v>0.3</v>
      </c>
      <c r="D193" s="142">
        <f t="shared" ref="D193:S198" si="57">C193</f>
        <v>0.3</v>
      </c>
      <c r="E193" s="142">
        <f t="shared" si="57"/>
        <v>0.3</v>
      </c>
      <c r="F193" s="142">
        <f t="shared" si="57"/>
        <v>0.3</v>
      </c>
      <c r="G193" s="142">
        <f t="shared" si="57"/>
        <v>0.3</v>
      </c>
      <c r="H193" s="142">
        <f t="shared" si="57"/>
        <v>0.3</v>
      </c>
      <c r="I193" s="142">
        <f t="shared" si="57"/>
        <v>0.3</v>
      </c>
      <c r="J193" s="142">
        <f t="shared" si="57"/>
        <v>0.3</v>
      </c>
      <c r="K193" s="142">
        <f t="shared" si="57"/>
        <v>0.3</v>
      </c>
      <c r="L193" s="142">
        <f t="shared" si="57"/>
        <v>0.3</v>
      </c>
      <c r="M193" s="142">
        <f t="shared" si="57"/>
        <v>0.3</v>
      </c>
      <c r="N193" s="142">
        <f t="shared" si="57"/>
        <v>0.3</v>
      </c>
      <c r="O193" s="142">
        <f t="shared" si="57"/>
        <v>0.3</v>
      </c>
      <c r="P193" s="142">
        <f t="shared" si="57"/>
        <v>0.3</v>
      </c>
      <c r="Q193" s="142">
        <f t="shared" si="57"/>
        <v>0.3</v>
      </c>
      <c r="R193" s="142">
        <f t="shared" si="57"/>
        <v>0.3</v>
      </c>
      <c r="S193" s="142">
        <f t="shared" si="57"/>
        <v>0.3</v>
      </c>
      <c r="T193" s="142">
        <f t="shared" ref="T193:AF198" si="58">S193</f>
        <v>0.3</v>
      </c>
      <c r="U193" s="142">
        <f t="shared" si="58"/>
        <v>0.3</v>
      </c>
      <c r="V193" s="142">
        <f t="shared" si="58"/>
        <v>0.3</v>
      </c>
      <c r="W193" s="142">
        <f t="shared" si="58"/>
        <v>0.3</v>
      </c>
      <c r="X193" s="142">
        <f t="shared" si="58"/>
        <v>0.3</v>
      </c>
      <c r="Y193" s="142">
        <f t="shared" si="58"/>
        <v>0.3</v>
      </c>
      <c r="Z193" s="142">
        <f t="shared" si="58"/>
        <v>0.3</v>
      </c>
      <c r="AA193" s="142">
        <f t="shared" si="58"/>
        <v>0.3</v>
      </c>
      <c r="AB193" s="142">
        <f t="shared" si="58"/>
        <v>0.3</v>
      </c>
      <c r="AC193" s="142">
        <f t="shared" si="58"/>
        <v>0.3</v>
      </c>
      <c r="AD193" s="142">
        <f t="shared" si="58"/>
        <v>0.3</v>
      </c>
      <c r="AE193" s="142">
        <f t="shared" si="58"/>
        <v>0.3</v>
      </c>
      <c r="AF193" s="142">
        <f t="shared" si="58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6"/>
        <v>0.4</v>
      </c>
      <c r="C194" s="135">
        <v>0.4</v>
      </c>
      <c r="D194" s="135">
        <f t="shared" si="57"/>
        <v>0.4</v>
      </c>
      <c r="E194" s="135">
        <f t="shared" si="57"/>
        <v>0.4</v>
      </c>
      <c r="F194" s="135">
        <f t="shared" si="57"/>
        <v>0.4</v>
      </c>
      <c r="G194" s="135">
        <f t="shared" si="57"/>
        <v>0.4</v>
      </c>
      <c r="H194" s="135">
        <f t="shared" si="57"/>
        <v>0.4</v>
      </c>
      <c r="I194" s="135">
        <f t="shared" si="57"/>
        <v>0.4</v>
      </c>
      <c r="J194" s="135">
        <f t="shared" si="57"/>
        <v>0.4</v>
      </c>
      <c r="K194" s="135">
        <f t="shared" si="57"/>
        <v>0.4</v>
      </c>
      <c r="L194" s="135">
        <f t="shared" si="57"/>
        <v>0.4</v>
      </c>
      <c r="M194" s="135">
        <f t="shared" si="57"/>
        <v>0.4</v>
      </c>
      <c r="N194" s="135">
        <f t="shared" si="57"/>
        <v>0.4</v>
      </c>
      <c r="O194" s="135">
        <f t="shared" si="57"/>
        <v>0.4</v>
      </c>
      <c r="P194" s="135">
        <f t="shared" si="57"/>
        <v>0.4</v>
      </c>
      <c r="Q194" s="135">
        <f t="shared" si="57"/>
        <v>0.4</v>
      </c>
      <c r="R194" s="135">
        <f t="shared" si="57"/>
        <v>0.4</v>
      </c>
      <c r="S194" s="135">
        <f t="shared" si="57"/>
        <v>0.4</v>
      </c>
      <c r="T194" s="135">
        <f t="shared" si="58"/>
        <v>0.4</v>
      </c>
      <c r="U194" s="135">
        <f t="shared" si="58"/>
        <v>0.4</v>
      </c>
      <c r="V194" s="135">
        <f t="shared" si="58"/>
        <v>0.4</v>
      </c>
      <c r="W194" s="135">
        <f>V194</f>
        <v>0.4</v>
      </c>
      <c r="X194" s="135">
        <f>W194</f>
        <v>0.4</v>
      </c>
      <c r="Y194" s="135">
        <f t="shared" si="58"/>
        <v>0.4</v>
      </c>
      <c r="Z194" s="135">
        <f t="shared" si="58"/>
        <v>0.4</v>
      </c>
      <c r="AA194" s="135">
        <f t="shared" si="58"/>
        <v>0.4</v>
      </c>
      <c r="AB194" s="135">
        <f t="shared" si="58"/>
        <v>0.4</v>
      </c>
      <c r="AC194" s="135">
        <f t="shared" si="58"/>
        <v>0.4</v>
      </c>
      <c r="AD194" s="135">
        <f t="shared" si="58"/>
        <v>0.4</v>
      </c>
      <c r="AE194" s="135">
        <f t="shared" si="58"/>
        <v>0.4</v>
      </c>
      <c r="AF194" s="135">
        <f t="shared" si="58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6"/>
        <v>1.5</v>
      </c>
      <c r="C195" s="135">
        <v>1.5</v>
      </c>
      <c r="D195" s="135">
        <f t="shared" si="57"/>
        <v>1.5</v>
      </c>
      <c r="E195" s="135">
        <f t="shared" si="57"/>
        <v>1.5</v>
      </c>
      <c r="F195" s="135">
        <f t="shared" si="57"/>
        <v>1.5</v>
      </c>
      <c r="G195" s="135">
        <f t="shared" si="57"/>
        <v>1.5</v>
      </c>
      <c r="H195" s="135">
        <f t="shared" si="57"/>
        <v>1.5</v>
      </c>
      <c r="I195" s="135">
        <f t="shared" si="57"/>
        <v>1.5</v>
      </c>
      <c r="J195" s="135">
        <f t="shared" si="57"/>
        <v>1.5</v>
      </c>
      <c r="K195" s="135">
        <f t="shared" si="57"/>
        <v>1.5</v>
      </c>
      <c r="L195" s="135">
        <f t="shared" si="57"/>
        <v>1.5</v>
      </c>
      <c r="M195" s="135">
        <f t="shared" si="57"/>
        <v>1.5</v>
      </c>
      <c r="N195" s="135">
        <f t="shared" si="57"/>
        <v>1.5</v>
      </c>
      <c r="O195" s="135">
        <f t="shared" si="57"/>
        <v>1.5</v>
      </c>
      <c r="P195" s="135">
        <f t="shared" si="57"/>
        <v>1.5</v>
      </c>
      <c r="Q195" s="135">
        <f t="shared" si="57"/>
        <v>1.5</v>
      </c>
      <c r="R195" s="135">
        <f t="shared" si="57"/>
        <v>1.5</v>
      </c>
      <c r="S195" s="135">
        <f t="shared" si="57"/>
        <v>1.5</v>
      </c>
      <c r="T195" s="135">
        <f t="shared" si="58"/>
        <v>1.5</v>
      </c>
      <c r="U195" s="135">
        <f t="shared" si="58"/>
        <v>1.5</v>
      </c>
      <c r="V195" s="135">
        <f t="shared" si="58"/>
        <v>1.5</v>
      </c>
      <c r="W195" s="135">
        <f t="shared" si="58"/>
        <v>1.5</v>
      </c>
      <c r="X195" s="135">
        <f t="shared" si="58"/>
        <v>1.5</v>
      </c>
      <c r="Y195" s="135">
        <f t="shared" si="58"/>
        <v>1.5</v>
      </c>
      <c r="Z195" s="135">
        <f t="shared" si="58"/>
        <v>1.5</v>
      </c>
      <c r="AA195" s="135">
        <f t="shared" si="58"/>
        <v>1.5</v>
      </c>
      <c r="AB195" s="135">
        <f t="shared" si="58"/>
        <v>1.5</v>
      </c>
      <c r="AC195" s="135">
        <f t="shared" si="58"/>
        <v>1.5</v>
      </c>
      <c r="AD195" s="135">
        <f t="shared" si="58"/>
        <v>1.5</v>
      </c>
      <c r="AE195" s="135">
        <f t="shared" si="58"/>
        <v>1.5</v>
      </c>
      <c r="AF195" s="135">
        <f t="shared" si="58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6"/>
        <v>0.3</v>
      </c>
      <c r="C196" s="135">
        <v>0.3</v>
      </c>
      <c r="D196" s="135">
        <f t="shared" si="57"/>
        <v>0.3</v>
      </c>
      <c r="E196" s="135">
        <f t="shared" si="57"/>
        <v>0.3</v>
      </c>
      <c r="F196" s="135">
        <f t="shared" si="57"/>
        <v>0.3</v>
      </c>
      <c r="G196" s="135">
        <f t="shared" si="57"/>
        <v>0.3</v>
      </c>
      <c r="H196" s="135">
        <f t="shared" si="57"/>
        <v>0.3</v>
      </c>
      <c r="I196" s="135">
        <f t="shared" si="57"/>
        <v>0.3</v>
      </c>
      <c r="J196" s="135">
        <f t="shared" si="57"/>
        <v>0.3</v>
      </c>
      <c r="K196" s="135">
        <f t="shared" si="57"/>
        <v>0.3</v>
      </c>
      <c r="L196" s="135">
        <f t="shared" si="57"/>
        <v>0.3</v>
      </c>
      <c r="M196" s="135">
        <f t="shared" si="57"/>
        <v>0.3</v>
      </c>
      <c r="N196" s="135">
        <f t="shared" si="57"/>
        <v>0.3</v>
      </c>
      <c r="O196" s="135">
        <f t="shared" si="57"/>
        <v>0.3</v>
      </c>
      <c r="P196" s="135">
        <f t="shared" si="57"/>
        <v>0.3</v>
      </c>
      <c r="Q196" s="135">
        <f t="shared" si="57"/>
        <v>0.3</v>
      </c>
      <c r="R196" s="135">
        <f t="shared" si="57"/>
        <v>0.3</v>
      </c>
      <c r="S196" s="135">
        <f t="shared" si="57"/>
        <v>0.3</v>
      </c>
      <c r="T196" s="135">
        <f t="shared" si="58"/>
        <v>0.3</v>
      </c>
      <c r="U196" s="135">
        <f t="shared" si="58"/>
        <v>0.3</v>
      </c>
      <c r="V196" s="135">
        <f t="shared" si="58"/>
        <v>0.3</v>
      </c>
      <c r="W196" s="135">
        <f t="shared" si="58"/>
        <v>0.3</v>
      </c>
      <c r="X196" s="135">
        <f t="shared" si="58"/>
        <v>0.3</v>
      </c>
      <c r="Y196" s="135">
        <f t="shared" si="58"/>
        <v>0.3</v>
      </c>
      <c r="Z196" s="135">
        <f t="shared" si="58"/>
        <v>0.3</v>
      </c>
      <c r="AA196" s="135">
        <f t="shared" si="58"/>
        <v>0.3</v>
      </c>
      <c r="AB196" s="135">
        <f t="shared" si="58"/>
        <v>0.3</v>
      </c>
      <c r="AC196" s="135">
        <f t="shared" si="58"/>
        <v>0.3</v>
      </c>
      <c r="AD196" s="135">
        <f t="shared" si="58"/>
        <v>0.3</v>
      </c>
      <c r="AE196" s="135">
        <f t="shared" si="58"/>
        <v>0.3</v>
      </c>
      <c r="AF196" s="135">
        <f t="shared" si="58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6"/>
        <v>0.4</v>
      </c>
      <c r="C197" s="135">
        <v>0.4</v>
      </c>
      <c r="D197" s="135">
        <f t="shared" si="57"/>
        <v>0.4</v>
      </c>
      <c r="E197" s="135">
        <f t="shared" si="57"/>
        <v>0.4</v>
      </c>
      <c r="F197" s="135">
        <f t="shared" si="57"/>
        <v>0.4</v>
      </c>
      <c r="G197" s="135">
        <f t="shared" si="57"/>
        <v>0.4</v>
      </c>
      <c r="H197" s="135">
        <f t="shared" si="57"/>
        <v>0.4</v>
      </c>
      <c r="I197" s="135">
        <f t="shared" si="57"/>
        <v>0.4</v>
      </c>
      <c r="J197" s="135">
        <f t="shared" si="57"/>
        <v>0.4</v>
      </c>
      <c r="K197" s="135">
        <f t="shared" si="57"/>
        <v>0.4</v>
      </c>
      <c r="L197" s="135">
        <f t="shared" si="57"/>
        <v>0.4</v>
      </c>
      <c r="M197" s="135">
        <f t="shared" si="57"/>
        <v>0.4</v>
      </c>
      <c r="N197" s="135">
        <f t="shared" si="57"/>
        <v>0.4</v>
      </c>
      <c r="O197" s="135">
        <f t="shared" si="57"/>
        <v>0.4</v>
      </c>
      <c r="P197" s="135">
        <f t="shared" si="57"/>
        <v>0.4</v>
      </c>
      <c r="Q197" s="135">
        <f t="shared" si="57"/>
        <v>0.4</v>
      </c>
      <c r="R197" s="135">
        <f t="shared" si="57"/>
        <v>0.4</v>
      </c>
      <c r="S197" s="135">
        <f t="shared" si="57"/>
        <v>0.4</v>
      </c>
      <c r="T197" s="135">
        <f t="shared" si="58"/>
        <v>0.4</v>
      </c>
      <c r="U197" s="135">
        <f t="shared" si="58"/>
        <v>0.4</v>
      </c>
      <c r="V197" s="135">
        <f t="shared" si="58"/>
        <v>0.4</v>
      </c>
      <c r="W197" s="135">
        <f t="shared" si="58"/>
        <v>0.4</v>
      </c>
      <c r="X197" s="135">
        <f t="shared" si="58"/>
        <v>0.4</v>
      </c>
      <c r="Y197" s="135">
        <f t="shared" si="58"/>
        <v>0.4</v>
      </c>
      <c r="Z197" s="135">
        <f t="shared" si="58"/>
        <v>0.4</v>
      </c>
      <c r="AA197" s="135">
        <f t="shared" si="58"/>
        <v>0.4</v>
      </c>
      <c r="AB197" s="135">
        <f t="shared" si="58"/>
        <v>0.4</v>
      </c>
      <c r="AC197" s="135">
        <f t="shared" si="58"/>
        <v>0.4</v>
      </c>
      <c r="AD197" s="135">
        <f t="shared" si="58"/>
        <v>0.4</v>
      </c>
      <c r="AE197" s="135">
        <f t="shared" si="58"/>
        <v>0.4</v>
      </c>
      <c r="AF197" s="135">
        <f t="shared" si="58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6"/>
        <v>0.64</v>
      </c>
      <c r="C198" s="145">
        <v>0.64</v>
      </c>
      <c r="D198" s="145">
        <f t="shared" si="57"/>
        <v>0.64</v>
      </c>
      <c r="E198" s="145">
        <f t="shared" si="57"/>
        <v>0.64</v>
      </c>
      <c r="F198" s="145">
        <f t="shared" si="57"/>
        <v>0.64</v>
      </c>
      <c r="G198" s="145">
        <f t="shared" si="57"/>
        <v>0.64</v>
      </c>
      <c r="H198" s="145">
        <f t="shared" si="57"/>
        <v>0.64</v>
      </c>
      <c r="I198" s="145">
        <f t="shared" si="57"/>
        <v>0.64</v>
      </c>
      <c r="J198" s="145">
        <f t="shared" si="57"/>
        <v>0.64</v>
      </c>
      <c r="K198" s="145">
        <f t="shared" si="57"/>
        <v>0.64</v>
      </c>
      <c r="L198" s="145">
        <f t="shared" si="57"/>
        <v>0.64</v>
      </c>
      <c r="M198" s="145">
        <f t="shared" si="57"/>
        <v>0.64</v>
      </c>
      <c r="N198" s="145">
        <f t="shared" si="57"/>
        <v>0.64</v>
      </c>
      <c r="O198" s="145">
        <f t="shared" si="57"/>
        <v>0.64</v>
      </c>
      <c r="P198" s="145">
        <f t="shared" si="57"/>
        <v>0.64</v>
      </c>
      <c r="Q198" s="145">
        <f t="shared" si="57"/>
        <v>0.64</v>
      </c>
      <c r="R198" s="145">
        <f t="shared" si="57"/>
        <v>0.64</v>
      </c>
      <c r="S198" s="145">
        <f t="shared" si="57"/>
        <v>0.64</v>
      </c>
      <c r="T198" s="145">
        <f t="shared" si="58"/>
        <v>0.64</v>
      </c>
      <c r="U198" s="145">
        <f t="shared" si="58"/>
        <v>0.64</v>
      </c>
      <c r="V198" s="145">
        <f t="shared" si="58"/>
        <v>0.64</v>
      </c>
      <c r="W198" s="145">
        <f t="shared" si="58"/>
        <v>0.64</v>
      </c>
      <c r="X198" s="145">
        <f t="shared" si="58"/>
        <v>0.64</v>
      </c>
      <c r="Y198" s="145">
        <f t="shared" si="58"/>
        <v>0.64</v>
      </c>
      <c r="Z198" s="145">
        <f t="shared" si="58"/>
        <v>0.64</v>
      </c>
      <c r="AA198" s="145">
        <f t="shared" si="58"/>
        <v>0.64</v>
      </c>
      <c r="AB198" s="145">
        <f t="shared" si="58"/>
        <v>0.64</v>
      </c>
      <c r="AC198" s="145">
        <f t="shared" si="58"/>
        <v>0.64</v>
      </c>
      <c r="AD198" s="145">
        <f t="shared" si="58"/>
        <v>0.64</v>
      </c>
      <c r="AE198" s="145">
        <f t="shared" si="58"/>
        <v>0.64</v>
      </c>
      <c r="AF198" s="145">
        <f t="shared" si="58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9">SUM(D193:D198)</f>
        <v>3.54</v>
      </c>
      <c r="E199" s="148">
        <f t="shared" si="59"/>
        <v>3.54</v>
      </c>
      <c r="F199" s="148">
        <f t="shared" si="59"/>
        <v>3.54</v>
      </c>
      <c r="G199" s="148">
        <f t="shared" si="59"/>
        <v>3.54</v>
      </c>
      <c r="H199" s="148">
        <f t="shared" si="59"/>
        <v>3.54</v>
      </c>
      <c r="I199" s="148">
        <f t="shared" si="59"/>
        <v>3.54</v>
      </c>
      <c r="J199" s="148">
        <f t="shared" si="59"/>
        <v>3.54</v>
      </c>
      <c r="K199" s="148">
        <f t="shared" si="59"/>
        <v>3.54</v>
      </c>
      <c r="L199" s="148">
        <f t="shared" si="59"/>
        <v>3.54</v>
      </c>
      <c r="M199" s="148">
        <f>SUM(M193:M198)</f>
        <v>3.54</v>
      </c>
      <c r="N199" s="148">
        <f t="shared" ref="N199:S199" si="60">SUM(N193:N198)</f>
        <v>3.54</v>
      </c>
      <c r="O199" s="148">
        <f t="shared" si="60"/>
        <v>3.54</v>
      </c>
      <c r="P199" s="148">
        <f t="shared" si="60"/>
        <v>3.54</v>
      </c>
      <c r="Q199" s="148">
        <f t="shared" si="60"/>
        <v>3.54</v>
      </c>
      <c r="R199" s="148">
        <f t="shared" si="60"/>
        <v>3.54</v>
      </c>
      <c r="S199" s="148">
        <f t="shared" si="60"/>
        <v>3.54</v>
      </c>
      <c r="T199" s="148">
        <f>SUM(T193:T198)</f>
        <v>3.54</v>
      </c>
      <c r="U199" s="148">
        <f t="shared" ref="U199:AG199" si="61">SUM(U193:U198)</f>
        <v>3.54</v>
      </c>
      <c r="V199" s="148">
        <f t="shared" si="61"/>
        <v>3.54</v>
      </c>
      <c r="W199" s="148">
        <f t="shared" si="61"/>
        <v>3.54</v>
      </c>
      <c r="X199" s="148">
        <f t="shared" si="61"/>
        <v>3.54</v>
      </c>
      <c r="Y199" s="148">
        <f t="shared" si="61"/>
        <v>3.54</v>
      </c>
      <c r="Z199" s="148">
        <f t="shared" si="61"/>
        <v>3.54</v>
      </c>
      <c r="AA199" s="148">
        <f t="shared" si="61"/>
        <v>3.54</v>
      </c>
      <c r="AB199" s="148">
        <f t="shared" si="61"/>
        <v>3.54</v>
      </c>
      <c r="AC199" s="148">
        <f t="shared" si="61"/>
        <v>3.54</v>
      </c>
      <c r="AD199" s="148">
        <f t="shared" si="61"/>
        <v>3.54</v>
      </c>
      <c r="AE199" s="148">
        <f t="shared" si="61"/>
        <v>3.54</v>
      </c>
      <c r="AF199" s="148">
        <f t="shared" si="61"/>
        <v>3.54</v>
      </c>
      <c r="AG199" s="149">
        <f t="shared" si="61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1501.3400000000001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2078/09/3)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2">B75</f>
        <v>936.93999999999994</v>
      </c>
      <c r="U213" s="173">
        <f t="shared" si="62"/>
        <v>930.14</v>
      </c>
      <c r="V213" s="173">
        <f t="shared" si="62"/>
        <v>889.24</v>
      </c>
      <c r="W213" s="173">
        <f t="shared" si="62"/>
        <v>902.24</v>
      </c>
      <c r="X213" s="173">
        <f t="shared" si="62"/>
        <v>885.63999999999987</v>
      </c>
      <c r="Y213" s="173">
        <f t="shared" si="62"/>
        <v>913.42</v>
      </c>
      <c r="Z213" s="173">
        <f t="shared" si="62"/>
        <v>973.94</v>
      </c>
      <c r="AA213" s="173">
        <f t="shared" si="62"/>
        <v>1057.6399999999999</v>
      </c>
      <c r="AB213" s="173">
        <f t="shared" si="62"/>
        <v>1155.8400000000001</v>
      </c>
      <c r="AC213" s="173">
        <f t="shared" si="62"/>
        <v>1288.24</v>
      </c>
      <c r="AD213" s="173">
        <f t="shared" si="62"/>
        <v>1394.3400000000001</v>
      </c>
      <c r="AE213" s="173">
        <f t="shared" si="62"/>
        <v>1501.3400000000001</v>
      </c>
      <c r="AF213" s="173">
        <f t="shared" si="62"/>
        <v>1484.54</v>
      </c>
      <c r="AG213" s="173">
        <f t="shared" si="62"/>
        <v>1469.84</v>
      </c>
      <c r="AH213" s="173">
        <f t="shared" si="62"/>
        <v>1416.94</v>
      </c>
      <c r="AI213" s="173">
        <f t="shared" si="62"/>
        <v>1339.04</v>
      </c>
      <c r="AJ213" s="173">
        <f t="shared" si="62"/>
        <v>1306.4399999999998</v>
      </c>
      <c r="AK213" s="173">
        <f t="shared" si="62"/>
        <v>1290.94</v>
      </c>
      <c r="AL213" s="173">
        <f t="shared" si="62"/>
        <v>1312.1399999999999</v>
      </c>
      <c r="AM213" s="173">
        <f t="shared" si="62"/>
        <v>1305.24</v>
      </c>
      <c r="AN213" s="173">
        <f t="shared" si="62"/>
        <v>1344.04</v>
      </c>
      <c r="AO213" s="173">
        <f t="shared" si="62"/>
        <v>1490.04</v>
      </c>
      <c r="AP213" s="173">
        <f t="shared" si="62"/>
        <v>1621.94</v>
      </c>
      <c r="AQ213" s="173">
        <f t="shared" si="62"/>
        <v>1645.0400000000002</v>
      </c>
      <c r="AR213" s="173">
        <f t="shared" si="62"/>
        <v>1577.8400000000001</v>
      </c>
      <c r="AS213" s="173">
        <f t="shared" si="62"/>
        <v>1542.6399999999999</v>
      </c>
      <c r="AT213" s="173">
        <f t="shared" si="62"/>
        <v>1486.04</v>
      </c>
      <c r="AU213" s="173">
        <f t="shared" si="62"/>
        <v>1443.7</v>
      </c>
      <c r="AV213" s="173">
        <f t="shared" si="62"/>
        <v>1216.44</v>
      </c>
      <c r="AW213" s="173">
        <f t="shared" si="62"/>
        <v>1085.94</v>
      </c>
      <c r="AX213" s="173">
        <f t="shared" si="62"/>
        <v>1008.6400000000001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3">C198</f>
        <v>0.64</v>
      </c>
      <c r="C234" s="176">
        <f t="shared" si="63"/>
        <v>0.64</v>
      </c>
      <c r="D234" s="176">
        <f t="shared" si="63"/>
        <v>0.64</v>
      </c>
      <c r="E234" s="176">
        <f t="shared" si="63"/>
        <v>0.64</v>
      </c>
      <c r="F234" s="176">
        <f t="shared" si="63"/>
        <v>0.64</v>
      </c>
      <c r="G234" s="176">
        <f t="shared" si="63"/>
        <v>0.64</v>
      </c>
      <c r="H234" s="176">
        <f t="shared" si="63"/>
        <v>0.64</v>
      </c>
      <c r="I234" s="176">
        <f t="shared" si="63"/>
        <v>0.64</v>
      </c>
      <c r="J234" s="176">
        <f t="shared" si="63"/>
        <v>0.64</v>
      </c>
      <c r="K234" s="176">
        <f t="shared" si="63"/>
        <v>0.64</v>
      </c>
      <c r="L234" s="176">
        <f t="shared" si="63"/>
        <v>0.64</v>
      </c>
      <c r="M234" s="176">
        <f t="shared" si="63"/>
        <v>0.64</v>
      </c>
      <c r="N234" s="176">
        <f t="shared" si="63"/>
        <v>0.64</v>
      </c>
      <c r="O234" s="176">
        <f t="shared" si="63"/>
        <v>0.64</v>
      </c>
      <c r="P234" s="176">
        <f t="shared" si="63"/>
        <v>0.64</v>
      </c>
      <c r="Q234" s="176">
        <f t="shared" si="63"/>
        <v>0.64</v>
      </c>
      <c r="R234" s="176">
        <f t="shared" si="63"/>
        <v>0.64</v>
      </c>
      <c r="S234" s="176">
        <f t="shared" si="63"/>
        <v>0.64</v>
      </c>
      <c r="T234" s="176">
        <f t="shared" si="63"/>
        <v>0.64</v>
      </c>
      <c r="U234" s="176">
        <f t="shared" si="63"/>
        <v>0.64</v>
      </c>
      <c r="V234" s="176">
        <f t="shared" si="63"/>
        <v>0.64</v>
      </c>
      <c r="W234" s="176">
        <f t="shared" si="63"/>
        <v>0.64</v>
      </c>
      <c r="X234" s="176">
        <f t="shared" si="63"/>
        <v>0.64</v>
      </c>
      <c r="Y234" s="176">
        <f t="shared" si="63"/>
        <v>0.64</v>
      </c>
      <c r="Z234" s="176">
        <f t="shared" si="63"/>
        <v>0.64</v>
      </c>
      <c r="AA234" s="176">
        <f t="shared" si="63"/>
        <v>0.64</v>
      </c>
      <c r="AB234" s="176">
        <f t="shared" si="63"/>
        <v>0.64</v>
      </c>
      <c r="AC234" s="176">
        <f t="shared" si="63"/>
        <v>0.64</v>
      </c>
      <c r="AD234" s="176">
        <f t="shared" si="63"/>
        <v>0.64</v>
      </c>
      <c r="AE234" s="176">
        <f t="shared" si="63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4">IF(C202&lt;100,"",C202-520)</f>
        <v/>
      </c>
      <c r="D235" s="119" t="str">
        <f t="shared" si="64"/>
        <v/>
      </c>
      <c r="E235" s="119" t="str">
        <f t="shared" si="64"/>
        <v/>
      </c>
      <c r="F235" s="119" t="str">
        <f t="shared" si="64"/>
        <v/>
      </c>
      <c r="G235" s="119" t="str">
        <f t="shared" si="64"/>
        <v/>
      </c>
      <c r="H235" s="119" t="str">
        <f t="shared" si="64"/>
        <v/>
      </c>
      <c r="I235" s="119" t="str">
        <f t="shared" si="64"/>
        <v/>
      </c>
      <c r="J235" s="119" t="str">
        <f t="shared" si="64"/>
        <v/>
      </c>
      <c r="K235" s="119" t="str">
        <f t="shared" si="64"/>
        <v/>
      </c>
      <c r="L235" s="119" t="str">
        <f t="shared" si="64"/>
        <v/>
      </c>
      <c r="M235" s="119" t="str">
        <f t="shared" si="64"/>
        <v/>
      </c>
      <c r="N235" s="119" t="str">
        <f t="shared" si="64"/>
        <v/>
      </c>
      <c r="O235" s="119" t="str">
        <f t="shared" si="64"/>
        <v/>
      </c>
      <c r="P235" s="119" t="str">
        <f t="shared" si="64"/>
        <v/>
      </c>
      <c r="Q235" s="119" t="str">
        <f t="shared" si="64"/>
        <v/>
      </c>
      <c r="R235" s="119" t="str">
        <f t="shared" si="64"/>
        <v/>
      </c>
      <c r="S235" s="119" t="str">
        <f t="shared" si="64"/>
        <v/>
      </c>
      <c r="T235" s="119" t="str">
        <f t="shared" si="64"/>
        <v/>
      </c>
      <c r="U235" s="119" t="str">
        <f t="shared" si="64"/>
        <v/>
      </c>
      <c r="V235" s="119" t="str">
        <f t="shared" si="64"/>
        <v/>
      </c>
      <c r="W235" s="119" t="str">
        <f t="shared" si="64"/>
        <v/>
      </c>
      <c r="X235" s="119" t="str">
        <f t="shared" si="64"/>
        <v/>
      </c>
      <c r="Y235" s="119" t="str">
        <f t="shared" si="64"/>
        <v/>
      </c>
      <c r="Z235" s="119" t="str">
        <f t="shared" si="64"/>
        <v/>
      </c>
      <c r="AA235" s="119" t="str">
        <f t="shared" si="64"/>
        <v/>
      </c>
      <c r="AB235" s="119" t="str">
        <f t="shared" si="64"/>
        <v/>
      </c>
      <c r="AC235" s="119" t="str">
        <f t="shared" si="64"/>
        <v/>
      </c>
      <c r="AD235" s="119" t="str">
        <f t="shared" si="64"/>
        <v/>
      </c>
      <c r="AE235" s="119" t="str">
        <f t="shared" si="64"/>
        <v/>
      </c>
      <c r="AF235" s="119" t="str">
        <f t="shared" si="64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5">IF(B203&lt;100,"",B203-620)</f>
        <v/>
      </c>
      <c r="C236" s="119" t="str">
        <f t="shared" si="65"/>
        <v/>
      </c>
      <c r="D236" s="119" t="str">
        <f t="shared" si="65"/>
        <v/>
      </c>
      <c r="E236" s="119" t="str">
        <f t="shared" si="65"/>
        <v/>
      </c>
      <c r="F236" s="119" t="str">
        <f t="shared" si="65"/>
        <v/>
      </c>
      <c r="G236" s="119" t="str">
        <f t="shared" si="65"/>
        <v/>
      </c>
      <c r="H236" s="119" t="str">
        <f t="shared" si="65"/>
        <v/>
      </c>
      <c r="I236" s="119" t="str">
        <f t="shared" si="65"/>
        <v/>
      </c>
      <c r="J236" s="119" t="str">
        <f t="shared" si="65"/>
        <v/>
      </c>
      <c r="K236" s="119" t="str">
        <f t="shared" si="65"/>
        <v/>
      </c>
      <c r="L236" s="119" t="str">
        <f t="shared" si="65"/>
        <v/>
      </c>
      <c r="M236" s="119" t="str">
        <f t="shared" si="65"/>
        <v/>
      </c>
      <c r="N236" s="119" t="str">
        <f t="shared" si="65"/>
        <v/>
      </c>
      <c r="O236" s="119" t="str">
        <f t="shared" si="65"/>
        <v/>
      </c>
      <c r="P236" s="119" t="str">
        <f t="shared" si="65"/>
        <v/>
      </c>
      <c r="Q236" s="119" t="str">
        <f t="shared" si="65"/>
        <v/>
      </c>
      <c r="R236" s="119" t="str">
        <f t="shared" si="65"/>
        <v/>
      </c>
      <c r="S236" s="119" t="str">
        <f t="shared" si="65"/>
        <v/>
      </c>
      <c r="T236" s="119" t="str">
        <f t="shared" si="65"/>
        <v/>
      </c>
      <c r="U236" s="119" t="str">
        <f t="shared" si="65"/>
        <v/>
      </c>
      <c r="V236" s="119" t="str">
        <f t="shared" si="65"/>
        <v/>
      </c>
      <c r="W236" s="119" t="str">
        <f t="shared" si="65"/>
        <v/>
      </c>
      <c r="X236" s="119" t="str">
        <f t="shared" si="65"/>
        <v/>
      </c>
      <c r="Y236" s="119" t="str">
        <f t="shared" si="65"/>
        <v/>
      </c>
      <c r="Z236" s="119" t="str">
        <f t="shared" si="65"/>
        <v/>
      </c>
      <c r="AA236" s="119" t="str">
        <f t="shared" si="65"/>
        <v/>
      </c>
      <c r="AB236" s="119" t="str">
        <f t="shared" si="65"/>
        <v/>
      </c>
      <c r="AC236" s="119" t="str">
        <f t="shared" si="65"/>
        <v/>
      </c>
      <c r="AD236" s="119" t="str">
        <f t="shared" si="65"/>
        <v/>
      </c>
      <c r="AE236" s="119" t="str">
        <f t="shared" si="65"/>
        <v/>
      </c>
      <c r="AF236" s="119" t="str">
        <f t="shared" si="65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6">IF(B204&lt;100,"",B204-330)</f>
        <v/>
      </c>
      <c r="C237" s="119" t="str">
        <f t="shared" si="66"/>
        <v/>
      </c>
      <c r="D237" s="119" t="str">
        <f t="shared" si="66"/>
        <v/>
      </c>
      <c r="E237" s="119" t="str">
        <f t="shared" si="66"/>
        <v/>
      </c>
      <c r="F237" s="119" t="str">
        <f t="shared" si="66"/>
        <v/>
      </c>
      <c r="G237" s="119" t="str">
        <f t="shared" si="66"/>
        <v/>
      </c>
      <c r="H237" s="119" t="str">
        <f t="shared" si="66"/>
        <v/>
      </c>
      <c r="I237" s="119" t="str">
        <f t="shared" si="66"/>
        <v/>
      </c>
      <c r="J237" s="119" t="str">
        <f t="shared" si="66"/>
        <v/>
      </c>
      <c r="K237" s="119" t="str">
        <f t="shared" si="66"/>
        <v/>
      </c>
      <c r="L237" s="119" t="str">
        <f t="shared" si="66"/>
        <v/>
      </c>
      <c r="M237" s="119" t="str">
        <f t="shared" si="66"/>
        <v/>
      </c>
      <c r="N237" s="119" t="str">
        <f t="shared" si="66"/>
        <v/>
      </c>
      <c r="O237" s="119" t="str">
        <f t="shared" si="66"/>
        <v/>
      </c>
      <c r="P237" s="119" t="str">
        <f t="shared" si="66"/>
        <v/>
      </c>
      <c r="Q237" s="119" t="str">
        <f t="shared" si="66"/>
        <v/>
      </c>
      <c r="R237" s="119" t="str">
        <f t="shared" si="66"/>
        <v/>
      </c>
      <c r="S237" s="119" t="str">
        <f t="shared" si="66"/>
        <v/>
      </c>
      <c r="T237" s="119" t="str">
        <f t="shared" si="66"/>
        <v/>
      </c>
      <c r="U237" s="119" t="str">
        <f t="shared" si="66"/>
        <v/>
      </c>
      <c r="V237" s="119" t="str">
        <f t="shared" si="66"/>
        <v/>
      </c>
      <c r="W237" s="119" t="str">
        <f t="shared" si="66"/>
        <v/>
      </c>
      <c r="X237" s="119" t="str">
        <f t="shared" si="66"/>
        <v/>
      </c>
      <c r="Y237" s="119" t="str">
        <f t="shared" si="66"/>
        <v/>
      </c>
      <c r="Z237" s="119" t="str">
        <f t="shared" si="66"/>
        <v/>
      </c>
      <c r="AA237" s="119" t="str">
        <f t="shared" si="66"/>
        <v/>
      </c>
      <c r="AB237" s="119" t="str">
        <f t="shared" si="66"/>
        <v/>
      </c>
      <c r="AC237" s="119" t="str">
        <f t="shared" si="66"/>
        <v/>
      </c>
      <c r="AD237" s="119" t="str">
        <f t="shared" si="66"/>
        <v/>
      </c>
      <c r="AE237" s="119" t="str">
        <f t="shared" si="66"/>
        <v/>
      </c>
      <c r="AF237" s="119" t="str">
        <f t="shared" si="66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7">IF(C205&lt;100,"",C205-1500)</f>
        <v/>
      </c>
      <c r="D238" s="119" t="str">
        <f t="shared" si="67"/>
        <v/>
      </c>
      <c r="E238" s="119" t="str">
        <f t="shared" si="67"/>
        <v/>
      </c>
      <c r="F238" s="119" t="str">
        <f t="shared" si="67"/>
        <v/>
      </c>
      <c r="G238" s="119" t="str">
        <f t="shared" si="67"/>
        <v/>
      </c>
      <c r="H238" s="119" t="str">
        <f t="shared" si="67"/>
        <v/>
      </c>
      <c r="I238" s="119" t="str">
        <f t="shared" si="67"/>
        <v/>
      </c>
      <c r="J238" s="119" t="str">
        <f t="shared" si="67"/>
        <v/>
      </c>
      <c r="K238" s="119" t="str">
        <f t="shared" si="67"/>
        <v/>
      </c>
      <c r="L238" s="119" t="str">
        <f t="shared" si="67"/>
        <v/>
      </c>
      <c r="M238" s="119" t="str">
        <f t="shared" si="67"/>
        <v/>
      </c>
      <c r="N238" s="119" t="str">
        <f t="shared" si="67"/>
        <v/>
      </c>
      <c r="O238" s="119" t="str">
        <f t="shared" si="67"/>
        <v/>
      </c>
      <c r="P238" s="119" t="str">
        <f t="shared" si="67"/>
        <v/>
      </c>
      <c r="Q238" s="119" t="str">
        <f t="shared" si="67"/>
        <v/>
      </c>
      <c r="R238" s="119" t="str">
        <f t="shared" si="67"/>
        <v/>
      </c>
      <c r="S238" s="119" t="str">
        <f t="shared" si="67"/>
        <v/>
      </c>
      <c r="T238" s="119" t="str">
        <f t="shared" si="67"/>
        <v/>
      </c>
      <c r="U238" s="119" t="str">
        <f t="shared" si="67"/>
        <v/>
      </c>
      <c r="V238" s="119" t="str">
        <f t="shared" si="67"/>
        <v/>
      </c>
      <c r="W238" s="119" t="str">
        <f t="shared" si="67"/>
        <v/>
      </c>
      <c r="X238" s="119" t="str">
        <f t="shared" si="67"/>
        <v/>
      </c>
      <c r="Y238" s="119" t="str">
        <f t="shared" si="67"/>
        <v/>
      </c>
      <c r="Z238" s="119" t="str">
        <f t="shared" si="67"/>
        <v/>
      </c>
      <c r="AA238" s="119" t="str">
        <f t="shared" si="67"/>
        <v/>
      </c>
      <c r="AB238" s="119" t="str">
        <f t="shared" si="67"/>
        <v/>
      </c>
      <c r="AC238" s="119" t="str">
        <f t="shared" si="67"/>
        <v/>
      </c>
      <c r="AD238" s="119" t="str">
        <f t="shared" si="67"/>
        <v/>
      </c>
      <c r="AE238" s="119" t="str">
        <f t="shared" si="67"/>
        <v/>
      </c>
      <c r="AF238" s="119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P39:R39 P40:Q42 R42 R40:T41 M11:Z11 M58:W59 Z12 U40:Y42 X91:AA91 AA16:AB16 AB81:AF81 B81:R81 B82:AF83 D193:AF199 B193:B199 B84:B91 B9:AF10 B191:AF191 B53:B56 AG73 B94:B99 U212:AF212 B68:AF80 C56:AF56 M60:O61 C57:L61 C63:L67 M39:O42 M16:P32 M36:P37 M14:P14 M12:R13 N45:R48 P60:R67 Y85:AA90 AB17:AB26 S18:AA30 AB94:AF99 AA11:AF14 AB28:AF31 AC16:AF26 S36:AF36 Z40:AF43 M53:AF55 AB84:AF91">
    <cfRule type="expression" dxfId="11290" priority="334">
      <formula>B$9&gt;=20/24</formula>
    </cfRule>
    <cfRule type="expression" dxfId="11289" priority="335">
      <formula>AND(B$9&gt;=14/24,B$9&lt;20/24)</formula>
    </cfRule>
    <cfRule type="expression" dxfId="11288" priority="336">
      <formula>AND(B$9&gt;=8/24,B$9&lt;14/24)</formula>
    </cfRule>
    <cfRule type="expression" dxfId="11287" priority="337">
      <formula>B$9&lt;8/24</formula>
    </cfRule>
  </conditionalFormatting>
  <conditionalFormatting sqref="AL4:AL6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1286" priority="329">
      <formula>M$9&gt;=20/24</formula>
    </cfRule>
    <cfRule type="expression" dxfId="11285" priority="330">
      <formula>AND(M$9&gt;=14/24,M$9&lt;20/24)</formula>
    </cfRule>
    <cfRule type="expression" dxfId="11284" priority="331">
      <formula>AND(M$9&gt;=8/24,M$9&lt;14/24)</formula>
    </cfRule>
    <cfRule type="expression" dxfId="11283" priority="332">
      <formula>M$9&lt;8/24</formula>
    </cfRule>
  </conditionalFormatting>
  <conditionalFormatting sqref="M43:R43">
    <cfRule type="expression" dxfId="11282" priority="325">
      <formula>M$9&gt;=20/24</formula>
    </cfRule>
    <cfRule type="expression" dxfId="11281" priority="326">
      <formula>AND(M$9&gt;=14/24,M$9&lt;20/24)</formula>
    </cfRule>
    <cfRule type="expression" dxfId="11280" priority="327">
      <formula>AND(M$9&gt;=8/24,M$9&lt;14/24)</formula>
    </cfRule>
    <cfRule type="expression" dxfId="11279" priority="328">
      <formula>M$9&lt;8/24</formula>
    </cfRule>
  </conditionalFormatting>
  <conditionalFormatting sqref="AB32:AF32">
    <cfRule type="expression" dxfId="11278" priority="321">
      <formula>AB$9&gt;=20/24</formula>
    </cfRule>
    <cfRule type="expression" dxfId="11277" priority="322">
      <formula>AND(AB$9&gt;=14/24,AB$9&lt;20/24)</formula>
    </cfRule>
    <cfRule type="expression" dxfId="11276" priority="323">
      <formula>AND(AB$9&gt;=8/24,AB$9&lt;14/24)</formula>
    </cfRule>
    <cfRule type="expression" dxfId="11275" priority="324">
      <formula>AB$9&lt;8/24</formula>
    </cfRule>
  </conditionalFormatting>
  <conditionalFormatting sqref="S39:AF39">
    <cfRule type="expression" dxfId="11274" priority="317">
      <formula>S$9&gt;=20/24</formula>
    </cfRule>
    <cfRule type="expression" dxfId="11273" priority="318">
      <formula>AND(S$9&gt;=14/24,S$9&lt;20/24)</formula>
    </cfRule>
    <cfRule type="expression" dxfId="11272" priority="319">
      <formula>AND(S$9&gt;=8/24,S$9&lt;14/24)</formula>
    </cfRule>
    <cfRule type="expression" dxfId="11271" priority="320">
      <formula>S$9&lt;8/24</formula>
    </cfRule>
  </conditionalFormatting>
  <conditionalFormatting sqref="S57:AF57">
    <cfRule type="expression" dxfId="11270" priority="313">
      <formula>S$9&gt;=20/24</formula>
    </cfRule>
    <cfRule type="expression" dxfId="11269" priority="314">
      <formula>AND(S$9&gt;=14/24,S$9&lt;20/24)</formula>
    </cfRule>
    <cfRule type="expression" dxfId="11268" priority="315">
      <formula>AND(S$9&gt;=8/24,S$9&lt;14/24)</formula>
    </cfRule>
    <cfRule type="expression" dxfId="11267" priority="316">
      <formula>S$9&lt;8/24</formula>
    </cfRule>
  </conditionalFormatting>
  <conditionalFormatting sqref="S81:AA81">
    <cfRule type="expression" dxfId="11266" priority="309">
      <formula>S$9&gt;=20/24</formula>
    </cfRule>
    <cfRule type="expression" dxfId="11265" priority="310">
      <formula>AND(S$9&gt;=14/24,S$9&lt;20/24)</formula>
    </cfRule>
    <cfRule type="expression" dxfId="11264" priority="311">
      <formula>AND(S$9&gt;=8/24,S$9&lt;14/24)</formula>
    </cfRule>
    <cfRule type="expression" dxfId="11263" priority="312">
      <formula>S$9&lt;8/24</formula>
    </cfRule>
  </conditionalFormatting>
  <conditionalFormatting sqref="U84:AA84">
    <cfRule type="expression" dxfId="11262" priority="305">
      <formula>U$9&gt;=20/24</formula>
    </cfRule>
    <cfRule type="expression" dxfId="11261" priority="306">
      <formula>AND(U$9&gt;=14/24,U$9&lt;20/24)</formula>
    </cfRule>
    <cfRule type="expression" dxfId="11260" priority="307">
      <formula>AND(U$9&gt;=8/24,U$9&lt;14/24)</formula>
    </cfRule>
    <cfRule type="expression" dxfId="11259" priority="308">
      <formula>U$9&lt;8/24</formula>
    </cfRule>
  </conditionalFormatting>
  <conditionalFormatting sqref="M35:P35">
    <cfRule type="expression" dxfId="11258" priority="301">
      <formula>M$9&gt;=20/24</formula>
    </cfRule>
    <cfRule type="expression" dxfId="11257" priority="302">
      <formula>AND(M$9&gt;=14/24,M$9&lt;20/24)</formula>
    </cfRule>
    <cfRule type="expression" dxfId="11256" priority="303">
      <formula>AND(M$9&gt;=8/24,M$9&lt;14/24)</formula>
    </cfRule>
    <cfRule type="expression" dxfId="11255" priority="304">
      <formula>M$9&lt;8/24</formula>
    </cfRule>
  </conditionalFormatting>
  <conditionalFormatting sqref="M49:U49">
    <cfRule type="expression" dxfId="11254" priority="297">
      <formula>M$9&gt;=20/24</formula>
    </cfRule>
    <cfRule type="expression" dxfId="11253" priority="298">
      <formula>AND(M$9&gt;=14/24,M$9&lt;20/24)</formula>
    </cfRule>
    <cfRule type="expression" dxfId="11252" priority="299">
      <formula>AND(M$9&gt;=8/24,M$9&lt;14/24)</formula>
    </cfRule>
    <cfRule type="expression" dxfId="11251" priority="300">
      <formula>M$9&lt;8/24</formula>
    </cfRule>
  </conditionalFormatting>
  <conditionalFormatting sqref="M50:R50">
    <cfRule type="expression" dxfId="11250" priority="293">
      <formula>M$9&gt;=20/24</formula>
    </cfRule>
    <cfRule type="expression" dxfId="11249" priority="294">
      <formula>AND(M$9&gt;=14/24,M$9&lt;20/24)</formula>
    </cfRule>
    <cfRule type="expression" dxfId="11248" priority="295">
      <formula>AND(M$9&gt;=8/24,M$9&lt;14/24)</formula>
    </cfRule>
    <cfRule type="expression" dxfId="11247" priority="296">
      <formula>M$9&lt;8/24</formula>
    </cfRule>
  </conditionalFormatting>
  <conditionalFormatting sqref="M45:R48">
    <cfRule type="expression" dxfId="11246" priority="289">
      <formula>M$9&gt;=20/24</formula>
    </cfRule>
    <cfRule type="expression" dxfId="11245" priority="290">
      <formula>AND(M$9&gt;=14/24,M$9&lt;20/24)</formula>
    </cfRule>
    <cfRule type="expression" dxfId="11244" priority="291">
      <formula>AND(M$9&gt;=8/24,M$9&lt;14/24)</formula>
    </cfRule>
    <cfRule type="expression" dxfId="11243" priority="292">
      <formula>M$9&lt;8/24</formula>
    </cfRule>
  </conditionalFormatting>
  <conditionalFormatting sqref="S37:AF37">
    <cfRule type="expression" dxfId="11242" priority="285">
      <formula>S$9&gt;=20/24</formula>
    </cfRule>
    <cfRule type="expression" dxfId="11241" priority="286">
      <formula>AND(S$9&gt;=14/24,S$9&lt;20/24)</formula>
    </cfRule>
    <cfRule type="expression" dxfId="11240" priority="287">
      <formula>AND(S$9&gt;=8/24,S$9&lt;14/24)</formula>
    </cfRule>
    <cfRule type="expression" dxfId="11239" priority="288">
      <formula>S$9&lt;8/24</formula>
    </cfRule>
  </conditionalFormatting>
  <conditionalFormatting sqref="S31:AA32 S35:AF35">
    <cfRule type="expression" dxfId="11238" priority="281">
      <formula>S$9&gt;=20/24</formula>
    </cfRule>
    <cfRule type="expression" dxfId="11237" priority="282">
      <formula>AND(S$9&gt;=14/24,S$9&lt;20/24)</formula>
    </cfRule>
    <cfRule type="expression" dxfId="11236" priority="283">
      <formula>AND(S$9&gt;=8/24,S$9&lt;14/24)</formula>
    </cfRule>
    <cfRule type="expression" dxfId="11235" priority="284">
      <formula>S$9&lt;8/24</formula>
    </cfRule>
  </conditionalFormatting>
  <conditionalFormatting sqref="S42:T43 U43:Y43 S45:AF48">
    <cfRule type="expression" dxfId="11234" priority="277">
      <formula>S$9&gt;=20/24</formula>
    </cfRule>
    <cfRule type="expression" dxfId="11233" priority="278">
      <formula>AND(S$9&gt;=14/24,S$9&lt;20/24)</formula>
    </cfRule>
    <cfRule type="expression" dxfId="11232" priority="279">
      <formula>AND(S$9&gt;=8/24,S$9&lt;14/24)</formula>
    </cfRule>
    <cfRule type="expression" dxfId="11231" priority="280">
      <formula>S$9&lt;8/24</formula>
    </cfRule>
  </conditionalFormatting>
  <conditionalFormatting sqref="S49:AF49">
    <cfRule type="expression" dxfId="11230" priority="273">
      <formula>S$9&gt;=20/24</formula>
    </cfRule>
    <cfRule type="expression" dxfId="11229" priority="274">
      <formula>AND(S$9&gt;=14/24,S$9&lt;20/24)</formula>
    </cfRule>
    <cfRule type="expression" dxfId="11228" priority="275">
      <formula>AND(S$9&gt;=8/24,S$9&lt;14/24)</formula>
    </cfRule>
    <cfRule type="expression" dxfId="11227" priority="276">
      <formula>S$9&lt;8/24</formula>
    </cfRule>
  </conditionalFormatting>
  <conditionalFormatting sqref="S50:AF50">
    <cfRule type="expression" dxfId="11226" priority="269">
      <formula>S$9&gt;=20/24</formula>
    </cfRule>
    <cfRule type="expression" dxfId="11225" priority="270">
      <formula>AND(S$9&gt;=14/24,S$9&lt;20/24)</formula>
    </cfRule>
    <cfRule type="expression" dxfId="11224" priority="271">
      <formula>AND(S$9&gt;=8/24,S$9&lt;14/24)</formula>
    </cfRule>
    <cfRule type="expression" dxfId="11223" priority="272">
      <formula>S$9&lt;8/24</formula>
    </cfRule>
  </conditionalFormatting>
  <conditionalFormatting sqref="S60:T67 X60:AF67">
    <cfRule type="expression" dxfId="11222" priority="265">
      <formula>S$9&gt;=20/24</formula>
    </cfRule>
    <cfRule type="expression" dxfId="11221" priority="266">
      <formula>AND(S$9&gt;=14/24,S$9&lt;20/24)</formula>
    </cfRule>
    <cfRule type="expression" dxfId="11220" priority="267">
      <formula>AND(S$9&gt;=8/24,S$9&lt;14/24)</formula>
    </cfRule>
    <cfRule type="expression" dxfId="11219" priority="268">
      <formula>S$9&lt;8/24</formula>
    </cfRule>
  </conditionalFormatting>
  <conditionalFormatting sqref="C62:L62">
    <cfRule type="expression" dxfId="11218" priority="261">
      <formula>C$9&gt;=20/24</formula>
    </cfRule>
    <cfRule type="expression" dxfId="11217" priority="262">
      <formula>AND(C$9&gt;=14/24,C$9&lt;20/24)</formula>
    </cfRule>
    <cfRule type="expression" dxfId="11216" priority="263">
      <formula>AND(C$9&gt;=8/24,C$9&lt;14/24)</formula>
    </cfRule>
    <cfRule type="expression" dxfId="11215" priority="264">
      <formula>C$9&lt;8/24</formula>
    </cfRule>
  </conditionalFormatting>
  <conditionalFormatting sqref="U94:AA97">
    <cfRule type="expression" dxfId="11214" priority="257">
      <formula>U$9&gt;=20/24</formula>
    </cfRule>
    <cfRule type="expression" dxfId="11213" priority="258">
      <formula>AND(U$9&gt;=14/24,U$9&lt;20/24)</formula>
    </cfRule>
    <cfRule type="expression" dxfId="11212" priority="259">
      <formula>AND(U$9&gt;=8/24,U$9&lt;14/24)</formula>
    </cfRule>
    <cfRule type="expression" dxfId="11211" priority="260">
      <formula>U$9&lt;8/24</formula>
    </cfRule>
  </conditionalFormatting>
  <conditionalFormatting sqref="L12:M12 C11:AB11 B38:AF38 Z12:AB12 C51:AG51 E39:AB41 C39:D44 C37:M37 M34:M36 M13:M14 E42:L44 M16:P32 N34:P37 N14:P14 N12:R13 AA13:AB16 AB17:AB32 S18:AA32 M42:AB50 AC11:AF32 S34:AF37 AC39:AF50 B52:AF56">
    <cfRule type="expression" dxfId="11210" priority="256">
      <formula>B11&gt;$AG11</formula>
    </cfRule>
  </conditionalFormatting>
  <conditionalFormatting sqref="A100:A156 A84:A97 A11:A14 A16:A32 A45:A72 A80:A82 A74:A78 A35:A43 A169:A199">
    <cfRule type="expression" dxfId="11209" priority="255">
      <formula>$AH11=0</formula>
    </cfRule>
  </conditionalFormatting>
  <conditionalFormatting sqref="U98:AA98">
    <cfRule type="expression" dxfId="11208" priority="251">
      <formula>U$9&gt;=20/24</formula>
    </cfRule>
    <cfRule type="expression" dxfId="11207" priority="252">
      <formula>AND(U$9&gt;=14/24,U$9&lt;20/24)</formula>
    </cfRule>
    <cfRule type="expression" dxfId="11206" priority="253">
      <formula>AND(U$9&gt;=8/24,U$9&lt;14/24)</formula>
    </cfRule>
    <cfRule type="expression" dxfId="11205" priority="254">
      <formula>U$9&lt;8/24</formula>
    </cfRule>
  </conditionalFormatting>
  <conditionalFormatting sqref="A98">
    <cfRule type="expression" dxfId="11204" priority="250">
      <formula>$AH98=0</formula>
    </cfRule>
  </conditionalFormatting>
  <conditionalFormatting sqref="M62:O67">
    <cfRule type="expression" dxfId="11203" priority="238">
      <formula>M$9&gt;=20/24</formula>
    </cfRule>
    <cfRule type="expression" dxfId="11202" priority="239">
      <formula>AND(M$9&gt;=14/24,M$9&lt;20/24)</formula>
    </cfRule>
    <cfRule type="expression" dxfId="11201" priority="240">
      <formula>AND(M$9&gt;=8/24,M$9&lt;14/24)</formula>
    </cfRule>
    <cfRule type="expression" dxfId="11200" priority="241">
      <formula>M$9&lt;8/24</formula>
    </cfRule>
  </conditionalFormatting>
  <conditionalFormatting sqref="AL32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11199" priority="233">
      <formula>AB$9&gt;=20/24</formula>
    </cfRule>
    <cfRule type="expression" dxfId="11198" priority="234">
      <formula>AND(AB$9&gt;=14/24,AB$9&lt;20/24)</formula>
    </cfRule>
    <cfRule type="expression" dxfId="11197" priority="235">
      <formula>AND(AB$9&gt;=8/24,AB$9&lt;14/24)</formula>
    </cfRule>
    <cfRule type="expression" dxfId="11196" priority="236">
      <formula>AB$9&lt;8/24</formula>
    </cfRule>
  </conditionalFormatting>
  <conditionalFormatting sqref="M34:P34">
    <cfRule type="expression" dxfId="11195" priority="229">
      <formula>M$9&gt;=20/24</formula>
    </cfRule>
    <cfRule type="expression" dxfId="11194" priority="230">
      <formula>AND(M$9&gt;=14/24,M$9&lt;20/24)</formula>
    </cfRule>
    <cfRule type="expression" dxfId="11193" priority="231">
      <formula>AND(M$9&gt;=8/24,M$9&lt;14/24)</formula>
    </cfRule>
    <cfRule type="expression" dxfId="11192" priority="232">
      <formula>M$9&lt;8/24</formula>
    </cfRule>
  </conditionalFormatting>
  <conditionalFormatting sqref="S34:AA34">
    <cfRule type="expression" dxfId="11191" priority="225">
      <formula>S$9&gt;=20/24</formula>
    </cfRule>
    <cfRule type="expression" dxfId="11190" priority="226">
      <formula>AND(S$9&gt;=14/24,S$9&lt;20/24)</formula>
    </cfRule>
    <cfRule type="expression" dxfId="11189" priority="227">
      <formula>AND(S$9&gt;=8/24,S$9&lt;14/24)</formula>
    </cfRule>
    <cfRule type="expression" dxfId="11188" priority="228">
      <formula>S$9&lt;8/24</formula>
    </cfRule>
  </conditionalFormatting>
  <conditionalFormatting sqref="A34">
    <cfRule type="expression" dxfId="11187" priority="224">
      <formula>$AH34=0</formula>
    </cfRule>
  </conditionalFormatting>
  <conditionalFormatting sqref="A83">
    <cfRule type="expression" dxfId="11186" priority="223">
      <formula>$AH83=0</formula>
    </cfRule>
  </conditionalFormatting>
  <conditionalFormatting sqref="AA15:AF15">
    <cfRule type="expression" dxfId="11185" priority="219">
      <formula>AA$9&gt;=20/24</formula>
    </cfRule>
    <cfRule type="expression" dxfId="11184" priority="220">
      <formula>AND(AA$9&gt;=14/24,AA$9&lt;20/24)</formula>
    </cfRule>
    <cfRule type="expression" dxfId="11183" priority="221">
      <formula>AND(AA$9&gt;=8/24,AA$9&lt;14/24)</formula>
    </cfRule>
    <cfRule type="expression" dxfId="11182" priority="222">
      <formula>AA$9&lt;8/24</formula>
    </cfRule>
  </conditionalFormatting>
  <conditionalFormatting sqref="M15:P15">
    <cfRule type="expression" dxfId="11181" priority="215">
      <formula>M$9&gt;=20/24</formula>
    </cfRule>
    <cfRule type="expression" dxfId="11180" priority="216">
      <formula>AND(M$9&gt;=14/24,M$9&lt;20/24)</formula>
    </cfRule>
    <cfRule type="expression" dxfId="11179" priority="217">
      <formula>AND(M$9&gt;=8/24,M$9&lt;14/24)</formula>
    </cfRule>
    <cfRule type="expression" dxfId="11178" priority="218">
      <formula>M$9&lt;8/24</formula>
    </cfRule>
  </conditionalFormatting>
  <conditionalFormatting sqref="M15:P15">
    <cfRule type="expression" dxfId="11177" priority="214">
      <formula>M15&gt;$AG15</formula>
    </cfRule>
  </conditionalFormatting>
  <conditionalFormatting sqref="A15">
    <cfRule type="expression" dxfId="11176" priority="213">
      <formula>$AH15=0</formula>
    </cfRule>
  </conditionalFormatting>
  <conditionalFormatting sqref="A163:A168">
    <cfRule type="expression" dxfId="11175" priority="212">
      <formula>$AH163=0</formula>
    </cfRule>
  </conditionalFormatting>
  <conditionalFormatting sqref="A157:A162">
    <cfRule type="expression" dxfId="11174" priority="211">
      <formula>$AH157=0</formula>
    </cfRule>
  </conditionalFormatting>
  <conditionalFormatting sqref="Z44:AF44">
    <cfRule type="expression" dxfId="11173" priority="207">
      <formula>Z$9&gt;=20/24</formula>
    </cfRule>
    <cfRule type="expression" dxfId="11172" priority="208">
      <formula>AND(Z$9&gt;=14/24,Z$9&lt;20/24)</formula>
    </cfRule>
    <cfRule type="expression" dxfId="11171" priority="209">
      <formula>AND(Z$9&gt;=8/24,Z$9&lt;14/24)</formula>
    </cfRule>
    <cfRule type="expression" dxfId="11170" priority="210">
      <formula>Z$9&lt;8/24</formula>
    </cfRule>
  </conditionalFormatting>
  <conditionalFormatting sqref="M44:R44">
    <cfRule type="expression" dxfId="11169" priority="203">
      <formula>M$9&gt;=20/24</formula>
    </cfRule>
    <cfRule type="expression" dxfId="11168" priority="204">
      <formula>AND(M$9&gt;=14/24,M$9&lt;20/24)</formula>
    </cfRule>
    <cfRule type="expression" dxfId="11167" priority="205">
      <formula>AND(M$9&gt;=8/24,M$9&lt;14/24)</formula>
    </cfRule>
    <cfRule type="expression" dxfId="11166" priority="206">
      <formula>M$9&lt;8/24</formula>
    </cfRule>
  </conditionalFormatting>
  <conditionalFormatting sqref="S44:Y44">
    <cfRule type="expression" dxfId="11165" priority="199">
      <formula>S$9&gt;=20/24</formula>
    </cfRule>
    <cfRule type="expression" dxfId="11164" priority="200">
      <formula>AND(S$9&gt;=14/24,S$9&lt;20/24)</formula>
    </cfRule>
    <cfRule type="expression" dxfId="11163" priority="201">
      <formula>AND(S$9&gt;=8/24,S$9&lt;14/24)</formula>
    </cfRule>
    <cfRule type="expression" dxfId="11162" priority="202">
      <formula>S$9&lt;8/24</formula>
    </cfRule>
  </conditionalFormatting>
  <conditionalFormatting sqref="A44">
    <cfRule type="expression" dxfId="11161" priority="198">
      <formula>$AH44=0</formula>
    </cfRule>
  </conditionalFormatting>
  <conditionalFormatting sqref="A79">
    <cfRule type="expression" dxfId="11160" priority="197">
      <formula>$AH79=0</formula>
    </cfRule>
  </conditionalFormatting>
  <conditionalFormatting sqref="A73">
    <cfRule type="expression" dxfId="11159" priority="196">
      <formula>$AH73=0</formula>
    </cfRule>
  </conditionalFormatting>
  <conditionalFormatting sqref="AL34:AL35 AL7:AL31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1158" priority="192">
      <formula>U$9&gt;=20/24</formula>
    </cfRule>
    <cfRule type="expression" dxfId="11157" priority="193">
      <formula>AND(U$9&gt;=14/24,U$9&lt;20/24)</formula>
    </cfRule>
    <cfRule type="expression" dxfId="11156" priority="194">
      <formula>AND(U$9&gt;=8/24,U$9&lt;14/24)</formula>
    </cfRule>
    <cfRule type="expression" dxfId="11155" priority="195">
      <formula>U$9&lt;8/24</formula>
    </cfRule>
  </conditionalFormatting>
  <conditionalFormatting sqref="U85:W91 X85:X90">
    <cfRule type="expression" dxfId="11154" priority="188">
      <formula>U$9&gt;=20/24</formula>
    </cfRule>
    <cfRule type="expression" dxfId="11153" priority="189">
      <formula>AND(U$9&gt;=14/24,U$9&lt;20/24)</formula>
    </cfRule>
    <cfRule type="expression" dxfId="11152" priority="190">
      <formula>AND(U$9&gt;=8/24,U$9&lt;14/24)</formula>
    </cfRule>
    <cfRule type="expression" dxfId="11151" priority="191">
      <formula>U$9&lt;8/24</formula>
    </cfRule>
  </conditionalFormatting>
  <conditionalFormatting sqref="C84:R91 S85:T91">
    <cfRule type="expression" dxfId="11150" priority="184">
      <formula>C$9&gt;=20/24</formula>
    </cfRule>
    <cfRule type="expression" dxfId="11149" priority="185">
      <formula>AND(C$9&gt;=14/24,C$9&lt;20/24)</formula>
    </cfRule>
    <cfRule type="expression" dxfId="11148" priority="186">
      <formula>AND(C$9&gt;=8/24,C$9&lt;14/24)</formula>
    </cfRule>
    <cfRule type="expression" dxfId="11147" priority="187">
      <formula>C$9&lt;8/24</formula>
    </cfRule>
  </conditionalFormatting>
  <conditionalFormatting sqref="S84:T84">
    <cfRule type="expression" dxfId="11146" priority="180">
      <formula>S$9&gt;=20/24</formula>
    </cfRule>
    <cfRule type="expression" dxfId="11145" priority="181">
      <formula>AND(S$9&gt;=14/24,S$9&lt;20/24)</formula>
    </cfRule>
    <cfRule type="expression" dxfId="11144" priority="182">
      <formula>AND(S$9&gt;=8/24,S$9&lt;14/24)</formula>
    </cfRule>
    <cfRule type="expression" dxfId="11143" priority="183">
      <formula>S$9&lt;8/24</formula>
    </cfRule>
  </conditionalFormatting>
  <conditionalFormatting sqref="H95:M97 C94:G97">
    <cfRule type="expression" dxfId="11142" priority="176">
      <formula>C$9&gt;=20/24</formula>
    </cfRule>
    <cfRule type="expression" dxfId="11141" priority="177">
      <formula>AND(C$9&gt;=14/24,C$9&lt;20/24)</formula>
    </cfRule>
    <cfRule type="expression" dxfId="11140" priority="178">
      <formula>AND(C$9&gt;=8/24,C$9&lt;14/24)</formula>
    </cfRule>
    <cfRule type="expression" dxfId="11139" priority="179">
      <formula>C$9&lt;8/24</formula>
    </cfRule>
  </conditionalFormatting>
  <conditionalFormatting sqref="N95:R97 O94:R94">
    <cfRule type="expression" dxfId="11138" priority="172">
      <formula>N$9&gt;=20/24</formula>
    </cfRule>
    <cfRule type="expression" dxfId="11137" priority="173">
      <formula>AND(N$9&gt;=14/24,N$9&lt;20/24)</formula>
    </cfRule>
    <cfRule type="expression" dxfId="11136" priority="174">
      <formula>AND(N$9&gt;=8/24,N$9&lt;14/24)</formula>
    </cfRule>
    <cfRule type="expression" dxfId="11135" priority="175">
      <formula>N$9&lt;8/24</formula>
    </cfRule>
  </conditionalFormatting>
  <conditionalFormatting sqref="S94:T97">
    <cfRule type="expression" dxfId="11134" priority="168">
      <formula>S$9&gt;=20/24</formula>
    </cfRule>
    <cfRule type="expression" dxfId="11133" priority="169">
      <formula>AND(S$9&gt;=14/24,S$9&lt;20/24)</formula>
    </cfRule>
    <cfRule type="expression" dxfId="11132" priority="170">
      <formula>AND(S$9&gt;=8/24,S$9&lt;14/24)</formula>
    </cfRule>
    <cfRule type="expression" dxfId="11131" priority="171">
      <formula>S$9&lt;8/24</formula>
    </cfRule>
  </conditionalFormatting>
  <conditionalFormatting sqref="C98:M98">
    <cfRule type="expression" dxfId="11130" priority="164">
      <formula>C$9&gt;=20/24</formula>
    </cfRule>
    <cfRule type="expression" dxfId="11129" priority="165">
      <formula>AND(C$9&gt;=14/24,C$9&lt;20/24)</formula>
    </cfRule>
    <cfRule type="expression" dxfId="11128" priority="166">
      <formula>AND(C$9&gt;=8/24,C$9&lt;14/24)</formula>
    </cfRule>
    <cfRule type="expression" dxfId="11127" priority="167">
      <formula>C$9&lt;8/24</formula>
    </cfRule>
  </conditionalFormatting>
  <conditionalFormatting sqref="N98:R98">
    <cfRule type="expression" dxfId="11126" priority="160">
      <formula>N$9&gt;=20/24</formula>
    </cfRule>
    <cfRule type="expression" dxfId="11125" priority="161">
      <formula>AND(N$9&gt;=14/24,N$9&lt;20/24)</formula>
    </cfRule>
    <cfRule type="expression" dxfId="11124" priority="162">
      <formula>AND(N$9&gt;=8/24,N$9&lt;14/24)</formula>
    </cfRule>
    <cfRule type="expression" dxfId="11123" priority="163">
      <formula>N$9&lt;8/24</formula>
    </cfRule>
  </conditionalFormatting>
  <conditionalFormatting sqref="S98:T98">
    <cfRule type="expression" dxfId="11122" priority="156">
      <formula>S$9&gt;=20/24</formula>
    </cfRule>
    <cfRule type="expression" dxfId="11121" priority="157">
      <formula>AND(S$9&gt;=14/24,S$9&lt;20/24)</formula>
    </cfRule>
    <cfRule type="expression" dxfId="11120" priority="158">
      <formula>AND(S$9&gt;=8/24,S$9&lt;14/24)</formula>
    </cfRule>
    <cfRule type="expression" dxfId="11119" priority="159">
      <formula>S$9&lt;8/24</formula>
    </cfRule>
  </conditionalFormatting>
  <conditionalFormatting sqref="M94:N94">
    <cfRule type="expression" dxfId="11118" priority="152">
      <formula>M$9&gt;=20/24</formula>
    </cfRule>
    <cfRule type="expression" dxfId="11117" priority="153">
      <formula>AND(M$9&gt;=14/24,M$9&lt;20/24)</formula>
    </cfRule>
    <cfRule type="expression" dxfId="11116" priority="154">
      <formula>AND(M$9&gt;=8/24,M$9&lt;14/24)</formula>
    </cfRule>
    <cfRule type="expression" dxfId="11115" priority="155">
      <formula>M$9&lt;8/24</formula>
    </cfRule>
  </conditionalFormatting>
  <conditionalFormatting sqref="H94:L94">
    <cfRule type="expression" dxfId="11114" priority="148">
      <formula>H$9&gt;=20/24</formula>
    </cfRule>
    <cfRule type="expression" dxfId="11113" priority="149">
      <formula>AND(H$9&gt;=14/24,H$9&lt;20/24)</formula>
    </cfRule>
    <cfRule type="expression" dxfId="11112" priority="150">
      <formula>AND(H$9&gt;=8/24,H$9&lt;14/24)</formula>
    </cfRule>
    <cfRule type="expression" dxfId="11111" priority="151">
      <formula>H$9&lt;8/24</formula>
    </cfRule>
  </conditionalFormatting>
  <conditionalFormatting sqref="U94:W94">
    <cfRule type="expression" dxfId="11110" priority="144">
      <formula>U$9&gt;=20/24</formula>
    </cfRule>
    <cfRule type="expression" dxfId="11109" priority="145">
      <formula>AND(U$9&gt;=14/24,U$9&lt;20/24)</formula>
    </cfRule>
    <cfRule type="expression" dxfId="11108" priority="146">
      <formula>AND(U$9&gt;=8/24,U$9&lt;14/24)</formula>
    </cfRule>
    <cfRule type="expression" dxfId="11107" priority="147">
      <formula>U$9&lt;8/24</formula>
    </cfRule>
  </conditionalFormatting>
  <conditionalFormatting sqref="N94:T94">
    <cfRule type="expression" dxfId="11106" priority="140">
      <formula>N$9&gt;=20/24</formula>
    </cfRule>
    <cfRule type="expression" dxfId="11105" priority="141">
      <formula>AND(N$9&gt;=14/24,N$9&lt;20/24)</formula>
    </cfRule>
    <cfRule type="expression" dxfId="11104" priority="142">
      <formula>AND(N$9&gt;=8/24,N$9&lt;14/24)</formula>
    </cfRule>
    <cfRule type="expression" dxfId="11103" priority="143">
      <formula>N$9&lt;8/24</formula>
    </cfRule>
  </conditionalFormatting>
  <conditionalFormatting sqref="U99:AA99">
    <cfRule type="expression" dxfId="11102" priority="136">
      <formula>U$9&gt;=20/24</formula>
    </cfRule>
    <cfRule type="expression" dxfId="11101" priority="137">
      <formula>AND(U$9&gt;=14/24,U$9&lt;20/24)</formula>
    </cfRule>
    <cfRule type="expression" dxfId="11100" priority="138">
      <formula>AND(U$9&gt;=8/24,U$9&lt;14/24)</formula>
    </cfRule>
    <cfRule type="expression" dxfId="11099" priority="139">
      <formula>U$9&lt;8/24</formula>
    </cfRule>
  </conditionalFormatting>
  <conditionalFormatting sqref="C99:M99">
    <cfRule type="expression" dxfId="11098" priority="132">
      <formula>C$9&gt;=20/24</formula>
    </cfRule>
    <cfRule type="expression" dxfId="11097" priority="133">
      <formula>AND(C$9&gt;=14/24,C$9&lt;20/24)</formula>
    </cfRule>
    <cfRule type="expression" dxfId="11096" priority="134">
      <formula>AND(C$9&gt;=8/24,C$9&lt;14/24)</formula>
    </cfRule>
    <cfRule type="expression" dxfId="11095" priority="135">
      <formula>C$9&lt;8/24</formula>
    </cfRule>
  </conditionalFormatting>
  <conditionalFormatting sqref="N99:R99">
    <cfRule type="expression" dxfId="11094" priority="128">
      <formula>N$9&gt;=20/24</formula>
    </cfRule>
    <cfRule type="expression" dxfId="11093" priority="129">
      <formula>AND(N$9&gt;=14/24,N$9&lt;20/24)</formula>
    </cfRule>
    <cfRule type="expression" dxfId="11092" priority="130">
      <formula>AND(N$9&gt;=8/24,N$9&lt;14/24)</formula>
    </cfRule>
    <cfRule type="expression" dxfId="11091" priority="131">
      <formula>N$9&lt;8/24</formula>
    </cfRule>
  </conditionalFormatting>
  <conditionalFormatting sqref="S99:T99">
    <cfRule type="expression" dxfId="11090" priority="124">
      <formula>S$9&gt;=20/24</formula>
    </cfRule>
    <cfRule type="expression" dxfId="11089" priority="125">
      <formula>AND(S$9&gt;=14/24,S$9&lt;20/24)</formula>
    </cfRule>
    <cfRule type="expression" dxfId="11088" priority="126">
      <formula>AND(S$9&gt;=8/24,S$9&lt;14/24)</formula>
    </cfRule>
    <cfRule type="expression" dxfId="11087" priority="127">
      <formula>S$9&lt;8/24</formula>
    </cfRule>
  </conditionalFormatting>
  <conditionalFormatting sqref="S12:Y16 Z13:Z16">
    <cfRule type="expression" dxfId="11086" priority="120">
      <formula>S$9&gt;=20/24</formula>
    </cfRule>
    <cfRule type="expression" dxfId="11085" priority="121">
      <formula>AND(S$9&gt;=14/24,S$9&lt;20/24)</formula>
    </cfRule>
    <cfRule type="expression" dxfId="11084" priority="122">
      <formula>AND(S$9&gt;=8/24,S$9&lt;14/24)</formula>
    </cfRule>
    <cfRule type="expression" dxfId="11083" priority="123">
      <formula>S$9&lt;8/24</formula>
    </cfRule>
  </conditionalFormatting>
  <conditionalFormatting sqref="S17:AA17">
    <cfRule type="expression" dxfId="11082" priority="116">
      <formula>S$9&gt;=20/24</formula>
    </cfRule>
    <cfRule type="expression" dxfId="11081" priority="117">
      <formula>AND(S$9&gt;=14/24,S$9&lt;20/24)</formula>
    </cfRule>
    <cfRule type="expression" dxfId="11080" priority="118">
      <formula>AND(S$9&gt;=8/24,S$9&lt;14/24)</formula>
    </cfRule>
    <cfRule type="expression" dxfId="11079" priority="119">
      <formula>S$9&lt;8/24</formula>
    </cfRule>
  </conditionalFormatting>
  <conditionalFormatting sqref="S12:Y13 Z13">
    <cfRule type="expression" dxfId="11078" priority="112">
      <formula>S$9&gt;=20/24</formula>
    </cfRule>
    <cfRule type="expression" dxfId="11077" priority="113">
      <formula>AND(S$9&gt;=14/24,S$9&lt;20/24)</formula>
    </cfRule>
    <cfRule type="expression" dxfId="11076" priority="114">
      <formula>AND(S$9&gt;=8/24,S$9&lt;14/24)</formula>
    </cfRule>
    <cfRule type="expression" dxfId="11075" priority="115">
      <formula>S$9&lt;8/24</formula>
    </cfRule>
  </conditionalFormatting>
  <conditionalFormatting sqref="AB58:AF59">
    <cfRule type="expression" dxfId="11074" priority="108">
      <formula>AB$9&gt;=20/24</formula>
    </cfRule>
    <cfRule type="expression" dxfId="11073" priority="109">
      <formula>AND(AB$9&gt;=14/24,AB$9&lt;20/24)</formula>
    </cfRule>
    <cfRule type="expression" dxfId="11072" priority="110">
      <formula>AND(AB$9&gt;=8/24,AB$9&lt;14/24)</formula>
    </cfRule>
    <cfRule type="expression" dxfId="11071" priority="111">
      <formula>AB$9&lt;8/24</formula>
    </cfRule>
  </conditionalFormatting>
  <conditionalFormatting sqref="AL33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070" priority="341">
      <formula>C$9&gt;=20/24</formula>
    </cfRule>
    <cfRule type="expression" dxfId="11069" priority="342">
      <formula>AND(C$9&gt;=14/24,C$9&lt;20/24)</formula>
    </cfRule>
    <cfRule type="expression" dxfId="11068" priority="343">
      <formula>AND(C$9&gt;=8/24,C$9&lt;14/24)</formula>
    </cfRule>
    <cfRule type="expression" dxfId="11067" priority="344">
      <formula>C$9&lt;8/24</formula>
    </cfRule>
  </conditionalFormatting>
  <conditionalFormatting sqref="A200">
    <cfRule type="expression" dxfId="11066" priority="345">
      <formula>$AH200=0</formula>
    </cfRule>
  </conditionalFormatting>
  <conditionalFormatting sqref="AG212">
    <cfRule type="expression" dxfId="11065" priority="346">
      <formula>B$9&gt;=20/24</formula>
    </cfRule>
    <cfRule type="expression" dxfId="11064" priority="347">
      <formula>AND(B$9&gt;=14/24,B$9&lt;20/24)</formula>
    </cfRule>
    <cfRule type="expression" dxfId="11063" priority="348">
      <formula>AND(B$9&gt;=8/24,B$9&lt;14/24)</formula>
    </cfRule>
    <cfRule type="expression" dxfId="11062" priority="349">
      <formula>B$9&lt;8/24</formula>
    </cfRule>
  </conditionalFormatting>
  <conditionalFormatting sqref="S8">
    <cfRule type="expression" dxfId="11061" priority="102">
      <formula>U$9&gt;=20/24</formula>
    </cfRule>
    <cfRule type="expression" dxfId="11060" priority="103">
      <formula>AND(U$9&gt;=14/24,U$9&lt;20/24)</formula>
    </cfRule>
    <cfRule type="expression" dxfId="11059" priority="104">
      <formula>AND(U$9&gt;=8/24,U$9&lt;14/24)</formula>
    </cfRule>
    <cfRule type="expression" dxfId="11058" priority="105">
      <formula>U$9&lt;8/24</formula>
    </cfRule>
  </conditionalFormatting>
  <conditionalFormatting sqref="AB8">
    <cfRule type="expression" dxfId="11057" priority="98">
      <formula>AD$9&gt;=20/24</formula>
    </cfRule>
    <cfRule type="expression" dxfId="11056" priority="99">
      <formula>AND(AD$9&gt;=14/24,AD$9&lt;20/24)</formula>
    </cfRule>
    <cfRule type="expression" dxfId="11055" priority="100">
      <formula>AND(AD$9&gt;=8/24,AD$9&lt;14/24)</formula>
    </cfRule>
    <cfRule type="expression" dxfId="11054" priority="101">
      <formula>AD$9&lt;8/24</formula>
    </cfRule>
  </conditionalFormatting>
  <conditionalFormatting sqref="AH212:AX212">
    <cfRule type="expression" dxfId="11053" priority="350">
      <formula>AG$9&gt;=20/24</formula>
    </cfRule>
    <cfRule type="expression" dxfId="11052" priority="351">
      <formula>AND(AG$9&gt;=14/24,AG$9&lt;20/24)</formula>
    </cfRule>
    <cfRule type="expression" dxfId="11051" priority="352">
      <formula>AND(AG$9&gt;=8/24,AG$9&lt;14/24)</formula>
    </cfRule>
    <cfRule type="expression" dxfId="11050" priority="353">
      <formula>AG$9&lt;8/24</formula>
    </cfRule>
  </conditionalFormatting>
  <conditionalFormatting sqref="T212">
    <cfRule type="expression" dxfId="11049" priority="354">
      <formula>AX$9&gt;=20/24</formula>
    </cfRule>
    <cfRule type="expression" dxfId="11048" priority="355">
      <formula>AND(AX$9&gt;=14/24,AX$9&lt;20/24)</formula>
    </cfRule>
    <cfRule type="expression" dxfId="11047" priority="356">
      <formula>AND(AX$9&gt;=8/24,AX$9&lt;14/24)</formula>
    </cfRule>
    <cfRule type="expression" dxfId="11046" priority="357">
      <formula>AX$9&lt;8/24</formula>
    </cfRule>
  </conditionalFormatting>
  <conditionalFormatting sqref="A99">
    <cfRule type="expression" dxfId="11045" priority="97">
      <formula>$AH99=0</formula>
    </cfRule>
  </conditionalFormatting>
  <conditionalFormatting sqref="M33:P33">
    <cfRule type="expression" dxfId="11044" priority="93">
      <formula>M$9&gt;=20/24</formula>
    </cfRule>
    <cfRule type="expression" dxfId="11043" priority="94">
      <formula>AND(M$9&gt;=14/24,M$9&lt;20/24)</formula>
    </cfRule>
    <cfRule type="expression" dxfId="11042" priority="95">
      <formula>AND(M$9&gt;=8/24,M$9&lt;14/24)</formula>
    </cfRule>
    <cfRule type="expression" dxfId="11041" priority="96">
      <formula>M$9&lt;8/24</formula>
    </cfRule>
  </conditionalFormatting>
  <conditionalFormatting sqref="AB33:AF33">
    <cfRule type="expression" dxfId="11040" priority="89">
      <formula>AB$9&gt;=20/24</formula>
    </cfRule>
    <cfRule type="expression" dxfId="11039" priority="90">
      <formula>AND(AB$9&gt;=14/24,AB$9&lt;20/24)</formula>
    </cfRule>
    <cfRule type="expression" dxfId="11038" priority="91">
      <formula>AND(AB$9&gt;=8/24,AB$9&lt;14/24)</formula>
    </cfRule>
    <cfRule type="expression" dxfId="11037" priority="92">
      <formula>AB$9&lt;8/24</formula>
    </cfRule>
  </conditionalFormatting>
  <conditionalFormatting sqref="S33:AA33">
    <cfRule type="expression" dxfId="11036" priority="85">
      <formula>S$9&gt;=20/24</formula>
    </cfRule>
    <cfRule type="expression" dxfId="11035" priority="86">
      <formula>AND(S$9&gt;=14/24,S$9&lt;20/24)</formula>
    </cfRule>
    <cfRule type="expression" dxfId="11034" priority="87">
      <formula>AND(S$9&gt;=8/24,S$9&lt;14/24)</formula>
    </cfRule>
    <cfRule type="expression" dxfId="11033" priority="88">
      <formula>S$9&lt;8/24</formula>
    </cfRule>
  </conditionalFormatting>
  <conditionalFormatting sqref="M33:P33 S33:AF33">
    <cfRule type="expression" dxfId="11032" priority="84">
      <formula>M33&gt;$AG33</formula>
    </cfRule>
  </conditionalFormatting>
  <conditionalFormatting sqref="B12:K14 B16:L32 B36:L36 L13:L14">
    <cfRule type="expression" dxfId="11031" priority="80">
      <formula>B$9&gt;=20/24</formula>
    </cfRule>
    <cfRule type="expression" dxfId="11030" priority="81">
      <formula>AND(B$9&gt;=14/24,B$9&lt;20/24)</formula>
    </cfRule>
    <cfRule type="expression" dxfId="11029" priority="82">
      <formula>AND(B$9&gt;=8/24,B$9&lt;14/24)</formula>
    </cfRule>
    <cfRule type="expression" dxfId="11028" priority="83">
      <formula>B$9&lt;8/24</formula>
    </cfRule>
  </conditionalFormatting>
  <conditionalFormatting sqref="B35:L35">
    <cfRule type="expression" dxfId="11027" priority="76">
      <formula>B$9&gt;=20/24</formula>
    </cfRule>
    <cfRule type="expression" dxfId="11026" priority="77">
      <formula>AND(B$9&gt;=14/24,B$9&lt;20/24)</formula>
    </cfRule>
    <cfRule type="expression" dxfId="11025" priority="78">
      <formula>AND(B$9&gt;=8/24,B$9&lt;14/24)</formula>
    </cfRule>
    <cfRule type="expression" dxfId="11024" priority="79">
      <formula>B$9&lt;8/24</formula>
    </cfRule>
  </conditionalFormatting>
  <conditionalFormatting sqref="B11:B14 B34:B37 C12:K14 B16:L32 L13:L14 C34:L36">
    <cfRule type="expression" dxfId="11023" priority="75">
      <formula>B11&gt;$AG11</formula>
    </cfRule>
  </conditionalFormatting>
  <conditionalFormatting sqref="B34:L34">
    <cfRule type="expression" dxfId="11022" priority="71">
      <formula>B$9&gt;=20/24</formula>
    </cfRule>
    <cfRule type="expression" dxfId="11021" priority="72">
      <formula>AND(B$9&gt;=14/24,B$9&lt;20/24)</formula>
    </cfRule>
    <cfRule type="expression" dxfId="11020" priority="73">
      <formula>AND(B$9&gt;=8/24,B$9&lt;14/24)</formula>
    </cfRule>
    <cfRule type="expression" dxfId="11019" priority="74">
      <formula>B$9&lt;8/24</formula>
    </cfRule>
  </conditionalFormatting>
  <conditionalFormatting sqref="B15:L15">
    <cfRule type="expression" dxfId="11018" priority="67">
      <formula>B$9&gt;=20/24</formula>
    </cfRule>
    <cfRule type="expression" dxfId="11017" priority="68">
      <formula>AND(B$9&gt;=14/24,B$9&lt;20/24)</formula>
    </cfRule>
    <cfRule type="expression" dxfId="11016" priority="69">
      <formula>AND(B$9&gt;=8/24,B$9&lt;14/24)</formula>
    </cfRule>
    <cfRule type="expression" dxfId="11015" priority="70">
      <formula>B$9&lt;8/24</formula>
    </cfRule>
  </conditionalFormatting>
  <conditionalFormatting sqref="B15:L15">
    <cfRule type="expression" dxfId="11014" priority="66">
      <formula>B15&gt;$AG15</formula>
    </cfRule>
  </conditionalFormatting>
  <conditionalFormatting sqref="B33:L33">
    <cfRule type="expression" dxfId="11013" priority="62">
      <formula>B$9&gt;=20/24</formula>
    </cfRule>
    <cfRule type="expression" dxfId="11012" priority="63">
      <formula>AND(B$9&gt;=14/24,B$9&lt;20/24)</formula>
    </cfRule>
    <cfRule type="expression" dxfId="11011" priority="64">
      <formula>AND(B$9&gt;=8/24,B$9&lt;14/24)</formula>
    </cfRule>
    <cfRule type="expression" dxfId="11010" priority="65">
      <formula>B$9&lt;8/24</formula>
    </cfRule>
  </conditionalFormatting>
  <conditionalFormatting sqref="B33:L33">
    <cfRule type="expression" dxfId="11009" priority="61">
      <formula>B33&gt;$AG33</formula>
    </cfRule>
  </conditionalFormatting>
  <conditionalFormatting sqref="B43">
    <cfRule type="expression" dxfId="11008" priority="57">
      <formula>B$9&gt;=20/24</formula>
    </cfRule>
    <cfRule type="expression" dxfId="11007" priority="58">
      <formula>AND(B$9&gt;=14/24,B$9&lt;20/24)</formula>
    </cfRule>
    <cfRule type="expression" dxfId="11006" priority="59">
      <formula>AND(B$9&gt;=8/24,B$9&lt;14/24)</formula>
    </cfRule>
    <cfRule type="expression" dxfId="11005" priority="60">
      <formula>B$9&lt;8/24</formula>
    </cfRule>
  </conditionalFormatting>
  <conditionalFormatting sqref="B49:L49">
    <cfRule type="expression" dxfId="11004" priority="53">
      <formula>B$9&gt;=20/24</formula>
    </cfRule>
    <cfRule type="expression" dxfId="11003" priority="54">
      <formula>AND(B$9&gt;=14/24,B$9&lt;20/24)</formula>
    </cfRule>
    <cfRule type="expression" dxfId="11002" priority="55">
      <formula>AND(B$9&gt;=8/24,B$9&lt;14/24)</formula>
    </cfRule>
    <cfRule type="expression" dxfId="11001" priority="56">
      <formula>B$9&lt;8/24</formula>
    </cfRule>
  </conditionalFormatting>
  <conditionalFormatting sqref="B45:L48">
    <cfRule type="expression" dxfId="11000" priority="49">
      <formula>B$9&gt;=20/24</formula>
    </cfRule>
    <cfRule type="expression" dxfId="10999" priority="50">
      <formula>AND(B$9&gt;=14/24,B$9&lt;20/24)</formula>
    </cfRule>
    <cfRule type="expression" dxfId="10998" priority="51">
      <formula>AND(B$9&gt;=8/24,B$9&lt;14/24)</formula>
    </cfRule>
    <cfRule type="expression" dxfId="10997" priority="52">
      <formula>B$9&lt;8/24</formula>
    </cfRule>
  </conditionalFormatting>
  <conditionalFormatting sqref="B49:L49">
    <cfRule type="expression" dxfId="10996" priority="45">
      <formula>B$9&gt;=20/24</formula>
    </cfRule>
    <cfRule type="expression" dxfId="10995" priority="46">
      <formula>AND(B$9&gt;=14/24,B$9&lt;20/24)</formula>
    </cfRule>
    <cfRule type="expression" dxfId="10994" priority="47">
      <formula>AND(B$9&gt;=8/24,B$9&lt;14/24)</formula>
    </cfRule>
    <cfRule type="expression" dxfId="10993" priority="48">
      <formula>B$9&lt;8/24</formula>
    </cfRule>
  </conditionalFormatting>
  <conditionalFormatting sqref="B50:L50">
    <cfRule type="expression" dxfId="10992" priority="41">
      <formula>B$9&gt;=20/24</formula>
    </cfRule>
    <cfRule type="expression" dxfId="10991" priority="42">
      <formula>AND(B$9&gt;=14/24,B$9&lt;20/24)</formula>
    </cfRule>
    <cfRule type="expression" dxfId="10990" priority="43">
      <formula>AND(B$9&gt;=8/24,B$9&lt;14/24)</formula>
    </cfRule>
    <cfRule type="expression" dxfId="10989" priority="44">
      <formula>B$9&lt;8/24</formula>
    </cfRule>
  </conditionalFormatting>
  <conditionalFormatting sqref="B39:B51 C45:L50">
    <cfRule type="expression" dxfId="10988" priority="40">
      <formula>B39&gt;$AG39</formula>
    </cfRule>
  </conditionalFormatting>
  <conditionalFormatting sqref="B44">
    <cfRule type="expression" dxfId="10987" priority="36">
      <formula>B$9&gt;=20/24</formula>
    </cfRule>
    <cfRule type="expression" dxfId="10986" priority="37">
      <formula>AND(B$9&gt;=14/24,B$9&lt;20/24)</formula>
    </cfRule>
    <cfRule type="expression" dxfId="10985" priority="38">
      <formula>AND(B$9&gt;=8/24,B$9&lt;14/24)</formula>
    </cfRule>
    <cfRule type="expression" dxfId="10984" priority="39">
      <formula>B$9&lt;8/24</formula>
    </cfRule>
  </conditionalFormatting>
  <conditionalFormatting sqref="B44">
    <cfRule type="expression" dxfId="10983" priority="32">
      <formula>B$9&gt;=20/24</formula>
    </cfRule>
    <cfRule type="expression" dxfId="10982" priority="33">
      <formula>AND(B$9&gt;=14/24,B$9&lt;20/24)</formula>
    </cfRule>
    <cfRule type="expression" dxfId="10981" priority="34">
      <formula>AND(B$9&gt;=8/24,B$9&lt;14/24)</formula>
    </cfRule>
    <cfRule type="expression" dxfId="10980" priority="35">
      <formula>B$9&lt;8/24</formula>
    </cfRule>
  </conditionalFormatting>
  <conditionalFormatting sqref="B57:B59">
    <cfRule type="expression" dxfId="10979" priority="28">
      <formula>B$9&gt;=20/24</formula>
    </cfRule>
    <cfRule type="expression" dxfId="10978" priority="29">
      <formula>AND(B$9&gt;=14/24,B$9&lt;20/24)</formula>
    </cfRule>
    <cfRule type="expression" dxfId="10977" priority="30">
      <formula>AND(B$9&gt;=8/24,B$9&lt;14/24)</formula>
    </cfRule>
    <cfRule type="expression" dxfId="10976" priority="31">
      <formula>B$9&lt;8/24</formula>
    </cfRule>
  </conditionalFormatting>
  <conditionalFormatting sqref="B60:B67">
    <cfRule type="expression" dxfId="10975" priority="24">
      <formula>B$9&gt;=20/24</formula>
    </cfRule>
    <cfRule type="expression" dxfId="10974" priority="25">
      <formula>AND(B$9&gt;=14/24,B$9&lt;20/24)</formula>
    </cfRule>
    <cfRule type="expression" dxfId="10973" priority="26">
      <formula>AND(B$9&gt;=8/24,B$9&lt;14/24)</formula>
    </cfRule>
    <cfRule type="expression" dxfId="10972" priority="27">
      <formula>B$9&lt;8/24</formula>
    </cfRule>
  </conditionalFormatting>
  <conditionalFormatting sqref="Q16:R32 Q36:R37 Q14:R14">
    <cfRule type="expression" dxfId="10971" priority="20">
      <formula>Q$9&gt;=20/24</formula>
    </cfRule>
    <cfRule type="expression" dxfId="10970" priority="21">
      <formula>AND(Q$9&gt;=14/24,Q$9&lt;20/24)</formula>
    </cfRule>
    <cfRule type="expression" dxfId="10969" priority="22">
      <formula>AND(Q$9&gt;=8/24,Q$9&lt;14/24)</formula>
    </cfRule>
    <cfRule type="expression" dxfId="10968" priority="23">
      <formula>Q$9&lt;8/24</formula>
    </cfRule>
  </conditionalFormatting>
  <conditionalFormatting sqref="Q35:R35">
    <cfRule type="expression" dxfId="10967" priority="16">
      <formula>Q$9&gt;=20/24</formula>
    </cfRule>
    <cfRule type="expression" dxfId="10966" priority="17">
      <formula>AND(Q$9&gt;=14/24,Q$9&lt;20/24)</formula>
    </cfRule>
    <cfRule type="expression" dxfId="10965" priority="18">
      <formula>AND(Q$9&gt;=8/24,Q$9&lt;14/24)</formula>
    </cfRule>
    <cfRule type="expression" dxfId="10964" priority="19">
      <formula>Q$9&lt;8/24</formula>
    </cfRule>
  </conditionalFormatting>
  <conditionalFormatting sqref="Q16:R32 Q34:R37 Q14:R14">
    <cfRule type="expression" dxfId="10963" priority="15">
      <formula>Q14&gt;$AG14</formula>
    </cfRule>
  </conditionalFormatting>
  <conditionalFormatting sqref="Q34:R34">
    <cfRule type="expression" dxfId="10962" priority="11">
      <formula>Q$9&gt;=20/24</formula>
    </cfRule>
    <cfRule type="expression" dxfId="10961" priority="12">
      <formula>AND(Q$9&gt;=14/24,Q$9&lt;20/24)</formula>
    </cfRule>
    <cfRule type="expression" dxfId="10960" priority="13">
      <formula>AND(Q$9&gt;=8/24,Q$9&lt;14/24)</formula>
    </cfRule>
    <cfRule type="expression" dxfId="10959" priority="14">
      <formula>Q$9&lt;8/24</formula>
    </cfRule>
  </conditionalFormatting>
  <conditionalFormatting sqref="Q15:R15">
    <cfRule type="expression" dxfId="10958" priority="7">
      <formula>Q$9&gt;=20/24</formula>
    </cfRule>
    <cfRule type="expression" dxfId="10957" priority="8">
      <formula>AND(Q$9&gt;=14/24,Q$9&lt;20/24)</formula>
    </cfRule>
    <cfRule type="expression" dxfId="10956" priority="9">
      <formula>AND(Q$9&gt;=8/24,Q$9&lt;14/24)</formula>
    </cfRule>
    <cfRule type="expression" dxfId="10955" priority="10">
      <formula>Q$9&lt;8/24</formula>
    </cfRule>
  </conditionalFormatting>
  <conditionalFormatting sqref="Q15:R15">
    <cfRule type="expression" dxfId="10954" priority="6">
      <formula>Q15&gt;$AG15</formula>
    </cfRule>
  </conditionalFormatting>
  <conditionalFormatting sqref="Q33:R33">
    <cfRule type="expression" dxfId="10953" priority="2">
      <formula>Q$9&gt;=20/24</formula>
    </cfRule>
    <cfRule type="expression" dxfId="10952" priority="3">
      <formula>AND(Q$9&gt;=14/24,Q$9&lt;20/24)</formula>
    </cfRule>
    <cfRule type="expression" dxfId="10951" priority="4">
      <formula>AND(Q$9&gt;=8/24,Q$9&lt;14/24)</formula>
    </cfRule>
    <cfRule type="expression" dxfId="10950" priority="5">
      <formula>Q$9&lt;8/24</formula>
    </cfRule>
  </conditionalFormatting>
  <conditionalFormatting sqref="Q33:R33">
    <cfRule type="expression" dxfId="10949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7" id="{B56052EB-CE0A-4DD2-800F-9D4813EDBB0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66" sqref="AJ6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2078/09/4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278.89999999999998</v>
      </c>
      <c r="C5" s="32">
        <f t="shared" si="0"/>
        <v>301</v>
      </c>
      <c r="D5" s="32">
        <f t="shared" si="0"/>
        <v>288</v>
      </c>
      <c r="E5" s="32">
        <f t="shared" si="0"/>
        <v>262</v>
      </c>
      <c r="F5" s="32">
        <f t="shared" si="0"/>
        <v>255</v>
      </c>
      <c r="G5" s="32">
        <f t="shared" si="0"/>
        <v>292.2</v>
      </c>
      <c r="H5" s="32">
        <f t="shared" si="0"/>
        <v>270.89999999999998</v>
      </c>
      <c r="I5" s="32">
        <f t="shared" si="0"/>
        <v>287</v>
      </c>
      <c r="J5" s="32">
        <f t="shared" si="0"/>
        <v>205.4</v>
      </c>
      <c r="K5" s="32">
        <f t="shared" si="0"/>
        <v>200.39999999999998</v>
      </c>
      <c r="L5" s="32">
        <f t="shared" si="0"/>
        <v>269</v>
      </c>
      <c r="M5" s="32">
        <f t="shared" si="0"/>
        <v>325</v>
      </c>
      <c r="N5" s="32">
        <f t="shared" si="0"/>
        <v>383</v>
      </c>
      <c r="O5" s="32">
        <f t="shared" si="0"/>
        <v>492</v>
      </c>
      <c r="P5" s="32">
        <f t="shared" si="0"/>
        <v>507.6</v>
      </c>
      <c r="Q5" s="32">
        <f t="shared" si="0"/>
        <v>505.8</v>
      </c>
      <c r="R5" s="32">
        <f t="shared" si="0"/>
        <v>545.9</v>
      </c>
      <c r="S5" s="32">
        <f t="shared" si="0"/>
        <v>537.20000000000005</v>
      </c>
      <c r="T5" s="32">
        <f t="shared" si="0"/>
        <v>578.20000000000005</v>
      </c>
      <c r="U5" s="32">
        <f t="shared" si="0"/>
        <v>470.70000000000005</v>
      </c>
      <c r="V5" s="32">
        <f t="shared" si="0"/>
        <v>482.09999999999997</v>
      </c>
      <c r="W5" s="32">
        <f t="shared" si="0"/>
        <v>341.4</v>
      </c>
      <c r="X5" s="32">
        <f t="shared" si="0"/>
        <v>326</v>
      </c>
      <c r="Y5" s="32">
        <f t="shared" si="0"/>
        <v>327.09999999999997</v>
      </c>
      <c r="Z5" s="32">
        <f t="shared" si="0"/>
        <v>346.2</v>
      </c>
      <c r="AA5" s="32">
        <f t="shared" si="0"/>
        <v>510.20000000000005</v>
      </c>
      <c r="AB5" s="32">
        <f t="shared" si="0"/>
        <v>502.50000000000006</v>
      </c>
      <c r="AC5" s="32">
        <f t="shared" si="0"/>
        <v>352.2</v>
      </c>
      <c r="AD5" s="32">
        <f t="shared" si="0"/>
        <v>376.5</v>
      </c>
      <c r="AE5" s="32">
        <f t="shared" si="0"/>
        <v>346.5</v>
      </c>
      <c r="AF5" s="32">
        <f>B68</f>
        <v>294.7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1527MW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Load=880</v>
      </c>
      <c r="B7" s="37">
        <f>B75</f>
        <v>933.04</v>
      </c>
      <c r="C7" s="37">
        <f t="shared" ref="C7:AF7" si="1">C75</f>
        <v>897.43999999999994</v>
      </c>
      <c r="D7" s="37">
        <f t="shared" si="1"/>
        <v>880.04</v>
      </c>
      <c r="E7" s="37">
        <f t="shared" si="1"/>
        <v>895.04</v>
      </c>
      <c r="F7" s="37">
        <f t="shared" si="1"/>
        <v>899.04</v>
      </c>
      <c r="G7" s="37">
        <f t="shared" si="1"/>
        <v>918.04</v>
      </c>
      <c r="H7" s="37">
        <f t="shared" si="1"/>
        <v>986.44</v>
      </c>
      <c r="I7" s="37">
        <f t="shared" si="1"/>
        <v>1043.94</v>
      </c>
      <c r="J7" s="37">
        <f t="shared" si="1"/>
        <v>1158.44</v>
      </c>
      <c r="K7" s="37">
        <f t="shared" si="1"/>
        <v>1320.04</v>
      </c>
      <c r="L7" s="37">
        <f t="shared" si="1"/>
        <v>1429.94</v>
      </c>
      <c r="M7" s="37">
        <f t="shared" si="1"/>
        <v>1502.54</v>
      </c>
      <c r="N7" s="37">
        <f t="shared" si="1"/>
        <v>1527.44</v>
      </c>
      <c r="O7" s="37">
        <f t="shared" si="1"/>
        <v>1503.44</v>
      </c>
      <c r="P7" s="37">
        <f t="shared" si="1"/>
        <v>1409.24</v>
      </c>
      <c r="Q7" s="37">
        <f t="shared" si="1"/>
        <v>1329.24</v>
      </c>
      <c r="R7" s="37">
        <f t="shared" si="1"/>
        <v>1294.74</v>
      </c>
      <c r="S7" s="37">
        <f t="shared" si="1"/>
        <v>1292.74</v>
      </c>
      <c r="T7" s="37">
        <f t="shared" si="1"/>
        <v>1322.94</v>
      </c>
      <c r="U7" s="37">
        <f t="shared" si="1"/>
        <v>1314.34</v>
      </c>
      <c r="V7" s="37">
        <f t="shared" si="1"/>
        <v>1371.3400000000001</v>
      </c>
      <c r="W7" s="37">
        <f t="shared" si="1"/>
        <v>1483.1399999999999</v>
      </c>
      <c r="X7" s="37">
        <f t="shared" si="1"/>
        <v>1624.64</v>
      </c>
      <c r="Y7" s="37">
        <f t="shared" si="1"/>
        <v>1634.0400000000002</v>
      </c>
      <c r="Z7" s="37">
        <f t="shared" si="1"/>
        <v>1590.3400000000001</v>
      </c>
      <c r="AA7" s="37">
        <f t="shared" si="1"/>
        <v>1551.0400000000002</v>
      </c>
      <c r="AB7" s="37">
        <f t="shared" si="1"/>
        <v>1485.94</v>
      </c>
      <c r="AC7" s="37">
        <f t="shared" si="1"/>
        <v>1431.6399999999999</v>
      </c>
      <c r="AD7" s="37">
        <f t="shared" si="1"/>
        <v>1163.8399999999999</v>
      </c>
      <c r="AE7" s="37">
        <f t="shared" si="1"/>
        <v>1088.1400000000001</v>
      </c>
      <c r="AF7" s="37">
        <f t="shared" si="1"/>
        <v>1027.1400000000001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30</v>
      </c>
      <c r="D11" s="49">
        <v>15</v>
      </c>
      <c r="E11" s="49">
        <v>45</v>
      </c>
      <c r="F11" s="49">
        <v>75</v>
      </c>
      <c r="G11" s="49">
        <v>75</v>
      </c>
      <c r="H11" s="49">
        <v>85</v>
      </c>
      <c r="I11" s="49">
        <v>125</v>
      </c>
      <c r="J11" s="49">
        <v>186</v>
      </c>
      <c r="K11" s="49">
        <v>275</v>
      </c>
      <c r="L11" s="49">
        <v>320</v>
      </c>
      <c r="M11" s="50">
        <v>370</v>
      </c>
      <c r="N11" s="50">
        <v>310</v>
      </c>
      <c r="O11" s="50">
        <v>250</v>
      </c>
      <c r="P11" s="50">
        <v>80</v>
      </c>
      <c r="Q11" s="50">
        <v>40</v>
      </c>
      <c r="R11" s="177">
        <v>30</v>
      </c>
      <c r="S11" s="50">
        <v>12</v>
      </c>
      <c r="T11" s="50">
        <v>30</v>
      </c>
      <c r="U11" s="50">
        <v>30</v>
      </c>
      <c r="V11" s="50">
        <v>153</v>
      </c>
      <c r="W11" s="50">
        <v>180</v>
      </c>
      <c r="X11" s="50">
        <v>350</v>
      </c>
      <c r="Y11" s="50">
        <v>360</v>
      </c>
      <c r="Z11" s="51">
        <v>320</v>
      </c>
      <c r="AA11" s="50">
        <v>260</v>
      </c>
      <c r="AB11" s="50">
        <v>70</v>
      </c>
      <c r="AC11" s="50">
        <v>60.1</v>
      </c>
      <c r="AD11" s="50">
        <v>30</v>
      </c>
      <c r="AE11" s="50">
        <v>17</v>
      </c>
      <c r="AF11" s="50">
        <v>17</v>
      </c>
      <c r="AG11" s="52">
        <v>456</v>
      </c>
      <c r="AH11" s="53">
        <f>MAX(B11:AF11)</f>
        <v>370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57">
        <v>40</v>
      </c>
      <c r="T12" s="57">
        <v>40</v>
      </c>
      <c r="U12" s="57">
        <v>40</v>
      </c>
      <c r="V12" s="57">
        <v>40</v>
      </c>
      <c r="W12" s="57">
        <v>38</v>
      </c>
      <c r="X12" s="57">
        <v>38</v>
      </c>
      <c r="Y12" s="57">
        <v>38</v>
      </c>
      <c r="Z12" s="57">
        <v>38</v>
      </c>
      <c r="AA12" s="57">
        <v>38</v>
      </c>
      <c r="AB12" s="57">
        <v>38</v>
      </c>
      <c r="AC12" s="57">
        <v>38</v>
      </c>
      <c r="AD12" s="57">
        <v>38</v>
      </c>
      <c r="AE12" s="57">
        <v>38</v>
      </c>
      <c r="AF12" s="57">
        <v>38</v>
      </c>
      <c r="AG12" s="58">
        <v>60</v>
      </c>
      <c r="AH12" s="53">
        <f t="shared" ref="AH12:AH75" si="2">MAX(B12:AF12)</f>
        <v>40</v>
      </c>
      <c r="AI12" s="54">
        <f t="shared" ref="AI12:AI75" si="3">MIN(B12:AF12)</f>
        <v>38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22.8</v>
      </c>
      <c r="C13" s="49">
        <v>22.8</v>
      </c>
      <c r="D13" s="49">
        <v>22.8</v>
      </c>
      <c r="E13" s="49">
        <v>22.8</v>
      </c>
      <c r="F13" s="49">
        <v>22.8</v>
      </c>
      <c r="G13" s="49">
        <v>22.8</v>
      </c>
      <c r="H13" s="49">
        <v>22.8</v>
      </c>
      <c r="I13" s="49">
        <v>22.8</v>
      </c>
      <c r="J13" s="49">
        <v>22.8</v>
      </c>
      <c r="K13" s="49">
        <v>22.8</v>
      </c>
      <c r="L13" s="49">
        <v>22.8</v>
      </c>
      <c r="M13" s="49">
        <v>22.8</v>
      </c>
      <c r="N13" s="49">
        <v>22.8</v>
      </c>
      <c r="O13" s="49">
        <v>22.8</v>
      </c>
      <c r="P13" s="49">
        <v>22.8</v>
      </c>
      <c r="Q13" s="49">
        <v>22.8</v>
      </c>
      <c r="R13" s="49">
        <v>22.8</v>
      </c>
      <c r="S13" s="57">
        <v>22.8</v>
      </c>
      <c r="T13" s="57">
        <v>22.8</v>
      </c>
      <c r="U13" s="57">
        <v>22.8</v>
      </c>
      <c r="V13" s="57">
        <v>22.8</v>
      </c>
      <c r="W13" s="57">
        <v>21.8</v>
      </c>
      <c r="X13" s="57">
        <v>21.8</v>
      </c>
      <c r="Y13" s="57">
        <v>21.8</v>
      </c>
      <c r="Z13" s="57">
        <v>21.8</v>
      </c>
      <c r="AA13" s="57">
        <v>21.8</v>
      </c>
      <c r="AB13" s="57">
        <v>21.8</v>
      </c>
      <c r="AC13" s="57">
        <v>21.8</v>
      </c>
      <c r="AD13" s="57">
        <v>21.8</v>
      </c>
      <c r="AE13" s="57">
        <v>21.8</v>
      </c>
      <c r="AF13" s="57">
        <v>21.8</v>
      </c>
      <c r="AG13" s="58">
        <v>52.4</v>
      </c>
      <c r="AH13" s="53">
        <f t="shared" si="2"/>
        <v>22.8</v>
      </c>
      <c r="AI13" s="54">
        <f t="shared" si="3"/>
        <v>21.8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41.4</v>
      </c>
      <c r="C14" s="49">
        <v>41.4</v>
      </c>
      <c r="D14" s="49">
        <v>41.4</v>
      </c>
      <c r="E14" s="49">
        <v>41.4</v>
      </c>
      <c r="F14" s="49">
        <v>41.4</v>
      </c>
      <c r="G14" s="49">
        <v>41.4</v>
      </c>
      <c r="H14" s="49">
        <v>41.4</v>
      </c>
      <c r="I14" s="49">
        <v>41.4</v>
      </c>
      <c r="J14" s="49">
        <v>42.3</v>
      </c>
      <c r="K14" s="49">
        <v>42.3</v>
      </c>
      <c r="L14" s="49">
        <v>42.3</v>
      </c>
      <c r="M14" s="50">
        <v>42.3</v>
      </c>
      <c r="N14" s="50">
        <v>42.3</v>
      </c>
      <c r="O14" s="50">
        <v>42.3</v>
      </c>
      <c r="P14" s="50">
        <v>42.3</v>
      </c>
      <c r="Q14" s="50">
        <v>42.3</v>
      </c>
      <c r="R14" s="50">
        <v>42.3</v>
      </c>
      <c r="S14" s="59">
        <v>42.3</v>
      </c>
      <c r="T14" s="59">
        <v>42.3</v>
      </c>
      <c r="U14" s="59">
        <v>42.3</v>
      </c>
      <c r="V14" s="59">
        <v>42.3</v>
      </c>
      <c r="W14" s="59">
        <v>41.1</v>
      </c>
      <c r="X14" s="59">
        <v>41.1</v>
      </c>
      <c r="Y14" s="59">
        <v>41.1</v>
      </c>
      <c r="Z14" s="59">
        <v>41.1</v>
      </c>
      <c r="AA14" s="59">
        <v>41.1</v>
      </c>
      <c r="AB14" s="59">
        <v>41.3</v>
      </c>
      <c r="AC14" s="59">
        <v>41.3</v>
      </c>
      <c r="AD14" s="59">
        <v>41.3</v>
      </c>
      <c r="AE14" s="59">
        <v>41.3</v>
      </c>
      <c r="AF14" s="59">
        <v>41.3</v>
      </c>
      <c r="AG14" s="58">
        <v>50</v>
      </c>
      <c r="AH14" s="53">
        <f t="shared" si="2"/>
        <v>42.3</v>
      </c>
      <c r="AI14" s="54">
        <f t="shared" si="3"/>
        <v>41.1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23.2</v>
      </c>
      <c r="C15" s="60">
        <v>23.2</v>
      </c>
      <c r="D15" s="60">
        <v>23.2</v>
      </c>
      <c r="E15" s="60">
        <v>23.2</v>
      </c>
      <c r="F15" s="60">
        <v>23.2</v>
      </c>
      <c r="G15" s="60">
        <v>23.2</v>
      </c>
      <c r="H15" s="60">
        <v>23.2</v>
      </c>
      <c r="I15" s="60">
        <v>23.2</v>
      </c>
      <c r="J15" s="60">
        <v>23.2</v>
      </c>
      <c r="K15" s="60">
        <v>23.2</v>
      </c>
      <c r="L15" s="60">
        <v>23.2</v>
      </c>
      <c r="M15" s="50">
        <v>23.2</v>
      </c>
      <c r="N15" s="50">
        <v>23.2</v>
      </c>
      <c r="O15" s="50">
        <v>23.2</v>
      </c>
      <c r="P15" s="50">
        <v>23.2</v>
      </c>
      <c r="Q15" s="50">
        <v>23.2</v>
      </c>
      <c r="R15" s="50">
        <v>23.2</v>
      </c>
      <c r="S15" s="59">
        <v>23.2</v>
      </c>
      <c r="T15" s="59">
        <v>23.2</v>
      </c>
      <c r="U15" s="59">
        <v>23.2</v>
      </c>
      <c r="V15" s="59">
        <v>23.2</v>
      </c>
      <c r="W15" s="59">
        <v>23.1</v>
      </c>
      <c r="X15" s="59">
        <v>23.1</v>
      </c>
      <c r="Y15" s="59">
        <v>23.1</v>
      </c>
      <c r="Z15" s="59">
        <v>23.1</v>
      </c>
      <c r="AA15" s="59">
        <v>23.1</v>
      </c>
      <c r="AB15" s="59">
        <v>23.1</v>
      </c>
      <c r="AC15" s="59">
        <v>23.1</v>
      </c>
      <c r="AD15" s="59">
        <v>23.1</v>
      </c>
      <c r="AE15" s="59">
        <v>23.1</v>
      </c>
      <c r="AF15" s="59">
        <v>23.1</v>
      </c>
      <c r="AG15" s="61">
        <v>45</v>
      </c>
      <c r="AH15" s="53">
        <f t="shared" si="2"/>
        <v>23.2</v>
      </c>
      <c r="AI15" s="54">
        <f t="shared" si="3"/>
        <v>23.1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10</v>
      </c>
      <c r="C17" s="49">
        <v>10</v>
      </c>
      <c r="D17" s="49">
        <v>10</v>
      </c>
      <c r="E17" s="49">
        <v>10</v>
      </c>
      <c r="F17" s="49">
        <v>10</v>
      </c>
      <c r="G17" s="49">
        <v>10</v>
      </c>
      <c r="H17" s="49">
        <v>10</v>
      </c>
      <c r="I17" s="49">
        <v>10</v>
      </c>
      <c r="J17" s="49">
        <v>10</v>
      </c>
      <c r="K17" s="49">
        <v>10</v>
      </c>
      <c r="L17" s="49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9">
        <v>10</v>
      </c>
      <c r="T17" s="59">
        <v>10</v>
      </c>
      <c r="U17" s="59">
        <v>10</v>
      </c>
      <c r="V17" s="59">
        <v>10</v>
      </c>
      <c r="W17" s="59">
        <v>10</v>
      </c>
      <c r="X17" s="59">
        <v>10</v>
      </c>
      <c r="Y17" s="59">
        <v>10</v>
      </c>
      <c r="Z17" s="59">
        <v>10</v>
      </c>
      <c r="AA17" s="59">
        <v>10</v>
      </c>
      <c r="AB17" s="59">
        <v>10</v>
      </c>
      <c r="AC17" s="59">
        <v>10</v>
      </c>
      <c r="AD17" s="59">
        <v>10</v>
      </c>
      <c r="AE17" s="59">
        <v>10</v>
      </c>
      <c r="AF17" s="59">
        <v>10</v>
      </c>
      <c r="AG17" s="58">
        <v>42</v>
      </c>
      <c r="AH17" s="53">
        <f t="shared" si="2"/>
        <v>10</v>
      </c>
      <c r="AI17" s="54">
        <f t="shared" si="3"/>
        <v>10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8">
        <v>36</v>
      </c>
      <c r="AH18" s="53">
        <f t="shared" si="2"/>
        <v>10</v>
      </c>
      <c r="AI18" s="54">
        <f t="shared" si="3"/>
        <v>10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10.5</v>
      </c>
      <c r="C19" s="49">
        <v>10.5</v>
      </c>
      <c r="D19" s="49">
        <v>10.5</v>
      </c>
      <c r="E19" s="49">
        <v>10.5</v>
      </c>
      <c r="F19" s="49">
        <v>10.5</v>
      </c>
      <c r="G19" s="49">
        <v>10.5</v>
      </c>
      <c r="H19" s="49">
        <v>10.5</v>
      </c>
      <c r="I19" s="49">
        <v>10.5</v>
      </c>
      <c r="J19" s="49">
        <v>10.5</v>
      </c>
      <c r="K19" s="49">
        <v>10.5</v>
      </c>
      <c r="L19" s="49">
        <v>10.5</v>
      </c>
      <c r="M19" s="50">
        <v>10.5</v>
      </c>
      <c r="N19" s="50">
        <v>10.5</v>
      </c>
      <c r="O19" s="50">
        <v>10.5</v>
      </c>
      <c r="P19" s="50">
        <v>10.5</v>
      </c>
      <c r="Q19" s="50">
        <v>10.5</v>
      </c>
      <c r="R19" s="50">
        <v>10.5</v>
      </c>
      <c r="S19" s="50">
        <v>10.5</v>
      </c>
      <c r="T19" s="50">
        <v>10.5</v>
      </c>
      <c r="U19" s="50">
        <v>10.5</v>
      </c>
      <c r="V19" s="50">
        <v>10.5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8">
        <v>30</v>
      </c>
      <c r="AH19" s="53">
        <f t="shared" si="2"/>
        <v>10.5</v>
      </c>
      <c r="AI19" s="54">
        <f t="shared" si="3"/>
        <v>10.3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11</v>
      </c>
      <c r="C22" s="49">
        <v>11</v>
      </c>
      <c r="D22" s="49">
        <v>11</v>
      </c>
      <c r="E22" s="49">
        <v>11</v>
      </c>
      <c r="F22" s="49">
        <v>11</v>
      </c>
      <c r="G22" s="49">
        <v>11</v>
      </c>
      <c r="H22" s="49">
        <v>11</v>
      </c>
      <c r="I22" s="49">
        <v>11</v>
      </c>
      <c r="J22" s="49">
        <v>11</v>
      </c>
      <c r="K22" s="49">
        <v>11</v>
      </c>
      <c r="L22" s="49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10.3</v>
      </c>
      <c r="X22" s="50">
        <v>10.3</v>
      </c>
      <c r="Y22" s="50">
        <v>18.2</v>
      </c>
      <c r="Z22" s="50">
        <v>18.2</v>
      </c>
      <c r="AA22" s="50">
        <v>17.899999999999999</v>
      </c>
      <c r="AB22" s="50">
        <v>17.899999999999999</v>
      </c>
      <c r="AC22" s="50">
        <v>17.899999999999999</v>
      </c>
      <c r="AD22" s="50">
        <v>17.899999999999999</v>
      </c>
      <c r="AE22" s="50">
        <v>17.899999999999999</v>
      </c>
      <c r="AF22" s="50">
        <v>17.899999999999999</v>
      </c>
      <c r="AG22" s="58">
        <v>25</v>
      </c>
      <c r="AH22" s="53">
        <f t="shared" si="2"/>
        <v>18.2</v>
      </c>
      <c r="AI22" s="54">
        <f t="shared" si="3"/>
        <v>10.3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8">
        <v>25</v>
      </c>
      <c r="AH24" s="53">
        <f t="shared" si="2"/>
        <v>12</v>
      </c>
      <c r="AI24" s="54">
        <f t="shared" si="3"/>
        <v>12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8">
        <v>20</v>
      </c>
      <c r="AH26" s="53">
        <f t="shared" si="2"/>
        <v>7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17.2+32</f>
        <v>49.2</v>
      </c>
      <c r="C37" s="60">
        <f>17.2+32</f>
        <v>49.2</v>
      </c>
      <c r="D37" s="60">
        <v>47.7</v>
      </c>
      <c r="E37" s="60">
        <v>47.7</v>
      </c>
      <c r="F37" s="60">
        <v>47.7</v>
      </c>
      <c r="G37" s="60">
        <v>47.7</v>
      </c>
      <c r="H37" s="60">
        <v>47</v>
      </c>
      <c r="I37" s="60">
        <v>47</v>
      </c>
      <c r="J37" s="60">
        <v>48.1</v>
      </c>
      <c r="K37" s="60">
        <v>48.2</v>
      </c>
      <c r="L37" s="60">
        <v>48.6</v>
      </c>
      <c r="M37" s="69">
        <v>47.7</v>
      </c>
      <c r="N37" s="69">
        <v>47.7</v>
      </c>
      <c r="O37" s="69">
        <f>17.8+33.2</f>
        <v>51</v>
      </c>
      <c r="P37" s="69">
        <f>17.8+33.2</f>
        <v>51</v>
      </c>
      <c r="Q37" s="69">
        <f>18.5+33.4</f>
        <v>51.9</v>
      </c>
      <c r="R37" s="69">
        <f>18.5+33.4</f>
        <v>51.9</v>
      </c>
      <c r="S37" s="69">
        <f>17.4+31.9</f>
        <v>49.3</v>
      </c>
      <c r="T37" s="69">
        <f>16.7+31.4</f>
        <v>48.099999999999994</v>
      </c>
      <c r="U37" s="69">
        <f>16.4+30.4</f>
        <v>46.8</v>
      </c>
      <c r="V37" s="69">
        <f>15.8+28</f>
        <v>43.8</v>
      </c>
      <c r="W37" s="69">
        <f>15.9+28.8</f>
        <v>44.7</v>
      </c>
      <c r="X37" s="69">
        <f>15.6+28.3</f>
        <v>43.9</v>
      </c>
      <c r="Y37" s="69">
        <v>42</v>
      </c>
      <c r="Z37" s="69">
        <f>15.6+28.5</f>
        <v>44.1</v>
      </c>
      <c r="AA37" s="69">
        <f>15.8+28.8</f>
        <v>44.6</v>
      </c>
      <c r="AB37" s="69">
        <f>16+29.2</f>
        <v>45.2</v>
      </c>
      <c r="AC37" s="69">
        <f>15.6+27.8</f>
        <v>43.4</v>
      </c>
      <c r="AD37" s="69">
        <f>15.6+27.8</f>
        <v>43.4</v>
      </c>
      <c r="AE37" s="69">
        <f>17+31.1</f>
        <v>48.1</v>
      </c>
      <c r="AF37" s="69">
        <f>17+31.1</f>
        <v>48.1</v>
      </c>
      <c r="AG37" s="66">
        <v>240</v>
      </c>
      <c r="AH37" s="53">
        <f t="shared" si="2"/>
        <v>51.9</v>
      </c>
      <c r="AI37" s="54">
        <f t="shared" si="3"/>
        <v>42</v>
      </c>
      <c r="AK37" s="55"/>
    </row>
    <row r="38" spans="1:88" ht="15.75" thickBot="1" x14ac:dyDescent="0.3">
      <c r="A38" s="70" t="s">
        <v>46</v>
      </c>
      <c r="B38" s="71">
        <f>SUM(B11:B36)</f>
        <v>437.29999999999995</v>
      </c>
      <c r="C38" s="71">
        <f t="shared" ref="C38:AF38" si="4">SUM(C11:C36)</f>
        <v>447.29999999999995</v>
      </c>
      <c r="D38" s="71">
        <f t="shared" si="4"/>
        <v>432.29999999999995</v>
      </c>
      <c r="E38" s="71">
        <f t="shared" si="4"/>
        <v>462.29999999999995</v>
      </c>
      <c r="F38" s="71">
        <f t="shared" si="4"/>
        <v>492.3</v>
      </c>
      <c r="G38" s="71">
        <f t="shared" si="4"/>
        <v>492.3</v>
      </c>
      <c r="H38" s="71">
        <f t="shared" si="4"/>
        <v>502.3</v>
      </c>
      <c r="I38" s="71">
        <f t="shared" si="4"/>
        <v>542.29999999999995</v>
      </c>
      <c r="J38" s="71">
        <f t="shared" si="4"/>
        <v>604.20000000000005</v>
      </c>
      <c r="K38" s="71">
        <f t="shared" si="4"/>
        <v>693.2</v>
      </c>
      <c r="L38" s="71">
        <f t="shared" si="4"/>
        <v>738.2</v>
      </c>
      <c r="M38" s="71">
        <f t="shared" si="4"/>
        <v>788.2</v>
      </c>
      <c r="N38" s="71">
        <f t="shared" si="4"/>
        <v>728.2</v>
      </c>
      <c r="O38" s="71">
        <f t="shared" si="4"/>
        <v>668.2</v>
      </c>
      <c r="P38" s="71">
        <f t="shared" si="4"/>
        <v>498.2</v>
      </c>
      <c r="Q38" s="71">
        <f t="shared" si="4"/>
        <v>458.2</v>
      </c>
      <c r="R38" s="71">
        <f t="shared" si="4"/>
        <v>448.2</v>
      </c>
      <c r="S38" s="71">
        <f t="shared" si="4"/>
        <v>430.2</v>
      </c>
      <c r="T38" s="71">
        <f t="shared" si="4"/>
        <v>448.2</v>
      </c>
      <c r="U38" s="71">
        <f t="shared" si="4"/>
        <v>455.2</v>
      </c>
      <c r="V38" s="71">
        <f t="shared" si="4"/>
        <v>578.20000000000005</v>
      </c>
      <c r="W38" s="71">
        <f t="shared" si="4"/>
        <v>600</v>
      </c>
      <c r="X38" s="71">
        <f t="shared" si="4"/>
        <v>770.00000000000011</v>
      </c>
      <c r="Y38" s="71">
        <f t="shared" si="4"/>
        <v>787.90000000000009</v>
      </c>
      <c r="Z38" s="71">
        <f t="shared" si="4"/>
        <v>747.90000000000009</v>
      </c>
      <c r="AA38" s="71">
        <f t="shared" si="4"/>
        <v>687.60000000000014</v>
      </c>
      <c r="AB38" s="71">
        <f t="shared" si="4"/>
        <v>497.8</v>
      </c>
      <c r="AC38" s="71">
        <f t="shared" si="4"/>
        <v>487.9</v>
      </c>
      <c r="AD38" s="71">
        <f t="shared" si="4"/>
        <v>457.8</v>
      </c>
      <c r="AE38" s="71">
        <f t="shared" si="4"/>
        <v>444.8</v>
      </c>
      <c r="AF38" s="71">
        <f t="shared" si="4"/>
        <v>444.8</v>
      </c>
      <c r="AG38" s="66">
        <f>SUM(AG11:AG37)</f>
        <v>1492.8299999999997</v>
      </c>
      <c r="AH38" s="53">
        <f t="shared" si="2"/>
        <v>788.2</v>
      </c>
      <c r="AI38" s="54">
        <f t="shared" si="3"/>
        <v>430.2</v>
      </c>
      <c r="AK38" s="55"/>
    </row>
    <row r="39" spans="1:88" x14ac:dyDescent="0.25">
      <c r="A39" s="56" t="s">
        <v>47</v>
      </c>
      <c r="B39" s="49">
        <v>30</v>
      </c>
      <c r="C39" s="49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32.200000000000003</v>
      </c>
      <c r="I39" s="60">
        <v>32</v>
      </c>
      <c r="J39" s="60">
        <v>67</v>
      </c>
      <c r="K39" s="60">
        <v>144</v>
      </c>
      <c r="L39" s="60">
        <v>145.69999999999999</v>
      </c>
      <c r="M39" s="60">
        <v>145.69999999999999</v>
      </c>
      <c r="N39" s="60">
        <v>145.69999999999999</v>
      </c>
      <c r="O39" s="50">
        <v>135.69999999999999</v>
      </c>
      <c r="P39" s="50">
        <v>122</v>
      </c>
      <c r="Q39" s="50">
        <v>105</v>
      </c>
      <c r="R39" s="50">
        <v>95</v>
      </c>
      <c r="S39" s="50">
        <v>82.2</v>
      </c>
      <c r="T39" s="50">
        <v>91.1</v>
      </c>
      <c r="U39" s="50">
        <v>71</v>
      </c>
      <c r="V39" s="50">
        <v>60</v>
      </c>
      <c r="W39" s="50">
        <v>91.6</v>
      </c>
      <c r="X39" s="50">
        <v>145.4</v>
      </c>
      <c r="Y39" s="50">
        <v>144.9</v>
      </c>
      <c r="Z39" s="50">
        <v>144.69999999999999</v>
      </c>
      <c r="AA39" s="50">
        <v>144.69999999999999</v>
      </c>
      <c r="AB39" s="50">
        <v>135</v>
      </c>
      <c r="AC39" s="50">
        <v>124</v>
      </c>
      <c r="AD39" s="50">
        <v>102</v>
      </c>
      <c r="AE39" s="50">
        <v>61</v>
      </c>
      <c r="AF39" s="50">
        <v>30</v>
      </c>
      <c r="AG39" s="61">
        <v>144</v>
      </c>
      <c r="AH39" s="53">
        <f t="shared" si="2"/>
        <v>145.69999999999999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24.8</v>
      </c>
      <c r="C40" s="60">
        <v>24.7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36</v>
      </c>
      <c r="J40" s="60">
        <v>36</v>
      </c>
      <c r="K40" s="60">
        <v>71.900000000000006</v>
      </c>
      <c r="L40" s="60">
        <v>71</v>
      </c>
      <c r="M40" s="60">
        <v>70</v>
      </c>
      <c r="N40" s="60">
        <v>70</v>
      </c>
      <c r="O40" s="72">
        <v>70.900000000000006</v>
      </c>
      <c r="P40" s="72">
        <v>60</v>
      </c>
      <c r="Q40" s="72">
        <v>46.7</v>
      </c>
      <c r="R40" s="72">
        <v>36</v>
      </c>
      <c r="S40" s="72">
        <v>35.9</v>
      </c>
      <c r="T40" s="72">
        <v>35.799999999999997</v>
      </c>
      <c r="U40" s="72">
        <v>25.9</v>
      </c>
      <c r="V40" s="72">
        <v>25</v>
      </c>
      <c r="W40" s="72">
        <v>43.8</v>
      </c>
      <c r="X40" s="72">
        <v>70.900000000000006</v>
      </c>
      <c r="Y40" s="72">
        <v>71</v>
      </c>
      <c r="Z40" s="72">
        <v>71.599999999999994</v>
      </c>
      <c r="AA40" s="72">
        <v>69.7</v>
      </c>
      <c r="AB40" s="72">
        <v>46.9</v>
      </c>
      <c r="AC40" s="72">
        <v>47.2</v>
      </c>
      <c r="AD40" s="72">
        <v>45.3</v>
      </c>
      <c r="AE40" s="72">
        <v>25.3</v>
      </c>
      <c r="AF40" s="72">
        <v>25.3</v>
      </c>
      <c r="AG40" s="66">
        <v>70</v>
      </c>
      <c r="AH40" s="53">
        <f t="shared" si="2"/>
        <v>71.900000000000006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34.5</v>
      </c>
      <c r="C41" s="60">
        <v>34.799999999999997</v>
      </c>
      <c r="D41" s="60">
        <v>35</v>
      </c>
      <c r="E41" s="60">
        <v>23</v>
      </c>
      <c r="F41" s="60">
        <v>23</v>
      </c>
      <c r="G41" s="60">
        <v>46</v>
      </c>
      <c r="H41" s="60">
        <v>33</v>
      </c>
      <c r="I41" s="60">
        <v>36</v>
      </c>
      <c r="J41" s="60">
        <v>36.5</v>
      </c>
      <c r="K41" s="60">
        <v>63</v>
      </c>
      <c r="L41" s="60">
        <v>66.7</v>
      </c>
      <c r="M41" s="60">
        <v>67.400000000000006</v>
      </c>
      <c r="N41" s="60">
        <v>67.400000000000006</v>
      </c>
      <c r="O41" s="72">
        <v>60</v>
      </c>
      <c r="P41" s="72">
        <v>52</v>
      </c>
      <c r="Q41" s="72">
        <v>40.6</v>
      </c>
      <c r="R41" s="72">
        <v>35</v>
      </c>
      <c r="S41" s="72">
        <v>36</v>
      </c>
      <c r="T41" s="72">
        <v>48.4</v>
      </c>
      <c r="U41" s="72">
        <v>22.2</v>
      </c>
      <c r="V41" s="72">
        <v>22.3</v>
      </c>
      <c r="W41" s="72">
        <v>53.6</v>
      </c>
      <c r="X41" s="72">
        <v>61.8</v>
      </c>
      <c r="Y41" s="72">
        <v>67.7</v>
      </c>
      <c r="Z41" s="72">
        <v>67.400000000000006</v>
      </c>
      <c r="AA41" s="72">
        <v>67</v>
      </c>
      <c r="AB41" s="72">
        <v>67.2</v>
      </c>
      <c r="AC41" s="72">
        <v>60</v>
      </c>
      <c r="AD41" s="72">
        <v>49</v>
      </c>
      <c r="AE41" s="72">
        <v>44.3</v>
      </c>
      <c r="AF41" s="72">
        <v>44.3</v>
      </c>
      <c r="AG41" s="66">
        <v>69</v>
      </c>
      <c r="AH41" s="53">
        <f t="shared" si="2"/>
        <v>67.7</v>
      </c>
      <c r="AI41" s="54">
        <f t="shared" si="3"/>
        <v>22.2</v>
      </c>
      <c r="AK41" s="55"/>
    </row>
    <row r="42" spans="1:88" x14ac:dyDescent="0.25">
      <c r="A42" s="65" t="s">
        <v>50</v>
      </c>
      <c r="B42" s="60">
        <v>56.2</v>
      </c>
      <c r="C42" s="60">
        <v>56.2</v>
      </c>
      <c r="D42" s="60">
        <v>56.2</v>
      </c>
      <c r="E42" s="60">
        <v>56.2</v>
      </c>
      <c r="F42" s="60">
        <v>56.2</v>
      </c>
      <c r="G42" s="60">
        <v>56.2</v>
      </c>
      <c r="H42" s="60">
        <v>56.2</v>
      </c>
      <c r="I42" s="60">
        <v>56.2</v>
      </c>
      <c r="J42" s="60">
        <v>57.2</v>
      </c>
      <c r="K42" s="60">
        <v>57</v>
      </c>
      <c r="L42" s="60">
        <v>57.2</v>
      </c>
      <c r="M42" s="60">
        <v>57.2</v>
      </c>
      <c r="N42" s="60">
        <v>57.2</v>
      </c>
      <c r="O42" s="72">
        <v>56.2</v>
      </c>
      <c r="P42" s="72">
        <v>56.2</v>
      </c>
      <c r="Q42" s="72">
        <v>56.2</v>
      </c>
      <c r="R42" s="72">
        <v>56.2</v>
      </c>
      <c r="S42" s="72">
        <v>55.7</v>
      </c>
      <c r="T42" s="72">
        <v>55.7</v>
      </c>
      <c r="U42" s="72">
        <v>55.4</v>
      </c>
      <c r="V42" s="72">
        <v>55.7</v>
      </c>
      <c r="W42" s="72">
        <v>55.7</v>
      </c>
      <c r="X42" s="72">
        <v>55.7</v>
      </c>
      <c r="Y42" s="72">
        <v>55.4</v>
      </c>
      <c r="Z42" s="72">
        <v>55.7</v>
      </c>
      <c r="AA42" s="72">
        <v>55.7</v>
      </c>
      <c r="AB42" s="72">
        <v>55.7</v>
      </c>
      <c r="AC42" s="72">
        <v>55.7</v>
      </c>
      <c r="AD42" s="72">
        <v>55.7</v>
      </c>
      <c r="AE42" s="72">
        <v>55.7</v>
      </c>
      <c r="AF42" s="72">
        <v>55.7</v>
      </c>
      <c r="AG42" s="66">
        <v>60</v>
      </c>
      <c r="AH42" s="53">
        <f t="shared" si="2"/>
        <v>57.2</v>
      </c>
      <c r="AI42" s="54">
        <f t="shared" si="3"/>
        <v>55.4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10</v>
      </c>
      <c r="F43" s="60">
        <v>10</v>
      </c>
      <c r="G43" s="60">
        <v>13</v>
      </c>
      <c r="H43" s="60">
        <v>15</v>
      </c>
      <c r="I43" s="60">
        <v>15</v>
      </c>
      <c r="J43" s="60">
        <v>15</v>
      </c>
      <c r="K43" s="60">
        <v>30</v>
      </c>
      <c r="L43" s="60">
        <v>30</v>
      </c>
      <c r="M43" s="60">
        <v>28</v>
      </c>
      <c r="N43" s="60">
        <v>28</v>
      </c>
      <c r="O43" s="50">
        <v>23</v>
      </c>
      <c r="P43" s="50">
        <v>22</v>
      </c>
      <c r="Q43" s="50">
        <v>12.6</v>
      </c>
      <c r="R43" s="50">
        <v>11</v>
      </c>
      <c r="S43" s="50">
        <v>0</v>
      </c>
      <c r="T43" s="50">
        <v>0</v>
      </c>
      <c r="U43" s="50">
        <v>0</v>
      </c>
      <c r="V43" s="50">
        <v>12</v>
      </c>
      <c r="W43" s="50">
        <v>12</v>
      </c>
      <c r="X43" s="50">
        <v>25.5</v>
      </c>
      <c r="Y43" s="50">
        <v>27.6</v>
      </c>
      <c r="Z43" s="72">
        <v>27.3</v>
      </c>
      <c r="AA43" s="72">
        <v>25</v>
      </c>
      <c r="AB43" s="72">
        <v>25</v>
      </c>
      <c r="AC43" s="72">
        <v>25</v>
      </c>
      <c r="AD43" s="72">
        <v>25</v>
      </c>
      <c r="AE43" s="72">
        <v>25</v>
      </c>
      <c r="AF43" s="72">
        <v>25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18</v>
      </c>
      <c r="C45" s="60">
        <v>18</v>
      </c>
      <c r="D45" s="60">
        <v>18</v>
      </c>
      <c r="E45" s="60">
        <v>18</v>
      </c>
      <c r="F45" s="60">
        <v>18</v>
      </c>
      <c r="G45" s="60">
        <v>18</v>
      </c>
      <c r="H45" s="60">
        <v>18</v>
      </c>
      <c r="I45" s="60">
        <v>18</v>
      </c>
      <c r="J45" s="60">
        <v>18</v>
      </c>
      <c r="K45" s="60">
        <v>18</v>
      </c>
      <c r="L45" s="60">
        <v>18</v>
      </c>
      <c r="M45" s="60">
        <v>18</v>
      </c>
      <c r="N45" s="60">
        <v>18</v>
      </c>
      <c r="O45" s="60">
        <v>18</v>
      </c>
      <c r="P45" s="60">
        <v>18</v>
      </c>
      <c r="Q45" s="60">
        <v>18</v>
      </c>
      <c r="R45" s="6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60">
        <v>4.5</v>
      </c>
      <c r="N46" s="60">
        <v>4.5</v>
      </c>
      <c r="O46" s="60">
        <v>4.5</v>
      </c>
      <c r="P46" s="60">
        <v>4.5</v>
      </c>
      <c r="Q46" s="60">
        <v>0</v>
      </c>
      <c r="R46" s="6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6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5.5</v>
      </c>
      <c r="C48" s="60">
        <v>5.5</v>
      </c>
      <c r="D48" s="60">
        <v>5.5</v>
      </c>
      <c r="E48" s="60">
        <v>5.5</v>
      </c>
      <c r="F48" s="60">
        <v>5.5</v>
      </c>
      <c r="G48" s="60">
        <v>5.5</v>
      </c>
      <c r="H48" s="60">
        <v>5.5</v>
      </c>
      <c r="I48" s="60">
        <v>5.5</v>
      </c>
      <c r="J48" s="60">
        <v>5.5</v>
      </c>
      <c r="K48" s="60">
        <v>5.5</v>
      </c>
      <c r="L48" s="60">
        <v>5.5</v>
      </c>
      <c r="M48" s="60">
        <v>5.5</v>
      </c>
      <c r="N48" s="60">
        <v>5.5</v>
      </c>
      <c r="O48" s="60">
        <v>5.5</v>
      </c>
      <c r="P48" s="60">
        <v>5.5</v>
      </c>
      <c r="Q48" s="60">
        <v>5.5</v>
      </c>
      <c r="R48" s="60">
        <v>5.5</v>
      </c>
      <c r="S48" s="50">
        <v>5.5</v>
      </c>
      <c r="T48" s="50">
        <v>5.5</v>
      </c>
      <c r="U48" s="50">
        <v>5.5</v>
      </c>
      <c r="V48" s="50">
        <v>5.5</v>
      </c>
      <c r="W48" s="50">
        <v>5.5</v>
      </c>
      <c r="X48" s="50">
        <v>5.5</v>
      </c>
      <c r="Y48" s="50">
        <v>5.5</v>
      </c>
      <c r="Z48" s="50">
        <v>5.5</v>
      </c>
      <c r="AA48" s="50">
        <v>5.5</v>
      </c>
      <c r="AB48" s="50">
        <v>5.5</v>
      </c>
      <c r="AC48" s="50">
        <v>5.5</v>
      </c>
      <c r="AD48" s="50">
        <v>5.5</v>
      </c>
      <c r="AE48" s="50">
        <v>5.5</v>
      </c>
      <c r="AF48" s="50">
        <v>5.5</v>
      </c>
      <c r="AG48" s="66">
        <v>14</v>
      </c>
      <c r="AH48" s="53">
        <f t="shared" si="2"/>
        <v>5.5</v>
      </c>
      <c r="AI48" s="54">
        <f t="shared" si="3"/>
        <v>5.5</v>
      </c>
      <c r="AK48" s="55"/>
    </row>
    <row r="49" spans="1:37" x14ac:dyDescent="0.25">
      <c r="A49" s="65" t="s">
        <v>57</v>
      </c>
      <c r="B49" s="60">
        <v>7</v>
      </c>
      <c r="C49" s="60">
        <v>7</v>
      </c>
      <c r="D49" s="60">
        <v>7</v>
      </c>
      <c r="E49" s="60">
        <v>7</v>
      </c>
      <c r="F49" s="60">
        <v>7</v>
      </c>
      <c r="G49" s="60">
        <v>7</v>
      </c>
      <c r="H49" s="60">
        <v>7</v>
      </c>
      <c r="I49" s="60">
        <v>7</v>
      </c>
      <c r="J49" s="60">
        <v>7</v>
      </c>
      <c r="K49" s="60">
        <v>7</v>
      </c>
      <c r="L49" s="60">
        <v>7</v>
      </c>
      <c r="M49" s="60">
        <v>7</v>
      </c>
      <c r="N49" s="60">
        <v>7</v>
      </c>
      <c r="O49" s="60">
        <v>7</v>
      </c>
      <c r="P49" s="60">
        <v>7</v>
      </c>
      <c r="Q49" s="60">
        <v>7</v>
      </c>
      <c r="R49" s="6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ref="AF51" si="6">AF199</f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201.04</v>
      </c>
      <c r="C52" s="71">
        <f t="shared" ref="C52:AF52" si="7">SUM(C39:C51)</f>
        <v>171.23999999999998</v>
      </c>
      <c r="D52" s="71">
        <f t="shared" si="7"/>
        <v>146.73999999999998</v>
      </c>
      <c r="E52" s="71">
        <f t="shared" si="7"/>
        <v>144.73999999999998</v>
      </c>
      <c r="F52" s="71">
        <f t="shared" si="7"/>
        <v>144.73999999999998</v>
      </c>
      <c r="G52" s="71">
        <f t="shared" si="7"/>
        <v>170.73999999999998</v>
      </c>
      <c r="H52" s="71">
        <f t="shared" si="7"/>
        <v>191.94</v>
      </c>
      <c r="I52" s="71">
        <f t="shared" si="7"/>
        <v>230.73999999999998</v>
      </c>
      <c r="J52" s="71">
        <f t="shared" si="7"/>
        <v>267.24</v>
      </c>
      <c r="K52" s="71">
        <f t="shared" si="7"/>
        <v>421.44</v>
      </c>
      <c r="L52" s="71">
        <f t="shared" si="7"/>
        <v>426.14</v>
      </c>
      <c r="M52" s="71">
        <f t="shared" si="7"/>
        <v>423.84000000000003</v>
      </c>
      <c r="N52" s="71">
        <f t="shared" si="7"/>
        <v>423.84000000000003</v>
      </c>
      <c r="O52" s="71">
        <f t="shared" si="7"/>
        <v>401.34000000000003</v>
      </c>
      <c r="P52" s="71">
        <f t="shared" si="7"/>
        <v>367.74</v>
      </c>
      <c r="Q52" s="71">
        <f t="shared" si="7"/>
        <v>312.14000000000004</v>
      </c>
      <c r="R52" s="71">
        <f t="shared" si="7"/>
        <v>288.74</v>
      </c>
      <c r="S52" s="71">
        <f t="shared" si="7"/>
        <v>265.34000000000003</v>
      </c>
      <c r="T52" s="71">
        <f t="shared" si="7"/>
        <v>286.54000000000002</v>
      </c>
      <c r="U52" s="71">
        <f t="shared" si="7"/>
        <v>230.04</v>
      </c>
      <c r="V52" s="71">
        <f t="shared" si="7"/>
        <v>230.54</v>
      </c>
      <c r="W52" s="71">
        <f t="shared" si="7"/>
        <v>312.24</v>
      </c>
      <c r="X52" s="71">
        <f t="shared" si="7"/>
        <v>414.84000000000003</v>
      </c>
      <c r="Y52" s="71">
        <f t="shared" si="7"/>
        <v>422.14000000000004</v>
      </c>
      <c r="Z52" s="71">
        <f t="shared" si="7"/>
        <v>422.24</v>
      </c>
      <c r="AA52" s="71">
        <f t="shared" si="7"/>
        <v>417.64</v>
      </c>
      <c r="AB52" s="71">
        <f t="shared" si="7"/>
        <v>385.34000000000003</v>
      </c>
      <c r="AC52" s="71">
        <f t="shared" si="7"/>
        <v>367.44</v>
      </c>
      <c r="AD52" s="71">
        <f t="shared" si="7"/>
        <v>332.54</v>
      </c>
      <c r="AE52" s="71">
        <f t="shared" si="7"/>
        <v>266.84000000000003</v>
      </c>
      <c r="AF52" s="71">
        <f t="shared" si="7"/>
        <v>235.84</v>
      </c>
      <c r="AG52" s="76">
        <f>SUM(AG39:AG51)</f>
        <v>489.91</v>
      </c>
      <c r="AH52" s="53">
        <f t="shared" si="2"/>
        <v>426.14</v>
      </c>
      <c r="AI52" s="54">
        <f t="shared" si="3"/>
        <v>144.73999999999998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44.7</v>
      </c>
      <c r="M53" s="77">
        <v>13</v>
      </c>
      <c r="N53" s="77">
        <v>30</v>
      </c>
      <c r="O53" s="77">
        <v>30</v>
      </c>
      <c r="P53" s="77">
        <v>30</v>
      </c>
      <c r="Q53" s="50">
        <v>30</v>
      </c>
      <c r="R53" s="50">
        <v>30.3</v>
      </c>
      <c r="S53" s="50">
        <v>30.1</v>
      </c>
      <c r="T53" s="50">
        <v>30.1</v>
      </c>
      <c r="U53" s="50">
        <v>30</v>
      </c>
      <c r="V53" s="50">
        <v>55.6</v>
      </c>
      <c r="W53" s="50">
        <v>54.5</v>
      </c>
      <c r="X53" s="50">
        <v>59</v>
      </c>
      <c r="Y53" s="50">
        <v>59</v>
      </c>
      <c r="Z53" s="50">
        <v>54</v>
      </c>
      <c r="AA53" s="50">
        <v>59.7</v>
      </c>
      <c r="AB53" s="50">
        <v>56.1</v>
      </c>
      <c r="AC53" s="50">
        <v>45.1</v>
      </c>
      <c r="AD53" s="50">
        <v>14.9</v>
      </c>
      <c r="AE53" s="50">
        <v>0</v>
      </c>
      <c r="AF53" s="50">
        <v>0</v>
      </c>
      <c r="AG53" s="61">
        <v>60</v>
      </c>
      <c r="AH53" s="53">
        <f t="shared" si="2"/>
        <v>59.7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15</v>
      </c>
      <c r="M54" s="77">
        <v>6</v>
      </c>
      <c r="N54" s="77">
        <v>14.4</v>
      </c>
      <c r="O54" s="77">
        <v>15.3</v>
      </c>
      <c r="P54" s="77">
        <v>15.3</v>
      </c>
      <c r="Q54" s="72">
        <v>15.6</v>
      </c>
      <c r="R54" s="72">
        <v>15.7</v>
      </c>
      <c r="S54" s="50">
        <v>15.5</v>
      </c>
      <c r="T54" s="50">
        <v>15.3</v>
      </c>
      <c r="U54" s="50">
        <v>15.3</v>
      </c>
      <c r="V54" s="72">
        <v>26.6</v>
      </c>
      <c r="W54" s="72">
        <v>25.1</v>
      </c>
      <c r="X54" s="72">
        <v>28.9</v>
      </c>
      <c r="Y54" s="72">
        <v>28.6</v>
      </c>
      <c r="Z54" s="72">
        <v>28.6</v>
      </c>
      <c r="AA54" s="72">
        <v>29.2</v>
      </c>
      <c r="AB54" s="72">
        <v>26.7</v>
      </c>
      <c r="AC54" s="72">
        <v>21</v>
      </c>
      <c r="AD54" s="72">
        <v>4.7</v>
      </c>
      <c r="AE54" s="72">
        <v>0</v>
      </c>
      <c r="AF54" s="72">
        <v>0</v>
      </c>
      <c r="AG54" s="66">
        <v>32</v>
      </c>
      <c r="AH54" s="53">
        <f t="shared" si="2"/>
        <v>29.2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5.5</v>
      </c>
      <c r="M55" s="80">
        <v>2.5</v>
      </c>
      <c r="N55" s="80">
        <v>6</v>
      </c>
      <c r="O55" s="80">
        <v>5.6</v>
      </c>
      <c r="P55" s="80">
        <v>6</v>
      </c>
      <c r="Q55" s="78">
        <v>5.7</v>
      </c>
      <c r="R55" s="78">
        <v>6</v>
      </c>
      <c r="S55" s="50">
        <v>5.7</v>
      </c>
      <c r="T55" s="50">
        <v>5.6</v>
      </c>
      <c r="U55" s="50">
        <v>5.6</v>
      </c>
      <c r="V55" s="78">
        <v>9.6999999999999993</v>
      </c>
      <c r="W55" s="78">
        <v>9.1999999999999993</v>
      </c>
      <c r="X55" s="78">
        <v>10.5</v>
      </c>
      <c r="Y55" s="78">
        <v>10.4</v>
      </c>
      <c r="Z55" s="78">
        <v>10.5</v>
      </c>
      <c r="AA55" s="78">
        <v>10.7</v>
      </c>
      <c r="AB55" s="78">
        <v>9.8000000000000007</v>
      </c>
      <c r="AC55" s="78">
        <v>7.7</v>
      </c>
      <c r="AD55" s="78">
        <v>1.7</v>
      </c>
      <c r="AE55" s="78">
        <v>0</v>
      </c>
      <c r="AF55" s="78">
        <v>0</v>
      </c>
      <c r="AG55" s="81">
        <v>14</v>
      </c>
      <c r="AH55" s="53">
        <f t="shared" si="2"/>
        <v>10.7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0</v>
      </c>
      <c r="L56" s="71">
        <f t="shared" si="8"/>
        <v>65.2</v>
      </c>
      <c r="M56" s="71">
        <f t="shared" si="8"/>
        <v>21.5</v>
      </c>
      <c r="N56" s="71">
        <f t="shared" si="8"/>
        <v>50.4</v>
      </c>
      <c r="O56" s="71">
        <f t="shared" si="8"/>
        <v>50.9</v>
      </c>
      <c r="P56" s="71">
        <f t="shared" si="8"/>
        <v>51.3</v>
      </c>
      <c r="Q56" s="71">
        <f t="shared" si="8"/>
        <v>51.300000000000004</v>
      </c>
      <c r="R56" s="71">
        <f t="shared" si="8"/>
        <v>52</v>
      </c>
      <c r="S56" s="71">
        <f t="shared" si="8"/>
        <v>51.300000000000004</v>
      </c>
      <c r="T56" s="71">
        <f t="shared" si="8"/>
        <v>51.000000000000007</v>
      </c>
      <c r="U56" s="71">
        <f t="shared" si="8"/>
        <v>50.9</v>
      </c>
      <c r="V56" s="71">
        <f t="shared" si="8"/>
        <v>91.9</v>
      </c>
      <c r="W56" s="71">
        <f t="shared" si="8"/>
        <v>88.8</v>
      </c>
      <c r="X56" s="71">
        <f t="shared" si="8"/>
        <v>98.4</v>
      </c>
      <c r="Y56" s="71">
        <f t="shared" si="8"/>
        <v>98</v>
      </c>
      <c r="Z56" s="71">
        <f t="shared" si="8"/>
        <v>93.1</v>
      </c>
      <c r="AA56" s="71">
        <f t="shared" si="8"/>
        <v>99.600000000000009</v>
      </c>
      <c r="AB56" s="71">
        <f t="shared" si="8"/>
        <v>92.6</v>
      </c>
      <c r="AC56" s="71">
        <f t="shared" si="8"/>
        <v>73.8</v>
      </c>
      <c r="AD56" s="71">
        <f t="shared" si="8"/>
        <v>21.3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99.600000000000009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60.7</v>
      </c>
      <c r="C57" s="50">
        <v>66.900000000000006</v>
      </c>
      <c r="D57" s="50">
        <v>71</v>
      </c>
      <c r="E57" s="50">
        <v>62</v>
      </c>
      <c r="F57" s="50">
        <v>62</v>
      </c>
      <c r="G57" s="50">
        <v>65</v>
      </c>
      <c r="H57" s="50">
        <v>67</v>
      </c>
      <c r="I57" s="50">
        <v>65</v>
      </c>
      <c r="J57" s="50">
        <v>69</v>
      </c>
      <c r="K57" s="50">
        <v>71</v>
      </c>
      <c r="L57" s="50">
        <v>69</v>
      </c>
      <c r="M57" s="50">
        <v>68</v>
      </c>
      <c r="N57" s="50">
        <v>69</v>
      </c>
      <c r="O57" s="50">
        <v>75</v>
      </c>
      <c r="P57" s="50">
        <v>72</v>
      </c>
      <c r="Q57" s="50">
        <v>72</v>
      </c>
      <c r="R57" s="50">
        <v>72.8</v>
      </c>
      <c r="S57" s="50">
        <v>75.2</v>
      </c>
      <c r="T57" s="50">
        <v>78.3</v>
      </c>
      <c r="U57" s="50">
        <v>72.900000000000006</v>
      </c>
      <c r="V57" s="50">
        <v>64.599999999999994</v>
      </c>
      <c r="W57" s="50">
        <v>73.099999999999994</v>
      </c>
      <c r="X57" s="50">
        <v>70.099999999999994</v>
      </c>
      <c r="Y57" s="50">
        <v>72.099999999999994</v>
      </c>
      <c r="Z57" s="50">
        <v>71</v>
      </c>
      <c r="AA57" s="50">
        <v>70.2</v>
      </c>
      <c r="AB57" s="50">
        <v>76.3</v>
      </c>
      <c r="AC57" s="50">
        <v>70.900000000000006</v>
      </c>
      <c r="AD57" s="50">
        <v>60.2</v>
      </c>
      <c r="AE57" s="50">
        <v>59.5</v>
      </c>
      <c r="AF57" s="50">
        <v>59.5</v>
      </c>
      <c r="AG57" s="61"/>
      <c r="AH57" s="53">
        <f t="shared" si="2"/>
        <v>78.3</v>
      </c>
      <c r="AI57" s="54">
        <f t="shared" si="3"/>
        <v>59.5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23.4</v>
      </c>
      <c r="T58" s="50">
        <v>27.3</v>
      </c>
      <c r="U58" s="50">
        <v>24.6</v>
      </c>
      <c r="V58" s="50">
        <v>80.3</v>
      </c>
      <c r="W58" s="50">
        <v>88</v>
      </c>
      <c r="X58" s="82">
        <v>89.9</v>
      </c>
      <c r="Y58" s="82">
        <v>90.4</v>
      </c>
      <c r="Z58" s="82">
        <v>84.1</v>
      </c>
      <c r="AA58" s="82">
        <v>84.4</v>
      </c>
      <c r="AB58" s="82">
        <v>80</v>
      </c>
      <c r="AC58" s="82">
        <v>74.599999999999994</v>
      </c>
      <c r="AD58" s="82">
        <v>0</v>
      </c>
      <c r="AE58" s="82">
        <v>0</v>
      </c>
      <c r="AF58" s="82">
        <v>0</v>
      </c>
      <c r="AG58" s="66"/>
      <c r="AH58" s="53">
        <f t="shared" si="2"/>
        <v>90.4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234</v>
      </c>
      <c r="C59" s="72">
        <v>212</v>
      </c>
      <c r="D59" s="72">
        <v>230</v>
      </c>
      <c r="E59" s="72">
        <v>226</v>
      </c>
      <c r="F59" s="72">
        <v>200</v>
      </c>
      <c r="G59" s="72">
        <v>190</v>
      </c>
      <c r="H59" s="50">
        <v>187.8</v>
      </c>
      <c r="I59" s="50">
        <v>164</v>
      </c>
      <c r="J59" s="50">
        <v>174</v>
      </c>
      <c r="K59" s="50">
        <v>87</v>
      </c>
      <c r="L59" s="50">
        <v>81.2</v>
      </c>
      <c r="M59" s="72">
        <v>72</v>
      </c>
      <c r="N59" s="72">
        <v>175</v>
      </c>
      <c r="O59" s="72">
        <v>223</v>
      </c>
      <c r="P59" s="72">
        <v>340</v>
      </c>
      <c r="Q59" s="72">
        <v>343</v>
      </c>
      <c r="R59" s="72">
        <v>343</v>
      </c>
      <c r="S59" s="72">
        <v>355</v>
      </c>
      <c r="T59" s="72">
        <v>342.6</v>
      </c>
      <c r="U59" s="72">
        <v>345.1</v>
      </c>
      <c r="V59" s="72">
        <v>200.1</v>
      </c>
      <c r="W59" s="72">
        <v>185.6</v>
      </c>
      <c r="X59" s="83">
        <v>47.1</v>
      </c>
      <c r="Y59" s="83">
        <v>18.100000000000001</v>
      </c>
      <c r="Z59" s="83">
        <v>25.6</v>
      </c>
      <c r="AA59" s="83">
        <v>50</v>
      </c>
      <c r="AB59" s="83">
        <v>220</v>
      </c>
      <c r="AC59" s="83">
        <v>223.1</v>
      </c>
      <c r="AD59" s="83">
        <v>292</v>
      </c>
      <c r="AE59" s="83">
        <v>317</v>
      </c>
      <c r="AF59" s="83">
        <v>287</v>
      </c>
      <c r="AG59" s="84"/>
      <c r="AH59" s="53">
        <f t="shared" si="2"/>
        <v>355</v>
      </c>
      <c r="AI59" s="54">
        <f t="shared" si="3"/>
        <v>18.100000000000001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37.4</v>
      </c>
      <c r="I60" s="57">
        <v>41.9</v>
      </c>
      <c r="J60" s="57">
        <v>44</v>
      </c>
      <c r="K60" s="57">
        <v>47.4</v>
      </c>
      <c r="L60" s="57">
        <v>50.2</v>
      </c>
      <c r="M60" s="72">
        <v>52</v>
      </c>
      <c r="N60" s="72">
        <v>47</v>
      </c>
      <c r="O60" s="72">
        <v>48</v>
      </c>
      <c r="P60" s="72">
        <v>44</v>
      </c>
      <c r="Q60" s="72">
        <v>55.6</v>
      </c>
      <c r="R60" s="72">
        <v>56</v>
      </c>
      <c r="S60" s="72">
        <v>56.2</v>
      </c>
      <c r="T60" s="72">
        <v>52.6</v>
      </c>
      <c r="U60" s="72">
        <v>50.8</v>
      </c>
      <c r="V60" s="72">
        <v>48.3</v>
      </c>
      <c r="W60" s="72">
        <v>50.4</v>
      </c>
      <c r="X60" s="72">
        <v>52.3</v>
      </c>
      <c r="Y60" s="72">
        <v>60</v>
      </c>
      <c r="Z60" s="72">
        <v>55.6</v>
      </c>
      <c r="AA60" s="72">
        <v>57.4</v>
      </c>
      <c r="AB60" s="72">
        <v>53.6</v>
      </c>
      <c r="AC60" s="72">
        <v>53.6</v>
      </c>
      <c r="AD60" s="72">
        <v>0</v>
      </c>
      <c r="AE60" s="72">
        <v>0</v>
      </c>
      <c r="AF60" s="72">
        <v>0</v>
      </c>
      <c r="AG60" s="84"/>
      <c r="AH60" s="53">
        <f t="shared" si="2"/>
        <v>60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77</v>
      </c>
      <c r="N61" s="50">
        <v>34</v>
      </c>
      <c r="O61" s="50">
        <v>37</v>
      </c>
      <c r="P61" s="50">
        <v>36</v>
      </c>
      <c r="Q61" s="50">
        <v>37</v>
      </c>
      <c r="R61" s="50">
        <v>34</v>
      </c>
      <c r="S61" s="50">
        <v>36.1</v>
      </c>
      <c r="T61" s="50">
        <v>36.4</v>
      </c>
      <c r="U61" s="50">
        <v>84.8</v>
      </c>
      <c r="V61" s="50">
        <v>77.400000000000006</v>
      </c>
      <c r="W61" s="50">
        <v>85</v>
      </c>
      <c r="X61" s="50">
        <v>82</v>
      </c>
      <c r="Y61" s="50">
        <v>85.4</v>
      </c>
      <c r="Z61" s="50">
        <v>90.8</v>
      </c>
      <c r="AA61" s="50">
        <v>84.2</v>
      </c>
      <c r="AB61" s="50">
        <v>80.3</v>
      </c>
      <c r="AC61" s="50">
        <v>80.3</v>
      </c>
      <c r="AD61" s="50">
        <v>0</v>
      </c>
      <c r="AE61" s="50">
        <v>0</v>
      </c>
      <c r="AF61" s="50">
        <v>0</v>
      </c>
      <c r="AG61" s="84"/>
      <c r="AH61" s="53">
        <f t="shared" si="2"/>
        <v>90.8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294.7</v>
      </c>
      <c r="C68" s="71">
        <f>SUM(C57:C67)</f>
        <v>278.89999999999998</v>
      </c>
      <c r="D68" s="71">
        <f t="shared" ref="D68:AF68" si="9">SUM(D57:D67)</f>
        <v>301</v>
      </c>
      <c r="E68" s="71">
        <f t="shared" si="9"/>
        <v>288</v>
      </c>
      <c r="F68" s="71">
        <f t="shared" si="9"/>
        <v>262</v>
      </c>
      <c r="G68" s="71">
        <f t="shared" si="9"/>
        <v>255</v>
      </c>
      <c r="H68" s="71">
        <f t="shared" si="9"/>
        <v>292.2</v>
      </c>
      <c r="I68" s="71">
        <f t="shared" si="9"/>
        <v>270.89999999999998</v>
      </c>
      <c r="J68" s="71">
        <f t="shared" si="9"/>
        <v>287</v>
      </c>
      <c r="K68" s="71">
        <f t="shared" si="9"/>
        <v>205.4</v>
      </c>
      <c r="L68" s="71">
        <f t="shared" si="9"/>
        <v>200.39999999999998</v>
      </c>
      <c r="M68" s="71">
        <f t="shared" si="9"/>
        <v>269</v>
      </c>
      <c r="N68" s="71">
        <f t="shared" si="9"/>
        <v>325</v>
      </c>
      <c r="O68" s="71">
        <f t="shared" si="9"/>
        <v>383</v>
      </c>
      <c r="P68" s="71">
        <f t="shared" si="9"/>
        <v>492</v>
      </c>
      <c r="Q68" s="71">
        <f t="shared" si="9"/>
        <v>507.6</v>
      </c>
      <c r="R68" s="71">
        <f t="shared" si="9"/>
        <v>505.8</v>
      </c>
      <c r="S68" s="71">
        <f t="shared" si="9"/>
        <v>545.9</v>
      </c>
      <c r="T68" s="71">
        <f t="shared" si="9"/>
        <v>537.20000000000005</v>
      </c>
      <c r="U68" s="71">
        <f t="shared" si="9"/>
        <v>578.20000000000005</v>
      </c>
      <c r="V68" s="71">
        <f t="shared" si="9"/>
        <v>470.70000000000005</v>
      </c>
      <c r="W68" s="71">
        <f t="shared" si="9"/>
        <v>482.09999999999997</v>
      </c>
      <c r="X68" s="71">
        <f t="shared" si="9"/>
        <v>341.4</v>
      </c>
      <c r="Y68" s="71">
        <f t="shared" si="9"/>
        <v>326</v>
      </c>
      <c r="Z68" s="71">
        <f t="shared" si="9"/>
        <v>327.09999999999997</v>
      </c>
      <c r="AA68" s="71">
        <f t="shared" si="9"/>
        <v>346.2</v>
      </c>
      <c r="AB68" s="71">
        <f t="shared" si="9"/>
        <v>510.20000000000005</v>
      </c>
      <c r="AC68" s="71">
        <f t="shared" si="9"/>
        <v>502.50000000000006</v>
      </c>
      <c r="AD68" s="71">
        <f t="shared" si="9"/>
        <v>352.2</v>
      </c>
      <c r="AE68" s="71">
        <f t="shared" si="9"/>
        <v>376.5</v>
      </c>
      <c r="AF68" s="71">
        <f t="shared" si="9"/>
        <v>346.5</v>
      </c>
      <c r="AG68" s="76">
        <f>SUM(AG57:AG67)</f>
        <v>0</v>
      </c>
      <c r="AH68" s="53">
        <f t="shared" si="2"/>
        <v>578.20000000000005</v>
      </c>
      <c r="AI68" s="54">
        <f t="shared" si="3"/>
        <v>200.39999999999998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933.04</v>
      </c>
      <c r="C73" s="88">
        <f>C68+C56+C52+C38+C72</f>
        <v>897.43999999999994</v>
      </c>
      <c r="D73" s="88">
        <f t="shared" ref="D73:AG73" si="11">D68+D56+D52+D38+D72</f>
        <v>880.04</v>
      </c>
      <c r="E73" s="88">
        <f t="shared" si="11"/>
        <v>895.04</v>
      </c>
      <c r="F73" s="88">
        <f t="shared" si="11"/>
        <v>899.04</v>
      </c>
      <c r="G73" s="88">
        <f t="shared" si="11"/>
        <v>918.04</v>
      </c>
      <c r="H73" s="88">
        <f t="shared" si="11"/>
        <v>986.44</v>
      </c>
      <c r="I73" s="88">
        <f t="shared" si="11"/>
        <v>1043.94</v>
      </c>
      <c r="J73" s="88">
        <f t="shared" si="11"/>
        <v>1158.44</v>
      </c>
      <c r="K73" s="88">
        <f t="shared" si="11"/>
        <v>1320.04</v>
      </c>
      <c r="L73" s="88">
        <f t="shared" si="11"/>
        <v>1429.94</v>
      </c>
      <c r="M73" s="88">
        <f t="shared" si="11"/>
        <v>1502.54</v>
      </c>
      <c r="N73" s="88">
        <f t="shared" si="11"/>
        <v>1527.44</v>
      </c>
      <c r="O73" s="88">
        <f t="shared" si="11"/>
        <v>1503.44</v>
      </c>
      <c r="P73" s="88">
        <f t="shared" si="11"/>
        <v>1409.24</v>
      </c>
      <c r="Q73" s="88">
        <f t="shared" si="11"/>
        <v>1329.24</v>
      </c>
      <c r="R73" s="88">
        <f t="shared" si="11"/>
        <v>1294.74</v>
      </c>
      <c r="S73" s="88">
        <f t="shared" si="11"/>
        <v>1292.74</v>
      </c>
      <c r="T73" s="88">
        <f t="shared" si="11"/>
        <v>1322.94</v>
      </c>
      <c r="U73" s="88">
        <f t="shared" si="11"/>
        <v>1314.34</v>
      </c>
      <c r="V73" s="88">
        <f t="shared" si="11"/>
        <v>1371.3400000000001</v>
      </c>
      <c r="W73" s="88">
        <f t="shared" si="11"/>
        <v>1483.1399999999999</v>
      </c>
      <c r="X73" s="88">
        <f t="shared" si="11"/>
        <v>1624.64</v>
      </c>
      <c r="Y73" s="88">
        <f t="shared" si="11"/>
        <v>1634.0400000000002</v>
      </c>
      <c r="Z73" s="88">
        <f t="shared" si="11"/>
        <v>1590.3400000000001</v>
      </c>
      <c r="AA73" s="88">
        <f t="shared" si="11"/>
        <v>1551.0400000000002</v>
      </c>
      <c r="AB73" s="88">
        <f t="shared" si="11"/>
        <v>1485.94</v>
      </c>
      <c r="AC73" s="88">
        <f t="shared" si="11"/>
        <v>1431.6399999999999</v>
      </c>
      <c r="AD73" s="88">
        <f t="shared" si="11"/>
        <v>1163.8399999999999</v>
      </c>
      <c r="AE73" s="88">
        <f t="shared" si="11"/>
        <v>1088.1400000000001</v>
      </c>
      <c r="AF73" s="88">
        <f t="shared" si="11"/>
        <v>1027.1400000000001</v>
      </c>
      <c r="AG73" s="88">
        <f t="shared" si="11"/>
        <v>2144.14</v>
      </c>
      <c r="AH73" s="53">
        <f t="shared" si="2"/>
        <v>1634.0400000000002</v>
      </c>
      <c r="AI73" s="54">
        <f t="shared" si="3"/>
        <v>880.04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933.04</v>
      </c>
      <c r="C75" s="88">
        <f>C73+C74</f>
        <v>897.43999999999994</v>
      </c>
      <c r="D75" s="88">
        <f t="shared" ref="D75:AF75" si="12">D72+D68+D56+D52+D38+D74</f>
        <v>880.04</v>
      </c>
      <c r="E75" s="88">
        <f t="shared" si="12"/>
        <v>895.04</v>
      </c>
      <c r="F75" s="88">
        <f t="shared" si="12"/>
        <v>899.04</v>
      </c>
      <c r="G75" s="88">
        <f t="shared" si="12"/>
        <v>918.04</v>
      </c>
      <c r="H75" s="88">
        <f t="shared" si="12"/>
        <v>986.44</v>
      </c>
      <c r="I75" s="88">
        <f t="shared" si="12"/>
        <v>1043.94</v>
      </c>
      <c r="J75" s="88">
        <f t="shared" si="12"/>
        <v>1158.44</v>
      </c>
      <c r="K75" s="88">
        <f t="shared" si="12"/>
        <v>1320.04</v>
      </c>
      <c r="L75" s="88">
        <f t="shared" si="12"/>
        <v>1429.94</v>
      </c>
      <c r="M75" s="88">
        <f t="shared" si="12"/>
        <v>1502.54</v>
      </c>
      <c r="N75" s="88">
        <f t="shared" si="12"/>
        <v>1527.44</v>
      </c>
      <c r="O75" s="88">
        <f t="shared" si="12"/>
        <v>1503.44</v>
      </c>
      <c r="P75" s="88">
        <f t="shared" si="12"/>
        <v>1409.24</v>
      </c>
      <c r="Q75" s="88">
        <f t="shared" si="12"/>
        <v>1329.24</v>
      </c>
      <c r="R75" s="88">
        <f t="shared" si="12"/>
        <v>1294.74</v>
      </c>
      <c r="S75" s="88">
        <f t="shared" si="12"/>
        <v>1292.74</v>
      </c>
      <c r="T75" s="88">
        <f t="shared" si="12"/>
        <v>1322.94</v>
      </c>
      <c r="U75" s="88">
        <f t="shared" si="12"/>
        <v>1314.34</v>
      </c>
      <c r="V75" s="88">
        <f t="shared" si="12"/>
        <v>1371.3400000000001</v>
      </c>
      <c r="W75" s="88">
        <f t="shared" si="12"/>
        <v>1483.1399999999999</v>
      </c>
      <c r="X75" s="88">
        <f t="shared" si="12"/>
        <v>1624.64</v>
      </c>
      <c r="Y75" s="88">
        <f t="shared" si="12"/>
        <v>1634.0400000000002</v>
      </c>
      <c r="Z75" s="88">
        <f t="shared" si="12"/>
        <v>1590.3400000000001</v>
      </c>
      <c r="AA75" s="88">
        <f t="shared" si="12"/>
        <v>1551.0400000000002</v>
      </c>
      <c r="AB75" s="88">
        <f t="shared" si="12"/>
        <v>1485.94</v>
      </c>
      <c r="AC75" s="88">
        <f t="shared" si="12"/>
        <v>1431.6399999999999</v>
      </c>
      <c r="AD75" s="88">
        <f t="shared" si="12"/>
        <v>1163.8399999999999</v>
      </c>
      <c r="AE75" s="88">
        <f t="shared" si="12"/>
        <v>1088.1400000000001</v>
      </c>
      <c r="AF75" s="88">
        <f t="shared" si="12"/>
        <v>1027.1400000000001</v>
      </c>
      <c r="AG75" s="76">
        <f>AG72+AG68+AG56+AG52+AG38+AG74</f>
        <v>2144.14</v>
      </c>
      <c r="AH75" s="53">
        <f t="shared" si="2"/>
        <v>1634.0400000000002</v>
      </c>
      <c r="AI75" s="54">
        <f t="shared" si="3"/>
        <v>880.04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1866.08</v>
      </c>
      <c r="C83" s="71">
        <f t="shared" ref="C83:AG83" si="21">SUM(C70:C82)</f>
        <v>1794.8799999999999</v>
      </c>
      <c r="D83" s="71">
        <f t="shared" si="21"/>
        <v>1760.08</v>
      </c>
      <c r="E83" s="71">
        <f t="shared" si="21"/>
        <v>1790.08</v>
      </c>
      <c r="F83" s="71">
        <f t="shared" si="21"/>
        <v>1798.08</v>
      </c>
      <c r="G83" s="71">
        <f t="shared" si="21"/>
        <v>1836.08</v>
      </c>
      <c r="H83" s="71">
        <f t="shared" si="21"/>
        <v>1972.88</v>
      </c>
      <c r="I83" s="71">
        <f t="shared" si="21"/>
        <v>2087.88</v>
      </c>
      <c r="J83" s="71">
        <f t="shared" si="21"/>
        <v>2316.88</v>
      </c>
      <c r="K83" s="71">
        <f t="shared" si="21"/>
        <v>2640.08</v>
      </c>
      <c r="L83" s="71">
        <f t="shared" si="21"/>
        <v>2859.88</v>
      </c>
      <c r="M83" s="71">
        <f t="shared" si="21"/>
        <v>3005.08</v>
      </c>
      <c r="N83" s="71">
        <f t="shared" si="21"/>
        <v>3054.88</v>
      </c>
      <c r="O83" s="71">
        <f t="shared" si="21"/>
        <v>3006.88</v>
      </c>
      <c r="P83" s="71">
        <f t="shared" si="21"/>
        <v>2818.48</v>
      </c>
      <c r="Q83" s="71">
        <f t="shared" si="21"/>
        <v>2658.48</v>
      </c>
      <c r="R83" s="71">
        <f t="shared" si="21"/>
        <v>2589.48</v>
      </c>
      <c r="S83" s="71">
        <f t="shared" si="21"/>
        <v>2585.48</v>
      </c>
      <c r="T83" s="71">
        <f t="shared" si="21"/>
        <v>2645.88</v>
      </c>
      <c r="U83" s="71">
        <f t="shared" si="21"/>
        <v>2628.68</v>
      </c>
      <c r="V83" s="71">
        <f t="shared" si="21"/>
        <v>2742.6800000000003</v>
      </c>
      <c r="W83" s="71">
        <f t="shared" si="21"/>
        <v>2966.2799999999997</v>
      </c>
      <c r="X83" s="71">
        <f t="shared" si="21"/>
        <v>3249.28</v>
      </c>
      <c r="Y83" s="71">
        <f t="shared" si="21"/>
        <v>3268.0800000000004</v>
      </c>
      <c r="Z83" s="71">
        <f t="shared" si="21"/>
        <v>3180.6800000000003</v>
      </c>
      <c r="AA83" s="71">
        <f t="shared" si="21"/>
        <v>3102.0800000000004</v>
      </c>
      <c r="AB83" s="71">
        <f t="shared" si="21"/>
        <v>2971.88</v>
      </c>
      <c r="AC83" s="71">
        <f t="shared" si="21"/>
        <v>2863.2799999999997</v>
      </c>
      <c r="AD83" s="71">
        <f t="shared" si="21"/>
        <v>2327.6799999999998</v>
      </c>
      <c r="AE83" s="71">
        <f t="shared" si="21"/>
        <v>2176.2800000000002</v>
      </c>
      <c r="AF83" s="71">
        <f t="shared" si="21"/>
        <v>2054.2800000000002</v>
      </c>
      <c r="AG83" s="76">
        <f t="shared" si="21"/>
        <v>4360.08</v>
      </c>
      <c r="AH83" s="53">
        <f t="shared" si="14"/>
        <v>3268.0800000000004</v>
      </c>
      <c r="AI83" s="54">
        <f t="shared" si="15"/>
        <v>1760.08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49.87</v>
      </c>
      <c r="C84" s="95">
        <v>49.97</v>
      </c>
      <c r="D84" s="95">
        <v>49.997999999999998</v>
      </c>
      <c r="E84" s="95">
        <v>49.957000000000001</v>
      </c>
      <c r="F84" s="95">
        <v>50</v>
      </c>
      <c r="G84" s="95">
        <v>49.98</v>
      </c>
      <c r="H84" s="95">
        <v>49.963000000000001</v>
      </c>
      <c r="I84" s="95">
        <v>49.904000000000003</v>
      </c>
      <c r="J84" s="95">
        <v>50.03</v>
      </c>
      <c r="K84" s="95">
        <v>49.95</v>
      </c>
      <c r="L84" s="95">
        <v>50.048000000000002</v>
      </c>
      <c r="M84" s="95">
        <v>50.030999999999999</v>
      </c>
      <c r="N84" s="95">
        <v>50.072000000000003</v>
      </c>
      <c r="O84" s="95">
        <v>49.89</v>
      </c>
      <c r="P84" s="95">
        <v>50.05</v>
      </c>
      <c r="Q84" s="95">
        <v>49.951999999999998</v>
      </c>
      <c r="R84" s="95">
        <v>50.024000000000001</v>
      </c>
      <c r="S84" s="95">
        <v>50.076000000000001</v>
      </c>
      <c r="T84" s="95">
        <v>49.982999999999997</v>
      </c>
      <c r="U84" s="95">
        <v>49.906999999999996</v>
      </c>
      <c r="V84" s="95">
        <v>49.960999999999999</v>
      </c>
      <c r="W84" s="95">
        <v>49.978999999999999</v>
      </c>
      <c r="X84" s="95">
        <v>50.024000000000001</v>
      </c>
      <c r="Y84" s="95">
        <v>49.988</v>
      </c>
      <c r="Z84" s="95">
        <v>49.975999999999999</v>
      </c>
      <c r="AA84" s="95">
        <v>49.972999999999999</v>
      </c>
      <c r="AB84" s="95">
        <v>49.89</v>
      </c>
      <c r="AC84" s="95">
        <v>50</v>
      </c>
      <c r="AD84" s="95">
        <v>49.84</v>
      </c>
      <c r="AE84" s="95">
        <v>50.05</v>
      </c>
      <c r="AF84" s="95">
        <v>49.89</v>
      </c>
      <c r="AG84" s="96"/>
      <c r="AH84" s="53">
        <f t="shared" si="14"/>
        <v>50.076000000000001</v>
      </c>
      <c r="AI84" s="54">
        <f t="shared" si="15"/>
        <v>49.84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127.2</v>
      </c>
      <c r="C85" s="72">
        <v>128.30000000000001</v>
      </c>
      <c r="D85" s="72">
        <v>128</v>
      </c>
      <c r="E85" s="72">
        <v>128</v>
      </c>
      <c r="F85" s="72">
        <v>128</v>
      </c>
      <c r="G85" s="72">
        <v>128</v>
      </c>
      <c r="H85" s="72">
        <v>127.5</v>
      </c>
      <c r="I85" s="72">
        <v>126</v>
      </c>
      <c r="J85" s="72">
        <v>124</v>
      </c>
      <c r="K85" s="72">
        <v>124</v>
      </c>
      <c r="L85" s="72">
        <v>123</v>
      </c>
      <c r="M85" s="72">
        <v>123.1</v>
      </c>
      <c r="N85" s="72">
        <v>122.2</v>
      </c>
      <c r="O85" s="72">
        <v>122.7</v>
      </c>
      <c r="P85" s="72">
        <v>125</v>
      </c>
      <c r="Q85" s="72">
        <v>124.4</v>
      </c>
      <c r="R85" s="72">
        <v>125.3</v>
      </c>
      <c r="S85" s="72">
        <v>124.5</v>
      </c>
      <c r="T85" s="72">
        <v>124.9</v>
      </c>
      <c r="U85" s="99">
        <v>124.5</v>
      </c>
      <c r="V85" s="99">
        <v>125.8</v>
      </c>
      <c r="W85" s="99">
        <v>124.9</v>
      </c>
      <c r="X85" s="99">
        <v>123.7</v>
      </c>
      <c r="Y85" s="99">
        <v>123.4</v>
      </c>
      <c r="Z85" s="99">
        <v>125</v>
      </c>
      <c r="AA85" s="99">
        <v>125.5</v>
      </c>
      <c r="AB85" s="99">
        <v>126.7</v>
      </c>
      <c r="AC85" s="99">
        <v>125.9</v>
      </c>
      <c r="AD85" s="99">
        <v>125.8</v>
      </c>
      <c r="AE85" s="72">
        <v>124.9</v>
      </c>
      <c r="AF85" s="72">
        <v>124.5</v>
      </c>
      <c r="AG85" s="100"/>
      <c r="AH85" s="53">
        <f t="shared" si="14"/>
        <v>128.30000000000001</v>
      </c>
      <c r="AI85" s="54">
        <f t="shared" si="15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131.69999999999999</v>
      </c>
      <c r="C86" s="72">
        <v>132.4</v>
      </c>
      <c r="D86" s="72">
        <v>132</v>
      </c>
      <c r="E86" s="72">
        <v>132</v>
      </c>
      <c r="F86" s="72">
        <v>132</v>
      </c>
      <c r="G86" s="72">
        <v>132</v>
      </c>
      <c r="H86" s="72">
        <v>131</v>
      </c>
      <c r="I86" s="72">
        <v>130</v>
      </c>
      <c r="J86" s="72">
        <v>128</v>
      </c>
      <c r="K86" s="72">
        <v>127.5</v>
      </c>
      <c r="L86" s="72">
        <v>126</v>
      </c>
      <c r="M86" s="72">
        <v>126.1</v>
      </c>
      <c r="N86" s="72">
        <v>125.3</v>
      </c>
      <c r="O86" s="72">
        <v>125.7</v>
      </c>
      <c r="P86" s="72">
        <v>128.30000000000001</v>
      </c>
      <c r="Q86" s="72">
        <v>127.5</v>
      </c>
      <c r="R86" s="72">
        <v>128.4</v>
      </c>
      <c r="S86" s="72">
        <v>128.4</v>
      </c>
      <c r="T86" s="72">
        <v>128.4</v>
      </c>
      <c r="U86" s="99">
        <v>127.5</v>
      </c>
      <c r="V86" s="99">
        <v>128.4</v>
      </c>
      <c r="W86" s="99">
        <v>127.4</v>
      </c>
      <c r="X86" s="99">
        <v>125.9</v>
      </c>
      <c r="Y86" s="99">
        <v>125.6</v>
      </c>
      <c r="Z86" s="99">
        <v>126.8</v>
      </c>
      <c r="AA86" s="99">
        <v>127.3</v>
      </c>
      <c r="AB86" s="99">
        <v>128.80000000000001</v>
      </c>
      <c r="AC86" s="99">
        <v>128.69999999999999</v>
      </c>
      <c r="AD86" s="99">
        <v>128.9</v>
      </c>
      <c r="AE86" s="72">
        <v>128.69999999999999</v>
      </c>
      <c r="AF86" s="72">
        <v>129</v>
      </c>
      <c r="AG86" s="100"/>
      <c r="AH86" s="53">
        <f t="shared" si="14"/>
        <v>132.4</v>
      </c>
      <c r="AI86" s="54">
        <f t="shared" si="15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130.5</v>
      </c>
      <c r="C87" s="72">
        <v>131.69999999999999</v>
      </c>
      <c r="D87" s="72">
        <v>131</v>
      </c>
      <c r="E87" s="72">
        <v>131</v>
      </c>
      <c r="F87" s="72">
        <v>131</v>
      </c>
      <c r="G87" s="72">
        <v>131</v>
      </c>
      <c r="H87" s="72">
        <v>129</v>
      </c>
      <c r="I87" s="72">
        <v>129</v>
      </c>
      <c r="J87" s="72">
        <v>129</v>
      </c>
      <c r="K87" s="72">
        <v>127.5</v>
      </c>
      <c r="L87" s="72">
        <v>130</v>
      </c>
      <c r="M87" s="72">
        <v>128</v>
      </c>
      <c r="N87" s="72">
        <v>127.5</v>
      </c>
      <c r="O87" s="72">
        <v>130.69999999999999</v>
      </c>
      <c r="P87" s="72">
        <v>130</v>
      </c>
      <c r="Q87" s="72">
        <v>130.30000000000001</v>
      </c>
      <c r="R87" s="72">
        <v>131.19999999999999</v>
      </c>
      <c r="S87" s="72">
        <v>129.19999999999999</v>
      </c>
      <c r="T87" s="72">
        <v>130.5</v>
      </c>
      <c r="U87" s="72">
        <v>130.69999999999999</v>
      </c>
      <c r="V87" s="72">
        <v>130.69999999999999</v>
      </c>
      <c r="W87" s="72">
        <v>128.80000000000001</v>
      </c>
      <c r="X87" s="99">
        <v>127.8</v>
      </c>
      <c r="Y87" s="99">
        <v>129.80000000000001</v>
      </c>
      <c r="Z87" s="99">
        <v>130.6</v>
      </c>
      <c r="AA87" s="99">
        <v>130.69999999999999</v>
      </c>
      <c r="AB87" s="99">
        <v>132.30000000000001</v>
      </c>
      <c r="AC87" s="99">
        <v>132.80000000000001</v>
      </c>
      <c r="AD87" s="99">
        <v>129.69999999999999</v>
      </c>
      <c r="AE87" s="72">
        <v>130.19999999999999</v>
      </c>
      <c r="AF87" s="72">
        <v>130.5</v>
      </c>
      <c r="AG87" s="100"/>
      <c r="AH87" s="53">
        <f t="shared" si="14"/>
        <v>132.80000000000001</v>
      </c>
      <c r="AI87" s="54">
        <f t="shared" si="15"/>
        <v>127.5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131.9</v>
      </c>
      <c r="C88" s="72">
        <v>132.1</v>
      </c>
      <c r="D88" s="72">
        <v>133</v>
      </c>
      <c r="E88" s="72">
        <v>133</v>
      </c>
      <c r="F88" s="72">
        <v>133</v>
      </c>
      <c r="G88" s="72">
        <v>133</v>
      </c>
      <c r="H88" s="72">
        <v>130</v>
      </c>
      <c r="I88" s="72">
        <v>132</v>
      </c>
      <c r="J88" s="72">
        <v>132</v>
      </c>
      <c r="K88" s="72">
        <v>129.69999999999999</v>
      </c>
      <c r="L88" s="72">
        <v>133</v>
      </c>
      <c r="M88" s="72">
        <v>130.9</v>
      </c>
      <c r="N88" s="72">
        <v>131</v>
      </c>
      <c r="O88" s="72">
        <v>131</v>
      </c>
      <c r="P88" s="72">
        <v>134</v>
      </c>
      <c r="Q88" s="72">
        <v>133.1</v>
      </c>
      <c r="R88" s="72">
        <v>134.4</v>
      </c>
      <c r="S88" s="72">
        <v>129.69999999999999</v>
      </c>
      <c r="T88" s="72">
        <v>132.4</v>
      </c>
      <c r="U88" s="72">
        <v>132.30000000000001</v>
      </c>
      <c r="V88" s="72">
        <v>132.5</v>
      </c>
      <c r="W88" s="72">
        <v>130.5</v>
      </c>
      <c r="X88" s="99">
        <v>129.4</v>
      </c>
      <c r="Y88" s="99">
        <v>131.19999999999999</v>
      </c>
      <c r="Z88" s="99">
        <v>133.5</v>
      </c>
      <c r="AA88" s="99">
        <v>134</v>
      </c>
      <c r="AB88" s="99">
        <v>133.1</v>
      </c>
      <c r="AC88" s="99">
        <v>134</v>
      </c>
      <c r="AD88" s="99">
        <v>132.4</v>
      </c>
      <c r="AE88" s="72">
        <v>132.80000000000001</v>
      </c>
      <c r="AF88" s="72">
        <v>132.9</v>
      </c>
      <c r="AG88" s="100"/>
      <c r="AH88" s="53">
        <f t="shared" si="14"/>
        <v>134.4</v>
      </c>
      <c r="AI88" s="54">
        <f t="shared" si="15"/>
        <v>129.4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129.9</v>
      </c>
      <c r="C89" s="103">
        <v>130.9</v>
      </c>
      <c r="D89" s="103">
        <v>131</v>
      </c>
      <c r="E89" s="103">
        <v>131</v>
      </c>
      <c r="F89" s="103">
        <v>131</v>
      </c>
      <c r="G89" s="103">
        <v>131</v>
      </c>
      <c r="H89" s="103">
        <v>132</v>
      </c>
      <c r="I89" s="103">
        <v>132</v>
      </c>
      <c r="J89" s="103">
        <v>132.5</v>
      </c>
      <c r="K89" s="103">
        <v>134</v>
      </c>
      <c r="L89" s="103">
        <v>132</v>
      </c>
      <c r="M89" s="103">
        <v>134.4</v>
      </c>
      <c r="N89" s="103">
        <v>131.69999999999999</v>
      </c>
      <c r="O89" s="103">
        <v>131.69999999999999</v>
      </c>
      <c r="P89" s="103">
        <v>130.6</v>
      </c>
      <c r="Q89" s="103">
        <v>135</v>
      </c>
      <c r="R89" s="103">
        <v>133.4</v>
      </c>
      <c r="S89" s="103">
        <v>132.4</v>
      </c>
      <c r="T89" s="103">
        <v>132.4</v>
      </c>
      <c r="U89" s="103">
        <v>131</v>
      </c>
      <c r="V89" s="103">
        <v>132.19999999999999</v>
      </c>
      <c r="W89" s="103">
        <v>134.9</v>
      </c>
      <c r="X89" s="99">
        <v>134.30000000000001</v>
      </c>
      <c r="Y89" s="99">
        <v>132.19999999999999</v>
      </c>
      <c r="Z89" s="99">
        <v>131.5</v>
      </c>
      <c r="AA89" s="99">
        <v>134</v>
      </c>
      <c r="AB89" s="99">
        <v>134.19999999999999</v>
      </c>
      <c r="AC89" s="99">
        <v>134.19999999999999</v>
      </c>
      <c r="AD89" s="99">
        <v>135.19999999999999</v>
      </c>
      <c r="AE89" s="103">
        <v>132.30000000000001</v>
      </c>
      <c r="AF89" s="103">
        <v>129.69999999999999</v>
      </c>
      <c r="AG89" s="104"/>
      <c r="AH89" s="53">
        <f t="shared" si="14"/>
        <v>135.19999999999999</v>
      </c>
      <c r="AI89" s="54">
        <f t="shared" si="15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136.1</v>
      </c>
      <c r="C90" s="72">
        <v>134.69999999999999</v>
      </c>
      <c r="D90" s="72">
        <v>136</v>
      </c>
      <c r="E90" s="72">
        <v>136</v>
      </c>
      <c r="F90" s="72">
        <v>136</v>
      </c>
      <c r="G90" s="72">
        <v>136</v>
      </c>
      <c r="H90" s="72">
        <v>134</v>
      </c>
      <c r="I90" s="72">
        <v>135</v>
      </c>
      <c r="J90" s="72">
        <v>132</v>
      </c>
      <c r="K90" s="72">
        <v>130</v>
      </c>
      <c r="L90" s="72">
        <v>132.69999999999999</v>
      </c>
      <c r="M90" s="72">
        <v>130.5</v>
      </c>
      <c r="N90" s="72">
        <v>129.69999999999999</v>
      </c>
      <c r="O90" s="72">
        <v>129.69999999999999</v>
      </c>
      <c r="P90" s="72">
        <v>134.5</v>
      </c>
      <c r="Q90" s="72">
        <v>136</v>
      </c>
      <c r="R90" s="72">
        <v>130.4</v>
      </c>
      <c r="S90" s="72">
        <v>129.80000000000001</v>
      </c>
      <c r="T90" s="72">
        <v>133.9</v>
      </c>
      <c r="U90" s="72">
        <v>131.1</v>
      </c>
      <c r="V90" s="72">
        <v>131.4</v>
      </c>
      <c r="W90" s="72">
        <v>131.5</v>
      </c>
      <c r="X90" s="99">
        <v>127.1</v>
      </c>
      <c r="Y90" s="99">
        <v>132.9</v>
      </c>
      <c r="Z90" s="99">
        <v>136</v>
      </c>
      <c r="AA90" s="99">
        <v>131.30000000000001</v>
      </c>
      <c r="AB90" s="99">
        <v>130.69999999999999</v>
      </c>
      <c r="AC90" s="99">
        <v>126.3</v>
      </c>
      <c r="AD90" s="99">
        <v>132.19999999999999</v>
      </c>
      <c r="AE90" s="72">
        <v>131.5</v>
      </c>
      <c r="AF90" s="72">
        <v>134.6</v>
      </c>
      <c r="AG90" s="100"/>
      <c r="AH90" s="53">
        <f t="shared" si="14"/>
        <v>136.1</v>
      </c>
      <c r="AI90" s="54">
        <f t="shared" si="15"/>
        <v>126.3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4"/>
        <v>0</v>
      </c>
      <c r="AI91" s="54">
        <f t="shared" si="15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190.94</v>
      </c>
      <c r="C93" s="113">
        <f>SUM(C15,C18,C21:C22,C42,C44:C45,C47,C49,C94:C97,C102,C108,C114,C123,C125,C137,C144,C147:C148,C155,C157,C159,C163:C165,C167:C169,C174,C180:C181,C183:C185,C193,C198)</f>
        <v>184.14</v>
      </c>
      <c r="D93" s="113">
        <f t="shared" ref="D93:AF93" si="22">SUM(D15,D18,D21:D22,D42,D44:D45,D47,D49,D94:D97,D102,D108,D114,D123,D125,D137,D144,D147:D148,D155,D157,D159,D163:D165,D167:D169,D174,D180:D181,D183:D185,D193,D198)</f>
        <v>176.73999999999998</v>
      </c>
      <c r="E93" s="113">
        <f t="shared" si="22"/>
        <v>175.53999999999996</v>
      </c>
      <c r="F93" s="113">
        <f t="shared" si="22"/>
        <v>186.73999999999998</v>
      </c>
      <c r="G93" s="112">
        <f t="shared" si="22"/>
        <v>199.84</v>
      </c>
      <c r="H93" s="112">
        <f t="shared" si="22"/>
        <v>223.73999999999995</v>
      </c>
      <c r="I93" s="112">
        <f t="shared" si="22"/>
        <v>254.43999999999994</v>
      </c>
      <c r="J93" s="112">
        <f t="shared" si="22"/>
        <v>295.14</v>
      </c>
      <c r="K93" s="112">
        <f t="shared" si="22"/>
        <v>358.14</v>
      </c>
      <c r="L93" s="112">
        <f t="shared" si="22"/>
        <v>404.14000000000004</v>
      </c>
      <c r="M93" s="112">
        <f t="shared" si="22"/>
        <v>427.74</v>
      </c>
      <c r="N93" s="112">
        <f t="shared" si="22"/>
        <v>427.74</v>
      </c>
      <c r="O93" s="112">
        <f t="shared" si="22"/>
        <v>425.24000000000007</v>
      </c>
      <c r="P93" s="112">
        <f t="shared" si="22"/>
        <v>403.74</v>
      </c>
      <c r="Q93" s="112">
        <f t="shared" si="22"/>
        <v>368.54</v>
      </c>
      <c r="R93" s="112">
        <f t="shared" si="22"/>
        <v>351.74</v>
      </c>
      <c r="S93" s="112">
        <f t="shared" si="22"/>
        <v>347.14000000000004</v>
      </c>
      <c r="T93" s="112">
        <f t="shared" si="22"/>
        <v>354.74</v>
      </c>
      <c r="U93" s="112">
        <f t="shared" si="22"/>
        <v>363.44000000000005</v>
      </c>
      <c r="V93" s="112">
        <f t="shared" si="22"/>
        <v>388.64000000000004</v>
      </c>
      <c r="W93" s="112">
        <f t="shared" si="22"/>
        <v>430.14000000000004</v>
      </c>
      <c r="X93" s="112">
        <f t="shared" si="22"/>
        <v>478.54000000000008</v>
      </c>
      <c r="Y93" s="112">
        <f t="shared" si="22"/>
        <v>498.14</v>
      </c>
      <c r="Z93" s="112">
        <f t="shared" si="22"/>
        <v>490.74</v>
      </c>
      <c r="AA93" s="112">
        <f t="shared" si="22"/>
        <v>484.24</v>
      </c>
      <c r="AB93" s="112">
        <f t="shared" si="22"/>
        <v>464.53999999999996</v>
      </c>
      <c r="AC93" s="112">
        <f t="shared" si="22"/>
        <v>419.54</v>
      </c>
      <c r="AD93" s="112">
        <f t="shared" si="22"/>
        <v>352.74</v>
      </c>
      <c r="AE93" s="112">
        <f t="shared" si="22"/>
        <v>281.04000000000002</v>
      </c>
      <c r="AF93" s="112">
        <f t="shared" si="22"/>
        <v>233.03999999999996</v>
      </c>
      <c r="AG93" s="114"/>
      <c r="AH93" s="53">
        <f>MAX(C93:AF93)</f>
        <v>498.14</v>
      </c>
      <c r="AI93" s="54">
        <f>MIN(C93:AF93)</f>
        <v>175.53999999999996</v>
      </c>
    </row>
    <row r="94" spans="1:88" x14ac:dyDescent="0.25">
      <c r="A94" s="115" t="s">
        <v>98</v>
      </c>
      <c r="B94" s="116">
        <v>5</v>
      </c>
      <c r="C94" s="57">
        <v>-1.5</v>
      </c>
      <c r="D94" s="57">
        <v>-7.9</v>
      </c>
      <c r="E94" s="57">
        <v>-15.4</v>
      </c>
      <c r="F94" s="57">
        <v>-14</v>
      </c>
      <c r="G94" s="57">
        <v>-10.199999999999999</v>
      </c>
      <c r="H94" s="117">
        <v>11.7</v>
      </c>
      <c r="I94" s="117">
        <v>19.2</v>
      </c>
      <c r="J94" s="117">
        <v>31.2</v>
      </c>
      <c r="K94" s="117">
        <v>76.5</v>
      </c>
      <c r="L94" s="117">
        <v>66</v>
      </c>
      <c r="M94" s="118">
        <v>63.5</v>
      </c>
      <c r="N94" s="117">
        <v>64</v>
      </c>
      <c r="O94" s="117">
        <v>65.7</v>
      </c>
      <c r="P94" s="117">
        <v>61</v>
      </c>
      <c r="Q94" s="117">
        <v>48.1</v>
      </c>
      <c r="R94" s="117">
        <v>40</v>
      </c>
      <c r="S94" s="117">
        <v>31.6</v>
      </c>
      <c r="T94" s="117">
        <v>39</v>
      </c>
      <c r="U94" s="118">
        <v>14.6</v>
      </c>
      <c r="V94" s="118">
        <v>2.5</v>
      </c>
      <c r="W94" s="118">
        <v>37.799999999999997</v>
      </c>
      <c r="X94" s="117">
        <v>61.1</v>
      </c>
      <c r="Y94" s="117">
        <v>56.1</v>
      </c>
      <c r="Z94" s="117">
        <v>68.7</v>
      </c>
      <c r="AA94" s="117">
        <v>70.3</v>
      </c>
      <c r="AB94" s="117">
        <v>64.8</v>
      </c>
      <c r="AC94" s="117">
        <v>62.4</v>
      </c>
      <c r="AD94" s="117">
        <v>44</v>
      </c>
      <c r="AE94" s="117">
        <v>24.3</v>
      </c>
      <c r="AF94" s="117">
        <v>8</v>
      </c>
      <c r="AG94" s="119">
        <v>75</v>
      </c>
      <c r="AH94" s="53">
        <f t="shared" ref="AH94:AH99" si="23">IF(ABS(MAX(C94:AF94))&gt;ABS(MIN(C94:AF94)),MAX(C94:AF94),MIN(C94:AF94))</f>
        <v>76.5</v>
      </c>
      <c r="AI94" s="120">
        <f t="shared" ref="AI94:AI99" si="24">INDEX($C$9:$AF$9,1,MATCH(AH94,C94:AF94,0))</f>
        <v>0.29166666666666669</v>
      </c>
    </row>
    <row r="95" spans="1:88" x14ac:dyDescent="0.25">
      <c r="A95" s="121" t="s">
        <v>99</v>
      </c>
      <c r="B95" s="122">
        <f>-23.3-25.7</f>
        <v>-49</v>
      </c>
      <c r="C95" s="59">
        <f>-23.6-26.2</f>
        <v>-49.8</v>
      </c>
      <c r="D95" s="59">
        <v>-49</v>
      </c>
      <c r="E95" s="59">
        <v>-48.7</v>
      </c>
      <c r="F95" s="59">
        <v>-46</v>
      </c>
      <c r="G95" s="59">
        <v>-43</v>
      </c>
      <c r="H95" s="59">
        <v>-36</v>
      </c>
      <c r="I95" s="59">
        <v>-27.9</v>
      </c>
      <c r="J95" s="59">
        <v>-17.8</v>
      </c>
      <c r="K95" s="59">
        <v>-3.8</v>
      </c>
      <c r="L95" s="59">
        <v>12.5</v>
      </c>
      <c r="M95" s="59">
        <v>37.5</v>
      </c>
      <c r="N95" s="59">
        <v>30</v>
      </c>
      <c r="O95" s="59">
        <v>30</v>
      </c>
      <c r="P95" s="59">
        <v>15</v>
      </c>
      <c r="Q95" s="59">
        <v>17.399999999999999</v>
      </c>
      <c r="R95" s="59">
        <v>18</v>
      </c>
      <c r="S95" s="59">
        <v>11.1</v>
      </c>
      <c r="T95" s="59">
        <v>13</v>
      </c>
      <c r="U95" s="59">
        <v>35</v>
      </c>
      <c r="V95" s="59">
        <v>44.9</v>
      </c>
      <c r="W95" s="59">
        <v>83.2</v>
      </c>
      <c r="X95" s="59">
        <v>83</v>
      </c>
      <c r="Y95" s="59">
        <v>89.1</v>
      </c>
      <c r="Z95" s="59">
        <v>78.3</v>
      </c>
      <c r="AA95" s="59">
        <v>73.3</v>
      </c>
      <c r="AB95" s="59">
        <f>36.2+32.5</f>
        <v>68.7</v>
      </c>
      <c r="AC95" s="59">
        <f>25.7+22.7</f>
        <v>48.4</v>
      </c>
      <c r="AD95" s="59">
        <f>9.5+9.4</f>
        <v>18.899999999999999</v>
      </c>
      <c r="AE95" s="59">
        <f>-6-8.1</f>
        <v>-14.1</v>
      </c>
      <c r="AF95" s="59">
        <f>-18-21</f>
        <v>-39</v>
      </c>
      <c r="AG95" s="119">
        <v>240</v>
      </c>
      <c r="AH95" s="53">
        <f t="shared" si="23"/>
        <v>89.1</v>
      </c>
      <c r="AI95" s="120">
        <f t="shared" si="24"/>
        <v>0.77083333333333337</v>
      </c>
    </row>
    <row r="96" spans="1:88" x14ac:dyDescent="0.25">
      <c r="A96" s="121" t="s">
        <v>100</v>
      </c>
      <c r="B96" s="122">
        <v>-4.5999999999999996</v>
      </c>
      <c r="C96" s="59">
        <v>-1.4</v>
      </c>
      <c r="D96" s="59">
        <v>-4.5999999999999996</v>
      </c>
      <c r="E96" s="59">
        <v>-7.1</v>
      </c>
      <c r="F96" s="59">
        <v>-3</v>
      </c>
      <c r="G96" s="59">
        <v>-1.1000000000000001</v>
      </c>
      <c r="H96" s="59">
        <v>-0.4</v>
      </c>
      <c r="I96" s="59">
        <v>5.7</v>
      </c>
      <c r="J96" s="59">
        <v>6</v>
      </c>
      <c r="K96" s="59">
        <v>20</v>
      </c>
      <c r="L96" s="59">
        <v>37.9</v>
      </c>
      <c r="M96" s="59">
        <v>27</v>
      </c>
      <c r="N96" s="59">
        <v>33</v>
      </c>
      <c r="O96" s="59">
        <v>35.5</v>
      </c>
      <c r="P96" s="59">
        <v>31</v>
      </c>
      <c r="Q96" s="59">
        <v>30.6</v>
      </c>
      <c r="R96" s="59">
        <v>31</v>
      </c>
      <c r="S96" s="59">
        <v>26.3</v>
      </c>
      <c r="T96" s="59">
        <v>26.6</v>
      </c>
      <c r="U96" s="59">
        <v>28.4</v>
      </c>
      <c r="V96" s="59">
        <v>45.1</v>
      </c>
      <c r="W96" s="59">
        <v>53.7</v>
      </c>
      <c r="X96" s="59">
        <v>56.9</v>
      </c>
      <c r="Y96" s="59">
        <v>60.5</v>
      </c>
      <c r="Z96" s="59">
        <v>56</v>
      </c>
      <c r="AA96" s="59">
        <v>56.2</v>
      </c>
      <c r="AB96" s="59">
        <v>53.4</v>
      </c>
      <c r="AC96" s="59">
        <v>32.4</v>
      </c>
      <c r="AD96" s="59">
        <v>16.7</v>
      </c>
      <c r="AE96" s="59">
        <v>0.9</v>
      </c>
      <c r="AF96" s="59">
        <v>-11</v>
      </c>
      <c r="AG96" s="119">
        <v>60</v>
      </c>
      <c r="AH96" s="53">
        <f t="shared" si="23"/>
        <v>60.5</v>
      </c>
      <c r="AI96" s="120">
        <f t="shared" si="24"/>
        <v>0.77083333333333337</v>
      </c>
    </row>
    <row r="97" spans="1:37" x14ac:dyDescent="0.25">
      <c r="A97" s="123" t="s">
        <v>101</v>
      </c>
      <c r="B97" s="124">
        <v>57.8</v>
      </c>
      <c r="C97" s="62">
        <v>55.1</v>
      </c>
      <c r="D97" s="62">
        <v>56.5</v>
      </c>
      <c r="E97" s="62">
        <v>65</v>
      </c>
      <c r="F97" s="62">
        <v>68</v>
      </c>
      <c r="G97" s="62">
        <v>72.400000000000006</v>
      </c>
      <c r="H97" s="62">
        <v>66.7</v>
      </c>
      <c r="I97" s="62">
        <v>75.7</v>
      </c>
      <c r="J97" s="62">
        <v>93</v>
      </c>
      <c r="K97" s="62">
        <v>82.9</v>
      </c>
      <c r="L97" s="62">
        <v>105</v>
      </c>
      <c r="M97" s="62">
        <v>117</v>
      </c>
      <c r="N97" s="62">
        <v>118</v>
      </c>
      <c r="O97" s="62">
        <v>112.3</v>
      </c>
      <c r="P97" s="62">
        <v>115</v>
      </c>
      <c r="Q97" s="62">
        <v>90.7</v>
      </c>
      <c r="R97" s="62">
        <v>81</v>
      </c>
      <c r="S97" s="62">
        <v>96.9</v>
      </c>
      <c r="T97" s="62">
        <v>94.9</v>
      </c>
      <c r="U97" s="62">
        <v>104.5</v>
      </c>
      <c r="V97" s="62">
        <v>114.9</v>
      </c>
      <c r="W97" s="62">
        <v>75</v>
      </c>
      <c r="X97" s="62">
        <v>97.1</v>
      </c>
      <c r="Y97" s="62">
        <v>104.4</v>
      </c>
      <c r="Z97" s="62">
        <v>99.4</v>
      </c>
      <c r="AA97" s="62">
        <v>96.4</v>
      </c>
      <c r="AB97" s="62">
        <v>89.6</v>
      </c>
      <c r="AC97" s="62">
        <v>88.3</v>
      </c>
      <c r="AD97" s="62">
        <v>85.1</v>
      </c>
      <c r="AE97" s="62">
        <v>81.900000000000006</v>
      </c>
      <c r="AF97" s="62">
        <v>87</v>
      </c>
      <c r="AG97" s="126">
        <v>120</v>
      </c>
      <c r="AH97" s="53">
        <f t="shared" si="23"/>
        <v>118</v>
      </c>
      <c r="AI97" s="120">
        <f t="shared" si="24"/>
        <v>0.375</v>
      </c>
    </row>
    <row r="98" spans="1:37" x14ac:dyDescent="0.25">
      <c r="A98" s="123" t="s">
        <v>102</v>
      </c>
      <c r="B98" s="124">
        <v>67.5</v>
      </c>
      <c r="C98" s="62">
        <v>65.099999999999994</v>
      </c>
      <c r="D98" s="62">
        <v>68.900000000000006</v>
      </c>
      <c r="E98" s="62">
        <v>74.3</v>
      </c>
      <c r="F98" s="62">
        <v>76</v>
      </c>
      <c r="G98" s="62">
        <v>78.5</v>
      </c>
      <c r="H98" s="62">
        <v>68.3</v>
      </c>
      <c r="I98" s="62">
        <v>71.900000000000006</v>
      </c>
      <c r="J98" s="62">
        <v>82</v>
      </c>
      <c r="K98" s="62">
        <v>65</v>
      </c>
      <c r="L98" s="62">
        <v>84</v>
      </c>
      <c r="M98" s="62">
        <v>84</v>
      </c>
      <c r="N98" s="62">
        <v>102</v>
      </c>
      <c r="O98" s="62">
        <v>95.2</v>
      </c>
      <c r="P98" s="62">
        <v>85</v>
      </c>
      <c r="Q98" s="62">
        <v>93.5</v>
      </c>
      <c r="R98" s="62">
        <v>91</v>
      </c>
      <c r="S98" s="62">
        <v>94.2</v>
      </c>
      <c r="T98" s="62">
        <v>91.6</v>
      </c>
      <c r="U98" s="62">
        <v>91.1</v>
      </c>
      <c r="V98" s="62">
        <v>92.1</v>
      </c>
      <c r="W98" s="62">
        <v>107.7</v>
      </c>
      <c r="X98" s="62">
        <v>91</v>
      </c>
      <c r="Y98" s="62">
        <v>99.2</v>
      </c>
      <c r="Z98" s="62">
        <v>83</v>
      </c>
      <c r="AA98" s="62">
        <v>74</v>
      </c>
      <c r="AB98" s="62">
        <v>73.900000000000006</v>
      </c>
      <c r="AC98" s="62">
        <v>65.7</v>
      </c>
      <c r="AD98" s="62">
        <v>68.900000000000006</v>
      </c>
      <c r="AE98" s="62">
        <v>84.5</v>
      </c>
      <c r="AF98" s="62">
        <v>82</v>
      </c>
      <c r="AG98" s="126"/>
      <c r="AH98" s="53">
        <f t="shared" si="23"/>
        <v>107.7</v>
      </c>
      <c r="AI98" s="120">
        <f t="shared" si="24"/>
        <v>0.72916666666666663</v>
      </c>
    </row>
    <row r="99" spans="1:37" ht="15.75" thickBot="1" x14ac:dyDescent="0.3">
      <c r="A99" s="123" t="s">
        <v>103</v>
      </c>
      <c r="B99" s="124">
        <v>59.6</v>
      </c>
      <c r="C99" s="62">
        <v>63.6</v>
      </c>
      <c r="D99" s="62">
        <v>56.9</v>
      </c>
      <c r="E99" s="62">
        <v>57.7</v>
      </c>
      <c r="F99" s="62">
        <v>60</v>
      </c>
      <c r="G99" s="62">
        <v>62.9</v>
      </c>
      <c r="H99" s="62">
        <v>24.3</v>
      </c>
      <c r="I99" s="62">
        <v>34.6</v>
      </c>
      <c r="J99" s="62">
        <v>22.6</v>
      </c>
      <c r="K99" s="62">
        <v>-1.3</v>
      </c>
      <c r="L99" s="62">
        <v>10</v>
      </c>
      <c r="M99" s="62">
        <v>11</v>
      </c>
      <c r="N99" s="62">
        <v>13</v>
      </c>
      <c r="O99" s="62">
        <v>11.1</v>
      </c>
      <c r="P99" s="62">
        <v>13.4</v>
      </c>
      <c r="Q99" s="62">
        <v>11.9</v>
      </c>
      <c r="R99" s="62">
        <v>15.4</v>
      </c>
      <c r="S99" s="62">
        <v>27.3</v>
      </c>
      <c r="T99" s="62">
        <v>21.3</v>
      </c>
      <c r="U99" s="62">
        <v>30.5</v>
      </c>
      <c r="V99" s="62">
        <v>40.4</v>
      </c>
      <c r="W99" s="62">
        <v>31.4</v>
      </c>
      <c r="X99" s="62">
        <v>12.6</v>
      </c>
      <c r="Y99" s="62">
        <v>27.1</v>
      </c>
      <c r="Z99" s="62">
        <v>18.8</v>
      </c>
      <c r="AA99" s="62">
        <v>13.4</v>
      </c>
      <c r="AB99" s="62">
        <v>12</v>
      </c>
      <c r="AC99" s="62">
        <v>10</v>
      </c>
      <c r="AD99" s="62">
        <v>33.9</v>
      </c>
      <c r="AE99" s="62">
        <v>40.299999999999997</v>
      </c>
      <c r="AF99" s="62">
        <v>58</v>
      </c>
      <c r="AG99" s="127"/>
      <c r="AH99" s="53">
        <f t="shared" si="23"/>
        <v>63.6</v>
      </c>
      <c r="AI99" s="120">
        <f t="shared" si="24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1527.44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2078/09/4)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933.04</v>
      </c>
      <c r="U213" s="173">
        <f t="shared" si="61"/>
        <v>897.43999999999994</v>
      </c>
      <c r="V213" s="173">
        <f t="shared" si="61"/>
        <v>880.04</v>
      </c>
      <c r="W213" s="173">
        <f t="shared" si="61"/>
        <v>895.04</v>
      </c>
      <c r="X213" s="173">
        <f t="shared" si="61"/>
        <v>899.04</v>
      </c>
      <c r="Y213" s="173">
        <f t="shared" si="61"/>
        <v>918.04</v>
      </c>
      <c r="Z213" s="173">
        <f t="shared" si="61"/>
        <v>986.44</v>
      </c>
      <c r="AA213" s="173">
        <f t="shared" si="61"/>
        <v>1043.94</v>
      </c>
      <c r="AB213" s="173">
        <f t="shared" si="61"/>
        <v>1158.44</v>
      </c>
      <c r="AC213" s="173">
        <f t="shared" si="61"/>
        <v>1320.04</v>
      </c>
      <c r="AD213" s="173">
        <f t="shared" si="61"/>
        <v>1429.94</v>
      </c>
      <c r="AE213" s="173">
        <f t="shared" si="61"/>
        <v>1502.54</v>
      </c>
      <c r="AF213" s="173">
        <f t="shared" si="61"/>
        <v>1527.44</v>
      </c>
      <c r="AG213" s="173">
        <f t="shared" si="61"/>
        <v>1503.44</v>
      </c>
      <c r="AH213" s="173">
        <f t="shared" si="61"/>
        <v>1409.24</v>
      </c>
      <c r="AI213" s="173">
        <f t="shared" si="61"/>
        <v>1329.24</v>
      </c>
      <c r="AJ213" s="173">
        <f t="shared" si="61"/>
        <v>1294.74</v>
      </c>
      <c r="AK213" s="173">
        <f t="shared" si="61"/>
        <v>1292.74</v>
      </c>
      <c r="AL213" s="173">
        <f t="shared" si="61"/>
        <v>1322.94</v>
      </c>
      <c r="AM213" s="173">
        <f t="shared" si="61"/>
        <v>1314.34</v>
      </c>
      <c r="AN213" s="173">
        <f t="shared" si="61"/>
        <v>1371.3400000000001</v>
      </c>
      <c r="AO213" s="173">
        <f t="shared" si="61"/>
        <v>1483.1399999999999</v>
      </c>
      <c r="AP213" s="173">
        <f t="shared" si="61"/>
        <v>1624.64</v>
      </c>
      <c r="AQ213" s="173">
        <f t="shared" si="61"/>
        <v>1634.0400000000002</v>
      </c>
      <c r="AR213" s="173">
        <f t="shared" si="61"/>
        <v>1590.3400000000001</v>
      </c>
      <c r="AS213" s="173">
        <f t="shared" si="61"/>
        <v>1551.0400000000002</v>
      </c>
      <c r="AT213" s="173">
        <f t="shared" si="61"/>
        <v>1485.94</v>
      </c>
      <c r="AU213" s="173">
        <f t="shared" si="61"/>
        <v>1431.6399999999999</v>
      </c>
      <c r="AV213" s="173">
        <f t="shared" si="61"/>
        <v>1163.8399999999999</v>
      </c>
      <c r="AW213" s="173">
        <f t="shared" si="61"/>
        <v>1088.1400000000001</v>
      </c>
      <c r="AX213" s="173">
        <f t="shared" si="61"/>
        <v>1027.1400000000001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P39:R39 R40:T41 M58:W59 X85:AA91 AB81:AF81 B81:R81 C56:AF56 B82:AF83 D193:AF199 B193:B199 C68:AF72 AB91:AF91 B84:B91 B73:AF80 B9:AF10 B191:AF191 B53:B72 AG73 B94:B99 U212:AF212 C57:C67 D57:L59 B36:L36 M39:O42 P40:Q42 M37:R37 R42 N45:R48 D60:R67 U40:Y42 AB85:AD90 M11:AF11 S36:AF36 S18:AF30 Z40:AF43 M53:AF55 AE84:AF90">
    <cfRule type="expression" dxfId="10947" priority="274">
      <formula>B$9&gt;=20/24</formula>
    </cfRule>
    <cfRule type="expression" dxfId="10946" priority="275">
      <formula>AND(B$9&gt;=14/24,B$9&lt;20/24)</formula>
    </cfRule>
    <cfRule type="expression" dxfId="10945" priority="276">
      <formula>AND(B$9&gt;=8/24,B$9&lt;14/24)</formula>
    </cfRule>
    <cfRule type="expression" dxfId="10944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943" priority="269">
      <formula>M$9&gt;=20/24</formula>
    </cfRule>
    <cfRule type="expression" dxfId="10942" priority="270">
      <formula>AND(M$9&gt;=14/24,M$9&lt;20/24)</formula>
    </cfRule>
    <cfRule type="expression" dxfId="10941" priority="271">
      <formula>AND(M$9&gt;=8/24,M$9&lt;14/24)</formula>
    </cfRule>
    <cfRule type="expression" dxfId="10940" priority="272">
      <formula>M$9&lt;8/24</formula>
    </cfRule>
  </conditionalFormatting>
  <conditionalFormatting sqref="M43:R43">
    <cfRule type="expression" dxfId="10939" priority="265">
      <formula>M$9&gt;=20/24</formula>
    </cfRule>
    <cfRule type="expression" dxfId="10938" priority="266">
      <formula>AND(M$9&gt;=14/24,M$9&lt;20/24)</formula>
    </cfRule>
    <cfRule type="expression" dxfId="10937" priority="267">
      <formula>AND(M$9&gt;=8/24,M$9&lt;14/24)</formula>
    </cfRule>
    <cfRule type="expression" dxfId="10936" priority="268">
      <formula>M$9&lt;8/24</formula>
    </cfRule>
  </conditionalFormatting>
  <conditionalFormatting sqref="S39:AF39">
    <cfRule type="expression" dxfId="10935" priority="257">
      <formula>S$9&gt;=20/24</formula>
    </cfRule>
    <cfRule type="expression" dxfId="10934" priority="258">
      <formula>AND(S$9&gt;=14/24,S$9&lt;20/24)</formula>
    </cfRule>
    <cfRule type="expression" dxfId="10933" priority="259">
      <formula>AND(S$9&gt;=8/24,S$9&lt;14/24)</formula>
    </cfRule>
    <cfRule type="expression" dxfId="10932" priority="260">
      <formula>S$9&lt;8/24</formula>
    </cfRule>
  </conditionalFormatting>
  <conditionalFormatting sqref="S57:AF57">
    <cfRule type="expression" dxfId="10931" priority="253">
      <formula>S$9&gt;=20/24</formula>
    </cfRule>
    <cfRule type="expression" dxfId="10930" priority="254">
      <formula>AND(S$9&gt;=14/24,S$9&lt;20/24)</formula>
    </cfRule>
    <cfRule type="expression" dxfId="10929" priority="255">
      <formula>AND(S$9&gt;=8/24,S$9&lt;14/24)</formula>
    </cfRule>
    <cfRule type="expression" dxfId="10928" priority="256">
      <formula>S$9&lt;8/24</formula>
    </cfRule>
  </conditionalFormatting>
  <conditionalFormatting sqref="S81:AA81">
    <cfRule type="expression" dxfId="10927" priority="249">
      <formula>S$9&gt;=20/24</formula>
    </cfRule>
    <cfRule type="expression" dxfId="10926" priority="250">
      <formula>AND(S$9&gt;=14/24,S$9&lt;20/24)</formula>
    </cfRule>
    <cfRule type="expression" dxfId="10925" priority="251">
      <formula>AND(S$9&gt;=8/24,S$9&lt;14/24)</formula>
    </cfRule>
    <cfRule type="expression" dxfId="10924" priority="252">
      <formula>S$9&lt;8/24</formula>
    </cfRule>
  </conditionalFormatting>
  <conditionalFormatting sqref="U84:AD84">
    <cfRule type="expression" dxfId="10923" priority="245">
      <formula>U$9&gt;=20/24</formula>
    </cfRule>
    <cfRule type="expression" dxfId="10922" priority="246">
      <formula>AND(U$9&gt;=14/24,U$9&lt;20/24)</formula>
    </cfRule>
    <cfRule type="expression" dxfId="10921" priority="247">
      <formula>AND(U$9&gt;=8/24,U$9&lt;14/24)</formula>
    </cfRule>
    <cfRule type="expression" dxfId="10920" priority="248">
      <formula>U$9&lt;8/24</formula>
    </cfRule>
  </conditionalFormatting>
  <conditionalFormatting sqref="M49:T49">
    <cfRule type="expression" dxfId="10919" priority="237">
      <formula>M$9&gt;=20/24</formula>
    </cfRule>
    <cfRule type="expression" dxfId="10918" priority="238">
      <formula>AND(M$9&gt;=14/24,M$9&lt;20/24)</formula>
    </cfRule>
    <cfRule type="expression" dxfId="10917" priority="239">
      <formula>AND(M$9&gt;=8/24,M$9&lt;14/24)</formula>
    </cfRule>
    <cfRule type="expression" dxfId="10916" priority="240">
      <formula>M$9&lt;8/24</formula>
    </cfRule>
  </conditionalFormatting>
  <conditionalFormatting sqref="M50:R50">
    <cfRule type="expression" dxfId="10915" priority="233">
      <formula>M$9&gt;=20/24</formula>
    </cfRule>
    <cfRule type="expression" dxfId="10914" priority="234">
      <formula>AND(M$9&gt;=14/24,M$9&lt;20/24)</formula>
    </cfRule>
    <cfRule type="expression" dxfId="10913" priority="235">
      <formula>AND(M$9&gt;=8/24,M$9&lt;14/24)</formula>
    </cfRule>
    <cfRule type="expression" dxfId="10912" priority="236">
      <formula>M$9&lt;8/24</formula>
    </cfRule>
  </conditionalFormatting>
  <conditionalFormatting sqref="M45:R48">
    <cfRule type="expression" dxfId="10911" priority="229">
      <formula>M$9&gt;=20/24</formula>
    </cfRule>
    <cfRule type="expression" dxfId="10910" priority="230">
      <formula>AND(M$9&gt;=14/24,M$9&lt;20/24)</formula>
    </cfRule>
    <cfRule type="expression" dxfId="10909" priority="231">
      <formula>AND(M$9&gt;=8/24,M$9&lt;14/24)</formula>
    </cfRule>
    <cfRule type="expression" dxfId="10908" priority="232">
      <formula>M$9&lt;8/24</formula>
    </cfRule>
  </conditionalFormatting>
  <conditionalFormatting sqref="S37:AF37">
    <cfRule type="expression" dxfId="10907" priority="225">
      <formula>S$9&gt;=20/24</formula>
    </cfRule>
    <cfRule type="expression" dxfId="10906" priority="226">
      <formula>AND(S$9&gt;=14/24,S$9&lt;20/24)</formula>
    </cfRule>
    <cfRule type="expression" dxfId="10905" priority="227">
      <formula>AND(S$9&gt;=8/24,S$9&lt;14/24)</formula>
    </cfRule>
    <cfRule type="expression" dxfId="10904" priority="228">
      <formula>S$9&lt;8/24</formula>
    </cfRule>
  </conditionalFormatting>
  <conditionalFormatting sqref="S31:AF32 S35:AF35">
    <cfRule type="expression" dxfId="10903" priority="221">
      <formula>S$9&gt;=20/24</formula>
    </cfRule>
    <cfRule type="expression" dxfId="10902" priority="222">
      <formula>AND(S$9&gt;=14/24,S$9&lt;20/24)</formula>
    </cfRule>
    <cfRule type="expression" dxfId="10901" priority="223">
      <formula>AND(S$9&gt;=8/24,S$9&lt;14/24)</formula>
    </cfRule>
    <cfRule type="expression" dxfId="10900" priority="224">
      <formula>S$9&lt;8/24</formula>
    </cfRule>
  </conditionalFormatting>
  <conditionalFormatting sqref="S42:T43 U43:Y43 S45:AF48">
    <cfRule type="expression" dxfId="10899" priority="217">
      <formula>S$9&gt;=20/24</formula>
    </cfRule>
    <cfRule type="expression" dxfId="10898" priority="218">
      <formula>AND(S$9&gt;=14/24,S$9&lt;20/24)</formula>
    </cfRule>
    <cfRule type="expression" dxfId="10897" priority="219">
      <formula>AND(S$9&gt;=8/24,S$9&lt;14/24)</formula>
    </cfRule>
    <cfRule type="expression" dxfId="10896" priority="220">
      <formula>S$9&lt;8/24</formula>
    </cfRule>
  </conditionalFormatting>
  <conditionalFormatting sqref="S49:AF49">
    <cfRule type="expression" dxfId="10895" priority="213">
      <formula>S$9&gt;=20/24</formula>
    </cfRule>
    <cfRule type="expression" dxfId="10894" priority="214">
      <formula>AND(S$9&gt;=14/24,S$9&lt;20/24)</formula>
    </cfRule>
    <cfRule type="expression" dxfId="10893" priority="215">
      <formula>AND(S$9&gt;=8/24,S$9&lt;14/24)</formula>
    </cfRule>
    <cfRule type="expression" dxfId="10892" priority="216">
      <formula>S$9&lt;8/24</formula>
    </cfRule>
  </conditionalFormatting>
  <conditionalFormatting sqref="S50:AF50">
    <cfRule type="expression" dxfId="10891" priority="209">
      <formula>S$9&gt;=20/24</formula>
    </cfRule>
    <cfRule type="expression" dxfId="10890" priority="210">
      <formula>AND(S$9&gt;=14/24,S$9&lt;20/24)</formula>
    </cfRule>
    <cfRule type="expression" dxfId="10889" priority="211">
      <formula>AND(S$9&gt;=8/24,S$9&lt;14/24)</formula>
    </cfRule>
    <cfRule type="expression" dxfId="10888" priority="212">
      <formula>S$9&lt;8/24</formula>
    </cfRule>
  </conditionalFormatting>
  <conditionalFormatting sqref="S60:T67 X60:AF67">
    <cfRule type="expression" dxfId="10887" priority="205">
      <formula>S$9&gt;=20/24</formula>
    </cfRule>
    <cfRule type="expression" dxfId="10886" priority="206">
      <formula>AND(S$9&gt;=14/24,S$9&lt;20/24)</formula>
    </cfRule>
    <cfRule type="expression" dxfId="10885" priority="207">
      <formula>AND(S$9&gt;=8/24,S$9&lt;14/24)</formula>
    </cfRule>
    <cfRule type="expression" dxfId="10884" priority="208">
      <formula>S$9&lt;8/24</formula>
    </cfRule>
  </conditionalFormatting>
  <conditionalFormatting sqref="U94:AF97">
    <cfRule type="expression" dxfId="10883" priority="197">
      <formula>U$9&gt;=20/24</formula>
    </cfRule>
    <cfRule type="expression" dxfId="10882" priority="198">
      <formula>AND(U$9&gt;=14/24,U$9&lt;20/24)</formula>
    </cfRule>
    <cfRule type="expression" dxfId="10881" priority="199">
      <formula>AND(U$9&gt;=8/24,U$9&lt;14/24)</formula>
    </cfRule>
    <cfRule type="expression" dxfId="10880" priority="200">
      <formula>U$9&lt;8/24</formula>
    </cfRule>
  </conditionalFormatting>
  <conditionalFormatting sqref="AG51 B11:C18 B19:K32 D12:K18 L12:L32 B34:L36 S34:AA36 B37:AA37 D11:AF11 S18:AF32 AB34:AF37 B38:AF56">
    <cfRule type="expression" dxfId="10879" priority="196">
      <formula>B11&gt;$AG11</formula>
    </cfRule>
  </conditionalFormatting>
  <conditionalFormatting sqref="A100:A156 A84:A97 A11:A14 A16:A32 A45:A72 A80:A82 A74:A78 A35:A43 A169:A199">
    <cfRule type="expression" dxfId="10878" priority="195">
      <formula>$AH11=0</formula>
    </cfRule>
  </conditionalFormatting>
  <conditionalFormatting sqref="U98:AF98">
    <cfRule type="expression" dxfId="10877" priority="191">
      <formula>U$9&gt;=20/24</formula>
    </cfRule>
    <cfRule type="expression" dxfId="10876" priority="192">
      <formula>AND(U$9&gt;=14/24,U$9&lt;20/24)</formula>
    </cfRule>
    <cfRule type="expression" dxfId="10875" priority="193">
      <formula>AND(U$9&gt;=8/24,U$9&lt;14/24)</formula>
    </cfRule>
    <cfRule type="expression" dxfId="10874" priority="194">
      <formula>U$9&lt;8/24</formula>
    </cfRule>
  </conditionalFormatting>
  <conditionalFormatting sqref="A98">
    <cfRule type="expression" dxfId="10873" priority="190">
      <formula>$AH98=0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10872" priority="165">
      <formula>S$9&gt;=20/24</formula>
    </cfRule>
    <cfRule type="expression" dxfId="10871" priority="166">
      <formula>AND(S$9&gt;=14/24,S$9&lt;20/24)</formula>
    </cfRule>
    <cfRule type="expression" dxfId="10870" priority="167">
      <formula>AND(S$9&gt;=8/24,S$9&lt;14/24)</formula>
    </cfRule>
    <cfRule type="expression" dxfId="10869" priority="168">
      <formula>S$9&lt;8/24</formula>
    </cfRule>
  </conditionalFormatting>
  <conditionalFormatting sqref="A34">
    <cfRule type="expression" dxfId="10868" priority="164">
      <formula>$AH34=0</formula>
    </cfRule>
  </conditionalFormatting>
  <conditionalFormatting sqref="A83">
    <cfRule type="expression" dxfId="10867" priority="163">
      <formula>$AH83=0</formula>
    </cfRule>
  </conditionalFormatting>
  <conditionalFormatting sqref="A15">
    <cfRule type="expression" dxfId="10866" priority="153">
      <formula>$AH15=0</formula>
    </cfRule>
  </conditionalFormatting>
  <conditionalFormatting sqref="A163:A168">
    <cfRule type="expression" dxfId="10865" priority="152">
      <formula>$AH163=0</formula>
    </cfRule>
  </conditionalFormatting>
  <conditionalFormatting sqref="A157:A162">
    <cfRule type="expression" dxfId="10864" priority="151">
      <formula>$AH157=0</formula>
    </cfRule>
  </conditionalFormatting>
  <conditionalFormatting sqref="Z44:AF44">
    <cfRule type="expression" dxfId="10863" priority="147">
      <formula>Z$9&gt;=20/24</formula>
    </cfRule>
    <cfRule type="expression" dxfId="10862" priority="148">
      <formula>AND(Z$9&gt;=14/24,Z$9&lt;20/24)</formula>
    </cfRule>
    <cfRule type="expression" dxfId="10861" priority="149">
      <formula>AND(Z$9&gt;=8/24,Z$9&lt;14/24)</formula>
    </cfRule>
    <cfRule type="expression" dxfId="10860" priority="150">
      <formula>Z$9&lt;8/24</formula>
    </cfRule>
  </conditionalFormatting>
  <conditionalFormatting sqref="M44:R44">
    <cfRule type="expression" dxfId="10859" priority="143">
      <formula>M$9&gt;=20/24</formula>
    </cfRule>
    <cfRule type="expression" dxfId="10858" priority="144">
      <formula>AND(M$9&gt;=14/24,M$9&lt;20/24)</formula>
    </cfRule>
    <cfRule type="expression" dxfId="10857" priority="145">
      <formula>AND(M$9&gt;=8/24,M$9&lt;14/24)</formula>
    </cfRule>
    <cfRule type="expression" dxfId="10856" priority="146">
      <formula>M$9&lt;8/24</formula>
    </cfRule>
  </conditionalFormatting>
  <conditionalFormatting sqref="S44:Y44">
    <cfRule type="expression" dxfId="10855" priority="139">
      <formula>S$9&gt;=20/24</formula>
    </cfRule>
    <cfRule type="expression" dxfId="10854" priority="140">
      <formula>AND(S$9&gt;=14/24,S$9&lt;20/24)</formula>
    </cfRule>
    <cfRule type="expression" dxfId="10853" priority="141">
      <formula>AND(S$9&gt;=8/24,S$9&lt;14/24)</formula>
    </cfRule>
    <cfRule type="expression" dxfId="10852" priority="142">
      <formula>S$9&lt;8/24</formula>
    </cfRule>
  </conditionalFormatting>
  <conditionalFormatting sqref="A44">
    <cfRule type="expression" dxfId="10851" priority="138">
      <formula>$AH44=0</formula>
    </cfRule>
  </conditionalFormatting>
  <conditionalFormatting sqref="A79">
    <cfRule type="expression" dxfId="10850" priority="137">
      <formula>$AH79=0</formula>
    </cfRule>
  </conditionalFormatting>
  <conditionalFormatting sqref="A73">
    <cfRule type="expression" dxfId="10849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0848" priority="132">
      <formula>U$9&gt;=20/24</formula>
    </cfRule>
    <cfRule type="expression" dxfId="10847" priority="133">
      <formula>AND(U$9&gt;=14/24,U$9&lt;20/24)</formula>
    </cfRule>
    <cfRule type="expression" dxfId="10846" priority="134">
      <formula>AND(U$9&gt;=8/24,U$9&lt;14/24)</formula>
    </cfRule>
    <cfRule type="expression" dxfId="10845" priority="135">
      <formula>U$9&lt;8/24</formula>
    </cfRule>
  </conditionalFormatting>
  <conditionalFormatting sqref="U85:W91">
    <cfRule type="expression" dxfId="10844" priority="128">
      <formula>U$9&gt;=20/24</formula>
    </cfRule>
    <cfRule type="expression" dxfId="10843" priority="129">
      <formula>AND(U$9&gt;=14/24,U$9&lt;20/24)</formula>
    </cfRule>
    <cfRule type="expression" dxfId="10842" priority="130">
      <formula>AND(U$9&gt;=8/24,U$9&lt;14/24)</formula>
    </cfRule>
    <cfRule type="expression" dxfId="10841" priority="131">
      <formula>U$9&lt;8/24</formula>
    </cfRule>
  </conditionalFormatting>
  <conditionalFormatting sqref="S85:T91 C84:R91">
    <cfRule type="expression" dxfId="10840" priority="124">
      <formula>C$9&gt;=20/24</formula>
    </cfRule>
    <cfRule type="expression" dxfId="10839" priority="125">
      <formula>AND(C$9&gt;=14/24,C$9&lt;20/24)</formula>
    </cfRule>
    <cfRule type="expression" dxfId="10838" priority="126">
      <formula>AND(C$9&gt;=8/24,C$9&lt;14/24)</formula>
    </cfRule>
    <cfRule type="expression" dxfId="10837" priority="127">
      <formula>C$9&lt;8/24</formula>
    </cfRule>
  </conditionalFormatting>
  <conditionalFormatting sqref="S84:T84">
    <cfRule type="expression" dxfId="10836" priority="120">
      <formula>S$9&gt;=20/24</formula>
    </cfRule>
    <cfRule type="expression" dxfId="10835" priority="121">
      <formula>AND(S$9&gt;=14/24,S$9&lt;20/24)</formula>
    </cfRule>
    <cfRule type="expression" dxfId="10834" priority="122">
      <formula>AND(S$9&gt;=8/24,S$9&lt;14/24)</formula>
    </cfRule>
    <cfRule type="expression" dxfId="10833" priority="123">
      <formula>S$9&lt;8/24</formula>
    </cfRule>
  </conditionalFormatting>
  <conditionalFormatting sqref="H95:M97 C94:G97">
    <cfRule type="expression" dxfId="10832" priority="116">
      <formula>C$9&gt;=20/24</formula>
    </cfRule>
    <cfRule type="expression" dxfId="10831" priority="117">
      <formula>AND(C$9&gt;=14/24,C$9&lt;20/24)</formula>
    </cfRule>
    <cfRule type="expression" dxfId="10830" priority="118">
      <formula>AND(C$9&gt;=8/24,C$9&lt;14/24)</formula>
    </cfRule>
    <cfRule type="expression" dxfId="10829" priority="119">
      <formula>C$9&lt;8/24</formula>
    </cfRule>
  </conditionalFormatting>
  <conditionalFormatting sqref="N95:R97 O94:R94">
    <cfRule type="expression" dxfId="10828" priority="112">
      <formula>N$9&gt;=20/24</formula>
    </cfRule>
    <cfRule type="expression" dxfId="10827" priority="113">
      <formula>AND(N$9&gt;=14/24,N$9&lt;20/24)</formula>
    </cfRule>
    <cfRule type="expression" dxfId="10826" priority="114">
      <formula>AND(N$9&gt;=8/24,N$9&lt;14/24)</formula>
    </cfRule>
    <cfRule type="expression" dxfId="10825" priority="115">
      <formula>N$9&lt;8/24</formula>
    </cfRule>
  </conditionalFormatting>
  <conditionalFormatting sqref="S94:T97">
    <cfRule type="expression" dxfId="10824" priority="108">
      <formula>S$9&gt;=20/24</formula>
    </cfRule>
    <cfRule type="expression" dxfId="10823" priority="109">
      <formula>AND(S$9&gt;=14/24,S$9&lt;20/24)</formula>
    </cfRule>
    <cfRule type="expression" dxfId="10822" priority="110">
      <formula>AND(S$9&gt;=8/24,S$9&lt;14/24)</formula>
    </cfRule>
    <cfRule type="expression" dxfId="10821" priority="111">
      <formula>S$9&lt;8/24</formula>
    </cfRule>
  </conditionalFormatting>
  <conditionalFormatting sqref="C98:M98">
    <cfRule type="expression" dxfId="10820" priority="104">
      <formula>C$9&gt;=20/24</formula>
    </cfRule>
    <cfRule type="expression" dxfId="10819" priority="105">
      <formula>AND(C$9&gt;=14/24,C$9&lt;20/24)</formula>
    </cfRule>
    <cfRule type="expression" dxfId="10818" priority="106">
      <formula>AND(C$9&gt;=8/24,C$9&lt;14/24)</formula>
    </cfRule>
    <cfRule type="expression" dxfId="10817" priority="107">
      <formula>C$9&lt;8/24</formula>
    </cfRule>
  </conditionalFormatting>
  <conditionalFormatting sqref="N98:R98">
    <cfRule type="expression" dxfId="10816" priority="100">
      <formula>N$9&gt;=20/24</formula>
    </cfRule>
    <cfRule type="expression" dxfId="10815" priority="101">
      <formula>AND(N$9&gt;=14/24,N$9&lt;20/24)</formula>
    </cfRule>
    <cfRule type="expression" dxfId="10814" priority="102">
      <formula>AND(N$9&gt;=8/24,N$9&lt;14/24)</formula>
    </cfRule>
    <cfRule type="expression" dxfId="10813" priority="103">
      <formula>N$9&lt;8/24</formula>
    </cfRule>
  </conditionalFormatting>
  <conditionalFormatting sqref="S98:T98">
    <cfRule type="expression" dxfId="10812" priority="96">
      <formula>S$9&gt;=20/24</formula>
    </cfRule>
    <cfRule type="expression" dxfId="10811" priority="97">
      <formula>AND(S$9&gt;=14/24,S$9&lt;20/24)</formula>
    </cfRule>
    <cfRule type="expression" dxfId="10810" priority="98">
      <formula>AND(S$9&gt;=8/24,S$9&lt;14/24)</formula>
    </cfRule>
    <cfRule type="expression" dxfId="10809" priority="99">
      <formula>S$9&lt;8/24</formula>
    </cfRule>
  </conditionalFormatting>
  <conditionalFormatting sqref="M94:N94">
    <cfRule type="expression" dxfId="10808" priority="92">
      <formula>M$9&gt;=20/24</formula>
    </cfRule>
    <cfRule type="expression" dxfId="10807" priority="93">
      <formula>AND(M$9&gt;=14/24,M$9&lt;20/24)</formula>
    </cfRule>
    <cfRule type="expression" dxfId="10806" priority="94">
      <formula>AND(M$9&gt;=8/24,M$9&lt;14/24)</formula>
    </cfRule>
    <cfRule type="expression" dxfId="10805" priority="95">
      <formula>M$9&lt;8/24</formula>
    </cfRule>
  </conditionalFormatting>
  <conditionalFormatting sqref="H94:L94">
    <cfRule type="expression" dxfId="10804" priority="88">
      <formula>H$9&gt;=20/24</formula>
    </cfRule>
    <cfRule type="expression" dxfId="10803" priority="89">
      <formula>AND(H$9&gt;=14/24,H$9&lt;20/24)</formula>
    </cfRule>
    <cfRule type="expression" dxfId="10802" priority="90">
      <formula>AND(H$9&gt;=8/24,H$9&lt;14/24)</formula>
    </cfRule>
    <cfRule type="expression" dxfId="10801" priority="91">
      <formula>H$9&lt;8/24</formula>
    </cfRule>
  </conditionalFormatting>
  <conditionalFormatting sqref="U94:W94">
    <cfRule type="expression" dxfId="10800" priority="84">
      <formula>U$9&gt;=20/24</formula>
    </cfRule>
    <cfRule type="expression" dxfId="10799" priority="85">
      <formula>AND(U$9&gt;=14/24,U$9&lt;20/24)</formula>
    </cfRule>
    <cfRule type="expression" dxfId="10798" priority="86">
      <formula>AND(U$9&gt;=8/24,U$9&lt;14/24)</formula>
    </cfRule>
    <cfRule type="expression" dxfId="10797" priority="87">
      <formula>U$9&lt;8/24</formula>
    </cfRule>
  </conditionalFormatting>
  <conditionalFormatting sqref="N94:T94">
    <cfRule type="expression" dxfId="10796" priority="80">
      <formula>N$9&gt;=20/24</formula>
    </cfRule>
    <cfRule type="expression" dxfId="10795" priority="81">
      <formula>AND(N$9&gt;=14/24,N$9&lt;20/24)</formula>
    </cfRule>
    <cfRule type="expression" dxfId="10794" priority="82">
      <formula>AND(N$9&gt;=8/24,N$9&lt;14/24)</formula>
    </cfRule>
    <cfRule type="expression" dxfId="10793" priority="83">
      <formula>N$9&lt;8/24</formula>
    </cfRule>
  </conditionalFormatting>
  <conditionalFormatting sqref="U99:AF99">
    <cfRule type="expression" dxfId="10792" priority="76">
      <formula>U$9&gt;=20/24</formula>
    </cfRule>
    <cfRule type="expression" dxfId="10791" priority="77">
      <formula>AND(U$9&gt;=14/24,U$9&lt;20/24)</formula>
    </cfRule>
    <cfRule type="expression" dxfId="10790" priority="78">
      <formula>AND(U$9&gt;=8/24,U$9&lt;14/24)</formula>
    </cfRule>
    <cfRule type="expression" dxfId="10789" priority="79">
      <formula>U$9&lt;8/24</formula>
    </cfRule>
  </conditionalFormatting>
  <conditionalFormatting sqref="C99:M99">
    <cfRule type="expression" dxfId="10788" priority="72">
      <formula>C$9&gt;=20/24</formula>
    </cfRule>
    <cfRule type="expression" dxfId="10787" priority="73">
      <formula>AND(C$9&gt;=14/24,C$9&lt;20/24)</formula>
    </cfRule>
    <cfRule type="expression" dxfId="10786" priority="74">
      <formula>AND(C$9&gt;=8/24,C$9&lt;14/24)</formula>
    </cfRule>
    <cfRule type="expression" dxfId="10785" priority="75">
      <formula>C$9&lt;8/24</formula>
    </cfRule>
  </conditionalFormatting>
  <conditionalFormatting sqref="N99:R99">
    <cfRule type="expression" dxfId="10784" priority="68">
      <formula>N$9&gt;=20/24</formula>
    </cfRule>
    <cfRule type="expression" dxfId="10783" priority="69">
      <formula>AND(N$9&gt;=14/24,N$9&lt;20/24)</formula>
    </cfRule>
    <cfRule type="expression" dxfId="10782" priority="70">
      <formula>AND(N$9&gt;=8/24,N$9&lt;14/24)</formula>
    </cfRule>
    <cfRule type="expression" dxfId="10781" priority="71">
      <formula>N$9&lt;8/24</formula>
    </cfRule>
  </conditionalFormatting>
  <conditionalFormatting sqref="S99:T99">
    <cfRule type="expression" dxfId="10780" priority="64">
      <formula>S$9&gt;=20/24</formula>
    </cfRule>
    <cfRule type="expression" dxfId="10779" priority="65">
      <formula>AND(S$9&gt;=14/24,S$9&lt;20/24)</formula>
    </cfRule>
    <cfRule type="expression" dxfId="10778" priority="66">
      <formula>AND(S$9&gt;=8/24,S$9&lt;14/24)</formula>
    </cfRule>
    <cfRule type="expression" dxfId="10777" priority="67">
      <formula>S$9&lt;8/24</formula>
    </cfRule>
  </conditionalFormatting>
  <conditionalFormatting sqref="S12:AF16">
    <cfRule type="expression" dxfId="10776" priority="60">
      <formula>S$9&gt;=20/24</formula>
    </cfRule>
    <cfRule type="expression" dxfId="10775" priority="61">
      <formula>AND(S$9&gt;=14/24,S$9&lt;20/24)</formula>
    </cfRule>
    <cfRule type="expression" dxfId="10774" priority="62">
      <formula>AND(S$9&gt;=8/24,S$9&lt;14/24)</formula>
    </cfRule>
    <cfRule type="expression" dxfId="10773" priority="63">
      <formula>S$9&lt;8/24</formula>
    </cfRule>
  </conditionalFormatting>
  <conditionalFormatting sqref="S17:AF17">
    <cfRule type="expression" dxfId="10772" priority="56">
      <formula>S$9&gt;=20/24</formula>
    </cfRule>
    <cfRule type="expression" dxfId="10771" priority="57">
      <formula>AND(S$9&gt;=14/24,S$9&lt;20/24)</formula>
    </cfRule>
    <cfRule type="expression" dxfId="10770" priority="58">
      <formula>AND(S$9&gt;=8/24,S$9&lt;14/24)</formula>
    </cfRule>
    <cfRule type="expression" dxfId="10769" priority="59">
      <formula>S$9&lt;8/24</formula>
    </cfRule>
  </conditionalFormatting>
  <conditionalFormatting sqref="S12:AF13">
    <cfRule type="expression" dxfId="10768" priority="52">
      <formula>S$9&gt;=20/24</formula>
    </cfRule>
    <cfRule type="expression" dxfId="10767" priority="53">
      <formula>AND(S$9&gt;=14/24,S$9&lt;20/24)</formula>
    </cfRule>
    <cfRule type="expression" dxfId="10766" priority="54">
      <formula>AND(S$9&gt;=8/24,S$9&lt;14/24)</formula>
    </cfRule>
    <cfRule type="expression" dxfId="10765" priority="55">
      <formula>S$9&lt;8/24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764" priority="281">
      <formula>C$9&gt;=20/24</formula>
    </cfRule>
    <cfRule type="expression" dxfId="10763" priority="282">
      <formula>AND(C$9&gt;=14/24,C$9&lt;20/24)</formula>
    </cfRule>
    <cfRule type="expression" dxfId="10762" priority="283">
      <formula>AND(C$9&gt;=8/24,C$9&lt;14/24)</formula>
    </cfRule>
    <cfRule type="expression" dxfId="10761" priority="284">
      <formula>C$9&lt;8/24</formula>
    </cfRule>
  </conditionalFormatting>
  <conditionalFormatting sqref="A200">
    <cfRule type="expression" dxfId="10760" priority="285">
      <formula>$AH200=0</formula>
    </cfRule>
  </conditionalFormatting>
  <conditionalFormatting sqref="AG212">
    <cfRule type="expression" dxfId="10759" priority="286">
      <formula>B$9&gt;=20/24</formula>
    </cfRule>
    <cfRule type="expression" dxfId="10758" priority="287">
      <formula>AND(B$9&gt;=14/24,B$9&lt;20/24)</formula>
    </cfRule>
    <cfRule type="expression" dxfId="10757" priority="288">
      <formula>AND(B$9&gt;=8/24,B$9&lt;14/24)</formula>
    </cfRule>
    <cfRule type="expression" dxfId="10756" priority="289">
      <formula>B$9&lt;8/24</formula>
    </cfRule>
  </conditionalFormatting>
  <conditionalFormatting sqref="S8">
    <cfRule type="expression" dxfId="10755" priority="42">
      <formula>U$9&gt;=20/24</formula>
    </cfRule>
    <cfRule type="expression" dxfId="10754" priority="43">
      <formula>AND(U$9&gt;=14/24,U$9&lt;20/24)</formula>
    </cfRule>
    <cfRule type="expression" dxfId="10753" priority="44">
      <formula>AND(U$9&gt;=8/24,U$9&lt;14/24)</formula>
    </cfRule>
    <cfRule type="expression" dxfId="10752" priority="45">
      <formula>U$9&lt;8/24</formula>
    </cfRule>
  </conditionalFormatting>
  <conditionalFormatting sqref="AB8">
    <cfRule type="expression" dxfId="10751" priority="38">
      <formula>AD$9&gt;=20/24</formula>
    </cfRule>
    <cfRule type="expression" dxfId="10750" priority="39">
      <formula>AND(AD$9&gt;=14/24,AD$9&lt;20/24)</formula>
    </cfRule>
    <cfRule type="expression" dxfId="10749" priority="40">
      <formula>AND(AD$9&gt;=8/24,AD$9&lt;14/24)</formula>
    </cfRule>
    <cfRule type="expression" dxfId="10748" priority="41">
      <formula>AD$9&lt;8/24</formula>
    </cfRule>
  </conditionalFormatting>
  <conditionalFormatting sqref="AH212:AX212">
    <cfRule type="expression" dxfId="10747" priority="290">
      <formula>AG$9&gt;=20/24</formula>
    </cfRule>
    <cfRule type="expression" dxfId="10746" priority="291">
      <formula>AND(AG$9&gt;=14/24,AG$9&lt;20/24)</formula>
    </cfRule>
    <cfRule type="expression" dxfId="10745" priority="292">
      <formula>AND(AG$9&gt;=8/24,AG$9&lt;14/24)</formula>
    </cfRule>
    <cfRule type="expression" dxfId="10744" priority="293">
      <formula>AG$9&lt;8/24</formula>
    </cfRule>
  </conditionalFormatting>
  <conditionalFormatting sqref="T212">
    <cfRule type="expression" dxfId="10743" priority="294">
      <formula>AX$9&gt;=20/24</formula>
    </cfRule>
    <cfRule type="expression" dxfId="10742" priority="295">
      <formula>AND(AX$9&gt;=14/24,AX$9&lt;20/24)</formula>
    </cfRule>
    <cfRule type="expression" dxfId="10741" priority="296">
      <formula>AND(AX$9&gt;=8/24,AX$9&lt;14/24)</formula>
    </cfRule>
    <cfRule type="expression" dxfId="10740" priority="297">
      <formula>AX$9&lt;8/24</formula>
    </cfRule>
  </conditionalFormatting>
  <conditionalFormatting sqref="A99">
    <cfRule type="expression" dxfId="10739" priority="37">
      <formula>$AH99=0</formula>
    </cfRule>
  </conditionalFormatting>
  <conditionalFormatting sqref="S33:AF33">
    <cfRule type="expression" dxfId="10738" priority="25">
      <formula>S$9&gt;=20/24</formula>
    </cfRule>
    <cfRule type="expression" dxfId="10737" priority="26">
      <formula>AND(S$9&gt;=14/24,S$9&lt;20/24)</formula>
    </cfRule>
    <cfRule type="expression" dxfId="10736" priority="27">
      <formula>AND(S$9&gt;=8/24,S$9&lt;14/24)</formula>
    </cfRule>
    <cfRule type="expression" dxfId="10735" priority="28">
      <formula>S$9&lt;8/24</formula>
    </cfRule>
  </conditionalFormatting>
  <conditionalFormatting sqref="B33:L33 S33:AF33">
    <cfRule type="expression" dxfId="10734" priority="24">
      <formula>B33&gt;$AG33</formula>
    </cfRule>
  </conditionalFormatting>
  <conditionalFormatting sqref="M12:R14 M16:R32 M36:R36">
    <cfRule type="expression" dxfId="10733" priority="20">
      <formula>M$9&gt;=20/24</formula>
    </cfRule>
    <cfRule type="expression" dxfId="10732" priority="21">
      <formula>AND(M$9&gt;=14/24,M$9&lt;20/24)</formula>
    </cfRule>
    <cfRule type="expression" dxfId="10731" priority="22">
      <formula>AND(M$9&gt;=8/24,M$9&lt;14/24)</formula>
    </cfRule>
    <cfRule type="expression" dxfId="10730" priority="23">
      <formula>M$9&lt;8/24</formula>
    </cfRule>
  </conditionalFormatting>
  <conditionalFormatting sqref="M35:R35">
    <cfRule type="expression" dxfId="10729" priority="16">
      <formula>M$9&gt;=20/24</formula>
    </cfRule>
    <cfRule type="expression" dxfId="10728" priority="17">
      <formula>AND(M$9&gt;=14/24,M$9&lt;20/24)</formula>
    </cfRule>
    <cfRule type="expression" dxfId="10727" priority="18">
      <formula>AND(M$9&gt;=8/24,M$9&lt;14/24)</formula>
    </cfRule>
    <cfRule type="expression" dxfId="10726" priority="19">
      <formula>M$9&lt;8/24</formula>
    </cfRule>
  </conditionalFormatting>
  <conditionalFormatting sqref="M16:R32 M12:R14 M34:R36">
    <cfRule type="expression" dxfId="10725" priority="15">
      <formula>M12&gt;$AG12</formula>
    </cfRule>
  </conditionalFormatting>
  <conditionalFormatting sqref="M34:R34">
    <cfRule type="expression" dxfId="10724" priority="11">
      <formula>M$9&gt;=20/24</formula>
    </cfRule>
    <cfRule type="expression" dxfId="10723" priority="12">
      <formula>AND(M$9&gt;=14/24,M$9&lt;20/24)</formula>
    </cfRule>
    <cfRule type="expression" dxfId="10722" priority="13">
      <formula>AND(M$9&gt;=8/24,M$9&lt;14/24)</formula>
    </cfRule>
    <cfRule type="expression" dxfId="10721" priority="14">
      <formula>M$9&lt;8/24</formula>
    </cfRule>
  </conditionalFormatting>
  <conditionalFormatting sqref="M15:R15">
    <cfRule type="expression" dxfId="10720" priority="7">
      <formula>M$9&gt;=20/24</formula>
    </cfRule>
    <cfRule type="expression" dxfId="10719" priority="8">
      <formula>AND(M$9&gt;=14/24,M$9&lt;20/24)</formula>
    </cfRule>
    <cfRule type="expression" dxfId="10718" priority="9">
      <formula>AND(M$9&gt;=8/24,M$9&lt;14/24)</formula>
    </cfRule>
    <cfRule type="expression" dxfId="10717" priority="10">
      <formula>M$9&lt;8/24</formula>
    </cfRule>
  </conditionalFormatting>
  <conditionalFormatting sqref="M15:R15">
    <cfRule type="expression" dxfId="10716" priority="6">
      <formula>M15&gt;$AG15</formula>
    </cfRule>
  </conditionalFormatting>
  <conditionalFormatting sqref="M33:R33">
    <cfRule type="expression" dxfId="10715" priority="2">
      <formula>M$9&gt;=20/24</formula>
    </cfRule>
    <cfRule type="expression" dxfId="10714" priority="3">
      <formula>AND(M$9&gt;=14/24,M$9&lt;20/24)</formula>
    </cfRule>
    <cfRule type="expression" dxfId="10713" priority="4">
      <formula>AND(M$9&gt;=8/24,M$9&lt;14/24)</formula>
    </cfRule>
    <cfRule type="expression" dxfId="10712" priority="5">
      <formula>M$9&lt;8/24</formula>
    </cfRule>
  </conditionalFormatting>
  <conditionalFormatting sqref="M33:R33">
    <cfRule type="expression" dxfId="10711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29D59FA7-D77D-472E-86F3-130F8E459D6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30" sqref="L30:AF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3" width="6.85546875" customWidth="1"/>
    <col min="24" max="24" width="7.140625" bestFit="1" customWidth="1"/>
    <col min="25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2078/09/5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303.89999999999998</v>
      </c>
      <c r="C5" s="32">
        <f t="shared" si="0"/>
        <v>276.8</v>
      </c>
      <c r="D5" s="32">
        <f t="shared" si="0"/>
        <v>266.60000000000002</v>
      </c>
      <c r="E5" s="32">
        <f t="shared" si="0"/>
        <v>292.8</v>
      </c>
      <c r="F5" s="32">
        <f t="shared" si="0"/>
        <v>319.7</v>
      </c>
      <c r="G5" s="32">
        <f t="shared" si="0"/>
        <v>382.3</v>
      </c>
      <c r="H5" s="32">
        <f t="shared" si="0"/>
        <v>397.1</v>
      </c>
      <c r="I5" s="32">
        <f t="shared" si="0"/>
        <v>385.29999999999995</v>
      </c>
      <c r="J5" s="32">
        <f t="shared" si="0"/>
        <v>327</v>
      </c>
      <c r="K5" s="32">
        <f t="shared" si="0"/>
        <v>268.70000000000005</v>
      </c>
      <c r="L5" s="32">
        <f t="shared" si="0"/>
        <v>271.39999999999998</v>
      </c>
      <c r="M5" s="32">
        <f t="shared" si="0"/>
        <v>296.8</v>
      </c>
      <c r="N5" s="32">
        <f t="shared" si="0"/>
        <v>310.39999999999998</v>
      </c>
      <c r="O5" s="32">
        <f t="shared" si="0"/>
        <v>285.89999999999998</v>
      </c>
      <c r="P5" s="32">
        <f t="shared" si="0"/>
        <v>546.5</v>
      </c>
      <c r="Q5" s="32">
        <f t="shared" si="0"/>
        <v>572.79999999999995</v>
      </c>
      <c r="R5" s="32">
        <f t="shared" si="0"/>
        <v>589.79999999999995</v>
      </c>
      <c r="S5" s="32">
        <f t="shared" si="0"/>
        <v>578.1</v>
      </c>
      <c r="T5" s="32">
        <f t="shared" si="0"/>
        <v>573</v>
      </c>
      <c r="U5" s="32">
        <f t="shared" si="0"/>
        <v>547.6</v>
      </c>
      <c r="V5" s="32">
        <f t="shared" si="0"/>
        <v>484.9</v>
      </c>
      <c r="W5" s="32">
        <f t="shared" si="0"/>
        <v>318.10000000000002</v>
      </c>
      <c r="X5" s="32">
        <f t="shared" si="0"/>
        <v>347.9</v>
      </c>
      <c r="Y5" s="32">
        <f t="shared" si="0"/>
        <v>319.10000000000002</v>
      </c>
      <c r="Z5" s="32">
        <f t="shared" si="0"/>
        <v>331</v>
      </c>
      <c r="AA5" s="32">
        <f t="shared" si="0"/>
        <v>298</v>
      </c>
      <c r="AB5" s="32">
        <f t="shared" si="0"/>
        <v>536.1</v>
      </c>
      <c r="AC5" s="32">
        <f t="shared" si="0"/>
        <v>570.9</v>
      </c>
      <c r="AD5" s="32">
        <f t="shared" si="0"/>
        <v>492</v>
      </c>
      <c r="AE5" s="32">
        <f t="shared" si="0"/>
        <v>379</v>
      </c>
      <c r="AF5" s="32">
        <f>B68</f>
        <v>301.89999999999998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1550MW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Load=901</v>
      </c>
      <c r="B7" s="37">
        <f>B75</f>
        <v>966.94</v>
      </c>
      <c r="C7" s="37">
        <f t="shared" ref="C7:AF7" si="1">C75</f>
        <v>940.44</v>
      </c>
      <c r="D7" s="37">
        <f t="shared" si="1"/>
        <v>907.54</v>
      </c>
      <c r="E7" s="37">
        <f t="shared" si="1"/>
        <v>901.34</v>
      </c>
      <c r="F7" s="37">
        <f t="shared" si="1"/>
        <v>900.54</v>
      </c>
      <c r="G7" s="37">
        <f t="shared" si="1"/>
        <v>951.44</v>
      </c>
      <c r="H7" s="37">
        <f t="shared" si="1"/>
        <v>1008.8399999999999</v>
      </c>
      <c r="I7" s="37">
        <f t="shared" si="1"/>
        <v>1075.24</v>
      </c>
      <c r="J7" s="37">
        <f t="shared" si="1"/>
        <v>1191.54</v>
      </c>
      <c r="K7" s="37">
        <f t="shared" si="1"/>
        <v>1318.74</v>
      </c>
      <c r="L7" s="37">
        <f t="shared" si="1"/>
        <v>1464.1399999999999</v>
      </c>
      <c r="M7" s="37">
        <f t="shared" si="1"/>
        <v>1515.6399999999999</v>
      </c>
      <c r="N7" s="37">
        <f t="shared" si="1"/>
        <v>1550.04</v>
      </c>
      <c r="O7" s="37">
        <f t="shared" si="1"/>
        <v>1507.04</v>
      </c>
      <c r="P7" s="37">
        <f t="shared" si="1"/>
        <v>1432.84</v>
      </c>
      <c r="Q7" s="37">
        <f t="shared" si="1"/>
        <v>1364.54</v>
      </c>
      <c r="R7" s="37">
        <f t="shared" si="1"/>
        <v>1317.04</v>
      </c>
      <c r="S7" s="37">
        <f t="shared" si="1"/>
        <v>1305.94</v>
      </c>
      <c r="T7" s="37">
        <f t="shared" si="1"/>
        <v>1303.1399999999999</v>
      </c>
      <c r="U7" s="37">
        <f t="shared" si="1"/>
        <v>1342.8400000000001</v>
      </c>
      <c r="V7" s="37">
        <f t="shared" si="1"/>
        <v>1371.44</v>
      </c>
      <c r="W7" s="37">
        <f t="shared" si="1"/>
        <v>1470.24</v>
      </c>
      <c r="X7" s="37">
        <f t="shared" si="1"/>
        <v>1617.5400000000002</v>
      </c>
      <c r="Y7" s="37">
        <f t="shared" si="1"/>
        <v>1680.3400000000001</v>
      </c>
      <c r="Z7" s="37">
        <f t="shared" si="1"/>
        <v>1621.5400000000002</v>
      </c>
      <c r="AA7" s="37">
        <f t="shared" si="1"/>
        <v>1578.54</v>
      </c>
      <c r="AB7" s="37">
        <f t="shared" si="1"/>
        <v>1486.24</v>
      </c>
      <c r="AC7" s="37">
        <f t="shared" si="1"/>
        <v>1392.24</v>
      </c>
      <c r="AD7" s="37">
        <f t="shared" si="1"/>
        <v>1336.34</v>
      </c>
      <c r="AE7" s="37">
        <f t="shared" si="1"/>
        <v>1138.04</v>
      </c>
      <c r="AF7" s="37">
        <f t="shared" si="1"/>
        <v>1024.04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78</v>
      </c>
      <c r="C11" s="49">
        <v>50</v>
      </c>
      <c r="D11" s="49">
        <v>50</v>
      </c>
      <c r="E11" s="49">
        <v>30</v>
      </c>
      <c r="F11" s="49">
        <v>20</v>
      </c>
      <c r="G11" s="49">
        <v>30</v>
      </c>
      <c r="H11" s="49">
        <v>32</v>
      </c>
      <c r="I11" s="49">
        <v>60</v>
      </c>
      <c r="J11" s="49">
        <v>120</v>
      </c>
      <c r="K11" s="49">
        <v>160</v>
      </c>
      <c r="L11" s="49">
        <v>250</v>
      </c>
      <c r="M11" s="50">
        <v>360</v>
      </c>
      <c r="N11" s="50">
        <v>350</v>
      </c>
      <c r="O11" s="50">
        <v>265</v>
      </c>
      <c r="P11" s="50">
        <v>280</v>
      </c>
      <c r="Q11" s="50">
        <v>30</v>
      </c>
      <c r="R11" s="50">
        <v>20</v>
      </c>
      <c r="S11" s="50">
        <v>20</v>
      </c>
      <c r="T11" s="50">
        <v>15</v>
      </c>
      <c r="U11" s="50">
        <v>15</v>
      </c>
      <c r="V11" s="50">
        <v>15</v>
      </c>
      <c r="W11" s="50">
        <v>110</v>
      </c>
      <c r="X11" s="50">
        <v>370</v>
      </c>
      <c r="Y11" s="50">
        <v>380</v>
      </c>
      <c r="Z11" s="50">
        <v>350</v>
      </c>
      <c r="AA11" s="50">
        <v>300</v>
      </c>
      <c r="AB11" s="50">
        <v>250</v>
      </c>
      <c r="AC11" s="50">
        <v>20</v>
      </c>
      <c r="AD11" s="50">
        <v>29</v>
      </c>
      <c r="AE11" s="50">
        <v>20</v>
      </c>
      <c r="AF11" s="49">
        <v>45</v>
      </c>
      <c r="AG11" s="52">
        <v>456</v>
      </c>
      <c r="AH11" s="53">
        <f>MAX(B11:AF11)</f>
        <v>380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38</v>
      </c>
      <c r="O12" s="49">
        <v>38</v>
      </c>
      <c r="P12" s="49">
        <v>38</v>
      </c>
      <c r="Q12" s="49">
        <v>38</v>
      </c>
      <c r="R12" s="49">
        <v>38</v>
      </c>
      <c r="S12" s="49">
        <v>38</v>
      </c>
      <c r="T12" s="49">
        <v>38</v>
      </c>
      <c r="U12" s="49">
        <v>38</v>
      </c>
      <c r="V12" s="49">
        <v>38</v>
      </c>
      <c r="W12" s="49">
        <v>38</v>
      </c>
      <c r="X12" s="49">
        <v>38</v>
      </c>
      <c r="Y12" s="57">
        <v>38</v>
      </c>
      <c r="Z12" s="57">
        <v>38</v>
      </c>
      <c r="AA12" s="57">
        <v>38</v>
      </c>
      <c r="AB12" s="57">
        <v>38</v>
      </c>
      <c r="AC12" s="57">
        <v>38</v>
      </c>
      <c r="AD12" s="57">
        <v>38</v>
      </c>
      <c r="AE12" s="57">
        <v>38</v>
      </c>
      <c r="AF12" s="57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38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21.8</v>
      </c>
      <c r="C13" s="49">
        <v>21.8</v>
      </c>
      <c r="D13" s="49">
        <v>21.8</v>
      </c>
      <c r="E13" s="49">
        <v>22.5</v>
      </c>
      <c r="F13" s="49">
        <v>22.5</v>
      </c>
      <c r="G13" s="49">
        <v>22.5</v>
      </c>
      <c r="H13" s="49">
        <v>22.5</v>
      </c>
      <c r="I13" s="49">
        <v>22.5</v>
      </c>
      <c r="J13" s="49">
        <v>22.5</v>
      </c>
      <c r="K13" s="49">
        <v>22.5</v>
      </c>
      <c r="L13" s="49">
        <v>22.5</v>
      </c>
      <c r="M13" s="49">
        <v>22.5</v>
      </c>
      <c r="N13" s="49">
        <v>22.5</v>
      </c>
      <c r="O13" s="49">
        <v>22.5</v>
      </c>
      <c r="P13" s="49">
        <v>22.5</v>
      </c>
      <c r="Q13" s="49">
        <v>22.5</v>
      </c>
      <c r="R13" s="49">
        <v>22.5</v>
      </c>
      <c r="S13" s="49">
        <v>22.5</v>
      </c>
      <c r="T13" s="49">
        <v>22.5</v>
      </c>
      <c r="U13" s="49">
        <v>22.5</v>
      </c>
      <c r="V13" s="49">
        <v>22.5</v>
      </c>
      <c r="W13" s="49">
        <v>22.5</v>
      </c>
      <c r="X13" s="49">
        <v>22.5</v>
      </c>
      <c r="Y13" s="57">
        <v>22.5</v>
      </c>
      <c r="Z13" s="57">
        <v>22.5</v>
      </c>
      <c r="AA13" s="57">
        <v>22.5</v>
      </c>
      <c r="AB13" s="57">
        <v>22.5</v>
      </c>
      <c r="AC13" s="57">
        <v>22.5</v>
      </c>
      <c r="AD13" s="57">
        <v>22.5</v>
      </c>
      <c r="AE13" s="57">
        <v>22.5</v>
      </c>
      <c r="AF13" s="57">
        <v>22.5</v>
      </c>
      <c r="AG13" s="58">
        <v>52.4</v>
      </c>
      <c r="AH13" s="53">
        <f t="shared" si="2"/>
        <v>22.5</v>
      </c>
      <c r="AI13" s="54">
        <f t="shared" si="3"/>
        <v>21.8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41.3</v>
      </c>
      <c r="C14" s="49">
        <v>41.3</v>
      </c>
      <c r="D14" s="49">
        <v>41.3</v>
      </c>
      <c r="E14" s="49">
        <v>41</v>
      </c>
      <c r="F14" s="49">
        <v>41</v>
      </c>
      <c r="G14" s="49">
        <v>41</v>
      </c>
      <c r="H14" s="49">
        <v>41</v>
      </c>
      <c r="I14" s="49">
        <v>41</v>
      </c>
      <c r="J14" s="49">
        <v>41</v>
      </c>
      <c r="K14" s="49">
        <v>41</v>
      </c>
      <c r="L14" s="49">
        <v>41</v>
      </c>
      <c r="M14" s="50">
        <v>41</v>
      </c>
      <c r="N14" s="50">
        <v>41</v>
      </c>
      <c r="O14" s="50">
        <v>41</v>
      </c>
      <c r="P14" s="50">
        <v>41</v>
      </c>
      <c r="Q14" s="50">
        <v>41</v>
      </c>
      <c r="R14" s="50">
        <v>41</v>
      </c>
      <c r="S14" s="50">
        <v>41</v>
      </c>
      <c r="T14" s="50">
        <v>41</v>
      </c>
      <c r="U14" s="50">
        <v>41</v>
      </c>
      <c r="V14" s="50">
        <v>41</v>
      </c>
      <c r="W14" s="50">
        <v>41</v>
      </c>
      <c r="X14" s="50">
        <v>41</v>
      </c>
      <c r="Y14" s="59">
        <v>41</v>
      </c>
      <c r="Z14" s="59">
        <v>41</v>
      </c>
      <c r="AA14" s="59">
        <v>41</v>
      </c>
      <c r="AB14" s="59">
        <v>41</v>
      </c>
      <c r="AC14" s="59">
        <v>41</v>
      </c>
      <c r="AD14" s="59">
        <v>41</v>
      </c>
      <c r="AE14" s="59">
        <v>41</v>
      </c>
      <c r="AF14" s="59">
        <v>41</v>
      </c>
      <c r="AG14" s="58">
        <v>50</v>
      </c>
      <c r="AH14" s="53">
        <f t="shared" si="2"/>
        <v>41.3</v>
      </c>
      <c r="AI14" s="54">
        <f t="shared" si="3"/>
        <v>41</v>
      </c>
      <c r="AK14" s="54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23.1</v>
      </c>
      <c r="C15" s="60">
        <v>23.1</v>
      </c>
      <c r="D15" s="60">
        <v>23.1</v>
      </c>
      <c r="E15" s="60">
        <v>23.2</v>
      </c>
      <c r="F15" s="60">
        <v>23.2</v>
      </c>
      <c r="G15" s="60">
        <v>23.2</v>
      </c>
      <c r="H15" s="60">
        <v>23.2</v>
      </c>
      <c r="I15" s="60">
        <v>23.2</v>
      </c>
      <c r="J15" s="60">
        <v>23.2</v>
      </c>
      <c r="K15" s="60">
        <v>23.2</v>
      </c>
      <c r="L15" s="60">
        <v>23.2</v>
      </c>
      <c r="M15" s="50">
        <v>23.2</v>
      </c>
      <c r="N15" s="50">
        <v>23.2</v>
      </c>
      <c r="O15" s="50">
        <v>23.2</v>
      </c>
      <c r="P15" s="50">
        <v>23.2</v>
      </c>
      <c r="Q15" s="50">
        <v>23.2</v>
      </c>
      <c r="R15" s="50">
        <v>23.2</v>
      </c>
      <c r="S15" s="50">
        <v>23.2</v>
      </c>
      <c r="T15" s="50">
        <v>23.2</v>
      </c>
      <c r="U15" s="50">
        <v>23.2</v>
      </c>
      <c r="V15" s="50">
        <v>23.2</v>
      </c>
      <c r="W15" s="50">
        <v>23.2</v>
      </c>
      <c r="X15" s="50">
        <v>23.2</v>
      </c>
      <c r="Y15" s="59">
        <v>23.2</v>
      </c>
      <c r="Z15" s="59">
        <v>23.2</v>
      </c>
      <c r="AA15" s="59">
        <v>23.2</v>
      </c>
      <c r="AB15" s="59">
        <v>23.2</v>
      </c>
      <c r="AC15" s="59">
        <v>23.2</v>
      </c>
      <c r="AD15" s="59">
        <v>23.2</v>
      </c>
      <c r="AE15" s="59">
        <v>23.2</v>
      </c>
      <c r="AF15" s="59">
        <v>23.2</v>
      </c>
      <c r="AG15" s="61">
        <v>45</v>
      </c>
      <c r="AH15" s="53">
        <f t="shared" si="2"/>
        <v>23.2</v>
      </c>
      <c r="AI15" s="54">
        <f t="shared" si="3"/>
        <v>23.1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10</v>
      </c>
      <c r="C17" s="49">
        <v>10</v>
      </c>
      <c r="D17" s="49">
        <v>10</v>
      </c>
      <c r="E17" s="49">
        <v>10</v>
      </c>
      <c r="F17" s="49">
        <v>10</v>
      </c>
      <c r="G17" s="49">
        <v>10</v>
      </c>
      <c r="H17" s="49">
        <v>10</v>
      </c>
      <c r="I17" s="49">
        <v>10</v>
      </c>
      <c r="J17" s="49">
        <v>10</v>
      </c>
      <c r="K17" s="49">
        <v>10</v>
      </c>
      <c r="L17" s="49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9">
        <v>10</v>
      </c>
      <c r="Z17" s="59">
        <v>10</v>
      </c>
      <c r="AA17" s="59">
        <v>10</v>
      </c>
      <c r="AB17" s="59">
        <v>10</v>
      </c>
      <c r="AC17" s="59">
        <v>10</v>
      </c>
      <c r="AD17" s="59">
        <v>10</v>
      </c>
      <c r="AE17" s="59">
        <v>10</v>
      </c>
      <c r="AF17" s="59">
        <v>10</v>
      </c>
      <c r="AG17" s="58">
        <v>42</v>
      </c>
      <c r="AH17" s="53">
        <f t="shared" si="2"/>
        <v>10</v>
      </c>
      <c r="AI17" s="54">
        <f t="shared" si="3"/>
        <v>10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10</v>
      </c>
      <c r="C18" s="49">
        <v>10</v>
      </c>
      <c r="D18" s="49">
        <v>10</v>
      </c>
      <c r="E18" s="49">
        <v>10</v>
      </c>
      <c r="F18" s="49">
        <v>10</v>
      </c>
      <c r="G18" s="49">
        <v>10</v>
      </c>
      <c r="H18" s="49">
        <v>10</v>
      </c>
      <c r="I18" s="49">
        <v>10</v>
      </c>
      <c r="J18" s="49">
        <v>10</v>
      </c>
      <c r="K18" s="49">
        <v>10</v>
      </c>
      <c r="L18" s="49">
        <v>10</v>
      </c>
      <c r="M18" s="50">
        <v>10</v>
      </c>
      <c r="N18" s="50">
        <v>10</v>
      </c>
      <c r="O18" s="50">
        <v>10</v>
      </c>
      <c r="P18" s="50">
        <v>10</v>
      </c>
      <c r="Q18" s="50">
        <v>10</v>
      </c>
      <c r="R18" s="50">
        <v>10</v>
      </c>
      <c r="S18" s="50">
        <v>10</v>
      </c>
      <c r="T18" s="50">
        <v>10</v>
      </c>
      <c r="U18" s="50">
        <v>10</v>
      </c>
      <c r="V18" s="50">
        <v>10</v>
      </c>
      <c r="W18" s="50">
        <v>10</v>
      </c>
      <c r="X18" s="50">
        <v>10</v>
      </c>
      <c r="Y18" s="50">
        <v>10</v>
      </c>
      <c r="Z18" s="50">
        <v>10</v>
      </c>
      <c r="AA18" s="50">
        <v>10</v>
      </c>
      <c r="AB18" s="50">
        <v>10</v>
      </c>
      <c r="AC18" s="50">
        <v>10</v>
      </c>
      <c r="AD18" s="50">
        <v>10</v>
      </c>
      <c r="AE18" s="50">
        <v>10</v>
      </c>
      <c r="AF18" s="50">
        <v>10</v>
      </c>
      <c r="AG18" s="58">
        <v>36</v>
      </c>
      <c r="AH18" s="53">
        <f t="shared" si="2"/>
        <v>10</v>
      </c>
      <c r="AI18" s="54">
        <f t="shared" si="3"/>
        <v>10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10.3</v>
      </c>
      <c r="C19" s="49">
        <v>10.3</v>
      </c>
      <c r="D19" s="49">
        <v>10.3</v>
      </c>
      <c r="E19" s="49">
        <v>10.3</v>
      </c>
      <c r="F19" s="49">
        <v>10.3</v>
      </c>
      <c r="G19" s="49">
        <v>10.3</v>
      </c>
      <c r="H19" s="49">
        <v>10.3</v>
      </c>
      <c r="I19" s="49">
        <v>10.3</v>
      </c>
      <c r="J19" s="49">
        <v>10.3</v>
      </c>
      <c r="K19" s="49">
        <v>10.3</v>
      </c>
      <c r="L19" s="49">
        <v>10.3</v>
      </c>
      <c r="M19" s="50">
        <v>10.3</v>
      </c>
      <c r="N19" s="50">
        <v>10.3</v>
      </c>
      <c r="O19" s="50">
        <v>10.3</v>
      </c>
      <c r="P19" s="50">
        <v>10.3</v>
      </c>
      <c r="Q19" s="50">
        <v>10.3</v>
      </c>
      <c r="R19" s="50">
        <v>10.3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8">
        <v>30</v>
      </c>
      <c r="AH19" s="53">
        <f t="shared" si="2"/>
        <v>10.3</v>
      </c>
      <c r="AI19" s="54">
        <f t="shared" si="3"/>
        <v>10.3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17.899999999999999</v>
      </c>
      <c r="C22" s="49">
        <v>17.899999999999999</v>
      </c>
      <c r="D22" s="49">
        <v>17.899999999999999</v>
      </c>
      <c r="E22" s="49">
        <v>17.899999999999999</v>
      </c>
      <c r="F22" s="49">
        <v>17.899999999999999</v>
      </c>
      <c r="G22" s="49">
        <v>17.899999999999999</v>
      </c>
      <c r="H22" s="49">
        <v>17.899999999999999</v>
      </c>
      <c r="I22" s="49">
        <v>17.899999999999999</v>
      </c>
      <c r="J22" s="49">
        <v>17.899999999999999</v>
      </c>
      <c r="K22" s="49">
        <v>17.899999999999999</v>
      </c>
      <c r="L22" s="49">
        <v>17.899999999999999</v>
      </c>
      <c r="M22" s="50">
        <v>17.899999999999999</v>
      </c>
      <c r="N22" s="50">
        <v>17.899999999999999</v>
      </c>
      <c r="O22" s="50">
        <v>17.899999999999999</v>
      </c>
      <c r="P22" s="50">
        <v>17.899999999999999</v>
      </c>
      <c r="Q22" s="50">
        <v>17.899999999999999</v>
      </c>
      <c r="R22" s="50">
        <v>17.899999999999999</v>
      </c>
      <c r="S22" s="50">
        <v>12</v>
      </c>
      <c r="T22" s="50">
        <v>12</v>
      </c>
      <c r="U22" s="50">
        <v>12</v>
      </c>
      <c r="V22" s="50">
        <v>12</v>
      </c>
      <c r="W22" s="50">
        <v>12</v>
      </c>
      <c r="X22" s="50">
        <v>12</v>
      </c>
      <c r="Y22" s="50">
        <v>19.100000000000001</v>
      </c>
      <c r="Z22" s="50">
        <v>19.100000000000001</v>
      </c>
      <c r="AA22" s="50">
        <v>19.100000000000001</v>
      </c>
      <c r="AB22" s="50">
        <v>19.100000000000001</v>
      </c>
      <c r="AC22" s="50">
        <v>19.100000000000001</v>
      </c>
      <c r="AD22" s="50">
        <v>12.4</v>
      </c>
      <c r="AE22" s="50">
        <v>12.4</v>
      </c>
      <c r="AF22" s="50">
        <v>12.4</v>
      </c>
      <c r="AG22" s="58">
        <v>25</v>
      </c>
      <c r="AH22" s="53">
        <f t="shared" si="2"/>
        <v>19.100000000000001</v>
      </c>
      <c r="AI22" s="54">
        <f t="shared" si="3"/>
        <v>12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12.7</v>
      </c>
      <c r="Z24" s="50">
        <v>12.7</v>
      </c>
      <c r="AA24" s="50">
        <v>12.7</v>
      </c>
      <c r="AB24" s="50">
        <v>12.7</v>
      </c>
      <c r="AC24" s="50">
        <v>12.7</v>
      </c>
      <c r="AD24" s="50">
        <v>12.7</v>
      </c>
      <c r="AE24" s="50">
        <v>12.7</v>
      </c>
      <c r="AF24" s="50">
        <v>12.7</v>
      </c>
      <c r="AG24" s="58">
        <v>25</v>
      </c>
      <c r="AH24" s="53">
        <f t="shared" si="2"/>
        <v>12.7</v>
      </c>
      <c r="AI24" s="54">
        <f t="shared" si="3"/>
        <v>10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7</v>
      </c>
      <c r="C26" s="49">
        <v>7</v>
      </c>
      <c r="D26" s="49">
        <v>7</v>
      </c>
      <c r="E26" s="49">
        <v>7</v>
      </c>
      <c r="F26" s="49">
        <v>7</v>
      </c>
      <c r="G26" s="49">
        <v>7</v>
      </c>
      <c r="H26" s="49">
        <v>7</v>
      </c>
      <c r="I26" s="49">
        <v>7</v>
      </c>
      <c r="J26" s="49">
        <v>7</v>
      </c>
      <c r="K26" s="49">
        <v>7</v>
      </c>
      <c r="L26" s="49">
        <v>7</v>
      </c>
      <c r="M26" s="50">
        <v>7</v>
      </c>
      <c r="N26" s="50">
        <v>7</v>
      </c>
      <c r="O26" s="50">
        <v>7</v>
      </c>
      <c r="P26" s="50">
        <v>7</v>
      </c>
      <c r="Q26" s="50">
        <v>7</v>
      </c>
      <c r="R26" s="50">
        <v>7</v>
      </c>
      <c r="S26" s="50">
        <v>7</v>
      </c>
      <c r="T26" s="50">
        <v>7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8">
        <v>20</v>
      </c>
      <c r="AH26" s="53">
        <f t="shared" si="2"/>
        <v>7</v>
      </c>
      <c r="AI26" s="54">
        <f t="shared" si="3"/>
        <v>7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0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49">
        <v>12</v>
      </c>
      <c r="T30" s="49">
        <v>12</v>
      </c>
      <c r="U30" s="49">
        <v>12</v>
      </c>
      <c r="V30" s="49">
        <v>12</v>
      </c>
      <c r="W30" s="49">
        <v>12</v>
      </c>
      <c r="X30" s="49">
        <v>12</v>
      </c>
      <c r="Y30" s="49">
        <v>12</v>
      </c>
      <c r="Z30" s="49">
        <v>12</v>
      </c>
      <c r="AA30" s="49">
        <v>12</v>
      </c>
      <c r="AB30" s="49">
        <v>12</v>
      </c>
      <c r="AC30" s="49">
        <v>12</v>
      </c>
      <c r="AD30" s="49">
        <v>12</v>
      </c>
      <c r="AE30" s="49">
        <v>12</v>
      </c>
      <c r="AF30" s="49">
        <v>12</v>
      </c>
      <c r="AG30" s="58">
        <v>22.1</v>
      </c>
      <c r="AH30" s="53">
        <f t="shared" si="2"/>
        <v>12</v>
      </c>
      <c r="AI30" s="54">
        <f t="shared" si="3"/>
        <v>0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17.4+32</f>
        <v>49.4</v>
      </c>
      <c r="C37" s="60">
        <f>17.3+31.9</f>
        <v>49.2</v>
      </c>
      <c r="D37" s="60">
        <f>17.3+31.9</f>
        <v>49.2</v>
      </c>
      <c r="E37" s="60">
        <f>31.5+17.4</f>
        <v>48.9</v>
      </c>
      <c r="F37" s="60">
        <f>31.5+17.3</f>
        <v>48.8</v>
      </c>
      <c r="G37" s="60">
        <f>30.8+17.3</f>
        <v>48.1</v>
      </c>
      <c r="H37" s="60">
        <f>31.7+17.4</f>
        <v>49.099999999999994</v>
      </c>
      <c r="I37" s="60">
        <f>31+17.1</f>
        <v>48.1</v>
      </c>
      <c r="J37" s="60">
        <v>49</v>
      </c>
      <c r="K37" s="60">
        <v>49</v>
      </c>
      <c r="L37" s="60">
        <v>49</v>
      </c>
      <c r="M37" s="69">
        <v>46.8</v>
      </c>
      <c r="N37" s="69">
        <v>46.8</v>
      </c>
      <c r="O37" s="69">
        <v>48.4</v>
      </c>
      <c r="P37" s="69">
        <v>48.4</v>
      </c>
      <c r="Q37" s="69">
        <v>48.4</v>
      </c>
      <c r="R37" s="69">
        <v>48.4</v>
      </c>
      <c r="S37" s="69">
        <v>38.6</v>
      </c>
      <c r="T37" s="69">
        <v>38.700000000000003</v>
      </c>
      <c r="U37" s="69">
        <v>39</v>
      </c>
      <c r="V37" s="69">
        <v>35.799999999999997</v>
      </c>
      <c r="W37" s="69">
        <v>34.200000000000003</v>
      </c>
      <c r="X37" s="69">
        <v>43.3</v>
      </c>
      <c r="Y37" s="69">
        <v>43.7</v>
      </c>
      <c r="Z37" s="69">
        <v>43.7</v>
      </c>
      <c r="AA37" s="69">
        <v>46.2</v>
      </c>
      <c r="AB37" s="69">
        <v>46.2</v>
      </c>
      <c r="AC37" s="69">
        <v>46.2</v>
      </c>
      <c r="AD37" s="69">
        <v>46.2</v>
      </c>
      <c r="AE37" s="69">
        <v>46.2</v>
      </c>
      <c r="AF37" s="69">
        <v>46.2</v>
      </c>
      <c r="AG37" s="66">
        <v>240</v>
      </c>
      <c r="AH37" s="53">
        <f t="shared" si="2"/>
        <v>49.4</v>
      </c>
      <c r="AI37" s="54">
        <f t="shared" si="3"/>
        <v>34.200000000000003</v>
      </c>
      <c r="AK37" s="55"/>
    </row>
    <row r="38" spans="1:88" ht="15.75" thickBot="1" x14ac:dyDescent="0.3">
      <c r="A38" s="70" t="s">
        <v>46</v>
      </c>
      <c r="B38" s="71">
        <f>SUM(B11:B36)</f>
        <v>505.8</v>
      </c>
      <c r="C38" s="71">
        <f t="shared" ref="C38:AF38" si="4">SUM(C11:C36)</f>
        <v>477.8</v>
      </c>
      <c r="D38" s="71">
        <f t="shared" si="4"/>
        <v>477.8</v>
      </c>
      <c r="E38" s="71">
        <f t="shared" si="4"/>
        <v>458.3</v>
      </c>
      <c r="F38" s="71">
        <f t="shared" si="4"/>
        <v>448.3</v>
      </c>
      <c r="G38" s="71">
        <f t="shared" si="4"/>
        <v>458.3</v>
      </c>
      <c r="H38" s="71">
        <f t="shared" si="4"/>
        <v>460.3</v>
      </c>
      <c r="I38" s="71">
        <f t="shared" si="4"/>
        <v>488.29999999999995</v>
      </c>
      <c r="J38" s="71">
        <f t="shared" si="4"/>
        <v>548.29999999999995</v>
      </c>
      <c r="K38" s="71">
        <f t="shared" si="4"/>
        <v>576.29999999999995</v>
      </c>
      <c r="L38" s="71">
        <f t="shared" si="4"/>
        <v>678.3</v>
      </c>
      <c r="M38" s="71">
        <f t="shared" si="4"/>
        <v>786.30000000000007</v>
      </c>
      <c r="N38" s="71">
        <f t="shared" si="4"/>
        <v>776.30000000000007</v>
      </c>
      <c r="O38" s="71">
        <f t="shared" si="4"/>
        <v>691.3</v>
      </c>
      <c r="P38" s="71">
        <f t="shared" si="4"/>
        <v>706.3</v>
      </c>
      <c r="Q38" s="71">
        <f t="shared" si="4"/>
        <v>456.3</v>
      </c>
      <c r="R38" s="71">
        <f t="shared" si="4"/>
        <v>446.3</v>
      </c>
      <c r="S38" s="71">
        <f t="shared" si="4"/>
        <v>440.4</v>
      </c>
      <c r="T38" s="71">
        <f t="shared" si="4"/>
        <v>435.4</v>
      </c>
      <c r="U38" s="71">
        <f t="shared" si="4"/>
        <v>435.4</v>
      </c>
      <c r="V38" s="71">
        <f t="shared" si="4"/>
        <v>435.4</v>
      </c>
      <c r="W38" s="71">
        <f t="shared" si="4"/>
        <v>530.4</v>
      </c>
      <c r="X38" s="71">
        <f t="shared" si="4"/>
        <v>790.40000000000009</v>
      </c>
      <c r="Y38" s="71">
        <f t="shared" si="4"/>
        <v>810.20000000000016</v>
      </c>
      <c r="Z38" s="71">
        <f t="shared" si="4"/>
        <v>780.20000000000016</v>
      </c>
      <c r="AA38" s="71">
        <f t="shared" si="4"/>
        <v>730.2</v>
      </c>
      <c r="AB38" s="71">
        <f t="shared" si="4"/>
        <v>680.2</v>
      </c>
      <c r="AC38" s="71">
        <f t="shared" si="4"/>
        <v>450.2</v>
      </c>
      <c r="AD38" s="71">
        <f t="shared" si="4"/>
        <v>452.49999999999994</v>
      </c>
      <c r="AE38" s="71">
        <f t="shared" si="4"/>
        <v>443.49999999999994</v>
      </c>
      <c r="AF38" s="71">
        <f t="shared" si="4"/>
        <v>468.5</v>
      </c>
      <c r="AG38" s="66">
        <f>SUM(AG11:AG37)</f>
        <v>1492.8299999999997</v>
      </c>
      <c r="AH38" s="53">
        <f t="shared" si="2"/>
        <v>810.20000000000016</v>
      </c>
      <c r="AI38" s="54">
        <f t="shared" si="3"/>
        <v>435.4</v>
      </c>
      <c r="AK38" s="55"/>
    </row>
    <row r="39" spans="1:88" x14ac:dyDescent="0.25">
      <c r="A39" s="56" t="s">
        <v>47</v>
      </c>
      <c r="B39" s="50">
        <v>0</v>
      </c>
      <c r="C39" s="50">
        <v>0</v>
      </c>
      <c r="D39" s="5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48.5</v>
      </c>
      <c r="K39" s="60">
        <v>96</v>
      </c>
      <c r="L39" s="60">
        <v>141.5</v>
      </c>
      <c r="M39" s="50">
        <v>142</v>
      </c>
      <c r="N39" s="50">
        <v>142</v>
      </c>
      <c r="O39" s="50">
        <v>145.9</v>
      </c>
      <c r="P39" s="50">
        <v>142</v>
      </c>
      <c r="Q39" s="50">
        <v>91</v>
      </c>
      <c r="R39" s="50">
        <v>81</v>
      </c>
      <c r="S39" s="50">
        <v>81.2</v>
      </c>
      <c r="T39" s="50">
        <v>81.099999999999994</v>
      </c>
      <c r="U39" s="50">
        <v>89.4</v>
      </c>
      <c r="V39" s="50">
        <v>104.3</v>
      </c>
      <c r="W39" s="50">
        <v>145.1</v>
      </c>
      <c r="X39" s="50">
        <v>145.1</v>
      </c>
      <c r="Y39" s="50">
        <v>145.1</v>
      </c>
      <c r="Z39" s="50">
        <v>145.1</v>
      </c>
      <c r="AA39" s="50">
        <v>144.30000000000001</v>
      </c>
      <c r="AB39" s="50">
        <v>144</v>
      </c>
      <c r="AC39" s="50">
        <v>120</v>
      </c>
      <c r="AD39" s="50">
        <v>91</v>
      </c>
      <c r="AE39" s="50">
        <v>30</v>
      </c>
      <c r="AF39" s="49">
        <v>30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72">
        <v>0</v>
      </c>
      <c r="C40" s="72">
        <v>0</v>
      </c>
      <c r="D40" s="72">
        <v>0</v>
      </c>
      <c r="E40" s="60">
        <v>23.8</v>
      </c>
      <c r="F40" s="60">
        <v>25.9</v>
      </c>
      <c r="G40" s="60">
        <v>30.2</v>
      </c>
      <c r="H40" s="60">
        <v>23.6</v>
      </c>
      <c r="I40" s="60">
        <v>23.4</v>
      </c>
      <c r="J40" s="60">
        <v>35</v>
      </c>
      <c r="K40" s="60">
        <v>50</v>
      </c>
      <c r="L40" s="60">
        <v>68.599999999999994</v>
      </c>
      <c r="M40" s="72">
        <v>35</v>
      </c>
      <c r="N40" s="72">
        <v>61</v>
      </c>
      <c r="O40" s="72">
        <v>69.5</v>
      </c>
      <c r="P40" s="72">
        <v>69.7</v>
      </c>
      <c r="Q40" s="72">
        <v>61</v>
      </c>
      <c r="R40" s="72">
        <v>45</v>
      </c>
      <c r="S40" s="72">
        <v>44.5</v>
      </c>
      <c r="T40" s="72">
        <v>44.9</v>
      </c>
      <c r="U40" s="72">
        <v>55.7</v>
      </c>
      <c r="V40" s="72">
        <v>46</v>
      </c>
      <c r="W40" s="72">
        <v>61.5</v>
      </c>
      <c r="X40" s="72">
        <v>70.900000000000006</v>
      </c>
      <c r="Y40" s="72">
        <v>70.900000000000006</v>
      </c>
      <c r="Z40" s="72">
        <v>70.900000000000006</v>
      </c>
      <c r="AA40" s="72">
        <v>68.8</v>
      </c>
      <c r="AB40" s="72">
        <v>60</v>
      </c>
      <c r="AC40" s="72">
        <v>35</v>
      </c>
      <c r="AD40" s="72">
        <v>25</v>
      </c>
      <c r="AE40" s="72">
        <v>25</v>
      </c>
      <c r="AF40" s="60">
        <v>0</v>
      </c>
      <c r="AG40" s="66">
        <v>70</v>
      </c>
      <c r="AH40" s="53">
        <f t="shared" si="2"/>
        <v>70.900000000000006</v>
      </c>
      <c r="AI40" s="54">
        <f t="shared" si="3"/>
        <v>0</v>
      </c>
      <c r="AK40" s="55"/>
    </row>
    <row r="41" spans="1:88" x14ac:dyDescent="0.25">
      <c r="A41" s="65" t="s">
        <v>49</v>
      </c>
      <c r="B41" s="72">
        <v>48</v>
      </c>
      <c r="C41" s="72">
        <v>47.5</v>
      </c>
      <c r="D41" s="72">
        <v>41.7</v>
      </c>
      <c r="E41" s="60">
        <v>41.4</v>
      </c>
      <c r="F41" s="60">
        <v>22.1</v>
      </c>
      <c r="G41" s="60">
        <v>21.8</v>
      </c>
      <c r="H41" s="60">
        <v>15.9</v>
      </c>
      <c r="I41" s="60">
        <v>32</v>
      </c>
      <c r="J41" s="60">
        <v>40</v>
      </c>
      <c r="K41" s="60">
        <v>46</v>
      </c>
      <c r="L41" s="60">
        <v>63.4</v>
      </c>
      <c r="M41" s="72">
        <v>65</v>
      </c>
      <c r="N41" s="72">
        <v>65</v>
      </c>
      <c r="O41" s="72">
        <v>66.7</v>
      </c>
      <c r="P41" s="72">
        <v>39.5</v>
      </c>
      <c r="Q41" s="72">
        <v>33</v>
      </c>
      <c r="R41" s="72">
        <v>23</v>
      </c>
      <c r="S41" s="72">
        <v>16.3</v>
      </c>
      <c r="T41" s="72">
        <v>24.3</v>
      </c>
      <c r="U41" s="72">
        <v>23.8</v>
      </c>
      <c r="V41" s="72">
        <v>47.3</v>
      </c>
      <c r="W41" s="72">
        <v>60</v>
      </c>
      <c r="X41" s="72">
        <v>67.3</v>
      </c>
      <c r="Y41" s="72">
        <v>67.3</v>
      </c>
      <c r="Z41" s="72">
        <v>67.3</v>
      </c>
      <c r="AA41" s="72">
        <v>67.2</v>
      </c>
      <c r="AB41" s="72">
        <v>67</v>
      </c>
      <c r="AC41" s="72">
        <v>60</v>
      </c>
      <c r="AD41" s="72">
        <v>50</v>
      </c>
      <c r="AE41" s="72">
        <v>34</v>
      </c>
      <c r="AF41" s="60">
        <v>33</v>
      </c>
      <c r="AG41" s="66">
        <v>69</v>
      </c>
      <c r="AH41" s="53">
        <f t="shared" si="2"/>
        <v>67.3</v>
      </c>
      <c r="AI41" s="54">
        <f t="shared" si="3"/>
        <v>15.9</v>
      </c>
      <c r="AK41" s="55"/>
    </row>
    <row r="42" spans="1:88" x14ac:dyDescent="0.25">
      <c r="A42" s="65" t="s">
        <v>50</v>
      </c>
      <c r="B42" s="72">
        <v>55.7</v>
      </c>
      <c r="C42" s="72">
        <v>55.7</v>
      </c>
      <c r="D42" s="72">
        <v>55.7</v>
      </c>
      <c r="E42" s="60">
        <v>55.7</v>
      </c>
      <c r="F42" s="60">
        <v>55.9</v>
      </c>
      <c r="G42" s="60">
        <v>55.9</v>
      </c>
      <c r="H42" s="60">
        <v>56.2</v>
      </c>
      <c r="I42" s="60">
        <v>55.9</v>
      </c>
      <c r="J42" s="60">
        <v>55.9</v>
      </c>
      <c r="K42" s="60">
        <v>55.9</v>
      </c>
      <c r="L42" s="60">
        <v>55.9</v>
      </c>
      <c r="M42" s="72">
        <v>56.4</v>
      </c>
      <c r="N42" s="72">
        <v>56.4</v>
      </c>
      <c r="O42" s="72">
        <v>56.2</v>
      </c>
      <c r="P42" s="72">
        <v>56.2</v>
      </c>
      <c r="Q42" s="72">
        <v>56.2</v>
      </c>
      <c r="R42" s="72">
        <v>56.2</v>
      </c>
      <c r="S42" s="72">
        <v>55.4</v>
      </c>
      <c r="T42" s="72">
        <v>55.4</v>
      </c>
      <c r="U42" s="72">
        <v>55.4</v>
      </c>
      <c r="V42" s="72">
        <v>55.4</v>
      </c>
      <c r="W42" s="72">
        <v>55.4</v>
      </c>
      <c r="X42" s="72">
        <v>55.4</v>
      </c>
      <c r="Y42" s="72">
        <v>55.4</v>
      </c>
      <c r="Z42" s="72">
        <v>55.4</v>
      </c>
      <c r="AA42" s="72">
        <v>55.4</v>
      </c>
      <c r="AB42" s="72">
        <v>55.4</v>
      </c>
      <c r="AC42" s="72">
        <v>55.4</v>
      </c>
      <c r="AD42" s="72">
        <v>55.4</v>
      </c>
      <c r="AE42" s="72">
        <v>58</v>
      </c>
      <c r="AF42" s="72">
        <v>58</v>
      </c>
      <c r="AG42" s="66">
        <v>60</v>
      </c>
      <c r="AH42" s="53">
        <f t="shared" si="2"/>
        <v>58</v>
      </c>
      <c r="AI42" s="54">
        <f t="shared" si="3"/>
        <v>55.4</v>
      </c>
      <c r="AK42" s="55"/>
    </row>
    <row r="43" spans="1:88" x14ac:dyDescent="0.25">
      <c r="A43" s="65" t="s">
        <v>51</v>
      </c>
      <c r="B43" s="72">
        <v>0</v>
      </c>
      <c r="C43" s="72">
        <v>0</v>
      </c>
      <c r="D43" s="72">
        <v>0</v>
      </c>
      <c r="E43" s="60">
        <v>0</v>
      </c>
      <c r="F43" s="60">
        <v>0</v>
      </c>
      <c r="G43" s="60">
        <v>10</v>
      </c>
      <c r="H43" s="60">
        <v>15</v>
      </c>
      <c r="I43" s="60">
        <v>23</v>
      </c>
      <c r="J43" s="60">
        <v>23</v>
      </c>
      <c r="K43" s="60">
        <v>0</v>
      </c>
      <c r="L43" s="60">
        <v>30</v>
      </c>
      <c r="M43" s="50">
        <v>30</v>
      </c>
      <c r="N43" s="50">
        <v>30</v>
      </c>
      <c r="O43" s="50">
        <v>25</v>
      </c>
      <c r="P43" s="50">
        <v>25.7</v>
      </c>
      <c r="Q43" s="50">
        <v>13</v>
      </c>
      <c r="R43" s="50">
        <v>13</v>
      </c>
      <c r="S43" s="50">
        <v>0</v>
      </c>
      <c r="T43" s="50">
        <v>0</v>
      </c>
      <c r="U43" s="50">
        <v>0</v>
      </c>
      <c r="V43" s="50">
        <v>12.7</v>
      </c>
      <c r="W43" s="50">
        <v>12.7</v>
      </c>
      <c r="X43" s="50">
        <v>22.2</v>
      </c>
      <c r="Y43" s="50">
        <v>30</v>
      </c>
      <c r="Z43" s="50">
        <v>30</v>
      </c>
      <c r="AA43" s="72">
        <v>28.1</v>
      </c>
      <c r="AB43" s="72">
        <v>28.1</v>
      </c>
      <c r="AC43" s="72">
        <v>15</v>
      </c>
      <c r="AD43" s="72">
        <v>10</v>
      </c>
      <c r="AE43" s="72">
        <v>0</v>
      </c>
      <c r="AF43" s="72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50">
        <v>0</v>
      </c>
      <c r="D44" s="5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18</v>
      </c>
      <c r="C45" s="50">
        <v>18</v>
      </c>
      <c r="D45" s="50">
        <v>18</v>
      </c>
      <c r="E45" s="50">
        <v>18</v>
      </c>
      <c r="F45" s="50">
        <v>18</v>
      </c>
      <c r="G45" s="50">
        <v>18</v>
      </c>
      <c r="H45" s="50">
        <v>18</v>
      </c>
      <c r="I45" s="50">
        <v>18</v>
      </c>
      <c r="J45" s="79">
        <v>18</v>
      </c>
      <c r="K45" s="79">
        <v>18</v>
      </c>
      <c r="L45" s="79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50">
        <v>4.5</v>
      </c>
      <c r="C46" s="50">
        <v>4.5</v>
      </c>
      <c r="D46" s="50">
        <v>4.5</v>
      </c>
      <c r="E46" s="50">
        <v>4.5</v>
      </c>
      <c r="F46" s="50">
        <v>4.5</v>
      </c>
      <c r="G46" s="50">
        <v>4.5</v>
      </c>
      <c r="H46" s="50">
        <v>4.5</v>
      </c>
      <c r="I46" s="50">
        <v>4.5</v>
      </c>
      <c r="J46" s="50">
        <v>4.5</v>
      </c>
      <c r="K46" s="50">
        <v>4.5</v>
      </c>
      <c r="L46" s="5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5.5</v>
      </c>
      <c r="C48" s="50">
        <v>5.5</v>
      </c>
      <c r="D48" s="50">
        <v>5.5</v>
      </c>
      <c r="E48" s="50">
        <v>5.5</v>
      </c>
      <c r="F48" s="50">
        <v>5.5</v>
      </c>
      <c r="G48" s="50">
        <v>5.5</v>
      </c>
      <c r="H48" s="50">
        <v>5.5</v>
      </c>
      <c r="I48" s="50">
        <v>5.5</v>
      </c>
      <c r="J48" s="50">
        <v>5.5</v>
      </c>
      <c r="K48" s="50">
        <v>5.5</v>
      </c>
      <c r="L48" s="50">
        <v>5.5</v>
      </c>
      <c r="M48" s="50">
        <v>5.5</v>
      </c>
      <c r="N48" s="50">
        <v>5.5</v>
      </c>
      <c r="O48" s="50">
        <v>5.5</v>
      </c>
      <c r="P48" s="50">
        <v>5.5</v>
      </c>
      <c r="Q48" s="50">
        <v>5.5</v>
      </c>
      <c r="R48" s="50">
        <v>5.5</v>
      </c>
      <c r="S48" s="50">
        <v>5.5</v>
      </c>
      <c r="T48" s="50">
        <v>5.5</v>
      </c>
      <c r="U48" s="50">
        <v>5.5</v>
      </c>
      <c r="V48" s="50">
        <v>5.5</v>
      </c>
      <c r="W48" s="50">
        <v>5.5</v>
      </c>
      <c r="X48" s="50">
        <v>5.5</v>
      </c>
      <c r="Y48" s="50">
        <v>5.5</v>
      </c>
      <c r="Z48" s="50">
        <v>5.5</v>
      </c>
      <c r="AA48" s="50">
        <v>5.5</v>
      </c>
      <c r="AB48" s="50">
        <v>5.5</v>
      </c>
      <c r="AC48" s="50">
        <v>5.5</v>
      </c>
      <c r="AD48" s="50">
        <v>5.5</v>
      </c>
      <c r="AE48" s="50">
        <v>5.5</v>
      </c>
      <c r="AF48" s="50">
        <v>5.5</v>
      </c>
      <c r="AG48" s="66">
        <v>14</v>
      </c>
      <c r="AH48" s="53">
        <f t="shared" si="2"/>
        <v>5.5</v>
      </c>
      <c r="AI48" s="54">
        <f t="shared" si="3"/>
        <v>5.5</v>
      </c>
      <c r="AK48" s="55"/>
    </row>
    <row r="49" spans="1:37" x14ac:dyDescent="0.25">
      <c r="A49" s="65" t="s">
        <v>57</v>
      </c>
      <c r="B49" s="50">
        <v>7</v>
      </c>
      <c r="C49" s="50">
        <v>7</v>
      </c>
      <c r="D49" s="50">
        <v>7</v>
      </c>
      <c r="E49" s="50">
        <v>7</v>
      </c>
      <c r="F49" s="50">
        <v>7</v>
      </c>
      <c r="G49" s="50">
        <v>7</v>
      </c>
      <c r="H49" s="50">
        <v>7</v>
      </c>
      <c r="I49" s="50">
        <v>7</v>
      </c>
      <c r="J49" s="50">
        <v>7</v>
      </c>
      <c r="K49" s="50">
        <v>7</v>
      </c>
      <c r="L49" s="50">
        <v>7</v>
      </c>
      <c r="M49" s="50">
        <v>7</v>
      </c>
      <c r="N49" s="50">
        <v>7</v>
      </c>
      <c r="O49" s="50">
        <v>7</v>
      </c>
      <c r="P49" s="50">
        <v>7</v>
      </c>
      <c r="Q49" s="50">
        <v>7</v>
      </c>
      <c r="R49" s="5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5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159.23999999999998</v>
      </c>
      <c r="C52" s="71">
        <f t="shared" ref="C52:AF52" si="7">SUM(C39:C51)</f>
        <v>158.73999999999998</v>
      </c>
      <c r="D52" s="71">
        <f t="shared" si="7"/>
        <v>152.94</v>
      </c>
      <c r="E52" s="71">
        <f t="shared" si="7"/>
        <v>176.44</v>
      </c>
      <c r="F52" s="71">
        <f t="shared" si="7"/>
        <v>159.44</v>
      </c>
      <c r="G52" s="71">
        <f t="shared" si="7"/>
        <v>173.44</v>
      </c>
      <c r="H52" s="71">
        <f t="shared" si="7"/>
        <v>166.23999999999998</v>
      </c>
      <c r="I52" s="71">
        <f t="shared" si="7"/>
        <v>189.84</v>
      </c>
      <c r="J52" s="71">
        <f t="shared" si="7"/>
        <v>257.94</v>
      </c>
      <c r="K52" s="71">
        <f t="shared" si="7"/>
        <v>303.44</v>
      </c>
      <c r="L52" s="71">
        <f t="shared" si="7"/>
        <v>414.94</v>
      </c>
      <c r="M52" s="71">
        <f t="shared" si="7"/>
        <v>383.94</v>
      </c>
      <c r="N52" s="71">
        <f t="shared" si="7"/>
        <v>409.94</v>
      </c>
      <c r="O52" s="71">
        <f t="shared" si="7"/>
        <v>418.84000000000003</v>
      </c>
      <c r="P52" s="71">
        <f t="shared" si="7"/>
        <v>388.64</v>
      </c>
      <c r="Q52" s="71">
        <f t="shared" si="7"/>
        <v>309.74</v>
      </c>
      <c r="R52" s="71">
        <f t="shared" si="7"/>
        <v>273.74</v>
      </c>
      <c r="S52" s="71">
        <f t="shared" si="7"/>
        <v>252.94</v>
      </c>
      <c r="T52" s="71">
        <f t="shared" si="7"/>
        <v>261.24000000000007</v>
      </c>
      <c r="U52" s="71">
        <f t="shared" si="7"/>
        <v>279.84000000000009</v>
      </c>
      <c r="V52" s="71">
        <f t="shared" si="7"/>
        <v>321.24000000000007</v>
      </c>
      <c r="W52" s="71">
        <f t="shared" si="7"/>
        <v>390.24</v>
      </c>
      <c r="X52" s="71">
        <f t="shared" si="7"/>
        <v>416.44</v>
      </c>
      <c r="Y52" s="71">
        <f t="shared" si="7"/>
        <v>424.24</v>
      </c>
      <c r="Z52" s="71">
        <f t="shared" si="7"/>
        <v>424.24</v>
      </c>
      <c r="AA52" s="71">
        <f t="shared" si="7"/>
        <v>419.34000000000003</v>
      </c>
      <c r="AB52" s="71">
        <f t="shared" si="7"/>
        <v>410.04</v>
      </c>
      <c r="AC52" s="71">
        <f t="shared" si="7"/>
        <v>340.94</v>
      </c>
      <c r="AD52" s="71">
        <f t="shared" si="7"/>
        <v>286.94</v>
      </c>
      <c r="AE52" s="71">
        <f t="shared" si="7"/>
        <v>202.54</v>
      </c>
      <c r="AF52" s="71">
        <f t="shared" si="7"/>
        <v>176.54</v>
      </c>
      <c r="AG52" s="76">
        <f>SUM(AG39:AG51)</f>
        <v>489.91</v>
      </c>
      <c r="AH52" s="53">
        <f t="shared" si="2"/>
        <v>424.24</v>
      </c>
      <c r="AI52" s="54">
        <f t="shared" si="3"/>
        <v>152.94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14</v>
      </c>
      <c r="L53" s="60">
        <v>44.2</v>
      </c>
      <c r="M53" s="77">
        <v>45</v>
      </c>
      <c r="N53" s="77">
        <v>40</v>
      </c>
      <c r="O53" s="77">
        <v>55</v>
      </c>
      <c r="P53" s="77">
        <v>30</v>
      </c>
      <c r="Q53" s="77">
        <v>30</v>
      </c>
      <c r="R53" s="50">
        <v>14</v>
      </c>
      <c r="S53" s="50">
        <v>13.7</v>
      </c>
      <c r="T53" s="50">
        <v>19.8</v>
      </c>
      <c r="U53" s="50">
        <v>34.5</v>
      </c>
      <c r="V53" s="50">
        <v>47.7</v>
      </c>
      <c r="W53" s="50">
        <v>40.799999999999997</v>
      </c>
      <c r="X53" s="50">
        <v>58.6</v>
      </c>
      <c r="Y53" s="50">
        <v>59.1</v>
      </c>
      <c r="Z53" s="50">
        <v>59.1</v>
      </c>
      <c r="AA53" s="50">
        <v>59.1</v>
      </c>
      <c r="AB53" s="50">
        <v>59.1</v>
      </c>
      <c r="AC53" s="50">
        <v>40</v>
      </c>
      <c r="AD53" s="50">
        <v>14</v>
      </c>
      <c r="AE53" s="50">
        <v>0</v>
      </c>
      <c r="AF53" s="50">
        <v>0</v>
      </c>
      <c r="AG53" s="61">
        <v>60</v>
      </c>
      <c r="AH53" s="53">
        <f t="shared" si="2"/>
        <v>59.1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6</v>
      </c>
      <c r="L54" s="60">
        <v>20.5</v>
      </c>
      <c r="M54" s="77">
        <v>22</v>
      </c>
      <c r="N54" s="77">
        <v>19</v>
      </c>
      <c r="O54" s="77">
        <v>23</v>
      </c>
      <c r="P54" s="77">
        <v>15</v>
      </c>
      <c r="Q54" s="77">
        <v>15</v>
      </c>
      <c r="R54" s="72">
        <v>7.2</v>
      </c>
      <c r="S54" s="50">
        <v>6.7</v>
      </c>
      <c r="T54" s="50">
        <v>6.3</v>
      </c>
      <c r="U54" s="50">
        <v>14.7</v>
      </c>
      <c r="V54" s="72">
        <v>14.3</v>
      </c>
      <c r="W54" s="72">
        <v>17.5</v>
      </c>
      <c r="X54" s="72">
        <v>24.9</v>
      </c>
      <c r="Y54" s="72">
        <v>28.5</v>
      </c>
      <c r="Z54" s="72">
        <v>28.5</v>
      </c>
      <c r="AA54" s="72">
        <v>28.5</v>
      </c>
      <c r="AB54" s="72">
        <v>28.5</v>
      </c>
      <c r="AC54" s="72">
        <v>20</v>
      </c>
      <c r="AD54" s="72">
        <v>9</v>
      </c>
      <c r="AE54" s="72">
        <v>0</v>
      </c>
      <c r="AF54" s="72">
        <v>0</v>
      </c>
      <c r="AG54" s="66">
        <v>32</v>
      </c>
      <c r="AH54" s="53">
        <f t="shared" si="2"/>
        <v>28.5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2</v>
      </c>
      <c r="L55" s="79">
        <v>7.5</v>
      </c>
      <c r="M55" s="80">
        <v>7</v>
      </c>
      <c r="N55" s="80">
        <v>8</v>
      </c>
      <c r="O55" s="80">
        <v>8.5</v>
      </c>
      <c r="P55" s="80">
        <v>7</v>
      </c>
      <c r="Q55" s="80">
        <v>7</v>
      </c>
      <c r="R55" s="78">
        <v>3</v>
      </c>
      <c r="S55" s="50">
        <v>2.4</v>
      </c>
      <c r="T55" s="50">
        <v>2.2999999999999998</v>
      </c>
      <c r="U55" s="50">
        <v>5.4</v>
      </c>
      <c r="V55" s="78">
        <v>5.2</v>
      </c>
      <c r="W55" s="78">
        <v>6.4</v>
      </c>
      <c r="X55" s="78">
        <v>9.1</v>
      </c>
      <c r="Y55" s="78">
        <v>10.4</v>
      </c>
      <c r="Z55" s="78">
        <v>10.4</v>
      </c>
      <c r="AA55" s="78">
        <v>10.4</v>
      </c>
      <c r="AB55" s="78">
        <v>10.4</v>
      </c>
      <c r="AC55" s="78">
        <v>5</v>
      </c>
      <c r="AD55" s="78">
        <v>3</v>
      </c>
      <c r="AE55" s="78">
        <v>0</v>
      </c>
      <c r="AF55" s="78">
        <v>0</v>
      </c>
      <c r="AG55" s="81">
        <v>14</v>
      </c>
      <c r="AH55" s="53">
        <f t="shared" si="2"/>
        <v>10.4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22</v>
      </c>
      <c r="L56" s="71">
        <f t="shared" si="8"/>
        <v>72.2</v>
      </c>
      <c r="M56" s="71">
        <f t="shared" si="8"/>
        <v>74</v>
      </c>
      <c r="N56" s="71">
        <f t="shared" si="8"/>
        <v>67</v>
      </c>
      <c r="O56" s="71">
        <f t="shared" si="8"/>
        <v>86.5</v>
      </c>
      <c r="P56" s="71">
        <f t="shared" si="8"/>
        <v>52</v>
      </c>
      <c r="Q56" s="71">
        <f t="shared" si="8"/>
        <v>52</v>
      </c>
      <c r="R56" s="71">
        <f t="shared" si="8"/>
        <v>24.2</v>
      </c>
      <c r="S56" s="71">
        <f t="shared" si="8"/>
        <v>22.799999999999997</v>
      </c>
      <c r="T56" s="71">
        <f t="shared" si="8"/>
        <v>28.400000000000002</v>
      </c>
      <c r="U56" s="71">
        <f t="shared" si="8"/>
        <v>54.6</v>
      </c>
      <c r="V56" s="71">
        <f t="shared" si="8"/>
        <v>67.2</v>
      </c>
      <c r="W56" s="71">
        <f t="shared" si="8"/>
        <v>64.7</v>
      </c>
      <c r="X56" s="71">
        <f t="shared" si="8"/>
        <v>92.6</v>
      </c>
      <c r="Y56" s="71">
        <f t="shared" si="8"/>
        <v>98</v>
      </c>
      <c r="Z56" s="71">
        <f t="shared" si="8"/>
        <v>98</v>
      </c>
      <c r="AA56" s="71">
        <f t="shared" si="8"/>
        <v>98</v>
      </c>
      <c r="AB56" s="71">
        <f t="shared" si="8"/>
        <v>98</v>
      </c>
      <c r="AC56" s="71">
        <f t="shared" si="8"/>
        <v>65</v>
      </c>
      <c r="AD56" s="71">
        <f t="shared" si="8"/>
        <v>26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98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67.900000000000006</v>
      </c>
      <c r="C57" s="50">
        <v>68.900000000000006</v>
      </c>
      <c r="D57" s="50">
        <v>66.8</v>
      </c>
      <c r="E57" s="50">
        <v>64.599999999999994</v>
      </c>
      <c r="F57" s="50">
        <v>67.8</v>
      </c>
      <c r="G57" s="50">
        <v>61.8</v>
      </c>
      <c r="H57" s="50">
        <v>67.099999999999994</v>
      </c>
      <c r="I57" s="50">
        <v>68</v>
      </c>
      <c r="J57" s="50">
        <v>67</v>
      </c>
      <c r="K57" s="50">
        <v>0</v>
      </c>
      <c r="L57" s="50">
        <v>0</v>
      </c>
      <c r="M57" s="50">
        <v>69</v>
      </c>
      <c r="N57" s="50">
        <v>72.3</v>
      </c>
      <c r="O57" s="50">
        <v>71</v>
      </c>
      <c r="P57" s="50">
        <v>74</v>
      </c>
      <c r="Q57" s="50">
        <v>70</v>
      </c>
      <c r="R57" s="50">
        <v>70</v>
      </c>
      <c r="S57" s="50">
        <v>71</v>
      </c>
      <c r="T57" s="50">
        <v>71</v>
      </c>
      <c r="U57" s="50">
        <v>68.400000000000006</v>
      </c>
      <c r="V57" s="50">
        <v>59.1</v>
      </c>
      <c r="W57" s="50">
        <v>64.5</v>
      </c>
      <c r="X57" s="50">
        <v>66.400000000000006</v>
      </c>
      <c r="Y57" s="50">
        <v>75.7</v>
      </c>
      <c r="Z57" s="50">
        <v>73</v>
      </c>
      <c r="AA57" s="50">
        <v>70.900000000000006</v>
      </c>
      <c r="AB57" s="50">
        <v>70.900000000000006</v>
      </c>
      <c r="AC57" s="50">
        <v>69</v>
      </c>
      <c r="AD57" s="50">
        <v>70</v>
      </c>
      <c r="AE57" s="50">
        <v>70</v>
      </c>
      <c r="AF57" s="50">
        <v>71</v>
      </c>
      <c r="AG57" s="61"/>
      <c r="AH57" s="53">
        <f t="shared" si="2"/>
        <v>75.7</v>
      </c>
      <c r="AI57" s="54">
        <f t="shared" si="3"/>
        <v>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92</v>
      </c>
      <c r="O58" s="50">
        <v>85.4</v>
      </c>
      <c r="P58" s="50">
        <v>75</v>
      </c>
      <c r="Q58" s="50">
        <v>0</v>
      </c>
      <c r="R58" s="50">
        <v>75</v>
      </c>
      <c r="S58" s="50">
        <v>85.2</v>
      </c>
      <c r="T58" s="50">
        <v>86.6</v>
      </c>
      <c r="U58" s="50">
        <v>84.4</v>
      </c>
      <c r="V58" s="50">
        <v>87.9</v>
      </c>
      <c r="W58" s="50">
        <v>91.7</v>
      </c>
      <c r="X58" s="82">
        <v>93.4</v>
      </c>
      <c r="Y58" s="82">
        <v>95.3</v>
      </c>
      <c r="Z58" s="82">
        <v>88</v>
      </c>
      <c r="AA58" s="82">
        <v>84.2</v>
      </c>
      <c r="AB58" s="82">
        <v>84.2</v>
      </c>
      <c r="AC58" s="82">
        <v>84.2</v>
      </c>
      <c r="AD58" s="72">
        <v>70</v>
      </c>
      <c r="AE58" s="72">
        <v>0</v>
      </c>
      <c r="AF58" s="72">
        <v>0</v>
      </c>
      <c r="AG58" s="66"/>
      <c r="AH58" s="53">
        <f t="shared" si="2"/>
        <v>95.3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234</v>
      </c>
      <c r="C59" s="72">
        <v>235</v>
      </c>
      <c r="D59" s="72">
        <v>210</v>
      </c>
      <c r="E59" s="72">
        <v>202</v>
      </c>
      <c r="F59" s="72">
        <v>225</v>
      </c>
      <c r="G59" s="72">
        <v>222</v>
      </c>
      <c r="H59" s="50">
        <v>215</v>
      </c>
      <c r="I59" s="50">
        <v>224.1</v>
      </c>
      <c r="J59" s="50">
        <v>206</v>
      </c>
      <c r="K59" s="50">
        <v>200</v>
      </c>
      <c r="L59" s="50">
        <v>155</v>
      </c>
      <c r="M59" s="72">
        <v>65</v>
      </c>
      <c r="N59" s="72">
        <v>0</v>
      </c>
      <c r="O59" s="72">
        <v>10</v>
      </c>
      <c r="P59" s="72">
        <v>0</v>
      </c>
      <c r="Q59" s="72">
        <v>338</v>
      </c>
      <c r="R59" s="72">
        <v>330</v>
      </c>
      <c r="S59" s="72">
        <v>335</v>
      </c>
      <c r="T59" s="72">
        <v>320</v>
      </c>
      <c r="U59" s="72">
        <v>338.5</v>
      </c>
      <c r="V59" s="72">
        <v>270</v>
      </c>
      <c r="W59" s="72">
        <v>188.9</v>
      </c>
      <c r="X59" s="83">
        <v>9.8000000000000007</v>
      </c>
      <c r="Y59" s="83">
        <v>22.5</v>
      </c>
      <c r="Z59" s="83">
        <v>15</v>
      </c>
      <c r="AA59" s="83">
        <v>33</v>
      </c>
      <c r="AB59" s="83">
        <v>0</v>
      </c>
      <c r="AC59" s="83">
        <v>240</v>
      </c>
      <c r="AD59" s="72">
        <v>285</v>
      </c>
      <c r="AE59" s="72">
        <v>290</v>
      </c>
      <c r="AF59" s="72">
        <v>308</v>
      </c>
      <c r="AG59" s="84"/>
      <c r="AH59" s="53">
        <f t="shared" si="2"/>
        <v>338.5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35.9</v>
      </c>
      <c r="H60" s="57">
        <v>38.700000000000003</v>
      </c>
      <c r="I60" s="57">
        <v>40.6</v>
      </c>
      <c r="J60" s="57">
        <v>41.2</v>
      </c>
      <c r="K60" s="57">
        <v>47.5</v>
      </c>
      <c r="L60" s="57">
        <v>45.3</v>
      </c>
      <c r="M60" s="72">
        <v>53</v>
      </c>
      <c r="N60" s="72">
        <v>53</v>
      </c>
      <c r="O60" s="72">
        <v>53.9</v>
      </c>
      <c r="P60" s="72">
        <v>50</v>
      </c>
      <c r="Q60" s="72">
        <v>54</v>
      </c>
      <c r="R60" s="72">
        <v>60</v>
      </c>
      <c r="S60" s="72">
        <v>59</v>
      </c>
      <c r="T60" s="72">
        <v>59.9</v>
      </c>
      <c r="U60" s="72">
        <v>59.1</v>
      </c>
      <c r="V60" s="72">
        <v>57</v>
      </c>
      <c r="W60" s="72">
        <v>58.4</v>
      </c>
      <c r="X60" s="72">
        <v>59.6</v>
      </c>
      <c r="Y60" s="72">
        <v>57.3</v>
      </c>
      <c r="Z60" s="72">
        <v>57</v>
      </c>
      <c r="AA60" s="72">
        <v>56</v>
      </c>
      <c r="AB60" s="72">
        <v>56</v>
      </c>
      <c r="AC60" s="72">
        <v>56</v>
      </c>
      <c r="AD60" s="72">
        <v>55</v>
      </c>
      <c r="AE60" s="72">
        <v>51</v>
      </c>
      <c r="AF60" s="57">
        <v>0</v>
      </c>
      <c r="AG60" s="84"/>
      <c r="AH60" s="53">
        <f t="shared" si="2"/>
        <v>60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7">
        <v>0</v>
      </c>
      <c r="F61" s="57">
        <v>0</v>
      </c>
      <c r="G61" s="57">
        <v>0</v>
      </c>
      <c r="H61" s="57">
        <v>61.5</v>
      </c>
      <c r="I61" s="57">
        <v>64.400000000000006</v>
      </c>
      <c r="J61" s="57">
        <v>71.099999999999994</v>
      </c>
      <c r="K61" s="57">
        <v>79.5</v>
      </c>
      <c r="L61" s="57">
        <v>68.400000000000006</v>
      </c>
      <c r="M61" s="50">
        <v>80</v>
      </c>
      <c r="N61" s="50">
        <v>74</v>
      </c>
      <c r="O61" s="50">
        <v>83.7</v>
      </c>
      <c r="P61" s="50">
        <v>80</v>
      </c>
      <c r="Q61" s="50">
        <v>78</v>
      </c>
      <c r="R61" s="50">
        <v>32</v>
      </c>
      <c r="S61" s="50">
        <v>34.299999999999997</v>
      </c>
      <c r="T61" s="50">
        <v>35.5</v>
      </c>
      <c r="U61" s="50">
        <v>17.7</v>
      </c>
      <c r="V61" s="50">
        <v>69.599999999999994</v>
      </c>
      <c r="W61" s="50">
        <v>81.400000000000006</v>
      </c>
      <c r="X61" s="50">
        <v>83.6</v>
      </c>
      <c r="Y61" s="50">
        <v>91.6</v>
      </c>
      <c r="Z61" s="50">
        <v>80</v>
      </c>
      <c r="AA61" s="50">
        <v>81.900000000000006</v>
      </c>
      <c r="AB61" s="50">
        <v>81.900000000000006</v>
      </c>
      <c r="AC61" s="50">
        <v>81.900000000000006</v>
      </c>
      <c r="AD61" s="50">
        <v>85</v>
      </c>
      <c r="AE61" s="50">
        <v>81</v>
      </c>
      <c r="AF61" s="50">
        <v>0</v>
      </c>
      <c r="AG61" s="84"/>
      <c r="AH61" s="53">
        <f t="shared" si="2"/>
        <v>91.6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4.4000000000000004</v>
      </c>
      <c r="N62" s="72">
        <v>5.5</v>
      </c>
      <c r="O62" s="72">
        <v>6.4</v>
      </c>
      <c r="P62" s="72">
        <v>6.9</v>
      </c>
      <c r="Q62" s="72">
        <v>6.5</v>
      </c>
      <c r="R62" s="72">
        <v>5.8</v>
      </c>
      <c r="S62" s="72">
        <v>5.3</v>
      </c>
      <c r="T62" s="72">
        <v>5.0999999999999996</v>
      </c>
      <c r="U62" s="59">
        <v>4.9000000000000004</v>
      </c>
      <c r="V62" s="59">
        <v>4</v>
      </c>
      <c r="W62" s="59">
        <v>0</v>
      </c>
      <c r="X62" s="59">
        <v>5.3</v>
      </c>
      <c r="Y62" s="59">
        <v>5.5</v>
      </c>
      <c r="Z62" s="59">
        <v>6.1</v>
      </c>
      <c r="AA62" s="59">
        <v>5</v>
      </c>
      <c r="AB62" s="59">
        <v>5</v>
      </c>
      <c r="AC62" s="59">
        <v>5</v>
      </c>
      <c r="AD62" s="59">
        <v>5.9</v>
      </c>
      <c r="AE62" s="59">
        <v>0</v>
      </c>
      <c r="AF62" s="59">
        <v>0</v>
      </c>
      <c r="AG62" s="84"/>
      <c r="AH62" s="53">
        <f t="shared" si="2"/>
        <v>6.9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301.89999999999998</v>
      </c>
      <c r="C68" s="71">
        <f>SUM(C57:C67)</f>
        <v>303.89999999999998</v>
      </c>
      <c r="D68" s="71">
        <f t="shared" ref="D68:AF68" si="9">SUM(D57:D67)</f>
        <v>276.8</v>
      </c>
      <c r="E68" s="71">
        <f t="shared" si="9"/>
        <v>266.60000000000002</v>
      </c>
      <c r="F68" s="71">
        <f t="shared" si="9"/>
        <v>292.8</v>
      </c>
      <c r="G68" s="71">
        <f t="shared" si="9"/>
        <v>319.7</v>
      </c>
      <c r="H68" s="71">
        <f t="shared" si="9"/>
        <v>382.3</v>
      </c>
      <c r="I68" s="71">
        <f t="shared" si="9"/>
        <v>397.1</v>
      </c>
      <c r="J68" s="71">
        <f t="shared" si="9"/>
        <v>385.29999999999995</v>
      </c>
      <c r="K68" s="71">
        <f t="shared" si="9"/>
        <v>327</v>
      </c>
      <c r="L68" s="71">
        <f t="shared" si="9"/>
        <v>268.70000000000005</v>
      </c>
      <c r="M68" s="71">
        <f t="shared" si="9"/>
        <v>271.39999999999998</v>
      </c>
      <c r="N68" s="71">
        <f t="shared" si="9"/>
        <v>296.8</v>
      </c>
      <c r="O68" s="71">
        <f t="shared" si="9"/>
        <v>310.39999999999998</v>
      </c>
      <c r="P68" s="71">
        <f t="shared" si="9"/>
        <v>285.89999999999998</v>
      </c>
      <c r="Q68" s="71">
        <f t="shared" si="9"/>
        <v>546.5</v>
      </c>
      <c r="R68" s="71">
        <f t="shared" si="9"/>
        <v>572.79999999999995</v>
      </c>
      <c r="S68" s="71">
        <f t="shared" si="9"/>
        <v>589.79999999999995</v>
      </c>
      <c r="T68" s="71">
        <f t="shared" si="9"/>
        <v>578.1</v>
      </c>
      <c r="U68" s="71">
        <f t="shared" si="9"/>
        <v>573</v>
      </c>
      <c r="V68" s="71">
        <f t="shared" si="9"/>
        <v>547.6</v>
      </c>
      <c r="W68" s="71">
        <f t="shared" si="9"/>
        <v>484.9</v>
      </c>
      <c r="X68" s="71">
        <f t="shared" si="9"/>
        <v>318.10000000000002</v>
      </c>
      <c r="Y68" s="71">
        <f t="shared" si="9"/>
        <v>347.9</v>
      </c>
      <c r="Z68" s="71">
        <f t="shared" si="9"/>
        <v>319.10000000000002</v>
      </c>
      <c r="AA68" s="71">
        <f t="shared" si="9"/>
        <v>331</v>
      </c>
      <c r="AB68" s="71">
        <f t="shared" si="9"/>
        <v>298</v>
      </c>
      <c r="AC68" s="71">
        <f t="shared" si="9"/>
        <v>536.1</v>
      </c>
      <c r="AD68" s="71">
        <f t="shared" si="9"/>
        <v>570.9</v>
      </c>
      <c r="AE68" s="71">
        <f t="shared" si="9"/>
        <v>492</v>
      </c>
      <c r="AF68" s="71">
        <f t="shared" si="9"/>
        <v>379</v>
      </c>
      <c r="AG68" s="76">
        <f>SUM(AG57:AG67)</f>
        <v>0</v>
      </c>
      <c r="AH68" s="53">
        <f t="shared" si="2"/>
        <v>589.79999999999995</v>
      </c>
      <c r="AI68" s="54">
        <f t="shared" si="3"/>
        <v>266.60000000000002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966.94</v>
      </c>
      <c r="C73" s="88">
        <f>C68+C56+C52+C38+C72</f>
        <v>940.44</v>
      </c>
      <c r="D73" s="88">
        <f t="shared" ref="D73:AG73" si="11">D68+D56+D52+D38+D72</f>
        <v>907.54</v>
      </c>
      <c r="E73" s="88">
        <f t="shared" si="11"/>
        <v>901.34</v>
      </c>
      <c r="F73" s="88">
        <f t="shared" si="11"/>
        <v>900.54</v>
      </c>
      <c r="G73" s="88">
        <f t="shared" si="11"/>
        <v>951.44</v>
      </c>
      <c r="H73" s="88">
        <f t="shared" si="11"/>
        <v>1008.8399999999999</v>
      </c>
      <c r="I73" s="88">
        <f t="shared" si="11"/>
        <v>1075.24</v>
      </c>
      <c r="J73" s="88">
        <f t="shared" si="11"/>
        <v>1191.54</v>
      </c>
      <c r="K73" s="88">
        <f t="shared" si="11"/>
        <v>1228.74</v>
      </c>
      <c r="L73" s="88">
        <f t="shared" si="11"/>
        <v>1434.1399999999999</v>
      </c>
      <c r="M73" s="88">
        <f t="shared" si="11"/>
        <v>1515.6399999999999</v>
      </c>
      <c r="N73" s="88">
        <f t="shared" si="11"/>
        <v>1550.04</v>
      </c>
      <c r="O73" s="88">
        <f t="shared" si="11"/>
        <v>1507.04</v>
      </c>
      <c r="P73" s="88">
        <f t="shared" si="11"/>
        <v>1432.84</v>
      </c>
      <c r="Q73" s="88">
        <f t="shared" si="11"/>
        <v>1364.54</v>
      </c>
      <c r="R73" s="88">
        <f t="shared" si="11"/>
        <v>1317.04</v>
      </c>
      <c r="S73" s="88">
        <f t="shared" si="11"/>
        <v>1305.94</v>
      </c>
      <c r="T73" s="88">
        <f t="shared" si="11"/>
        <v>1303.1399999999999</v>
      </c>
      <c r="U73" s="88">
        <f t="shared" si="11"/>
        <v>1342.8400000000001</v>
      </c>
      <c r="V73" s="88">
        <f t="shared" si="11"/>
        <v>1371.44</v>
      </c>
      <c r="W73" s="88">
        <f t="shared" si="11"/>
        <v>1470.24</v>
      </c>
      <c r="X73" s="88">
        <f t="shared" si="11"/>
        <v>1617.5400000000002</v>
      </c>
      <c r="Y73" s="88">
        <f t="shared" si="11"/>
        <v>1680.3400000000001</v>
      </c>
      <c r="Z73" s="88">
        <f t="shared" si="11"/>
        <v>1621.5400000000002</v>
      </c>
      <c r="AA73" s="88">
        <f t="shared" si="11"/>
        <v>1578.54</v>
      </c>
      <c r="AB73" s="88">
        <f t="shared" si="11"/>
        <v>1486.24</v>
      </c>
      <c r="AC73" s="88">
        <f t="shared" si="11"/>
        <v>1392.24</v>
      </c>
      <c r="AD73" s="88">
        <f t="shared" si="11"/>
        <v>1336.34</v>
      </c>
      <c r="AE73" s="88">
        <f t="shared" si="11"/>
        <v>1138.04</v>
      </c>
      <c r="AF73" s="88">
        <f t="shared" si="11"/>
        <v>1024.04</v>
      </c>
      <c r="AG73" s="88">
        <f t="shared" si="11"/>
        <v>2144.14</v>
      </c>
      <c r="AH73" s="53">
        <f t="shared" si="2"/>
        <v>1680.3400000000001</v>
      </c>
      <c r="AI73" s="54">
        <f t="shared" si="3"/>
        <v>900.54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>
        <v>90</v>
      </c>
      <c r="L74" s="90">
        <v>30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90</v>
      </c>
      <c r="AI74" s="54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966.94</v>
      </c>
      <c r="C75" s="88">
        <f>C73+C74</f>
        <v>940.44</v>
      </c>
      <c r="D75" s="88">
        <f t="shared" ref="D75:AF75" si="12">D72+D68+D56+D52+D38+D74</f>
        <v>907.54</v>
      </c>
      <c r="E75" s="88">
        <f t="shared" si="12"/>
        <v>901.34</v>
      </c>
      <c r="F75" s="88">
        <f t="shared" si="12"/>
        <v>900.54</v>
      </c>
      <c r="G75" s="88">
        <f t="shared" si="12"/>
        <v>951.44</v>
      </c>
      <c r="H75" s="88">
        <f t="shared" si="12"/>
        <v>1008.8399999999999</v>
      </c>
      <c r="I75" s="88">
        <f t="shared" si="12"/>
        <v>1075.24</v>
      </c>
      <c r="J75" s="88">
        <f t="shared" si="12"/>
        <v>1191.54</v>
      </c>
      <c r="K75" s="88">
        <f t="shared" si="12"/>
        <v>1318.74</v>
      </c>
      <c r="L75" s="88">
        <f t="shared" si="12"/>
        <v>1464.1399999999999</v>
      </c>
      <c r="M75" s="88">
        <f t="shared" si="12"/>
        <v>1515.6399999999999</v>
      </c>
      <c r="N75" s="88">
        <f t="shared" si="12"/>
        <v>1550.04</v>
      </c>
      <c r="O75" s="88">
        <f t="shared" si="12"/>
        <v>1507.04</v>
      </c>
      <c r="P75" s="88">
        <f t="shared" si="12"/>
        <v>1432.84</v>
      </c>
      <c r="Q75" s="88">
        <f t="shared" si="12"/>
        <v>1364.54</v>
      </c>
      <c r="R75" s="88">
        <f t="shared" si="12"/>
        <v>1317.04</v>
      </c>
      <c r="S75" s="88">
        <f t="shared" si="12"/>
        <v>1305.94</v>
      </c>
      <c r="T75" s="88">
        <f t="shared" si="12"/>
        <v>1303.1399999999999</v>
      </c>
      <c r="U75" s="88">
        <f t="shared" si="12"/>
        <v>1342.8400000000001</v>
      </c>
      <c r="V75" s="88">
        <f t="shared" si="12"/>
        <v>1371.44</v>
      </c>
      <c r="W75" s="88">
        <f t="shared" si="12"/>
        <v>1470.24</v>
      </c>
      <c r="X75" s="88">
        <f t="shared" si="12"/>
        <v>1617.5400000000002</v>
      </c>
      <c r="Y75" s="88">
        <f t="shared" si="12"/>
        <v>1680.3400000000001</v>
      </c>
      <c r="Z75" s="88">
        <f t="shared" si="12"/>
        <v>1621.5400000000002</v>
      </c>
      <c r="AA75" s="88">
        <f t="shared" si="12"/>
        <v>1578.54</v>
      </c>
      <c r="AB75" s="88">
        <f t="shared" si="12"/>
        <v>1486.24</v>
      </c>
      <c r="AC75" s="88">
        <f t="shared" si="12"/>
        <v>1392.24</v>
      </c>
      <c r="AD75" s="88">
        <f t="shared" si="12"/>
        <v>1336.34</v>
      </c>
      <c r="AE75" s="88">
        <f t="shared" si="12"/>
        <v>1138.04</v>
      </c>
      <c r="AF75" s="88">
        <f t="shared" si="12"/>
        <v>1024.04</v>
      </c>
      <c r="AG75" s="76">
        <f>AG72+AG68+AG56+AG52+AG38+AG74</f>
        <v>2144.14</v>
      </c>
      <c r="AH75" s="53">
        <f t="shared" si="2"/>
        <v>1680.3400000000001</v>
      </c>
      <c r="AI75" s="54">
        <f t="shared" si="3"/>
        <v>900.54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1933.88</v>
      </c>
      <c r="C83" s="71">
        <f t="shared" ref="C83:AG83" si="21">SUM(C70:C82)</f>
        <v>1880.88</v>
      </c>
      <c r="D83" s="71">
        <f t="shared" si="21"/>
        <v>1815.08</v>
      </c>
      <c r="E83" s="71">
        <f t="shared" si="21"/>
        <v>1802.68</v>
      </c>
      <c r="F83" s="71">
        <f t="shared" si="21"/>
        <v>1801.08</v>
      </c>
      <c r="G83" s="71">
        <f t="shared" si="21"/>
        <v>1902.88</v>
      </c>
      <c r="H83" s="71">
        <f t="shared" si="21"/>
        <v>2017.6799999999998</v>
      </c>
      <c r="I83" s="71">
        <f t="shared" si="21"/>
        <v>2150.48</v>
      </c>
      <c r="J83" s="71">
        <f t="shared" si="21"/>
        <v>2383.08</v>
      </c>
      <c r="K83" s="71">
        <f t="shared" si="21"/>
        <v>2637.48</v>
      </c>
      <c r="L83" s="71">
        <f t="shared" si="21"/>
        <v>2928.2799999999997</v>
      </c>
      <c r="M83" s="71">
        <f t="shared" si="21"/>
        <v>3031.2799999999997</v>
      </c>
      <c r="N83" s="71">
        <f t="shared" si="21"/>
        <v>3100.08</v>
      </c>
      <c r="O83" s="71">
        <f t="shared" si="21"/>
        <v>3014.08</v>
      </c>
      <c r="P83" s="71">
        <f t="shared" si="21"/>
        <v>2865.68</v>
      </c>
      <c r="Q83" s="71">
        <f t="shared" si="21"/>
        <v>2729.08</v>
      </c>
      <c r="R83" s="71">
        <f t="shared" si="21"/>
        <v>2634.08</v>
      </c>
      <c r="S83" s="71">
        <f t="shared" si="21"/>
        <v>2611.88</v>
      </c>
      <c r="T83" s="71">
        <f t="shared" si="21"/>
        <v>2606.2799999999997</v>
      </c>
      <c r="U83" s="71">
        <f t="shared" si="21"/>
        <v>2685.6800000000003</v>
      </c>
      <c r="V83" s="71">
        <f t="shared" si="21"/>
        <v>2742.88</v>
      </c>
      <c r="W83" s="71">
        <f t="shared" si="21"/>
        <v>2940.48</v>
      </c>
      <c r="X83" s="71">
        <f t="shared" si="21"/>
        <v>3235.0800000000004</v>
      </c>
      <c r="Y83" s="71">
        <f t="shared" si="21"/>
        <v>3360.6800000000003</v>
      </c>
      <c r="Z83" s="71">
        <f t="shared" si="21"/>
        <v>3243.0800000000004</v>
      </c>
      <c r="AA83" s="71">
        <f t="shared" si="21"/>
        <v>3157.08</v>
      </c>
      <c r="AB83" s="71">
        <f t="shared" si="21"/>
        <v>2972.48</v>
      </c>
      <c r="AC83" s="71">
        <f t="shared" si="21"/>
        <v>2784.48</v>
      </c>
      <c r="AD83" s="71">
        <f t="shared" si="21"/>
        <v>2672.68</v>
      </c>
      <c r="AE83" s="71">
        <f t="shared" si="21"/>
        <v>2276.08</v>
      </c>
      <c r="AF83" s="71">
        <f t="shared" si="21"/>
        <v>2048.08</v>
      </c>
      <c r="AG83" s="76">
        <f t="shared" si="21"/>
        <v>4360.08</v>
      </c>
      <c r="AH83" s="53">
        <f t="shared" si="14"/>
        <v>3360.6800000000003</v>
      </c>
      <c r="AI83" s="54">
        <f t="shared" si="15"/>
        <v>1801.08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49.76</v>
      </c>
      <c r="C84" s="95">
        <v>49.93</v>
      </c>
      <c r="D84" s="95">
        <v>49.97</v>
      </c>
      <c r="E84" s="95">
        <v>49.973999999999997</v>
      </c>
      <c r="F84" s="95">
        <v>50.01</v>
      </c>
      <c r="G84" s="95">
        <v>50.045000000000002</v>
      </c>
      <c r="H84" s="95">
        <v>50.075000000000003</v>
      </c>
      <c r="I84" s="95">
        <v>49.94</v>
      </c>
      <c r="J84" s="95">
        <v>49.984999999999999</v>
      </c>
      <c r="K84" s="95">
        <v>49.905000000000001</v>
      </c>
      <c r="L84" s="95">
        <v>49.898000000000003</v>
      </c>
      <c r="M84" s="95">
        <v>50.026000000000003</v>
      </c>
      <c r="N84" s="95">
        <v>49.97</v>
      </c>
      <c r="O84" s="95">
        <v>49.994999999999997</v>
      </c>
      <c r="P84" s="95">
        <v>50.034999999999997</v>
      </c>
      <c r="Q84" s="95">
        <v>50.045000000000002</v>
      </c>
      <c r="R84" s="95">
        <v>50.064999999999998</v>
      </c>
      <c r="S84" s="95">
        <v>50.124000000000002</v>
      </c>
      <c r="T84" s="95">
        <v>50.046999999999997</v>
      </c>
      <c r="U84" s="95">
        <v>50.033999999999999</v>
      </c>
      <c r="V84" s="95">
        <v>50.088999999999999</v>
      </c>
      <c r="W84" s="95">
        <v>50.036999999999999</v>
      </c>
      <c r="X84" s="95">
        <v>49.982999999999997</v>
      </c>
      <c r="Y84" s="95">
        <v>49.948</v>
      </c>
      <c r="Z84" s="95">
        <v>49.948</v>
      </c>
      <c r="AA84" s="95">
        <v>50.027000000000001</v>
      </c>
      <c r="AB84" s="95">
        <v>50.027000000000001</v>
      </c>
      <c r="AC84" s="95">
        <v>50.027000000000001</v>
      </c>
      <c r="AD84" s="95">
        <v>50.03</v>
      </c>
      <c r="AE84" s="95">
        <v>50.045000000000002</v>
      </c>
      <c r="AF84" s="95">
        <v>49.99</v>
      </c>
      <c r="AG84" s="96"/>
      <c r="AH84" s="53">
        <f t="shared" si="14"/>
        <v>50.124000000000002</v>
      </c>
      <c r="AI84" s="54">
        <f t="shared" si="15"/>
        <v>49.76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2">
        <v>125.5</v>
      </c>
      <c r="C85" s="72">
        <v>126.3</v>
      </c>
      <c r="D85" s="72">
        <v>126.6</v>
      </c>
      <c r="E85" s="72">
        <v>127.7</v>
      </c>
      <c r="F85" s="72">
        <v>127</v>
      </c>
      <c r="G85" s="72">
        <v>127</v>
      </c>
      <c r="H85" s="72">
        <v>128.30000000000001</v>
      </c>
      <c r="I85" s="72">
        <v>125.9</v>
      </c>
      <c r="J85" s="72">
        <v>125.7</v>
      </c>
      <c r="K85" s="72">
        <v>125.7</v>
      </c>
      <c r="L85" s="72">
        <v>126.5</v>
      </c>
      <c r="M85" s="72">
        <v>122</v>
      </c>
      <c r="N85" s="72">
        <v>124.4</v>
      </c>
      <c r="O85" s="72">
        <v>123.9</v>
      </c>
      <c r="P85" s="72">
        <v>124.6</v>
      </c>
      <c r="Q85" s="72">
        <v>124.2</v>
      </c>
      <c r="R85" s="72">
        <v>124.1</v>
      </c>
      <c r="S85" s="72">
        <v>124.6</v>
      </c>
      <c r="T85" s="72">
        <v>124.3</v>
      </c>
      <c r="U85" s="99">
        <v>124.4</v>
      </c>
      <c r="V85" s="99">
        <v>126.3</v>
      </c>
      <c r="W85" s="99">
        <v>124.4</v>
      </c>
      <c r="X85" s="99">
        <v>123.1</v>
      </c>
      <c r="Y85" s="99">
        <v>122.9</v>
      </c>
      <c r="Z85" s="99">
        <v>122.9</v>
      </c>
      <c r="AA85" s="99">
        <v>124.9</v>
      </c>
      <c r="AB85" s="99">
        <v>124.9</v>
      </c>
      <c r="AC85" s="99">
        <v>124.9</v>
      </c>
      <c r="AD85" s="72">
        <v>127</v>
      </c>
      <c r="AE85" s="72">
        <v>127.8</v>
      </c>
      <c r="AF85" s="72">
        <v>125</v>
      </c>
      <c r="AG85" s="100"/>
      <c r="AH85" s="53">
        <f t="shared" si="14"/>
        <v>128.30000000000001</v>
      </c>
      <c r="AI85" s="54">
        <f t="shared" si="15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2">
        <v>129.9</v>
      </c>
      <c r="C86" s="72">
        <v>130.9</v>
      </c>
      <c r="D86" s="72">
        <v>131.19999999999999</v>
      </c>
      <c r="E86" s="72">
        <v>132.19999999999999</v>
      </c>
      <c r="F86" s="72">
        <v>131.80000000000001</v>
      </c>
      <c r="G86" s="72">
        <v>131.4</v>
      </c>
      <c r="H86" s="72">
        <v>132.19999999999999</v>
      </c>
      <c r="I86" s="72">
        <v>129.80000000000001</v>
      </c>
      <c r="J86" s="72">
        <v>129</v>
      </c>
      <c r="K86" s="72">
        <v>129</v>
      </c>
      <c r="L86" s="72">
        <v>128.69999999999999</v>
      </c>
      <c r="M86" s="72">
        <v>125</v>
      </c>
      <c r="N86" s="72">
        <v>127.1</v>
      </c>
      <c r="O86" s="72">
        <v>126.8</v>
      </c>
      <c r="P86" s="72">
        <v>126.9</v>
      </c>
      <c r="Q86" s="72">
        <v>127.6</v>
      </c>
      <c r="R86" s="72">
        <v>127.1</v>
      </c>
      <c r="S86" s="72">
        <v>127.6</v>
      </c>
      <c r="T86" s="72">
        <v>127.9</v>
      </c>
      <c r="U86" s="99">
        <v>127.8</v>
      </c>
      <c r="V86" s="99">
        <v>129</v>
      </c>
      <c r="W86" s="99">
        <v>127</v>
      </c>
      <c r="X86" s="99">
        <v>125.7</v>
      </c>
      <c r="Y86" s="99">
        <v>125.3</v>
      </c>
      <c r="Z86" s="99">
        <v>125.3</v>
      </c>
      <c r="AA86" s="99">
        <v>127.2</v>
      </c>
      <c r="AB86" s="99">
        <v>127.2</v>
      </c>
      <c r="AC86" s="99">
        <v>127.2</v>
      </c>
      <c r="AD86" s="72">
        <v>130</v>
      </c>
      <c r="AE86" s="72">
        <v>131</v>
      </c>
      <c r="AF86" s="72">
        <v>129.5</v>
      </c>
      <c r="AG86" s="100"/>
      <c r="AH86" s="53">
        <f t="shared" si="14"/>
        <v>132.19999999999999</v>
      </c>
      <c r="AI86" s="54">
        <f t="shared" si="15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2">
        <v>132.4</v>
      </c>
      <c r="C87" s="72">
        <v>130.9</v>
      </c>
      <c r="D87" s="72">
        <v>130.6</v>
      </c>
      <c r="E87" s="72">
        <v>129.4</v>
      </c>
      <c r="F87" s="72">
        <v>130.30000000000001</v>
      </c>
      <c r="G87" s="72">
        <v>131</v>
      </c>
      <c r="H87" s="72">
        <v>130.69999999999999</v>
      </c>
      <c r="I87" s="72">
        <v>130.6</v>
      </c>
      <c r="J87" s="72">
        <v>129.4</v>
      </c>
      <c r="K87" s="72">
        <v>129.4</v>
      </c>
      <c r="L87" s="72">
        <v>126.1</v>
      </c>
      <c r="M87" s="72">
        <v>126</v>
      </c>
      <c r="N87" s="72">
        <v>130.4</v>
      </c>
      <c r="O87" s="72">
        <v>128</v>
      </c>
      <c r="P87" s="72">
        <v>130.6</v>
      </c>
      <c r="Q87" s="72">
        <v>130.19999999999999</v>
      </c>
      <c r="R87" s="72">
        <v>128</v>
      </c>
      <c r="S87" s="72">
        <v>128.19999999999999</v>
      </c>
      <c r="T87" s="72">
        <v>129.5</v>
      </c>
      <c r="U87" s="72">
        <v>129.19999999999999</v>
      </c>
      <c r="V87" s="72">
        <v>129.80000000000001</v>
      </c>
      <c r="W87" s="72">
        <v>128.19999999999999</v>
      </c>
      <c r="X87" s="99">
        <v>127</v>
      </c>
      <c r="Y87" s="99">
        <v>129.5</v>
      </c>
      <c r="Z87" s="99">
        <v>129.5</v>
      </c>
      <c r="AA87" s="99">
        <v>130.30000000000001</v>
      </c>
      <c r="AB87" s="99">
        <v>130.30000000000001</v>
      </c>
      <c r="AC87" s="99">
        <v>130.30000000000001</v>
      </c>
      <c r="AD87" s="72">
        <v>131</v>
      </c>
      <c r="AE87" s="72">
        <v>130</v>
      </c>
      <c r="AF87" s="72">
        <v>128</v>
      </c>
      <c r="AG87" s="100"/>
      <c r="AH87" s="53">
        <f t="shared" si="14"/>
        <v>132.4</v>
      </c>
      <c r="AI87" s="54">
        <f t="shared" si="15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72">
        <v>134.5</v>
      </c>
      <c r="C88" s="72">
        <v>133.4</v>
      </c>
      <c r="D88" s="72">
        <v>133.30000000000001</v>
      </c>
      <c r="E88" s="72">
        <v>132.9</v>
      </c>
      <c r="F88" s="72">
        <v>133.69999999999999</v>
      </c>
      <c r="G88" s="72">
        <v>133.5</v>
      </c>
      <c r="H88" s="72">
        <v>133.4</v>
      </c>
      <c r="I88" s="72">
        <v>132.30000000000001</v>
      </c>
      <c r="J88" s="72">
        <v>131.5</v>
      </c>
      <c r="K88" s="72">
        <v>131.5</v>
      </c>
      <c r="L88" s="72">
        <v>129</v>
      </c>
      <c r="M88" s="72">
        <v>127</v>
      </c>
      <c r="N88" s="72">
        <v>131.4</v>
      </c>
      <c r="O88" s="72">
        <v>129</v>
      </c>
      <c r="P88" s="72">
        <v>132.1</v>
      </c>
      <c r="Q88" s="72">
        <v>132</v>
      </c>
      <c r="R88" s="72">
        <v>132.80000000000001</v>
      </c>
      <c r="S88" s="72">
        <v>132.19999999999999</v>
      </c>
      <c r="T88" s="72">
        <v>133.5</v>
      </c>
      <c r="U88" s="72">
        <v>133</v>
      </c>
      <c r="V88" s="72">
        <v>133.5</v>
      </c>
      <c r="W88" s="72">
        <v>131.9</v>
      </c>
      <c r="X88" s="99">
        <v>130.5</v>
      </c>
      <c r="Y88" s="99">
        <v>133.30000000000001</v>
      </c>
      <c r="Z88" s="99">
        <v>133.30000000000001</v>
      </c>
      <c r="AA88" s="99">
        <v>133.30000000000001</v>
      </c>
      <c r="AB88" s="99">
        <v>133.30000000000001</v>
      </c>
      <c r="AC88" s="99">
        <v>133.30000000000001</v>
      </c>
      <c r="AD88" s="72">
        <v>134</v>
      </c>
      <c r="AE88" s="72">
        <v>131.69999999999999</v>
      </c>
      <c r="AF88" s="72">
        <v>130</v>
      </c>
      <c r="AG88" s="100"/>
      <c r="AH88" s="53">
        <f t="shared" si="14"/>
        <v>134.5</v>
      </c>
      <c r="AI88" s="54">
        <f t="shared" si="15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3">
        <v>130.9</v>
      </c>
      <c r="C89" s="103">
        <v>132.30000000000001</v>
      </c>
      <c r="D89" s="103">
        <v>128.30000000000001</v>
      </c>
      <c r="E89" s="103">
        <v>130</v>
      </c>
      <c r="F89" s="103">
        <v>130.4</v>
      </c>
      <c r="G89" s="103">
        <v>130.4</v>
      </c>
      <c r="H89" s="103">
        <v>130.9</v>
      </c>
      <c r="I89" s="103">
        <v>128.30000000000001</v>
      </c>
      <c r="J89" s="103">
        <v>131.69999999999999</v>
      </c>
      <c r="K89" s="103">
        <v>131.69999999999999</v>
      </c>
      <c r="L89" s="103">
        <v>134.4</v>
      </c>
      <c r="M89" s="103">
        <v>131</v>
      </c>
      <c r="N89" s="103">
        <v>132.69999999999999</v>
      </c>
      <c r="O89" s="103">
        <v>132.5</v>
      </c>
      <c r="P89" s="103">
        <v>134.69999999999999</v>
      </c>
      <c r="Q89" s="103">
        <v>132.80000000000001</v>
      </c>
      <c r="R89" s="103">
        <v>134.69999999999999</v>
      </c>
      <c r="S89" s="103">
        <v>133.6</v>
      </c>
      <c r="T89" s="103">
        <v>132.30000000000001</v>
      </c>
      <c r="U89" s="103">
        <v>133.6</v>
      </c>
      <c r="V89" s="103">
        <v>134.1</v>
      </c>
      <c r="W89" s="103">
        <v>134.9</v>
      </c>
      <c r="X89" s="99">
        <v>132.80000000000001</v>
      </c>
      <c r="Y89" s="99">
        <v>132.69999999999999</v>
      </c>
      <c r="Z89" s="99">
        <v>132.69999999999999</v>
      </c>
      <c r="AA89" s="99">
        <v>133.69999999999999</v>
      </c>
      <c r="AB89" s="99">
        <v>133.69999999999999</v>
      </c>
      <c r="AC89" s="99">
        <v>133.69999999999999</v>
      </c>
      <c r="AD89" s="103">
        <v>133</v>
      </c>
      <c r="AE89" s="103">
        <v>134.6</v>
      </c>
      <c r="AF89" s="103">
        <v>130</v>
      </c>
      <c r="AG89" s="104"/>
      <c r="AH89" s="53">
        <f t="shared" si="14"/>
        <v>134.9</v>
      </c>
      <c r="AI89" s="54">
        <f t="shared" si="15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2">
        <v>135.5</v>
      </c>
      <c r="C90" s="72">
        <v>134.19999999999999</v>
      </c>
      <c r="D90" s="72">
        <v>136.19999999999999</v>
      </c>
      <c r="E90" s="72">
        <v>135.5</v>
      </c>
      <c r="F90" s="72">
        <v>133.6</v>
      </c>
      <c r="G90" s="72">
        <v>1331</v>
      </c>
      <c r="H90" s="72">
        <v>126.5</v>
      </c>
      <c r="I90" s="72">
        <v>121.9</v>
      </c>
      <c r="J90" s="72">
        <v>135.4</v>
      </c>
      <c r="K90" s="72">
        <v>135.4</v>
      </c>
      <c r="L90" s="72">
        <v>128.9</v>
      </c>
      <c r="M90" s="72">
        <v>131</v>
      </c>
      <c r="N90" s="72">
        <v>132.19999999999999</v>
      </c>
      <c r="O90" s="72">
        <v>132</v>
      </c>
      <c r="P90" s="72">
        <v>131.69999999999999</v>
      </c>
      <c r="Q90" s="72">
        <v>133.1</v>
      </c>
      <c r="R90" s="72">
        <v>135.4</v>
      </c>
      <c r="S90" s="72">
        <v>135.30000000000001</v>
      </c>
      <c r="T90" s="72">
        <v>135.80000000000001</v>
      </c>
      <c r="U90" s="72">
        <v>132.1</v>
      </c>
      <c r="V90" s="72">
        <v>126.7</v>
      </c>
      <c r="W90" s="72">
        <v>135</v>
      </c>
      <c r="X90" s="99">
        <v>132.1</v>
      </c>
      <c r="Y90" s="99">
        <v>126.1</v>
      </c>
      <c r="Z90" s="99">
        <v>126.1</v>
      </c>
      <c r="AA90" s="99">
        <v>132.80000000000001</v>
      </c>
      <c r="AB90" s="99">
        <v>132.80000000000001</v>
      </c>
      <c r="AC90" s="99">
        <v>132.80000000000001</v>
      </c>
      <c r="AD90" s="72">
        <v>136</v>
      </c>
      <c r="AE90" s="72">
        <v>134.6</v>
      </c>
      <c r="AF90" s="72">
        <v>134</v>
      </c>
      <c r="AG90" s="100"/>
      <c r="AH90" s="53">
        <f t="shared" si="14"/>
        <v>1331</v>
      </c>
      <c r="AI90" s="54">
        <f t="shared" si="15"/>
        <v>121.9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4"/>
        <v>0</v>
      </c>
      <c r="AI91" s="54">
        <f t="shared" si="15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202.83999999999997</v>
      </c>
      <c r="C93" s="113">
        <f>SUM(C15,C18,C21:C22,C42,C44:C45,C47,C49,C94:C97,C102,C108,C114,C123,C125,C137,C144,C147:C148,C155,C157,C159,C163:C165,C167:C169,C174,C180:C181,C183:C185,C193,C198)</f>
        <v>192.63999999999996</v>
      </c>
      <c r="D93" s="113">
        <f t="shared" ref="D93:AF93" si="22">SUM(D15,D18,D21:D22,D42,D44:D45,D47,D49,D94:D97,D102,D108,D114,D123,D125,D137,D144,D147:D148,D155,D157,D159,D163:D165,D167:D169,D174,D180:D181,D183:D185,D193,D198)</f>
        <v>185.23999999999995</v>
      </c>
      <c r="E93" s="113">
        <f t="shared" si="22"/>
        <v>186.64</v>
      </c>
      <c r="F93" s="113">
        <f t="shared" si="22"/>
        <v>189.54</v>
      </c>
      <c r="G93" s="112">
        <f t="shared" si="22"/>
        <v>206.33999999999997</v>
      </c>
      <c r="H93" s="112">
        <f t="shared" si="22"/>
        <v>229.94</v>
      </c>
      <c r="I93" s="112">
        <f t="shared" si="22"/>
        <v>251.64</v>
      </c>
      <c r="J93" s="112">
        <f t="shared" si="22"/>
        <v>301.34000000000003</v>
      </c>
      <c r="K93" s="112">
        <f t="shared" si="22"/>
        <v>383.14</v>
      </c>
      <c r="L93" s="112">
        <f t="shared" si="22"/>
        <v>413.44000000000005</v>
      </c>
      <c r="M93" s="112">
        <f t="shared" si="22"/>
        <v>430.14000000000004</v>
      </c>
      <c r="N93" s="112">
        <f t="shared" si="22"/>
        <v>427.84000000000003</v>
      </c>
      <c r="O93" s="112">
        <f t="shared" si="22"/>
        <v>415.74</v>
      </c>
      <c r="P93" s="112">
        <f t="shared" si="22"/>
        <v>401.84000000000003</v>
      </c>
      <c r="Q93" s="112">
        <f t="shared" si="22"/>
        <v>362.64000000000004</v>
      </c>
      <c r="R93" s="112">
        <f t="shared" si="22"/>
        <v>353.64000000000004</v>
      </c>
      <c r="S93" s="112">
        <f t="shared" si="22"/>
        <v>347.84000000000003</v>
      </c>
      <c r="T93" s="112">
        <f t="shared" si="22"/>
        <v>357.94000000000005</v>
      </c>
      <c r="U93" s="112">
        <f t="shared" si="22"/>
        <v>361.54</v>
      </c>
      <c r="V93" s="112">
        <f t="shared" si="22"/>
        <v>379.44000000000005</v>
      </c>
      <c r="W93" s="112">
        <f t="shared" si="22"/>
        <v>414.74</v>
      </c>
      <c r="X93" s="112">
        <f t="shared" si="22"/>
        <v>471.03999999999996</v>
      </c>
      <c r="Y93" s="112">
        <f t="shared" si="22"/>
        <v>496.64</v>
      </c>
      <c r="Z93" s="112">
        <f t="shared" si="22"/>
        <v>496.64</v>
      </c>
      <c r="AA93" s="112">
        <f t="shared" si="22"/>
        <v>477.24</v>
      </c>
      <c r="AB93" s="112">
        <f t="shared" si="22"/>
        <v>439.04</v>
      </c>
      <c r="AC93" s="112">
        <f t="shared" si="22"/>
        <v>408.04</v>
      </c>
      <c r="AD93" s="112">
        <f t="shared" si="22"/>
        <v>372.34000000000003</v>
      </c>
      <c r="AE93" s="112">
        <f t="shared" si="22"/>
        <v>299.94000000000005</v>
      </c>
      <c r="AF93" s="112">
        <f t="shared" si="22"/>
        <v>230.93999999999997</v>
      </c>
      <c r="AG93" s="114"/>
      <c r="AH93" s="53">
        <f>MAX(C93:AF93)</f>
        <v>496.64</v>
      </c>
      <c r="AI93" s="54">
        <f>MIN(C93:AF93)</f>
        <v>185.23999999999995</v>
      </c>
    </row>
    <row r="94" spans="1:88" x14ac:dyDescent="0.25">
      <c r="A94" s="115" t="s">
        <v>98</v>
      </c>
      <c r="B94" s="117">
        <v>-10</v>
      </c>
      <c r="C94" s="117">
        <v>-7</v>
      </c>
      <c r="D94" s="57">
        <v>-10.7</v>
      </c>
      <c r="E94" s="57">
        <v>2.6</v>
      </c>
      <c r="F94" s="57">
        <v>-4.7</v>
      </c>
      <c r="G94" s="117">
        <v>13.5</v>
      </c>
      <c r="H94" s="117">
        <v>3.9</v>
      </c>
      <c r="I94" s="117">
        <v>9</v>
      </c>
      <c r="J94" s="117">
        <v>22.1</v>
      </c>
      <c r="K94" s="117">
        <v>26.4</v>
      </c>
      <c r="L94" s="117">
        <v>47.8</v>
      </c>
      <c r="M94" s="118">
        <v>31</v>
      </c>
      <c r="N94" s="117">
        <v>51</v>
      </c>
      <c r="O94" s="117">
        <v>68.7</v>
      </c>
      <c r="P94" s="117">
        <v>68</v>
      </c>
      <c r="Q94" s="117">
        <v>37</v>
      </c>
      <c r="R94" s="117">
        <v>31</v>
      </c>
      <c r="S94" s="117">
        <v>27.7</v>
      </c>
      <c r="T94" s="117">
        <v>29.2</v>
      </c>
      <c r="U94" s="118">
        <v>35.4</v>
      </c>
      <c r="V94" s="118">
        <v>55.9</v>
      </c>
      <c r="W94" s="118">
        <v>73.099999999999994</v>
      </c>
      <c r="X94" s="117">
        <v>65.3</v>
      </c>
      <c r="Y94" s="117">
        <v>59.8</v>
      </c>
      <c r="Z94" s="117">
        <v>59.8</v>
      </c>
      <c r="AA94" s="117">
        <v>70.7</v>
      </c>
      <c r="AB94" s="117">
        <v>50</v>
      </c>
      <c r="AC94" s="117">
        <v>40</v>
      </c>
      <c r="AD94" s="118">
        <v>34</v>
      </c>
      <c r="AE94" s="118">
        <v>19</v>
      </c>
      <c r="AF94" s="118">
        <v>-10</v>
      </c>
      <c r="AG94" s="119">
        <v>75</v>
      </c>
      <c r="AH94" s="53">
        <f t="shared" ref="AH94:AH99" si="23">IF(ABS(MAX(C94:AF94))&gt;ABS(MIN(C94:AF94)),MAX(C94:AF94),MIN(C94:AF94))</f>
        <v>73.099999999999994</v>
      </c>
      <c r="AI94" s="120">
        <f t="shared" ref="AI94:AI99" si="24">INDEX($C$9:$AF$9,1,MATCH(AH94,C94:AF94,0))</f>
        <v>0.72916666666666663</v>
      </c>
    </row>
    <row r="95" spans="1:88" x14ac:dyDescent="0.25">
      <c r="A95" s="121" t="s">
        <v>99</v>
      </c>
      <c r="B95" s="59">
        <f>-19.8-22</f>
        <v>-41.8</v>
      </c>
      <c r="C95" s="59">
        <f>-21-24.4</f>
        <v>-45.4</v>
      </c>
      <c r="D95" s="59">
        <f>-21.4-24.5</f>
        <v>-45.9</v>
      </c>
      <c r="E95" s="59">
        <v>-48</v>
      </c>
      <c r="F95" s="59">
        <v>-45</v>
      </c>
      <c r="G95" s="59">
        <v>-45</v>
      </c>
      <c r="H95" s="59">
        <v>-22</v>
      </c>
      <c r="I95" s="59">
        <v>-15</v>
      </c>
      <c r="J95" s="59">
        <v>0</v>
      </c>
      <c r="K95" s="59">
        <v>20</v>
      </c>
      <c r="L95" s="59">
        <v>12</v>
      </c>
      <c r="M95" s="59">
        <v>50</v>
      </c>
      <c r="N95" s="59">
        <v>36</v>
      </c>
      <c r="O95" s="59">
        <v>12.6</v>
      </c>
      <c r="P95" s="59">
        <v>26</v>
      </c>
      <c r="Q95" s="59">
        <v>23</v>
      </c>
      <c r="R95" s="59">
        <v>18</v>
      </c>
      <c r="S95" s="59">
        <v>19.100000000000001</v>
      </c>
      <c r="T95" s="59">
        <v>19.3</v>
      </c>
      <c r="U95" s="59">
        <v>14.1</v>
      </c>
      <c r="V95" s="59">
        <v>28</v>
      </c>
      <c r="W95" s="59">
        <v>53.1</v>
      </c>
      <c r="X95" s="59">
        <v>75.8</v>
      </c>
      <c r="Y95" s="59">
        <v>86.2</v>
      </c>
      <c r="Z95" s="59">
        <v>86.2</v>
      </c>
      <c r="AA95" s="59">
        <v>70.7</v>
      </c>
      <c r="AB95" s="59">
        <v>62</v>
      </c>
      <c r="AC95" s="59">
        <v>51</v>
      </c>
      <c r="AD95" s="72">
        <v>38</v>
      </c>
      <c r="AE95" s="72">
        <v>7</v>
      </c>
      <c r="AF95" s="72">
        <v>-28</v>
      </c>
      <c r="AG95" s="119">
        <v>240</v>
      </c>
      <c r="AH95" s="53">
        <f t="shared" si="23"/>
        <v>86.2</v>
      </c>
      <c r="AI95" s="120">
        <f t="shared" si="24"/>
        <v>0.77083333333333337</v>
      </c>
    </row>
    <row r="96" spans="1:88" x14ac:dyDescent="0.25">
      <c r="A96" s="121" t="s">
        <v>100</v>
      </c>
      <c r="B96" s="59">
        <v>-11.4</v>
      </c>
      <c r="C96" s="59">
        <v>-14.5</v>
      </c>
      <c r="D96" s="59">
        <v>-12.8</v>
      </c>
      <c r="E96" s="59">
        <v>-6.4</v>
      </c>
      <c r="F96" s="59">
        <v>-9.8000000000000007</v>
      </c>
      <c r="G96" s="59">
        <v>-7.3</v>
      </c>
      <c r="H96" s="59">
        <v>-2.2000000000000002</v>
      </c>
      <c r="I96" s="59">
        <v>-3</v>
      </c>
      <c r="J96" s="59">
        <v>2.2999999999999998</v>
      </c>
      <c r="K96" s="59">
        <v>54.8</v>
      </c>
      <c r="L96" s="59">
        <v>54.8</v>
      </c>
      <c r="M96" s="59">
        <v>39.6</v>
      </c>
      <c r="N96" s="59">
        <v>37</v>
      </c>
      <c r="O96" s="59">
        <v>39.4</v>
      </c>
      <c r="P96" s="59">
        <v>28.2</v>
      </c>
      <c r="Q96" s="59">
        <v>21</v>
      </c>
      <c r="R96" s="59">
        <v>13</v>
      </c>
      <c r="S96" s="59">
        <v>18.3</v>
      </c>
      <c r="T96" s="59">
        <v>22.9</v>
      </c>
      <c r="U96" s="59">
        <v>22.5</v>
      </c>
      <c r="V96" s="59">
        <v>44.5</v>
      </c>
      <c r="W96" s="59">
        <v>38.4</v>
      </c>
      <c r="X96" s="59">
        <v>53.4</v>
      </c>
      <c r="Y96" s="59">
        <v>60</v>
      </c>
      <c r="Z96" s="59">
        <v>60</v>
      </c>
      <c r="AA96" s="59">
        <v>55.6</v>
      </c>
      <c r="AB96" s="59">
        <v>46</v>
      </c>
      <c r="AC96" s="59">
        <v>35</v>
      </c>
      <c r="AD96" s="72">
        <v>24</v>
      </c>
      <c r="AE96" s="72">
        <v>7</v>
      </c>
      <c r="AF96" s="72">
        <v>-6</v>
      </c>
      <c r="AG96" s="119">
        <v>60</v>
      </c>
      <c r="AH96" s="53">
        <f t="shared" si="23"/>
        <v>60</v>
      </c>
      <c r="AI96" s="120">
        <f t="shared" si="24"/>
        <v>0.77083333333333337</v>
      </c>
    </row>
    <row r="97" spans="1:37" x14ac:dyDescent="0.25">
      <c r="A97" s="123" t="s">
        <v>101</v>
      </c>
      <c r="B97" s="62">
        <v>78</v>
      </c>
      <c r="C97" s="62">
        <v>71.5</v>
      </c>
      <c r="D97" s="62">
        <v>66.599999999999994</v>
      </c>
      <c r="E97" s="62">
        <v>50.3</v>
      </c>
      <c r="F97" s="62">
        <v>60.7</v>
      </c>
      <c r="G97" s="62">
        <v>56.8</v>
      </c>
      <c r="H97" s="62">
        <v>61.6</v>
      </c>
      <c r="I97" s="62">
        <v>72.3</v>
      </c>
      <c r="J97" s="62">
        <v>88.6</v>
      </c>
      <c r="K97" s="62">
        <v>93.6</v>
      </c>
      <c r="L97" s="62">
        <v>110.5</v>
      </c>
      <c r="M97" s="62">
        <v>120.7</v>
      </c>
      <c r="N97" s="62">
        <v>115</v>
      </c>
      <c r="O97" s="62">
        <v>106.4</v>
      </c>
      <c r="P97" s="62">
        <v>91</v>
      </c>
      <c r="Q97" s="62">
        <v>93</v>
      </c>
      <c r="R97" s="62">
        <v>103</v>
      </c>
      <c r="S97" s="62">
        <v>100.8</v>
      </c>
      <c r="T97" s="62">
        <v>104.6</v>
      </c>
      <c r="U97" s="62">
        <v>107.6</v>
      </c>
      <c r="V97" s="62">
        <v>69.099999999999994</v>
      </c>
      <c r="W97" s="62">
        <v>68.2</v>
      </c>
      <c r="X97" s="62">
        <v>94.6</v>
      </c>
      <c r="Y97" s="62">
        <v>101.6</v>
      </c>
      <c r="Z97" s="62">
        <v>101.6</v>
      </c>
      <c r="AA97" s="62">
        <v>91.2</v>
      </c>
      <c r="AB97" s="62">
        <v>92</v>
      </c>
      <c r="AC97" s="62">
        <v>93</v>
      </c>
      <c r="AD97" s="125">
        <v>94</v>
      </c>
      <c r="AE97" s="125">
        <v>82</v>
      </c>
      <c r="AF97" s="125">
        <v>90</v>
      </c>
      <c r="AG97" s="126">
        <v>120</v>
      </c>
      <c r="AH97" s="53">
        <f t="shared" si="23"/>
        <v>120.7</v>
      </c>
      <c r="AI97" s="120">
        <f t="shared" si="24"/>
        <v>0.33333333333333331</v>
      </c>
    </row>
    <row r="98" spans="1:37" x14ac:dyDescent="0.25">
      <c r="A98" s="123" t="s">
        <v>102</v>
      </c>
      <c r="B98" s="62">
        <v>81.900000000000006</v>
      </c>
      <c r="C98" s="62">
        <v>78.5</v>
      </c>
      <c r="D98" s="62">
        <v>71.7</v>
      </c>
      <c r="E98" s="62">
        <v>56.5</v>
      </c>
      <c r="F98" s="62">
        <v>69.2</v>
      </c>
      <c r="G98" s="62">
        <v>64.900000000000006</v>
      </c>
      <c r="H98" s="62">
        <v>55.1</v>
      </c>
      <c r="I98" s="62">
        <v>62.5</v>
      </c>
      <c r="J98" s="62">
        <v>70.900000000000006</v>
      </c>
      <c r="K98" s="62">
        <v>84.8</v>
      </c>
      <c r="L98" s="62">
        <v>65</v>
      </c>
      <c r="M98" s="62">
        <v>100.3</v>
      </c>
      <c r="N98" s="62">
        <v>73</v>
      </c>
      <c r="O98" s="62">
        <v>42</v>
      </c>
      <c r="P98" s="62">
        <v>62</v>
      </c>
      <c r="Q98" s="62">
        <v>77</v>
      </c>
      <c r="R98" s="62">
        <v>98</v>
      </c>
      <c r="S98" s="62">
        <v>91.2</v>
      </c>
      <c r="T98" s="62">
        <v>99</v>
      </c>
      <c r="U98" s="62">
        <v>92.4</v>
      </c>
      <c r="V98" s="62">
        <v>52.4</v>
      </c>
      <c r="W98" s="62">
        <v>73.900000000000006</v>
      </c>
      <c r="X98" s="62">
        <v>92.4</v>
      </c>
      <c r="Y98" s="62">
        <v>99.9</v>
      </c>
      <c r="Z98" s="62">
        <v>99.9</v>
      </c>
      <c r="AA98" s="62">
        <v>76</v>
      </c>
      <c r="AB98" s="62">
        <v>76</v>
      </c>
      <c r="AC98" s="62">
        <v>76</v>
      </c>
      <c r="AD98" s="125">
        <v>77</v>
      </c>
      <c r="AE98" s="125">
        <v>70</v>
      </c>
      <c r="AF98" s="125">
        <v>93</v>
      </c>
      <c r="AG98" s="126"/>
      <c r="AH98" s="53">
        <f t="shared" si="23"/>
        <v>100.3</v>
      </c>
      <c r="AI98" s="120">
        <f t="shared" si="24"/>
        <v>0.33333333333333331</v>
      </c>
    </row>
    <row r="99" spans="1:37" ht="15.75" thickBot="1" x14ac:dyDescent="0.3">
      <c r="A99" s="123" t="s">
        <v>103</v>
      </c>
      <c r="B99" s="62">
        <v>68.900000000000006</v>
      </c>
      <c r="C99" s="62">
        <v>62.6</v>
      </c>
      <c r="D99" s="62">
        <v>66.900000000000006</v>
      </c>
      <c r="E99" s="62">
        <v>62.9</v>
      </c>
      <c r="F99" s="62">
        <v>62.3</v>
      </c>
      <c r="G99" s="62">
        <v>35.4</v>
      </c>
      <c r="H99" s="62">
        <v>37.299999999999997</v>
      </c>
      <c r="I99" s="62">
        <v>41.1</v>
      </c>
      <c r="J99" s="62">
        <v>31.4</v>
      </c>
      <c r="K99" s="62">
        <v>39.200000000000003</v>
      </c>
      <c r="L99" s="62">
        <v>30.3</v>
      </c>
      <c r="M99" s="62">
        <v>16.600000000000001</v>
      </c>
      <c r="N99" s="62">
        <v>20</v>
      </c>
      <c r="O99" s="62">
        <v>8.3000000000000007</v>
      </c>
      <c r="P99" s="62">
        <v>4</v>
      </c>
      <c r="Q99" s="62">
        <v>30</v>
      </c>
      <c r="R99" s="62">
        <v>20</v>
      </c>
      <c r="S99" s="62">
        <v>22.9</v>
      </c>
      <c r="T99" s="62">
        <v>27.3</v>
      </c>
      <c r="U99" s="62">
        <v>22.8</v>
      </c>
      <c r="V99" s="62">
        <v>5.6</v>
      </c>
      <c r="W99" s="62">
        <v>0</v>
      </c>
      <c r="X99" s="62">
        <v>16.899999999999999</v>
      </c>
      <c r="Y99" s="62">
        <v>20.8</v>
      </c>
      <c r="Z99" s="62">
        <v>20.8</v>
      </c>
      <c r="AA99" s="62">
        <v>13.4</v>
      </c>
      <c r="AB99" s="62">
        <v>14</v>
      </c>
      <c r="AC99" s="62">
        <v>16</v>
      </c>
      <c r="AD99" s="125">
        <v>19</v>
      </c>
      <c r="AE99" s="125">
        <v>34</v>
      </c>
      <c r="AF99" s="125">
        <v>32</v>
      </c>
      <c r="AG99" s="127"/>
      <c r="AH99" s="53">
        <f t="shared" si="23"/>
        <v>66.900000000000006</v>
      </c>
      <c r="AI99" s="120">
        <f t="shared" si="24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1550.04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2078/09/5)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966.94</v>
      </c>
      <c r="U213" s="173">
        <f t="shared" si="61"/>
        <v>940.44</v>
      </c>
      <c r="V213" s="173">
        <f t="shared" si="61"/>
        <v>907.54</v>
      </c>
      <c r="W213" s="173">
        <f t="shared" si="61"/>
        <v>901.34</v>
      </c>
      <c r="X213" s="173">
        <f t="shared" si="61"/>
        <v>900.54</v>
      </c>
      <c r="Y213" s="173">
        <f t="shared" si="61"/>
        <v>951.44</v>
      </c>
      <c r="Z213" s="173">
        <f t="shared" si="61"/>
        <v>1008.8399999999999</v>
      </c>
      <c r="AA213" s="173">
        <f t="shared" si="61"/>
        <v>1075.24</v>
      </c>
      <c r="AB213" s="173">
        <f t="shared" si="61"/>
        <v>1191.54</v>
      </c>
      <c r="AC213" s="173">
        <f t="shared" si="61"/>
        <v>1318.74</v>
      </c>
      <c r="AD213" s="173">
        <f t="shared" si="61"/>
        <v>1464.1399999999999</v>
      </c>
      <c r="AE213" s="173">
        <f t="shared" si="61"/>
        <v>1515.6399999999999</v>
      </c>
      <c r="AF213" s="173">
        <f t="shared" si="61"/>
        <v>1550.04</v>
      </c>
      <c r="AG213" s="173">
        <f t="shared" si="61"/>
        <v>1507.04</v>
      </c>
      <c r="AH213" s="173">
        <f t="shared" si="61"/>
        <v>1432.84</v>
      </c>
      <c r="AI213" s="173">
        <f t="shared" si="61"/>
        <v>1364.54</v>
      </c>
      <c r="AJ213" s="173">
        <f t="shared" si="61"/>
        <v>1317.04</v>
      </c>
      <c r="AK213" s="173">
        <f t="shared" si="61"/>
        <v>1305.94</v>
      </c>
      <c r="AL213" s="173">
        <f t="shared" si="61"/>
        <v>1303.1399999999999</v>
      </c>
      <c r="AM213" s="173">
        <f t="shared" si="61"/>
        <v>1342.8400000000001</v>
      </c>
      <c r="AN213" s="173">
        <f t="shared" si="61"/>
        <v>1371.44</v>
      </c>
      <c r="AO213" s="173">
        <f t="shared" si="61"/>
        <v>1470.24</v>
      </c>
      <c r="AP213" s="173">
        <f t="shared" si="61"/>
        <v>1617.5400000000002</v>
      </c>
      <c r="AQ213" s="173">
        <f t="shared" si="61"/>
        <v>1680.3400000000001</v>
      </c>
      <c r="AR213" s="173">
        <f t="shared" si="61"/>
        <v>1621.5400000000002</v>
      </c>
      <c r="AS213" s="173">
        <f t="shared" si="61"/>
        <v>1578.54</v>
      </c>
      <c r="AT213" s="173">
        <f t="shared" si="61"/>
        <v>1486.24</v>
      </c>
      <c r="AU213" s="173">
        <f t="shared" si="61"/>
        <v>1392.24</v>
      </c>
      <c r="AV213" s="173">
        <f t="shared" si="61"/>
        <v>1336.34</v>
      </c>
      <c r="AW213" s="173">
        <f t="shared" si="61"/>
        <v>1138.04</v>
      </c>
      <c r="AX213" s="173">
        <f t="shared" si="61"/>
        <v>1024.04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37 E57:L59 P39:R39 P40:Q42 R40:T41 M58:W59 U40:Y42 AB81:AF81 B81:R81 C56:AF56 B82:AF83 D193:AF199 B193:B199 C68:AF72 AB91:AF91 B91 B73:AF80 B9:AF10 B191:AF191 AF57:AF61 B53:B72 AG73 AD94:AF99 U212:AF212 C57:D67 B36:M36 E60:R61 M39:P42 N36:R37 Q42:R42 M11:V14 W12:X14 M16:X29 O45:X48 W11:AE11 X85:AA91 Z40:AE43 M53:AF55 AD84:AF90 AB85:AC90 S36:AF36 AF42:AF43 Y18:AF29 M31:X32">
    <cfRule type="expression" dxfId="10709" priority="292">
      <formula>B$9&gt;=20/24</formula>
    </cfRule>
    <cfRule type="expression" dxfId="10708" priority="293">
      <formula>AND(B$9&gt;=14/24,B$9&lt;20/24)</formula>
    </cfRule>
    <cfRule type="expression" dxfId="10707" priority="294">
      <formula>AND(B$9&gt;=8/24,B$9&lt;14/24)</formula>
    </cfRule>
    <cfRule type="expression" dxfId="10706" priority="295">
      <formula>B$9&lt;8/24</formula>
    </cfRule>
  </conditionalFormatting>
  <conditionalFormatting sqref="AL4:AL6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705" priority="287">
      <formula>M$9&gt;=20/24</formula>
    </cfRule>
    <cfRule type="expression" dxfId="10704" priority="288">
      <formula>AND(M$9&gt;=14/24,M$9&lt;20/24)</formula>
    </cfRule>
    <cfRule type="expression" dxfId="10703" priority="289">
      <formula>AND(M$9&gt;=8/24,M$9&lt;14/24)</formula>
    </cfRule>
    <cfRule type="expression" dxfId="10702" priority="290">
      <formula>M$9&lt;8/24</formula>
    </cfRule>
  </conditionalFormatting>
  <conditionalFormatting sqref="M43:R43">
    <cfRule type="expression" dxfId="10701" priority="283">
      <formula>M$9&gt;=20/24</formula>
    </cfRule>
    <cfRule type="expression" dxfId="10700" priority="284">
      <formula>AND(M$9&gt;=14/24,M$9&lt;20/24)</formula>
    </cfRule>
    <cfRule type="expression" dxfId="10699" priority="285">
      <formula>AND(M$9&gt;=8/24,M$9&lt;14/24)</formula>
    </cfRule>
    <cfRule type="expression" dxfId="10698" priority="286">
      <formula>M$9&lt;8/24</formula>
    </cfRule>
  </conditionalFormatting>
  <conditionalFormatting sqref="S39:AE39">
    <cfRule type="expression" dxfId="10697" priority="275">
      <formula>S$9&gt;=20/24</formula>
    </cfRule>
    <cfRule type="expression" dxfId="10696" priority="276">
      <formula>AND(S$9&gt;=14/24,S$9&lt;20/24)</formula>
    </cfRule>
    <cfRule type="expression" dxfId="10695" priority="277">
      <formula>AND(S$9&gt;=8/24,S$9&lt;14/24)</formula>
    </cfRule>
    <cfRule type="expression" dxfId="10694" priority="278">
      <formula>S$9&lt;8/24</formula>
    </cfRule>
  </conditionalFormatting>
  <conditionalFormatting sqref="S57:AE57">
    <cfRule type="expression" dxfId="10693" priority="271">
      <formula>S$9&gt;=20/24</formula>
    </cfRule>
    <cfRule type="expression" dxfId="10692" priority="272">
      <formula>AND(S$9&gt;=14/24,S$9&lt;20/24)</formula>
    </cfRule>
    <cfRule type="expression" dxfId="10691" priority="273">
      <formula>AND(S$9&gt;=8/24,S$9&lt;14/24)</formula>
    </cfRule>
    <cfRule type="expression" dxfId="10690" priority="274">
      <formula>S$9&lt;8/24</formula>
    </cfRule>
  </conditionalFormatting>
  <conditionalFormatting sqref="S81:AA81">
    <cfRule type="expression" dxfId="10689" priority="267">
      <formula>S$9&gt;=20/24</formula>
    </cfRule>
    <cfRule type="expression" dxfId="10688" priority="268">
      <formula>AND(S$9&gt;=14/24,S$9&lt;20/24)</formula>
    </cfRule>
    <cfRule type="expression" dxfId="10687" priority="269">
      <formula>AND(S$9&gt;=8/24,S$9&lt;14/24)</formula>
    </cfRule>
    <cfRule type="expression" dxfId="10686" priority="270">
      <formula>S$9&lt;8/24</formula>
    </cfRule>
  </conditionalFormatting>
  <conditionalFormatting sqref="U84:AC84">
    <cfRule type="expression" dxfId="10685" priority="263">
      <formula>U$9&gt;=20/24</formula>
    </cfRule>
    <cfRule type="expression" dxfId="10684" priority="264">
      <formula>AND(U$9&gt;=14/24,U$9&lt;20/24)</formula>
    </cfRule>
    <cfRule type="expression" dxfId="10683" priority="265">
      <formula>AND(U$9&gt;=8/24,U$9&lt;14/24)</formula>
    </cfRule>
    <cfRule type="expression" dxfId="10682" priority="266">
      <formula>U$9&lt;8/24</formula>
    </cfRule>
  </conditionalFormatting>
  <conditionalFormatting sqref="M35:X35">
    <cfRule type="expression" dxfId="10681" priority="259">
      <formula>M$9&gt;=20/24</formula>
    </cfRule>
    <cfRule type="expression" dxfId="10680" priority="260">
      <formula>AND(M$9&gt;=14/24,M$9&lt;20/24)</formula>
    </cfRule>
    <cfRule type="expression" dxfId="10679" priority="261">
      <formula>AND(M$9&gt;=8/24,M$9&lt;14/24)</formula>
    </cfRule>
    <cfRule type="expression" dxfId="10678" priority="262">
      <formula>M$9&lt;8/24</formula>
    </cfRule>
  </conditionalFormatting>
  <conditionalFormatting sqref="M49:X49">
    <cfRule type="expression" dxfId="10677" priority="255">
      <formula>M$9&gt;=20/24</formula>
    </cfRule>
    <cfRule type="expression" dxfId="10676" priority="256">
      <formula>AND(M$9&gt;=14/24,M$9&lt;20/24)</formula>
    </cfRule>
    <cfRule type="expression" dxfId="10675" priority="257">
      <formula>AND(M$9&gt;=8/24,M$9&lt;14/24)</formula>
    </cfRule>
    <cfRule type="expression" dxfId="10674" priority="258">
      <formula>M$9&lt;8/24</formula>
    </cfRule>
  </conditionalFormatting>
  <conditionalFormatting sqref="M50:X50">
    <cfRule type="expression" dxfId="10673" priority="251">
      <formula>M$9&gt;=20/24</formula>
    </cfRule>
    <cfRule type="expression" dxfId="10672" priority="252">
      <formula>AND(M$9&gt;=14/24,M$9&lt;20/24)</formula>
    </cfRule>
    <cfRule type="expression" dxfId="10671" priority="253">
      <formula>AND(M$9&gt;=8/24,M$9&lt;14/24)</formula>
    </cfRule>
    <cfRule type="expression" dxfId="10670" priority="254">
      <formula>M$9&lt;8/24</formula>
    </cfRule>
  </conditionalFormatting>
  <conditionalFormatting sqref="M45:X48">
    <cfRule type="expression" dxfId="10669" priority="247">
      <formula>M$9&gt;=20/24</formula>
    </cfRule>
    <cfRule type="expression" dxfId="10668" priority="248">
      <formula>AND(M$9&gt;=14/24,M$9&lt;20/24)</formula>
    </cfRule>
    <cfRule type="expression" dxfId="10667" priority="249">
      <formula>AND(M$9&gt;=8/24,M$9&lt;14/24)</formula>
    </cfRule>
    <cfRule type="expression" dxfId="10666" priority="250">
      <formula>M$9&lt;8/24</formula>
    </cfRule>
  </conditionalFormatting>
  <conditionalFormatting sqref="S37:AF37">
    <cfRule type="expression" dxfId="10665" priority="243">
      <formula>S$9&gt;=20/24</formula>
    </cfRule>
    <cfRule type="expression" dxfId="10664" priority="244">
      <formula>AND(S$9&gt;=14/24,S$9&lt;20/24)</formula>
    </cfRule>
    <cfRule type="expression" dxfId="10663" priority="245">
      <formula>AND(S$9&gt;=8/24,S$9&lt;14/24)</formula>
    </cfRule>
    <cfRule type="expression" dxfId="10662" priority="246">
      <formula>S$9&lt;8/24</formula>
    </cfRule>
  </conditionalFormatting>
  <conditionalFormatting sqref="Y31:AF32 Y35:AF35">
    <cfRule type="expression" dxfId="10661" priority="239">
      <formula>Y$9&gt;=20/24</formula>
    </cfRule>
    <cfRule type="expression" dxfId="10660" priority="240">
      <formula>AND(Y$9&gt;=14/24,Y$9&lt;20/24)</formula>
    </cfRule>
    <cfRule type="expression" dxfId="10659" priority="241">
      <formula>AND(Y$9&gt;=8/24,Y$9&lt;14/24)</formula>
    </cfRule>
    <cfRule type="expression" dxfId="10658" priority="242">
      <formula>Y$9&lt;8/24</formula>
    </cfRule>
  </conditionalFormatting>
  <conditionalFormatting sqref="S42:T43 T43:Z43 S45:AF48">
    <cfRule type="expression" dxfId="10657" priority="235">
      <formula>S$9&gt;=20/24</formula>
    </cfRule>
    <cfRule type="expression" dxfId="10656" priority="236">
      <formula>AND(S$9&gt;=14/24,S$9&lt;20/24)</formula>
    </cfRule>
    <cfRule type="expression" dxfId="10655" priority="237">
      <formula>AND(S$9&gt;=8/24,S$9&lt;14/24)</formula>
    </cfRule>
    <cfRule type="expression" dxfId="10654" priority="238">
      <formula>S$9&lt;8/24</formula>
    </cfRule>
  </conditionalFormatting>
  <conditionalFormatting sqref="S49:AF49">
    <cfRule type="expression" dxfId="10653" priority="231">
      <formula>S$9&gt;=20/24</formula>
    </cfRule>
    <cfRule type="expression" dxfId="10652" priority="232">
      <formula>AND(S$9&gt;=14/24,S$9&lt;20/24)</formula>
    </cfRule>
    <cfRule type="expression" dxfId="10651" priority="233">
      <formula>AND(S$9&gt;=8/24,S$9&lt;14/24)</formula>
    </cfRule>
    <cfRule type="expression" dxfId="10650" priority="234">
      <formula>S$9&lt;8/24</formula>
    </cfRule>
  </conditionalFormatting>
  <conditionalFormatting sqref="S50:AF50">
    <cfRule type="expression" dxfId="10649" priority="227">
      <formula>S$9&gt;=20/24</formula>
    </cfRule>
    <cfRule type="expression" dxfId="10648" priority="228">
      <formula>AND(S$9&gt;=14/24,S$9&lt;20/24)</formula>
    </cfRule>
    <cfRule type="expression" dxfId="10647" priority="229">
      <formula>AND(S$9&gt;=8/24,S$9&lt;14/24)</formula>
    </cfRule>
    <cfRule type="expression" dxfId="10646" priority="230">
      <formula>S$9&lt;8/24</formula>
    </cfRule>
  </conditionalFormatting>
  <conditionalFormatting sqref="S60:T61 X62:AF67 X60:AE61">
    <cfRule type="expression" dxfId="10645" priority="223">
      <formula>S$9&gt;=20/24</formula>
    </cfRule>
    <cfRule type="expression" dxfId="10644" priority="224">
      <formula>AND(S$9&gt;=14/24,S$9&lt;20/24)</formula>
    </cfRule>
    <cfRule type="expression" dxfId="10643" priority="225">
      <formula>AND(S$9&gt;=8/24,S$9&lt;14/24)</formula>
    </cfRule>
    <cfRule type="expression" dxfId="10642" priority="226">
      <formula>S$9&lt;8/24</formula>
    </cfRule>
  </conditionalFormatting>
  <conditionalFormatting sqref="E62:I62 I63:I67 J62:L67">
    <cfRule type="expression" dxfId="10641" priority="219">
      <formula>E$9&gt;=20/24</formula>
    </cfRule>
    <cfRule type="expression" dxfId="10640" priority="220">
      <formula>AND(E$9&gt;=14/24,E$9&lt;20/24)</formula>
    </cfRule>
    <cfRule type="expression" dxfId="10639" priority="221">
      <formula>AND(E$9&gt;=8/24,E$9&lt;14/24)</formula>
    </cfRule>
    <cfRule type="expression" dxfId="10638" priority="222">
      <formula>E$9&lt;8/24</formula>
    </cfRule>
  </conditionalFormatting>
  <conditionalFormatting sqref="U94:AC97">
    <cfRule type="expression" dxfId="10637" priority="215">
      <formula>U$9&gt;=20/24</formula>
    </cfRule>
    <cfRule type="expression" dxfId="10636" priority="216">
      <formula>AND(U$9&gt;=14/24,U$9&lt;20/24)</formula>
    </cfRule>
    <cfRule type="expression" dxfId="10635" priority="217">
      <formula>AND(U$9&gt;=8/24,U$9&lt;14/24)</formula>
    </cfRule>
    <cfRule type="expression" dxfId="10634" priority="218">
      <formula>U$9&lt;8/24</formula>
    </cfRule>
  </conditionalFormatting>
  <conditionalFormatting sqref="C51:AG51 B11:D32 E39:M41 J45 E42:J44 M42:M50 K42:L45 E11:V14 W12:X14 E16:X29 W11:AF11 B52:AF56 B34:AF38 N39:AF50 Y18:AF29 E30:AF32">
    <cfRule type="expression" dxfId="10633" priority="214">
      <formula>B11&gt;$AG11</formula>
    </cfRule>
  </conditionalFormatting>
  <conditionalFormatting sqref="A100:A156 A84:A97 A11:A14 A16:A32 A45:A72 A80:A82 A74:A78 A35:A43 A169:A199">
    <cfRule type="expression" dxfId="10632" priority="213">
      <formula>$AH11=0</formula>
    </cfRule>
  </conditionalFormatting>
  <conditionalFormatting sqref="U98:AC98">
    <cfRule type="expression" dxfId="10631" priority="209">
      <formula>U$9&gt;=20/24</formula>
    </cfRule>
    <cfRule type="expression" dxfId="10630" priority="210">
      <formula>AND(U$9&gt;=14/24,U$9&lt;20/24)</formula>
    </cfRule>
    <cfRule type="expression" dxfId="10629" priority="211">
      <formula>AND(U$9&gt;=8/24,U$9&lt;14/24)</formula>
    </cfRule>
    <cfRule type="expression" dxfId="10628" priority="212">
      <formula>U$9&lt;8/24</formula>
    </cfRule>
  </conditionalFormatting>
  <conditionalFormatting sqref="A98">
    <cfRule type="expression" dxfId="10627" priority="208">
      <formula>$AH98=0</formula>
    </cfRule>
  </conditionalFormatting>
  <conditionalFormatting sqref="E63:H67">
    <cfRule type="expression" dxfId="10626" priority="200">
      <formula>E$9&gt;=20/24</formula>
    </cfRule>
    <cfRule type="expression" dxfId="10625" priority="201">
      <formula>AND(E$9&gt;=14/24,E$9&lt;20/24)</formula>
    </cfRule>
    <cfRule type="expression" dxfId="10624" priority="202">
      <formula>AND(E$9&gt;=8/24,E$9&lt;14/24)</formula>
    </cfRule>
    <cfRule type="expression" dxfId="10623" priority="203">
      <formula>E$9&lt;8/24</formula>
    </cfRule>
  </conditionalFormatting>
  <conditionalFormatting sqref="M62:T67">
    <cfRule type="expression" dxfId="10622" priority="196">
      <formula>M$9&gt;=20/24</formula>
    </cfRule>
    <cfRule type="expression" dxfId="10621" priority="197">
      <formula>AND(M$9&gt;=14/24,M$9&lt;20/24)</formula>
    </cfRule>
    <cfRule type="expression" dxfId="10620" priority="198">
      <formula>AND(M$9&gt;=8/24,M$9&lt;14/24)</formula>
    </cfRule>
    <cfRule type="expression" dxfId="10619" priority="199">
      <formula>M$9&lt;8/24</formula>
    </cfRule>
  </conditionalFormatting>
  <conditionalFormatting sqref="AL32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M34:X34">
    <cfRule type="expression" dxfId="10618" priority="187">
      <formula>M$9&gt;=20/24</formula>
    </cfRule>
    <cfRule type="expression" dxfId="10617" priority="188">
      <formula>AND(M$9&gt;=14/24,M$9&lt;20/24)</formula>
    </cfRule>
    <cfRule type="expression" dxfId="10616" priority="189">
      <formula>AND(M$9&gt;=8/24,M$9&lt;14/24)</formula>
    </cfRule>
    <cfRule type="expression" dxfId="10615" priority="190">
      <formula>M$9&lt;8/24</formula>
    </cfRule>
  </conditionalFormatting>
  <conditionalFormatting sqref="Y34:AF34">
    <cfRule type="expression" dxfId="10614" priority="183">
      <formula>Y$9&gt;=20/24</formula>
    </cfRule>
    <cfRule type="expression" dxfId="10613" priority="184">
      <formula>AND(Y$9&gt;=14/24,Y$9&lt;20/24)</formula>
    </cfRule>
    <cfRule type="expression" dxfId="10612" priority="185">
      <formula>AND(Y$9&gt;=8/24,Y$9&lt;14/24)</formula>
    </cfRule>
    <cfRule type="expression" dxfId="10611" priority="186">
      <formula>Y$9&lt;8/24</formula>
    </cfRule>
  </conditionalFormatting>
  <conditionalFormatting sqref="A34">
    <cfRule type="expression" dxfId="10610" priority="182">
      <formula>$AH34=0</formula>
    </cfRule>
  </conditionalFormatting>
  <conditionalFormatting sqref="A83">
    <cfRule type="expression" dxfId="10609" priority="181">
      <formula>$AH83=0</formula>
    </cfRule>
  </conditionalFormatting>
  <conditionalFormatting sqref="M15:X15">
    <cfRule type="expression" dxfId="10608" priority="173">
      <formula>M$9&gt;=20/24</formula>
    </cfRule>
    <cfRule type="expression" dxfId="10607" priority="174">
      <formula>AND(M$9&gt;=14/24,M$9&lt;20/24)</formula>
    </cfRule>
    <cfRule type="expression" dxfId="10606" priority="175">
      <formula>AND(M$9&gt;=8/24,M$9&lt;14/24)</formula>
    </cfRule>
    <cfRule type="expression" dxfId="10605" priority="176">
      <formula>M$9&lt;8/24</formula>
    </cfRule>
  </conditionalFormatting>
  <conditionalFormatting sqref="E15:X15">
    <cfRule type="expression" dxfId="10604" priority="172">
      <formula>E15&gt;$AG15</formula>
    </cfRule>
  </conditionalFormatting>
  <conditionalFormatting sqref="A15">
    <cfRule type="expression" dxfId="10603" priority="171">
      <formula>$AH15=0</formula>
    </cfRule>
  </conditionalFormatting>
  <conditionalFormatting sqref="A163:A168">
    <cfRule type="expression" dxfId="10602" priority="170">
      <formula>$AH163=0</formula>
    </cfRule>
  </conditionalFormatting>
  <conditionalFormatting sqref="A157:A162">
    <cfRule type="expression" dxfId="10601" priority="169">
      <formula>$AH157=0</formula>
    </cfRule>
  </conditionalFormatting>
  <conditionalFormatting sqref="Z44:AF44">
    <cfRule type="expression" dxfId="10600" priority="165">
      <formula>Z$9&gt;=20/24</formula>
    </cfRule>
    <cfRule type="expression" dxfId="10599" priority="166">
      <formula>AND(Z$9&gt;=14/24,Z$9&lt;20/24)</formula>
    </cfRule>
    <cfRule type="expression" dxfId="10598" priority="167">
      <formula>AND(Z$9&gt;=8/24,Z$9&lt;14/24)</formula>
    </cfRule>
    <cfRule type="expression" dxfId="10597" priority="168">
      <formula>Z$9&lt;8/24</formula>
    </cfRule>
  </conditionalFormatting>
  <conditionalFormatting sqref="M44:X44">
    <cfRule type="expression" dxfId="10596" priority="161">
      <formula>M$9&gt;=20/24</formula>
    </cfRule>
    <cfRule type="expression" dxfId="10595" priority="162">
      <formula>AND(M$9&gt;=14/24,M$9&lt;20/24)</formula>
    </cfRule>
    <cfRule type="expression" dxfId="10594" priority="163">
      <formula>AND(M$9&gt;=8/24,M$9&lt;14/24)</formula>
    </cfRule>
    <cfRule type="expression" dxfId="10593" priority="164">
      <formula>M$9&lt;8/24</formula>
    </cfRule>
  </conditionalFormatting>
  <conditionalFormatting sqref="S44:AF44">
    <cfRule type="expression" dxfId="10592" priority="157">
      <formula>S$9&gt;=20/24</formula>
    </cfRule>
    <cfRule type="expression" dxfId="10591" priority="158">
      <formula>AND(S$9&gt;=14/24,S$9&lt;20/24)</formula>
    </cfRule>
    <cfRule type="expression" dxfId="10590" priority="159">
      <formula>AND(S$9&gt;=8/24,S$9&lt;14/24)</formula>
    </cfRule>
    <cfRule type="expression" dxfId="10589" priority="160">
      <formula>S$9&lt;8/24</formula>
    </cfRule>
  </conditionalFormatting>
  <conditionalFormatting sqref="A44">
    <cfRule type="expression" dxfId="10588" priority="156">
      <formula>$AH44=0</formula>
    </cfRule>
  </conditionalFormatting>
  <conditionalFormatting sqref="A79">
    <cfRule type="expression" dxfId="10587" priority="155">
      <formula>$AH79=0</formula>
    </cfRule>
  </conditionalFormatting>
  <conditionalFormatting sqref="A73">
    <cfRule type="expression" dxfId="10586" priority="154">
      <formula>$AH73=0</formula>
    </cfRule>
  </conditionalFormatting>
  <conditionalFormatting sqref="AL34:AL35 AL7:AL31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0585" priority="150">
      <formula>U$9&gt;=20/24</formula>
    </cfRule>
    <cfRule type="expression" dxfId="10584" priority="151">
      <formula>AND(U$9&gt;=14/24,U$9&lt;20/24)</formula>
    </cfRule>
    <cfRule type="expression" dxfId="10583" priority="152">
      <formula>AND(U$9&gt;=8/24,U$9&lt;14/24)</formula>
    </cfRule>
    <cfRule type="expression" dxfId="10582" priority="153">
      <formula>U$9&lt;8/24</formula>
    </cfRule>
  </conditionalFormatting>
  <conditionalFormatting sqref="U85:W91">
    <cfRule type="expression" dxfId="10581" priority="146">
      <formula>U$9&gt;=20/24</formula>
    </cfRule>
    <cfRule type="expression" dxfId="10580" priority="147">
      <formula>AND(U$9&gt;=14/24,U$9&lt;20/24)</formula>
    </cfRule>
    <cfRule type="expression" dxfId="10579" priority="148">
      <formula>AND(U$9&gt;=8/24,U$9&lt;14/24)</formula>
    </cfRule>
    <cfRule type="expression" dxfId="10578" priority="149">
      <formula>U$9&lt;8/24</formula>
    </cfRule>
  </conditionalFormatting>
  <conditionalFormatting sqref="S85:T91 C84:R91">
    <cfRule type="expression" dxfId="10577" priority="142">
      <formula>C$9&gt;=20/24</formula>
    </cfRule>
    <cfRule type="expression" dxfId="10576" priority="143">
      <formula>AND(C$9&gt;=14/24,C$9&lt;20/24)</formula>
    </cfRule>
    <cfRule type="expression" dxfId="10575" priority="144">
      <formula>AND(C$9&gt;=8/24,C$9&lt;14/24)</formula>
    </cfRule>
    <cfRule type="expression" dxfId="10574" priority="145">
      <formula>C$9&lt;8/24</formula>
    </cfRule>
  </conditionalFormatting>
  <conditionalFormatting sqref="S84:T84">
    <cfRule type="expression" dxfId="10573" priority="138">
      <formula>S$9&gt;=20/24</formula>
    </cfRule>
    <cfRule type="expression" dxfId="10572" priority="139">
      <formula>AND(S$9&gt;=14/24,S$9&lt;20/24)</formula>
    </cfRule>
    <cfRule type="expression" dxfId="10571" priority="140">
      <formula>AND(S$9&gt;=8/24,S$9&lt;14/24)</formula>
    </cfRule>
    <cfRule type="expression" dxfId="10570" priority="141">
      <formula>S$9&lt;8/24</formula>
    </cfRule>
  </conditionalFormatting>
  <conditionalFormatting sqref="D95:M97 D94:F94">
    <cfRule type="expression" dxfId="10569" priority="134">
      <formula>D$9&gt;=20/24</formula>
    </cfRule>
    <cfRule type="expression" dxfId="10568" priority="135">
      <formula>AND(D$9&gt;=14/24,D$9&lt;20/24)</formula>
    </cfRule>
    <cfRule type="expression" dxfId="10567" priority="136">
      <formula>AND(D$9&gt;=8/24,D$9&lt;14/24)</formula>
    </cfRule>
    <cfRule type="expression" dxfId="10566" priority="137">
      <formula>D$9&lt;8/24</formula>
    </cfRule>
  </conditionalFormatting>
  <conditionalFormatting sqref="N95:R97 O94:R94">
    <cfRule type="expression" dxfId="10565" priority="130">
      <formula>N$9&gt;=20/24</formula>
    </cfRule>
    <cfRule type="expression" dxfId="10564" priority="131">
      <formula>AND(N$9&gt;=14/24,N$9&lt;20/24)</formula>
    </cfRule>
    <cfRule type="expression" dxfId="10563" priority="132">
      <formula>AND(N$9&gt;=8/24,N$9&lt;14/24)</formula>
    </cfRule>
    <cfRule type="expression" dxfId="10562" priority="133">
      <formula>N$9&lt;8/24</formula>
    </cfRule>
  </conditionalFormatting>
  <conditionalFormatting sqref="S94:T97">
    <cfRule type="expression" dxfId="10561" priority="126">
      <formula>S$9&gt;=20/24</formula>
    </cfRule>
    <cfRule type="expression" dxfId="10560" priority="127">
      <formula>AND(S$9&gt;=14/24,S$9&lt;20/24)</formula>
    </cfRule>
    <cfRule type="expression" dxfId="10559" priority="128">
      <formula>AND(S$9&gt;=8/24,S$9&lt;14/24)</formula>
    </cfRule>
    <cfRule type="expression" dxfId="10558" priority="129">
      <formula>S$9&lt;8/24</formula>
    </cfRule>
  </conditionalFormatting>
  <conditionalFormatting sqref="D98:M98">
    <cfRule type="expression" dxfId="10557" priority="122">
      <formula>D$9&gt;=20/24</formula>
    </cfRule>
    <cfRule type="expression" dxfId="10556" priority="123">
      <formula>AND(D$9&gt;=14/24,D$9&lt;20/24)</formula>
    </cfRule>
    <cfRule type="expression" dxfId="10555" priority="124">
      <formula>AND(D$9&gt;=8/24,D$9&lt;14/24)</formula>
    </cfRule>
    <cfRule type="expression" dxfId="10554" priority="125">
      <formula>D$9&lt;8/24</formula>
    </cfRule>
  </conditionalFormatting>
  <conditionalFormatting sqref="N98:R98">
    <cfRule type="expression" dxfId="10553" priority="118">
      <formula>N$9&gt;=20/24</formula>
    </cfRule>
    <cfRule type="expression" dxfId="10552" priority="119">
      <formula>AND(N$9&gt;=14/24,N$9&lt;20/24)</formula>
    </cfRule>
    <cfRule type="expression" dxfId="10551" priority="120">
      <formula>AND(N$9&gt;=8/24,N$9&lt;14/24)</formula>
    </cfRule>
    <cfRule type="expression" dxfId="10550" priority="121">
      <formula>N$9&lt;8/24</formula>
    </cfRule>
  </conditionalFormatting>
  <conditionalFormatting sqref="S98:T98">
    <cfRule type="expression" dxfId="10549" priority="114">
      <formula>S$9&gt;=20/24</formula>
    </cfRule>
    <cfRule type="expression" dxfId="10548" priority="115">
      <formula>AND(S$9&gt;=14/24,S$9&lt;20/24)</formula>
    </cfRule>
    <cfRule type="expression" dxfId="10547" priority="116">
      <formula>AND(S$9&gt;=8/24,S$9&lt;14/24)</formula>
    </cfRule>
    <cfRule type="expression" dxfId="10546" priority="117">
      <formula>S$9&lt;8/24</formula>
    </cfRule>
  </conditionalFormatting>
  <conditionalFormatting sqref="M94:N94">
    <cfRule type="expression" dxfId="10545" priority="110">
      <formula>M$9&gt;=20/24</formula>
    </cfRule>
    <cfRule type="expression" dxfId="10544" priority="111">
      <formula>AND(M$9&gt;=14/24,M$9&lt;20/24)</formula>
    </cfRule>
    <cfRule type="expression" dxfId="10543" priority="112">
      <formula>AND(M$9&gt;=8/24,M$9&lt;14/24)</formula>
    </cfRule>
    <cfRule type="expression" dxfId="10542" priority="113">
      <formula>M$9&lt;8/24</formula>
    </cfRule>
  </conditionalFormatting>
  <conditionalFormatting sqref="G94:L94">
    <cfRule type="expression" dxfId="10541" priority="106">
      <formula>G$9&gt;=20/24</formula>
    </cfRule>
    <cfRule type="expression" dxfId="10540" priority="107">
      <formula>AND(G$9&gt;=14/24,G$9&lt;20/24)</formula>
    </cfRule>
    <cfRule type="expression" dxfId="10539" priority="108">
      <formula>AND(G$9&gt;=8/24,G$9&lt;14/24)</formula>
    </cfRule>
    <cfRule type="expression" dxfId="10538" priority="109">
      <formula>G$9&lt;8/24</formula>
    </cfRule>
  </conditionalFormatting>
  <conditionalFormatting sqref="U94:W94">
    <cfRule type="expression" dxfId="10537" priority="102">
      <formula>U$9&gt;=20/24</formula>
    </cfRule>
    <cfRule type="expression" dxfId="10536" priority="103">
      <formula>AND(U$9&gt;=14/24,U$9&lt;20/24)</formula>
    </cfRule>
    <cfRule type="expression" dxfId="10535" priority="104">
      <formula>AND(U$9&gt;=8/24,U$9&lt;14/24)</formula>
    </cfRule>
    <cfRule type="expression" dxfId="10534" priority="105">
      <formula>U$9&lt;8/24</formula>
    </cfRule>
  </conditionalFormatting>
  <conditionalFormatting sqref="N94:T94">
    <cfRule type="expression" dxfId="10533" priority="98">
      <formula>N$9&gt;=20/24</formula>
    </cfRule>
    <cfRule type="expression" dxfId="10532" priority="99">
      <formula>AND(N$9&gt;=14/24,N$9&lt;20/24)</formula>
    </cfRule>
    <cfRule type="expression" dxfId="10531" priority="100">
      <formula>AND(N$9&gt;=8/24,N$9&lt;14/24)</formula>
    </cfRule>
    <cfRule type="expression" dxfId="10530" priority="101">
      <formula>N$9&lt;8/24</formula>
    </cfRule>
  </conditionalFormatting>
  <conditionalFormatting sqref="U99:AC99">
    <cfRule type="expression" dxfId="10529" priority="94">
      <formula>U$9&gt;=20/24</formula>
    </cfRule>
    <cfRule type="expression" dxfId="10528" priority="95">
      <formula>AND(U$9&gt;=14/24,U$9&lt;20/24)</formula>
    </cfRule>
    <cfRule type="expression" dxfId="10527" priority="96">
      <formula>AND(U$9&gt;=8/24,U$9&lt;14/24)</formula>
    </cfRule>
    <cfRule type="expression" dxfId="10526" priority="97">
      <formula>U$9&lt;8/24</formula>
    </cfRule>
  </conditionalFormatting>
  <conditionalFormatting sqref="D99:M99">
    <cfRule type="expression" dxfId="10525" priority="90">
      <formula>D$9&gt;=20/24</formula>
    </cfRule>
    <cfRule type="expression" dxfId="10524" priority="91">
      <formula>AND(D$9&gt;=14/24,D$9&lt;20/24)</formula>
    </cfRule>
    <cfRule type="expression" dxfId="10523" priority="92">
      <formula>AND(D$9&gt;=8/24,D$9&lt;14/24)</formula>
    </cfRule>
    <cfRule type="expression" dxfId="10522" priority="93">
      <formula>D$9&lt;8/24</formula>
    </cfRule>
  </conditionalFormatting>
  <conditionalFormatting sqref="N99:R99">
    <cfRule type="expression" dxfId="10521" priority="86">
      <formula>N$9&gt;=20/24</formula>
    </cfRule>
    <cfRule type="expression" dxfId="10520" priority="87">
      <formula>AND(N$9&gt;=14/24,N$9&lt;20/24)</formula>
    </cfRule>
    <cfRule type="expression" dxfId="10519" priority="88">
      <formula>AND(N$9&gt;=8/24,N$9&lt;14/24)</formula>
    </cfRule>
    <cfRule type="expression" dxfId="10518" priority="89">
      <formula>N$9&lt;8/24</formula>
    </cfRule>
  </conditionalFormatting>
  <conditionalFormatting sqref="S99:T99">
    <cfRule type="expression" dxfId="10517" priority="82">
      <formula>S$9&gt;=20/24</formula>
    </cfRule>
    <cfRule type="expression" dxfId="10516" priority="83">
      <formula>AND(S$9&gt;=14/24,S$9&lt;20/24)</formula>
    </cfRule>
    <cfRule type="expression" dxfId="10515" priority="84">
      <formula>AND(S$9&gt;=8/24,S$9&lt;14/24)</formula>
    </cfRule>
    <cfRule type="expression" dxfId="10514" priority="85">
      <formula>S$9&lt;8/24</formula>
    </cfRule>
  </conditionalFormatting>
  <conditionalFormatting sqref="Y12:AF16">
    <cfRule type="expression" dxfId="10513" priority="78">
      <formula>Y$9&gt;=20/24</formula>
    </cfRule>
    <cfRule type="expression" dxfId="10512" priority="79">
      <formula>AND(Y$9&gt;=14/24,Y$9&lt;20/24)</formula>
    </cfRule>
    <cfRule type="expression" dxfId="10511" priority="80">
      <formula>AND(Y$9&gt;=8/24,Y$9&lt;14/24)</formula>
    </cfRule>
    <cfRule type="expression" dxfId="10510" priority="81">
      <formula>Y$9&lt;8/24</formula>
    </cfRule>
  </conditionalFormatting>
  <conditionalFormatting sqref="Y17:AF17">
    <cfRule type="expression" dxfId="10509" priority="74">
      <formula>Y$9&gt;=20/24</formula>
    </cfRule>
    <cfRule type="expression" dxfId="10508" priority="75">
      <formula>AND(Y$9&gt;=14/24,Y$9&lt;20/24)</formula>
    </cfRule>
    <cfRule type="expression" dxfId="10507" priority="76">
      <formula>AND(Y$9&gt;=8/24,Y$9&lt;14/24)</formula>
    </cfRule>
    <cfRule type="expression" dxfId="10506" priority="77">
      <formula>Y$9&lt;8/24</formula>
    </cfRule>
  </conditionalFormatting>
  <conditionalFormatting sqref="Y12:AF13">
    <cfRule type="expression" dxfId="10505" priority="70">
      <formula>Y$9&gt;=20/24</formula>
    </cfRule>
    <cfRule type="expression" dxfId="10504" priority="71">
      <formula>AND(Y$9&gt;=14/24,Y$9&lt;20/24)</formula>
    </cfRule>
    <cfRule type="expression" dxfId="10503" priority="72">
      <formula>AND(Y$9&gt;=8/24,Y$9&lt;14/24)</formula>
    </cfRule>
    <cfRule type="expression" dxfId="10502" priority="73">
      <formula>Y$9&lt;8/24</formula>
    </cfRule>
  </conditionalFormatting>
  <conditionalFormatting sqref="AD58:AE59">
    <cfRule type="expression" dxfId="10501" priority="66">
      <formula>AD$9&gt;=20/24</formula>
    </cfRule>
    <cfRule type="expression" dxfId="10500" priority="67">
      <formula>AND(AD$9&gt;=14/24,AD$9&lt;20/24)</formula>
    </cfRule>
    <cfRule type="expression" dxfId="10499" priority="68">
      <formula>AND(AD$9&gt;=8/24,AD$9&lt;14/24)</formula>
    </cfRule>
    <cfRule type="expression" dxfId="10498" priority="69">
      <formula>AD$9&lt;8/24</formula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497" priority="299">
      <formula>C$9&gt;=20/24</formula>
    </cfRule>
    <cfRule type="expression" dxfId="10496" priority="300">
      <formula>AND(C$9&gt;=14/24,C$9&lt;20/24)</formula>
    </cfRule>
    <cfRule type="expression" dxfId="10495" priority="301">
      <formula>AND(C$9&gt;=8/24,C$9&lt;14/24)</formula>
    </cfRule>
    <cfRule type="expression" dxfId="10494" priority="302">
      <formula>C$9&lt;8/24</formula>
    </cfRule>
  </conditionalFormatting>
  <conditionalFormatting sqref="A200">
    <cfRule type="expression" dxfId="10493" priority="303">
      <formula>$AH200=0</formula>
    </cfRule>
  </conditionalFormatting>
  <conditionalFormatting sqref="AG212">
    <cfRule type="expression" dxfId="10492" priority="304">
      <formula>B$9&gt;=20/24</formula>
    </cfRule>
    <cfRule type="expression" dxfId="10491" priority="305">
      <formula>AND(B$9&gt;=14/24,B$9&lt;20/24)</formula>
    </cfRule>
    <cfRule type="expression" dxfId="10490" priority="306">
      <formula>AND(B$9&gt;=8/24,B$9&lt;14/24)</formula>
    </cfRule>
    <cfRule type="expression" dxfId="10489" priority="307">
      <formula>B$9&lt;8/24</formula>
    </cfRule>
  </conditionalFormatting>
  <conditionalFormatting sqref="S8">
    <cfRule type="expression" dxfId="10488" priority="60">
      <formula>U$9&gt;=20/24</formula>
    </cfRule>
    <cfRule type="expression" dxfId="10487" priority="61">
      <formula>AND(U$9&gt;=14/24,U$9&lt;20/24)</formula>
    </cfRule>
    <cfRule type="expression" dxfId="10486" priority="62">
      <formula>AND(U$9&gt;=8/24,U$9&lt;14/24)</formula>
    </cfRule>
    <cfRule type="expression" dxfId="10485" priority="63">
      <formula>U$9&lt;8/24</formula>
    </cfRule>
  </conditionalFormatting>
  <conditionalFormatting sqref="AB8">
    <cfRule type="expression" dxfId="10484" priority="56">
      <formula>AD$9&gt;=20/24</formula>
    </cfRule>
    <cfRule type="expression" dxfId="10483" priority="57">
      <formula>AND(AD$9&gt;=14/24,AD$9&lt;20/24)</formula>
    </cfRule>
    <cfRule type="expression" dxfId="10482" priority="58">
      <formula>AND(AD$9&gt;=8/24,AD$9&lt;14/24)</formula>
    </cfRule>
    <cfRule type="expression" dxfId="10481" priority="59">
      <formula>AD$9&lt;8/24</formula>
    </cfRule>
  </conditionalFormatting>
  <conditionalFormatting sqref="AH212:AX212">
    <cfRule type="expression" dxfId="10480" priority="308">
      <formula>AG$9&gt;=20/24</formula>
    </cfRule>
    <cfRule type="expression" dxfId="10479" priority="309">
      <formula>AND(AG$9&gt;=14/24,AG$9&lt;20/24)</formula>
    </cfRule>
    <cfRule type="expression" dxfId="10478" priority="310">
      <formula>AND(AG$9&gt;=8/24,AG$9&lt;14/24)</formula>
    </cfRule>
    <cfRule type="expression" dxfId="10477" priority="311">
      <formula>AG$9&lt;8/24</formula>
    </cfRule>
  </conditionalFormatting>
  <conditionalFormatting sqref="T212">
    <cfRule type="expression" dxfId="10476" priority="312">
      <formula>AX$9&gt;=20/24</formula>
    </cfRule>
    <cfRule type="expression" dxfId="10475" priority="313">
      <formula>AND(AX$9&gt;=14/24,AX$9&lt;20/24)</formula>
    </cfRule>
    <cfRule type="expression" dxfId="10474" priority="314">
      <formula>AND(AX$9&gt;=8/24,AX$9&lt;14/24)</formula>
    </cfRule>
    <cfRule type="expression" dxfId="10473" priority="315">
      <formula>AX$9&lt;8/24</formula>
    </cfRule>
  </conditionalFormatting>
  <conditionalFormatting sqref="A99">
    <cfRule type="expression" dxfId="10472" priority="55">
      <formula>$AH99=0</formula>
    </cfRule>
  </conditionalFormatting>
  <conditionalFormatting sqref="M33:X33">
    <cfRule type="expression" dxfId="10471" priority="51">
      <formula>M$9&gt;=20/24</formula>
    </cfRule>
    <cfRule type="expression" dxfId="10470" priority="52">
      <formula>AND(M$9&gt;=14/24,M$9&lt;20/24)</formula>
    </cfRule>
    <cfRule type="expression" dxfId="10469" priority="53">
      <formula>AND(M$9&gt;=8/24,M$9&lt;14/24)</formula>
    </cfRule>
    <cfRule type="expression" dxfId="10468" priority="54">
      <formula>M$9&lt;8/24</formula>
    </cfRule>
  </conditionalFormatting>
  <conditionalFormatting sqref="Y33:AF33">
    <cfRule type="expression" dxfId="10467" priority="43">
      <formula>Y$9&gt;=20/24</formula>
    </cfRule>
    <cfRule type="expression" dxfId="10466" priority="44">
      <formula>AND(Y$9&gt;=14/24,Y$9&lt;20/24)</formula>
    </cfRule>
    <cfRule type="expression" dxfId="10465" priority="45">
      <formula>AND(Y$9&gt;=8/24,Y$9&lt;14/24)</formula>
    </cfRule>
    <cfRule type="expression" dxfId="10464" priority="46">
      <formula>Y$9&lt;8/24</formula>
    </cfRule>
  </conditionalFormatting>
  <conditionalFormatting sqref="B33:AF33">
    <cfRule type="expression" dxfId="10463" priority="42">
      <formula>B33&gt;$AG33</formula>
    </cfRule>
  </conditionalFormatting>
  <conditionalFormatting sqref="B40:D43">
    <cfRule type="expression" dxfId="10462" priority="38">
      <formula>B$9&gt;=20/24</formula>
    </cfRule>
    <cfRule type="expression" dxfId="10461" priority="39">
      <formula>AND(B$9&gt;=14/24,B$9&lt;20/24)</formula>
    </cfRule>
    <cfRule type="expression" dxfId="10460" priority="40">
      <formula>AND(B$9&gt;=8/24,B$9&lt;14/24)</formula>
    </cfRule>
    <cfRule type="expression" dxfId="10459" priority="41">
      <formula>B$9&lt;8/24</formula>
    </cfRule>
  </conditionalFormatting>
  <conditionalFormatting sqref="B39:D39">
    <cfRule type="expression" dxfId="10458" priority="34">
      <formula>B$9&gt;=20/24</formula>
    </cfRule>
    <cfRule type="expression" dxfId="10457" priority="35">
      <formula>AND(B$9&gt;=14/24,B$9&lt;20/24)</formula>
    </cfRule>
    <cfRule type="expression" dxfId="10456" priority="36">
      <formula>AND(B$9&gt;=8/24,B$9&lt;14/24)</formula>
    </cfRule>
    <cfRule type="expression" dxfId="10455" priority="37">
      <formula>B$9&lt;8/24</formula>
    </cfRule>
  </conditionalFormatting>
  <conditionalFormatting sqref="B45:I48 J46:L48">
    <cfRule type="expression" dxfId="10454" priority="30">
      <formula>B$9&gt;=20/24</formula>
    </cfRule>
    <cfRule type="expression" dxfId="10453" priority="31">
      <formula>AND(B$9&gt;=14/24,B$9&lt;20/24)</formula>
    </cfRule>
    <cfRule type="expression" dxfId="10452" priority="32">
      <formula>AND(B$9&gt;=8/24,B$9&lt;14/24)</formula>
    </cfRule>
    <cfRule type="expression" dxfId="10451" priority="33">
      <formula>B$9&lt;8/24</formula>
    </cfRule>
  </conditionalFormatting>
  <conditionalFormatting sqref="B49:L49">
    <cfRule type="expression" dxfId="10450" priority="26">
      <formula>B$9&gt;=20/24</formula>
    </cfRule>
    <cfRule type="expression" dxfId="10449" priority="27">
      <formula>AND(B$9&gt;=14/24,B$9&lt;20/24)</formula>
    </cfRule>
    <cfRule type="expression" dxfId="10448" priority="28">
      <formula>AND(B$9&gt;=8/24,B$9&lt;14/24)</formula>
    </cfRule>
    <cfRule type="expression" dxfId="10447" priority="29">
      <formula>B$9&lt;8/24</formula>
    </cfRule>
  </conditionalFormatting>
  <conditionalFormatting sqref="B50:L50">
    <cfRule type="expression" dxfId="10446" priority="22">
      <formula>B$9&gt;=20/24</formula>
    </cfRule>
    <cfRule type="expression" dxfId="10445" priority="23">
      <formula>AND(B$9&gt;=14/24,B$9&lt;20/24)</formula>
    </cfRule>
    <cfRule type="expression" dxfId="10444" priority="24">
      <formula>AND(B$9&gt;=8/24,B$9&lt;14/24)</formula>
    </cfRule>
    <cfRule type="expression" dxfId="10443" priority="25">
      <formula>B$9&lt;8/24</formula>
    </cfRule>
  </conditionalFormatting>
  <conditionalFormatting sqref="B39:B51 C39:D50 E45:I50 J46:L50">
    <cfRule type="expression" dxfId="10442" priority="21">
      <formula>B39&gt;$AG39</formula>
    </cfRule>
  </conditionalFormatting>
  <conditionalFormatting sqref="B44:D44">
    <cfRule type="expression" dxfId="10441" priority="17">
      <formula>B$9&gt;=20/24</formula>
    </cfRule>
    <cfRule type="expression" dxfId="10440" priority="18">
      <formula>AND(B$9&gt;=14/24,B$9&lt;20/24)</formula>
    </cfRule>
    <cfRule type="expression" dxfId="10439" priority="19">
      <formula>AND(B$9&gt;=8/24,B$9&lt;14/24)</formula>
    </cfRule>
    <cfRule type="expression" dxfId="10438" priority="20">
      <formula>B$9&lt;8/24</formula>
    </cfRule>
  </conditionalFormatting>
  <conditionalFormatting sqref="B84:B90">
    <cfRule type="expression" dxfId="10437" priority="13">
      <formula>B$9&gt;=20/24</formula>
    </cfRule>
    <cfRule type="expression" dxfId="10436" priority="14">
      <formula>AND(B$9&gt;=14/24,B$9&lt;20/24)</formula>
    </cfRule>
    <cfRule type="expression" dxfId="10435" priority="15">
      <formula>AND(B$9&gt;=8/24,B$9&lt;14/24)</formula>
    </cfRule>
    <cfRule type="expression" dxfId="10434" priority="16">
      <formula>B$9&lt;8/24</formula>
    </cfRule>
  </conditionalFormatting>
  <conditionalFormatting sqref="B94:C97">
    <cfRule type="expression" dxfId="10433" priority="9">
      <formula>B$9&gt;=20/24</formula>
    </cfRule>
    <cfRule type="expression" dxfId="10432" priority="10">
      <formula>AND(B$9&gt;=14/24,B$9&lt;20/24)</formula>
    </cfRule>
    <cfRule type="expression" dxfId="10431" priority="11">
      <formula>AND(B$9&gt;=8/24,B$9&lt;14/24)</formula>
    </cfRule>
    <cfRule type="expression" dxfId="10430" priority="12">
      <formula>B$9&lt;8/24</formula>
    </cfRule>
  </conditionalFormatting>
  <conditionalFormatting sqref="B98:C98">
    <cfRule type="expression" dxfId="10429" priority="5">
      <formula>B$9&gt;=20/24</formula>
    </cfRule>
    <cfRule type="expression" dxfId="10428" priority="6">
      <formula>AND(B$9&gt;=14/24,B$9&lt;20/24)</formula>
    </cfRule>
    <cfRule type="expression" dxfId="10427" priority="7">
      <formula>AND(B$9&gt;=8/24,B$9&lt;14/24)</formula>
    </cfRule>
    <cfRule type="expression" dxfId="10426" priority="8">
      <formula>B$9&lt;8/24</formula>
    </cfRule>
  </conditionalFormatting>
  <conditionalFormatting sqref="B99:C99">
    <cfRule type="expression" dxfId="10425" priority="1">
      <formula>B$9&gt;=20/24</formula>
    </cfRule>
    <cfRule type="expression" dxfId="10424" priority="2">
      <formula>AND(B$9&gt;=14/24,B$9&lt;20/24)</formula>
    </cfRule>
    <cfRule type="expression" dxfId="10423" priority="3">
      <formula>AND(B$9&gt;=8/24,B$9&lt;14/24)</formula>
    </cfRule>
    <cfRule type="expression" dxfId="10422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5" id="{5038230E-E80C-48FC-B497-6FE75113A09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11" sqref="P11:P8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2078/09/6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350</v>
      </c>
      <c r="C5" s="32">
        <f t="shared" si="0"/>
        <v>334</v>
      </c>
      <c r="D5" s="32">
        <f t="shared" si="0"/>
        <v>312.7</v>
      </c>
      <c r="E5" s="32">
        <f t="shared" si="0"/>
        <v>296.10000000000002</v>
      </c>
      <c r="F5" s="32">
        <f t="shared" si="0"/>
        <v>300.7</v>
      </c>
      <c r="G5" s="32">
        <f t="shared" si="0"/>
        <v>334.5</v>
      </c>
      <c r="H5" s="32">
        <f t="shared" si="0"/>
        <v>425.1</v>
      </c>
      <c r="I5" s="32">
        <f t="shared" si="0"/>
        <v>506.4</v>
      </c>
      <c r="J5" s="32">
        <f t="shared" si="0"/>
        <v>364.4</v>
      </c>
      <c r="K5" s="32">
        <f t="shared" si="0"/>
        <v>365.5</v>
      </c>
      <c r="L5" s="32">
        <f t="shared" si="0"/>
        <v>213.2</v>
      </c>
      <c r="M5" s="32">
        <f t="shared" si="0"/>
        <v>312.20000000000005</v>
      </c>
      <c r="N5" s="32">
        <f t="shared" si="0"/>
        <v>326.2</v>
      </c>
      <c r="O5" s="32">
        <f t="shared" si="0"/>
        <v>378</v>
      </c>
      <c r="P5" s="32">
        <f t="shared" si="0"/>
        <v>592</v>
      </c>
      <c r="Q5" s="32">
        <f t="shared" si="0"/>
        <v>556.70000000000005</v>
      </c>
      <c r="R5" s="32">
        <f t="shared" si="0"/>
        <v>619.6</v>
      </c>
      <c r="S5" s="32">
        <f t="shared" si="0"/>
        <v>623</v>
      </c>
      <c r="T5" s="32">
        <f t="shared" si="0"/>
        <v>624.29999999999995</v>
      </c>
      <c r="U5" s="32">
        <f t="shared" si="0"/>
        <v>602</v>
      </c>
      <c r="V5" s="32">
        <f t="shared" si="0"/>
        <v>420.30000000000007</v>
      </c>
      <c r="W5" s="32">
        <f t="shared" si="0"/>
        <v>439.8</v>
      </c>
      <c r="X5" s="32">
        <f t="shared" si="0"/>
        <v>334.7</v>
      </c>
      <c r="Y5" s="32">
        <f t="shared" si="0"/>
        <v>322.49999999999994</v>
      </c>
      <c r="Z5" s="32">
        <f t="shared" si="0"/>
        <v>403.2</v>
      </c>
      <c r="AA5" s="32">
        <f t="shared" si="0"/>
        <v>483.99999999999994</v>
      </c>
      <c r="AB5" s="32">
        <f t="shared" si="0"/>
        <v>502.10000000000008</v>
      </c>
      <c r="AC5" s="32">
        <f t="shared" si="0"/>
        <v>463</v>
      </c>
      <c r="AD5" s="32">
        <f t="shared" si="0"/>
        <v>427</v>
      </c>
      <c r="AE5" s="32">
        <f t="shared" si="0"/>
        <v>371</v>
      </c>
      <c r="AF5" s="32">
        <f>B68</f>
        <v>366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1571MW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Load=912</v>
      </c>
      <c r="B7" s="37">
        <f>B75</f>
        <v>980.04</v>
      </c>
      <c r="C7" s="37">
        <f t="shared" ref="C7:AF7" si="1">C75</f>
        <v>957.44</v>
      </c>
      <c r="D7" s="37">
        <f t="shared" si="1"/>
        <v>930.64</v>
      </c>
      <c r="E7" s="37">
        <f t="shared" si="1"/>
        <v>919.13999999999987</v>
      </c>
      <c r="F7" s="37">
        <f t="shared" si="1"/>
        <v>912.04</v>
      </c>
      <c r="G7" s="37">
        <f t="shared" si="1"/>
        <v>975.54</v>
      </c>
      <c r="H7" s="37">
        <f t="shared" si="1"/>
        <v>1019.54</v>
      </c>
      <c r="I7" s="37">
        <f t="shared" si="1"/>
        <v>1090.1400000000001</v>
      </c>
      <c r="J7" s="37">
        <f t="shared" si="1"/>
        <v>1208.44</v>
      </c>
      <c r="K7" s="37">
        <f t="shared" si="1"/>
        <v>1369.74</v>
      </c>
      <c r="L7" s="37">
        <f t="shared" si="1"/>
        <v>1458.74</v>
      </c>
      <c r="M7" s="37">
        <f t="shared" si="1"/>
        <v>1517.44</v>
      </c>
      <c r="N7" s="37">
        <f t="shared" si="1"/>
        <v>1571.3400000000001</v>
      </c>
      <c r="O7" s="37">
        <f t="shared" si="1"/>
        <v>1541.6399999999999</v>
      </c>
      <c r="P7" s="37">
        <f t="shared" si="1"/>
        <v>1455.74</v>
      </c>
      <c r="Q7" s="37">
        <f t="shared" si="1"/>
        <v>1487.94</v>
      </c>
      <c r="R7" s="37">
        <f t="shared" si="1"/>
        <v>1436.6399999999999</v>
      </c>
      <c r="S7" s="37">
        <f t="shared" si="1"/>
        <v>1426.24</v>
      </c>
      <c r="T7" s="37">
        <f t="shared" si="1"/>
        <v>1431.24</v>
      </c>
      <c r="U7" s="37">
        <f t="shared" si="1"/>
        <v>1440.84</v>
      </c>
      <c r="V7" s="37">
        <f t="shared" si="1"/>
        <v>1471.24</v>
      </c>
      <c r="W7" s="37">
        <f t="shared" si="1"/>
        <v>1531.7400000000002</v>
      </c>
      <c r="X7" s="37">
        <f t="shared" si="1"/>
        <v>1631.94</v>
      </c>
      <c r="Y7" s="37">
        <f t="shared" si="1"/>
        <v>1688.64</v>
      </c>
      <c r="Z7" s="37">
        <f t="shared" si="1"/>
        <v>1606.44</v>
      </c>
      <c r="AA7" s="37">
        <f t="shared" si="1"/>
        <v>1587.1399999999999</v>
      </c>
      <c r="AB7" s="37">
        <f t="shared" si="1"/>
        <v>1481.54</v>
      </c>
      <c r="AC7" s="37">
        <f t="shared" si="1"/>
        <v>1393.44</v>
      </c>
      <c r="AD7" s="37">
        <f t="shared" si="1"/>
        <v>1278.8399999999999</v>
      </c>
      <c r="AE7" s="37">
        <f t="shared" si="1"/>
        <v>1126.74</v>
      </c>
      <c r="AF7" s="37">
        <f t="shared" si="1"/>
        <v>1026.74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20</v>
      </c>
      <c r="D11" s="49">
        <v>40</v>
      </c>
      <c r="E11" s="49">
        <v>50</v>
      </c>
      <c r="F11" s="49">
        <v>60</v>
      </c>
      <c r="G11" s="49">
        <v>75</v>
      </c>
      <c r="H11" s="49">
        <v>80</v>
      </c>
      <c r="I11" s="49">
        <v>60</v>
      </c>
      <c r="J11" s="49">
        <v>50</v>
      </c>
      <c r="K11" s="49">
        <v>200</v>
      </c>
      <c r="L11" s="49">
        <v>220</v>
      </c>
      <c r="M11" s="50">
        <v>380</v>
      </c>
      <c r="N11" s="50">
        <v>380</v>
      </c>
      <c r="O11" s="50">
        <v>285</v>
      </c>
      <c r="P11" s="50">
        <v>140</v>
      </c>
      <c r="Q11" s="50">
        <v>20</v>
      </c>
      <c r="R11" s="177">
        <v>71.3</v>
      </c>
      <c r="S11" s="50">
        <v>15</v>
      </c>
      <c r="T11" s="50">
        <v>13</v>
      </c>
      <c r="U11" s="50">
        <v>13</v>
      </c>
      <c r="V11" s="50">
        <v>13</v>
      </c>
      <c r="W11" s="50">
        <v>175</v>
      </c>
      <c r="X11" s="50">
        <v>250</v>
      </c>
      <c r="Y11" s="50">
        <v>320</v>
      </c>
      <c r="Z11" s="51">
        <v>340</v>
      </c>
      <c r="AA11" s="50">
        <v>240</v>
      </c>
      <c r="AB11" s="50">
        <v>110</v>
      </c>
      <c r="AC11" s="50">
        <v>80</v>
      </c>
      <c r="AD11" s="50">
        <v>40</v>
      </c>
      <c r="AE11" s="50">
        <v>40</v>
      </c>
      <c r="AF11" s="49">
        <v>20</v>
      </c>
      <c r="AG11" s="52">
        <v>456</v>
      </c>
      <c r="AH11" s="53">
        <f>MAX(B11:AF11)</f>
        <v>380</v>
      </c>
      <c r="AI11" s="54">
        <f>MIN(B11:AF11)</f>
        <v>13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38</v>
      </c>
      <c r="O12" s="49">
        <v>38</v>
      </c>
      <c r="P12" s="49">
        <v>38</v>
      </c>
      <c r="Q12" s="49">
        <v>38</v>
      </c>
      <c r="R12" s="49">
        <v>38</v>
      </c>
      <c r="S12" s="49">
        <v>38</v>
      </c>
      <c r="T12" s="49">
        <v>38</v>
      </c>
      <c r="U12" s="49">
        <v>38</v>
      </c>
      <c r="V12" s="49">
        <v>38</v>
      </c>
      <c r="W12" s="49">
        <v>38</v>
      </c>
      <c r="X12" s="49">
        <v>38</v>
      </c>
      <c r="Y12" s="57">
        <v>38</v>
      </c>
      <c r="Z12" s="57">
        <v>38</v>
      </c>
      <c r="AA12" s="57">
        <v>38</v>
      </c>
      <c r="AB12" s="50">
        <v>38</v>
      </c>
      <c r="AC12" s="50">
        <v>38</v>
      </c>
      <c r="AD12" s="50">
        <v>38</v>
      </c>
      <c r="AE12" s="50">
        <v>38</v>
      </c>
      <c r="AF12" s="50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38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22.5</v>
      </c>
      <c r="C13" s="49">
        <v>22.5</v>
      </c>
      <c r="D13" s="49">
        <v>22.5</v>
      </c>
      <c r="E13" s="49">
        <v>22.5</v>
      </c>
      <c r="F13" s="49">
        <v>22.1</v>
      </c>
      <c r="G13" s="49">
        <v>22.1</v>
      </c>
      <c r="H13" s="49">
        <v>22.1</v>
      </c>
      <c r="I13" s="49">
        <v>22.1</v>
      </c>
      <c r="J13" s="49">
        <v>22.1</v>
      </c>
      <c r="K13" s="49">
        <v>22.3</v>
      </c>
      <c r="L13" s="49">
        <v>22.3</v>
      </c>
      <c r="M13" s="49">
        <v>22.3</v>
      </c>
      <c r="N13" s="49">
        <v>22.3</v>
      </c>
      <c r="O13" s="49">
        <v>22.3</v>
      </c>
      <c r="P13" s="49">
        <v>22.3</v>
      </c>
      <c r="Q13" s="49">
        <v>22.3</v>
      </c>
      <c r="R13" s="49">
        <v>22.3</v>
      </c>
      <c r="S13" s="49">
        <v>22.3</v>
      </c>
      <c r="T13" s="49">
        <v>22.3</v>
      </c>
      <c r="U13" s="49">
        <v>22.3</v>
      </c>
      <c r="V13" s="49">
        <v>22.3</v>
      </c>
      <c r="W13" s="49">
        <v>22.3</v>
      </c>
      <c r="X13" s="49">
        <v>22.3</v>
      </c>
      <c r="Y13" s="57">
        <v>22.3</v>
      </c>
      <c r="Z13" s="57">
        <v>22.3</v>
      </c>
      <c r="AA13" s="57">
        <v>22.3</v>
      </c>
      <c r="AB13" s="50">
        <v>22</v>
      </c>
      <c r="AC13" s="50">
        <v>22</v>
      </c>
      <c r="AD13" s="50">
        <v>22</v>
      </c>
      <c r="AE13" s="50">
        <v>22</v>
      </c>
      <c r="AF13" s="50">
        <v>22</v>
      </c>
      <c r="AG13" s="58">
        <v>52.4</v>
      </c>
      <c r="AH13" s="53">
        <f t="shared" si="2"/>
        <v>22.5</v>
      </c>
      <c r="AI13" s="54">
        <f t="shared" si="3"/>
        <v>22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38</v>
      </c>
      <c r="C14" s="49">
        <v>42</v>
      </c>
      <c r="D14" s="49">
        <v>42</v>
      </c>
      <c r="E14" s="49">
        <v>42</v>
      </c>
      <c r="F14" s="49">
        <v>42.2</v>
      </c>
      <c r="G14" s="49">
        <v>42.2</v>
      </c>
      <c r="H14" s="49">
        <v>42.2</v>
      </c>
      <c r="I14" s="49">
        <v>42.2</v>
      </c>
      <c r="J14" s="49">
        <v>42.2</v>
      </c>
      <c r="K14" s="49">
        <v>41.9</v>
      </c>
      <c r="L14" s="49">
        <v>41.9</v>
      </c>
      <c r="M14" s="50">
        <v>41.9</v>
      </c>
      <c r="N14" s="50">
        <v>41.9</v>
      </c>
      <c r="O14" s="50">
        <v>41.9</v>
      </c>
      <c r="P14" s="50">
        <v>41.9</v>
      </c>
      <c r="Q14" s="50">
        <v>41.9</v>
      </c>
      <c r="R14" s="50">
        <v>41.6</v>
      </c>
      <c r="S14" s="50">
        <v>41.6</v>
      </c>
      <c r="T14" s="50">
        <v>41.6</v>
      </c>
      <c r="U14" s="50">
        <v>41.6</v>
      </c>
      <c r="V14" s="50">
        <v>41.6</v>
      </c>
      <c r="W14" s="50">
        <v>41.6</v>
      </c>
      <c r="X14" s="50">
        <v>41.6</v>
      </c>
      <c r="Y14" s="59">
        <v>41.6</v>
      </c>
      <c r="Z14" s="59">
        <v>41.6</v>
      </c>
      <c r="AA14" s="59">
        <v>41.6</v>
      </c>
      <c r="AB14" s="50">
        <v>40.1</v>
      </c>
      <c r="AC14" s="50">
        <v>40.1</v>
      </c>
      <c r="AD14" s="50">
        <v>40.1</v>
      </c>
      <c r="AE14" s="50">
        <v>40.1</v>
      </c>
      <c r="AF14" s="50">
        <v>40.1</v>
      </c>
      <c r="AG14" s="58">
        <v>50</v>
      </c>
      <c r="AH14" s="53">
        <f t="shared" si="2"/>
        <v>42.2</v>
      </c>
      <c r="AI14" s="54">
        <f t="shared" si="3"/>
        <v>38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23.2</v>
      </c>
      <c r="C15" s="60">
        <v>23.2</v>
      </c>
      <c r="D15" s="60">
        <v>23.2</v>
      </c>
      <c r="E15" s="60">
        <v>23.2</v>
      </c>
      <c r="F15" s="60">
        <v>23.4</v>
      </c>
      <c r="G15" s="60">
        <v>23.4</v>
      </c>
      <c r="H15" s="60">
        <v>23.4</v>
      </c>
      <c r="I15" s="60">
        <v>23.4</v>
      </c>
      <c r="J15" s="60">
        <v>23.4</v>
      </c>
      <c r="K15" s="60">
        <v>23.3</v>
      </c>
      <c r="L15" s="60">
        <v>23.3</v>
      </c>
      <c r="M15" s="50">
        <v>23.3</v>
      </c>
      <c r="N15" s="50">
        <v>23.3</v>
      </c>
      <c r="O15" s="50">
        <v>23.3</v>
      </c>
      <c r="P15" s="50">
        <v>23.3</v>
      </c>
      <c r="Q15" s="50">
        <v>23.3</v>
      </c>
      <c r="R15" s="50">
        <v>23.3</v>
      </c>
      <c r="S15" s="50">
        <v>23.3</v>
      </c>
      <c r="T15" s="50">
        <v>23.3</v>
      </c>
      <c r="U15" s="50">
        <v>23.3</v>
      </c>
      <c r="V15" s="50">
        <v>23.3</v>
      </c>
      <c r="W15" s="50">
        <v>23.3</v>
      </c>
      <c r="X15" s="50">
        <v>23.3</v>
      </c>
      <c r="Y15" s="59">
        <v>23.3</v>
      </c>
      <c r="Z15" s="59">
        <v>23.3</v>
      </c>
      <c r="AA15" s="59">
        <v>23.3</v>
      </c>
      <c r="AB15" s="50">
        <v>23.2</v>
      </c>
      <c r="AC15" s="50">
        <v>23.2</v>
      </c>
      <c r="AD15" s="50">
        <v>23.2</v>
      </c>
      <c r="AE15" s="50">
        <v>23.2</v>
      </c>
      <c r="AF15" s="50">
        <v>23.2</v>
      </c>
      <c r="AG15" s="61">
        <v>45</v>
      </c>
      <c r="AH15" s="53">
        <f t="shared" si="2"/>
        <v>23.4</v>
      </c>
      <c r="AI15" s="54">
        <f t="shared" si="3"/>
        <v>23.2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8.6999999999999993</v>
      </c>
      <c r="C17" s="49">
        <v>8.6999999999999993</v>
      </c>
      <c r="D17" s="49">
        <v>8.6999999999999993</v>
      </c>
      <c r="E17" s="49">
        <v>8.6999999999999993</v>
      </c>
      <c r="F17" s="49">
        <v>8.6999999999999993</v>
      </c>
      <c r="G17" s="49">
        <v>8.6999999999999993</v>
      </c>
      <c r="H17" s="49">
        <v>8.6999999999999993</v>
      </c>
      <c r="I17" s="49">
        <v>8.6999999999999993</v>
      </c>
      <c r="J17" s="49">
        <v>8.6999999999999993</v>
      </c>
      <c r="K17" s="49">
        <v>8.6999999999999993</v>
      </c>
      <c r="L17" s="49">
        <v>8.6999999999999993</v>
      </c>
      <c r="M17" s="50">
        <v>8.6999999999999993</v>
      </c>
      <c r="N17" s="50">
        <v>8.6999999999999993</v>
      </c>
      <c r="O17" s="50">
        <v>8.6999999999999993</v>
      </c>
      <c r="P17" s="50">
        <v>8.6999999999999993</v>
      </c>
      <c r="Q17" s="50">
        <v>8.6999999999999993</v>
      </c>
      <c r="R17" s="50">
        <v>8.6999999999999993</v>
      </c>
      <c r="S17" s="50">
        <v>8.6999999999999993</v>
      </c>
      <c r="T17" s="50">
        <v>8.6999999999999993</v>
      </c>
      <c r="U17" s="50">
        <v>8.6999999999999993</v>
      </c>
      <c r="V17" s="50">
        <v>8.6999999999999993</v>
      </c>
      <c r="W17" s="50">
        <v>8.6999999999999993</v>
      </c>
      <c r="X17" s="50">
        <v>8.6999999999999993</v>
      </c>
      <c r="Y17" s="59">
        <v>8.6999999999999993</v>
      </c>
      <c r="Z17" s="59">
        <v>8.6999999999999993</v>
      </c>
      <c r="AA17" s="59">
        <v>8.6999999999999993</v>
      </c>
      <c r="AB17" s="50">
        <v>8.6999999999999993</v>
      </c>
      <c r="AC17" s="50">
        <v>8.6999999999999993</v>
      </c>
      <c r="AD17" s="50">
        <v>8.6999999999999993</v>
      </c>
      <c r="AE17" s="50">
        <v>8.6999999999999993</v>
      </c>
      <c r="AF17" s="50">
        <v>8.6999999999999993</v>
      </c>
      <c r="AG17" s="58">
        <v>42</v>
      </c>
      <c r="AH17" s="53">
        <f t="shared" si="2"/>
        <v>8.6999999999999993</v>
      </c>
      <c r="AI17" s="54">
        <f t="shared" si="3"/>
        <v>8.6999999999999993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8.5</v>
      </c>
      <c r="C18" s="49">
        <v>8.5</v>
      </c>
      <c r="D18" s="49">
        <v>8.5</v>
      </c>
      <c r="E18" s="49">
        <v>8.5</v>
      </c>
      <c r="F18" s="49">
        <v>8.5</v>
      </c>
      <c r="G18" s="49">
        <v>8.5</v>
      </c>
      <c r="H18" s="49">
        <v>8.5</v>
      </c>
      <c r="I18" s="49">
        <v>8.5</v>
      </c>
      <c r="J18" s="49">
        <v>8.5</v>
      </c>
      <c r="K18" s="49">
        <v>8.5</v>
      </c>
      <c r="L18" s="49">
        <v>8.5</v>
      </c>
      <c r="M18" s="49">
        <v>8.5</v>
      </c>
      <c r="N18" s="49">
        <v>8.5</v>
      </c>
      <c r="O18" s="49">
        <v>8.5</v>
      </c>
      <c r="P18" s="49">
        <v>8.5</v>
      </c>
      <c r="Q18" s="49">
        <v>8.5</v>
      </c>
      <c r="R18" s="49">
        <v>8.5</v>
      </c>
      <c r="S18" s="49">
        <v>8.5</v>
      </c>
      <c r="T18" s="49">
        <v>8.5</v>
      </c>
      <c r="U18" s="49">
        <v>8.5</v>
      </c>
      <c r="V18" s="49">
        <v>8.5</v>
      </c>
      <c r="W18" s="49">
        <v>8.5</v>
      </c>
      <c r="X18" s="49">
        <v>8.5</v>
      </c>
      <c r="Y18" s="49">
        <v>8.5</v>
      </c>
      <c r="Z18" s="49">
        <v>8.5</v>
      </c>
      <c r="AA18" s="49">
        <v>8.5</v>
      </c>
      <c r="AB18" s="49">
        <v>8.5</v>
      </c>
      <c r="AC18" s="49">
        <v>8.5</v>
      </c>
      <c r="AD18" s="49">
        <v>8.5</v>
      </c>
      <c r="AE18" s="49">
        <v>8.5</v>
      </c>
      <c r="AF18" s="49">
        <v>8.5</v>
      </c>
      <c r="AG18" s="58">
        <v>36</v>
      </c>
      <c r="AH18" s="53">
        <f t="shared" si="2"/>
        <v>8.5</v>
      </c>
      <c r="AI18" s="54">
        <f t="shared" si="3"/>
        <v>8.5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10.3</v>
      </c>
      <c r="C19" s="49">
        <v>10.3</v>
      </c>
      <c r="D19" s="49">
        <v>10.3</v>
      </c>
      <c r="E19" s="49">
        <v>10.3</v>
      </c>
      <c r="F19" s="49">
        <v>10.3</v>
      </c>
      <c r="G19" s="49">
        <v>10.3</v>
      </c>
      <c r="H19" s="49">
        <v>10.3</v>
      </c>
      <c r="I19" s="49">
        <v>10.3</v>
      </c>
      <c r="J19" s="49">
        <v>10.3</v>
      </c>
      <c r="K19" s="49">
        <v>10.3</v>
      </c>
      <c r="L19" s="49">
        <v>10.3</v>
      </c>
      <c r="M19" s="50">
        <v>10.3</v>
      </c>
      <c r="N19" s="50">
        <v>10.3</v>
      </c>
      <c r="O19" s="50">
        <v>10.3</v>
      </c>
      <c r="P19" s="50">
        <v>10.3</v>
      </c>
      <c r="Q19" s="50">
        <v>10.3</v>
      </c>
      <c r="R19" s="50">
        <v>10.3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10.199999999999999</v>
      </c>
      <c r="AC19" s="50">
        <v>10.199999999999999</v>
      </c>
      <c r="AD19" s="50">
        <v>10.199999999999999</v>
      </c>
      <c r="AE19" s="50">
        <v>10.199999999999999</v>
      </c>
      <c r="AF19" s="50">
        <v>10.199999999999999</v>
      </c>
      <c r="AG19" s="58">
        <v>30</v>
      </c>
      <c r="AH19" s="53">
        <f t="shared" si="2"/>
        <v>10.3</v>
      </c>
      <c r="AI19" s="54">
        <f t="shared" si="3"/>
        <v>10.199999999999999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12.4</v>
      </c>
      <c r="C22" s="49">
        <v>12.4</v>
      </c>
      <c r="D22" s="49">
        <v>12.4</v>
      </c>
      <c r="E22" s="49">
        <v>12.4</v>
      </c>
      <c r="F22" s="49">
        <v>12.4</v>
      </c>
      <c r="G22" s="49">
        <v>12.4</v>
      </c>
      <c r="H22" s="49">
        <v>12.4</v>
      </c>
      <c r="I22" s="49">
        <v>12.4</v>
      </c>
      <c r="J22" s="49">
        <v>12.4</v>
      </c>
      <c r="K22" s="49">
        <v>12.4</v>
      </c>
      <c r="L22" s="49">
        <v>12.4</v>
      </c>
      <c r="M22" s="50">
        <v>12.4</v>
      </c>
      <c r="N22" s="50">
        <v>12.4</v>
      </c>
      <c r="O22" s="50">
        <v>12.4</v>
      </c>
      <c r="P22" s="50">
        <v>12.4</v>
      </c>
      <c r="Q22" s="50">
        <v>12.4</v>
      </c>
      <c r="R22" s="50">
        <v>12.4</v>
      </c>
      <c r="S22" s="50">
        <v>12.4</v>
      </c>
      <c r="T22" s="50">
        <v>12.4</v>
      </c>
      <c r="U22" s="50">
        <v>12.4</v>
      </c>
      <c r="V22" s="50">
        <v>12.4</v>
      </c>
      <c r="W22" s="50">
        <v>12.4</v>
      </c>
      <c r="X22" s="50">
        <v>12.4</v>
      </c>
      <c r="Y22" s="50">
        <v>19.2</v>
      </c>
      <c r="Z22" s="50">
        <v>19.2</v>
      </c>
      <c r="AA22" s="50">
        <v>19.2</v>
      </c>
      <c r="AB22" s="50">
        <v>19.2</v>
      </c>
      <c r="AC22" s="50">
        <v>19.2</v>
      </c>
      <c r="AD22" s="50">
        <v>19.2</v>
      </c>
      <c r="AE22" s="50">
        <v>19.2</v>
      </c>
      <c r="AF22" s="50">
        <v>19.2</v>
      </c>
      <c r="AG22" s="58">
        <v>25</v>
      </c>
      <c r="AH22" s="53">
        <f t="shared" si="2"/>
        <v>19.2</v>
      </c>
      <c r="AI22" s="54">
        <f t="shared" si="3"/>
        <v>12.4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12.7</v>
      </c>
      <c r="C24" s="49">
        <v>12.7</v>
      </c>
      <c r="D24" s="49">
        <v>12.7</v>
      </c>
      <c r="E24" s="49">
        <v>12.7</v>
      </c>
      <c r="F24" s="49">
        <v>12.7</v>
      </c>
      <c r="G24" s="49">
        <v>12.7</v>
      </c>
      <c r="H24" s="49">
        <v>12.7</v>
      </c>
      <c r="I24" s="49">
        <v>12.7</v>
      </c>
      <c r="J24" s="49">
        <v>12.7</v>
      </c>
      <c r="K24" s="49">
        <v>11</v>
      </c>
      <c r="L24" s="49">
        <v>11</v>
      </c>
      <c r="M24" s="50">
        <v>11</v>
      </c>
      <c r="N24" s="50">
        <v>11</v>
      </c>
      <c r="O24" s="50">
        <v>11</v>
      </c>
      <c r="P24" s="50">
        <v>11</v>
      </c>
      <c r="Q24" s="50">
        <v>11</v>
      </c>
      <c r="R24" s="50">
        <v>11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12.7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7</v>
      </c>
      <c r="C26" s="49">
        <v>7</v>
      </c>
      <c r="D26" s="49">
        <v>7</v>
      </c>
      <c r="E26" s="49">
        <v>7</v>
      </c>
      <c r="F26" s="49">
        <v>7</v>
      </c>
      <c r="G26" s="49">
        <v>7</v>
      </c>
      <c r="H26" s="49">
        <v>7</v>
      </c>
      <c r="I26" s="49">
        <v>7</v>
      </c>
      <c r="J26" s="49">
        <v>7</v>
      </c>
      <c r="K26" s="49">
        <v>7</v>
      </c>
      <c r="L26" s="49">
        <v>7</v>
      </c>
      <c r="M26" s="50">
        <v>7</v>
      </c>
      <c r="N26" s="50">
        <v>7</v>
      </c>
      <c r="O26" s="50">
        <v>7</v>
      </c>
      <c r="P26" s="50">
        <v>7</v>
      </c>
      <c r="Q26" s="50">
        <v>7</v>
      </c>
      <c r="R26" s="50">
        <v>7</v>
      </c>
      <c r="S26" s="50">
        <v>7</v>
      </c>
      <c r="T26" s="50">
        <v>7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8">
        <v>20</v>
      </c>
      <c r="AH26" s="53">
        <f t="shared" si="2"/>
        <v>7</v>
      </c>
      <c r="AI26" s="54">
        <f t="shared" si="3"/>
        <v>7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49">
        <v>12</v>
      </c>
      <c r="T30" s="49">
        <v>12</v>
      </c>
      <c r="U30" s="49">
        <v>12</v>
      </c>
      <c r="V30" s="49">
        <v>12</v>
      </c>
      <c r="W30" s="49">
        <v>12</v>
      </c>
      <c r="X30" s="49">
        <v>12</v>
      </c>
      <c r="Y30" s="49">
        <v>12</v>
      </c>
      <c r="Z30" s="49">
        <v>12</v>
      </c>
      <c r="AA30" s="49">
        <v>12</v>
      </c>
      <c r="AB30" s="49">
        <v>12</v>
      </c>
      <c r="AC30" s="49">
        <v>12</v>
      </c>
      <c r="AD30" s="49">
        <v>12</v>
      </c>
      <c r="AE30" s="49">
        <v>12</v>
      </c>
      <c r="AF30" s="49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46.2</v>
      </c>
      <c r="C37" s="60">
        <v>46.2</v>
      </c>
      <c r="D37" s="60">
        <f>17.3+31.3</f>
        <v>48.6</v>
      </c>
      <c r="E37" s="60">
        <f>17.3+31.5</f>
        <v>48.8</v>
      </c>
      <c r="F37" s="60">
        <f>17.3+31.3</f>
        <v>48.6</v>
      </c>
      <c r="G37" s="60">
        <f>17.2+29.9</f>
        <v>47.099999999999994</v>
      </c>
      <c r="H37" s="60">
        <f>17.2+30.7</f>
        <v>47.9</v>
      </c>
      <c r="I37" s="60">
        <f>17.3+31.4</f>
        <v>48.7</v>
      </c>
      <c r="J37" s="60">
        <f>17.3+30.9</f>
        <v>48.2</v>
      </c>
      <c r="K37" s="60">
        <f>17.2+30.9</f>
        <v>48.099999999999994</v>
      </c>
      <c r="L37" s="60">
        <f>16.9+30.3</f>
        <v>47.2</v>
      </c>
      <c r="M37" s="69">
        <f>17+30.2</f>
        <v>47.2</v>
      </c>
      <c r="N37" s="69">
        <f>17.5+29.9</f>
        <v>47.4</v>
      </c>
      <c r="O37" s="69">
        <f>17.5+29.9</f>
        <v>47.4</v>
      </c>
      <c r="P37" s="69">
        <f>17.5+29.9</f>
        <v>47.4</v>
      </c>
      <c r="Q37" s="69">
        <v>49.2</v>
      </c>
      <c r="R37" s="69">
        <v>49.2</v>
      </c>
      <c r="S37" s="69">
        <v>50.8</v>
      </c>
      <c r="T37" s="69">
        <v>50.6</v>
      </c>
      <c r="U37" s="69">
        <v>48.5</v>
      </c>
      <c r="V37" s="69">
        <v>48.5</v>
      </c>
      <c r="W37" s="69">
        <v>47</v>
      </c>
      <c r="X37" s="69">
        <v>44.9</v>
      </c>
      <c r="Y37" s="69">
        <v>44.9</v>
      </c>
      <c r="Z37" s="69">
        <v>42.5</v>
      </c>
      <c r="AA37" s="69">
        <v>42.5</v>
      </c>
      <c r="AB37" s="69">
        <f>16.2+30</f>
        <v>46.2</v>
      </c>
      <c r="AC37" s="69">
        <f>16.3+30.2</f>
        <v>46.5</v>
      </c>
      <c r="AD37" s="69">
        <f>16.3+30.2</f>
        <v>46.5</v>
      </c>
      <c r="AE37" s="69">
        <f>16.3+30.2</f>
        <v>46.5</v>
      </c>
      <c r="AF37" s="69">
        <f>16.3+30.2</f>
        <v>46.5</v>
      </c>
      <c r="AG37" s="66">
        <v>240</v>
      </c>
      <c r="AH37" s="53">
        <f t="shared" si="2"/>
        <v>50.8</v>
      </c>
      <c r="AI37" s="54">
        <f t="shared" si="3"/>
        <v>42.5</v>
      </c>
      <c r="AK37" s="55"/>
    </row>
    <row r="38" spans="1:88" ht="15.75" thickBot="1" x14ac:dyDescent="0.3">
      <c r="A38" s="70" t="s">
        <v>46</v>
      </c>
      <c r="B38" s="71">
        <f>SUM(B11:B36)</f>
        <v>437.7</v>
      </c>
      <c r="C38" s="71">
        <f t="shared" ref="C38:AF38" si="4">SUM(C11:C36)</f>
        <v>441.7</v>
      </c>
      <c r="D38" s="71">
        <f t="shared" si="4"/>
        <v>461.7</v>
      </c>
      <c r="E38" s="71">
        <f t="shared" si="4"/>
        <v>471.7</v>
      </c>
      <c r="F38" s="71">
        <f t="shared" si="4"/>
        <v>481.7</v>
      </c>
      <c r="G38" s="71">
        <f t="shared" si="4"/>
        <v>496.7</v>
      </c>
      <c r="H38" s="71">
        <f t="shared" si="4"/>
        <v>501.69999999999993</v>
      </c>
      <c r="I38" s="71">
        <f t="shared" si="4"/>
        <v>481.7</v>
      </c>
      <c r="J38" s="71">
        <f t="shared" si="4"/>
        <v>471.7</v>
      </c>
      <c r="K38" s="71">
        <f t="shared" si="4"/>
        <v>619.79999999999995</v>
      </c>
      <c r="L38" s="71">
        <f t="shared" si="4"/>
        <v>639.79999999999995</v>
      </c>
      <c r="M38" s="71">
        <f t="shared" si="4"/>
        <v>799.80000000000007</v>
      </c>
      <c r="N38" s="71">
        <f t="shared" si="4"/>
        <v>799.80000000000007</v>
      </c>
      <c r="O38" s="71">
        <f t="shared" si="4"/>
        <v>704.8</v>
      </c>
      <c r="P38" s="71">
        <f t="shared" si="4"/>
        <v>559.79999999999995</v>
      </c>
      <c r="Q38" s="71">
        <f t="shared" si="4"/>
        <v>439.8</v>
      </c>
      <c r="R38" s="71">
        <f t="shared" si="4"/>
        <v>490.79999999999995</v>
      </c>
      <c r="S38" s="71">
        <f t="shared" si="4"/>
        <v>434.5</v>
      </c>
      <c r="T38" s="71">
        <f t="shared" si="4"/>
        <v>432.5</v>
      </c>
      <c r="U38" s="71">
        <f t="shared" si="4"/>
        <v>432.5</v>
      </c>
      <c r="V38" s="71">
        <f t="shared" si="4"/>
        <v>432.5</v>
      </c>
      <c r="W38" s="71">
        <f t="shared" si="4"/>
        <v>594.5</v>
      </c>
      <c r="X38" s="71">
        <f t="shared" si="4"/>
        <v>669.5</v>
      </c>
      <c r="Y38" s="71">
        <f t="shared" si="4"/>
        <v>746.30000000000007</v>
      </c>
      <c r="Z38" s="71">
        <f t="shared" si="4"/>
        <v>766.30000000000018</v>
      </c>
      <c r="AA38" s="71">
        <f t="shared" si="4"/>
        <v>666.3</v>
      </c>
      <c r="AB38" s="71">
        <f t="shared" si="4"/>
        <v>534.29999999999995</v>
      </c>
      <c r="AC38" s="71">
        <f t="shared" si="4"/>
        <v>504.29999999999995</v>
      </c>
      <c r="AD38" s="71">
        <f t="shared" si="4"/>
        <v>464.2999999999999</v>
      </c>
      <c r="AE38" s="71">
        <f t="shared" si="4"/>
        <v>464.2999999999999</v>
      </c>
      <c r="AF38" s="71">
        <f t="shared" si="4"/>
        <v>444.2999999999999</v>
      </c>
      <c r="AG38" s="66">
        <f>SUM(AG11:AG37)</f>
        <v>1492.8299999999997</v>
      </c>
      <c r="AH38" s="53">
        <f t="shared" si="2"/>
        <v>799.80000000000007</v>
      </c>
      <c r="AI38" s="54">
        <f t="shared" si="3"/>
        <v>432.5</v>
      </c>
      <c r="AK38" s="55"/>
    </row>
    <row r="39" spans="1:88" x14ac:dyDescent="0.25">
      <c r="A39" s="56" t="s">
        <v>47</v>
      </c>
      <c r="B39" s="49">
        <v>30</v>
      </c>
      <c r="C39" s="49">
        <v>30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47</v>
      </c>
      <c r="K39" s="60">
        <v>98</v>
      </c>
      <c r="L39" s="60">
        <v>140</v>
      </c>
      <c r="M39" s="50">
        <v>141.69999999999999</v>
      </c>
      <c r="N39" s="50">
        <v>141.69999999999999</v>
      </c>
      <c r="O39" s="50">
        <v>145.69999999999999</v>
      </c>
      <c r="P39" s="50">
        <v>145.69999999999999</v>
      </c>
      <c r="Q39" s="50">
        <v>105</v>
      </c>
      <c r="R39" s="50">
        <v>91.1</v>
      </c>
      <c r="S39" s="50">
        <v>97.1</v>
      </c>
      <c r="T39" s="50">
        <v>97.2</v>
      </c>
      <c r="U39" s="50">
        <v>91.2</v>
      </c>
      <c r="V39" s="50">
        <v>104.5</v>
      </c>
      <c r="W39" s="50">
        <v>145</v>
      </c>
      <c r="X39" s="50">
        <v>145</v>
      </c>
      <c r="Y39" s="50">
        <v>145</v>
      </c>
      <c r="Z39" s="50">
        <v>145</v>
      </c>
      <c r="AA39" s="50">
        <v>145</v>
      </c>
      <c r="AB39" s="50">
        <v>121</v>
      </c>
      <c r="AC39" s="50">
        <v>101.4</v>
      </c>
      <c r="AD39" s="50">
        <v>101</v>
      </c>
      <c r="AE39" s="50">
        <v>45</v>
      </c>
      <c r="AF39" s="49">
        <v>30</v>
      </c>
      <c r="AG39" s="61">
        <v>144</v>
      </c>
      <c r="AH39" s="53">
        <f t="shared" si="2"/>
        <v>145.69999999999999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29.6</v>
      </c>
      <c r="H40" s="60">
        <v>34.9</v>
      </c>
      <c r="I40" s="60">
        <v>34.799999999999997</v>
      </c>
      <c r="J40" s="60">
        <v>34.799999999999997</v>
      </c>
      <c r="K40" s="60">
        <v>55.2</v>
      </c>
      <c r="L40" s="60">
        <v>70.400000000000006</v>
      </c>
      <c r="M40" s="72">
        <v>69.900000000000006</v>
      </c>
      <c r="N40" s="72">
        <v>69.900000000000006</v>
      </c>
      <c r="O40" s="72">
        <v>69.3</v>
      </c>
      <c r="P40" s="72">
        <v>69.3</v>
      </c>
      <c r="Q40" s="72">
        <v>55</v>
      </c>
      <c r="R40" s="72">
        <v>55.8</v>
      </c>
      <c r="S40" s="72">
        <v>38.1</v>
      </c>
      <c r="T40" s="72">
        <v>35.4</v>
      </c>
      <c r="U40" s="72">
        <v>35.299999999999997</v>
      </c>
      <c r="V40" s="72">
        <v>47.1</v>
      </c>
      <c r="W40" s="72">
        <v>70</v>
      </c>
      <c r="X40" s="72">
        <v>70</v>
      </c>
      <c r="Y40" s="72">
        <v>70</v>
      </c>
      <c r="Z40" s="72">
        <v>70</v>
      </c>
      <c r="AA40" s="72">
        <v>70</v>
      </c>
      <c r="AB40" s="72">
        <v>69.7</v>
      </c>
      <c r="AC40" s="72">
        <v>35</v>
      </c>
      <c r="AD40" s="72">
        <v>35</v>
      </c>
      <c r="AE40" s="72">
        <v>35</v>
      </c>
      <c r="AF40" s="60">
        <v>25</v>
      </c>
      <c r="AG40" s="66">
        <v>70</v>
      </c>
      <c r="AH40" s="53">
        <f t="shared" si="2"/>
        <v>70.400000000000006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34.6</v>
      </c>
      <c r="C41" s="60">
        <v>24</v>
      </c>
      <c r="D41" s="60">
        <v>23.2</v>
      </c>
      <c r="E41" s="60">
        <v>23</v>
      </c>
      <c r="F41" s="60">
        <v>23.3</v>
      </c>
      <c r="G41" s="60">
        <v>22.7</v>
      </c>
      <c r="H41" s="60">
        <v>22.7</v>
      </c>
      <c r="I41" s="60">
        <v>22.7</v>
      </c>
      <c r="J41" s="60">
        <v>22.8</v>
      </c>
      <c r="K41" s="60">
        <v>64.7</v>
      </c>
      <c r="L41" s="60">
        <v>62.5</v>
      </c>
      <c r="M41" s="72">
        <v>66.400000000000006</v>
      </c>
      <c r="N41" s="72">
        <v>62.1</v>
      </c>
      <c r="O41" s="72">
        <v>61.7</v>
      </c>
      <c r="P41" s="72">
        <v>69</v>
      </c>
      <c r="Q41" s="72">
        <v>60</v>
      </c>
      <c r="R41" s="72">
        <v>23.5</v>
      </c>
      <c r="S41" s="72">
        <v>23.4</v>
      </c>
      <c r="T41" s="72">
        <v>23.7</v>
      </c>
      <c r="U41" s="72">
        <v>36.700000000000003</v>
      </c>
      <c r="V41" s="72">
        <v>51</v>
      </c>
      <c r="W41" s="72">
        <v>68.599999999999994</v>
      </c>
      <c r="X41" s="72">
        <v>68.599999999999994</v>
      </c>
      <c r="Y41" s="72">
        <v>68.599999999999994</v>
      </c>
      <c r="Z41" s="72">
        <v>68.599999999999994</v>
      </c>
      <c r="AA41" s="72">
        <v>68.599999999999994</v>
      </c>
      <c r="AB41" s="72">
        <v>67.5</v>
      </c>
      <c r="AC41" s="72">
        <v>67</v>
      </c>
      <c r="AD41" s="72">
        <v>66.900000000000006</v>
      </c>
      <c r="AE41" s="72">
        <v>44</v>
      </c>
      <c r="AF41" s="60">
        <v>45</v>
      </c>
      <c r="AG41" s="66">
        <v>69</v>
      </c>
      <c r="AH41" s="53">
        <f t="shared" si="2"/>
        <v>69</v>
      </c>
      <c r="AI41" s="54">
        <f t="shared" si="3"/>
        <v>22.7</v>
      </c>
      <c r="AK41" s="55"/>
    </row>
    <row r="42" spans="1:88" x14ac:dyDescent="0.25">
      <c r="A42" s="65" t="s">
        <v>50</v>
      </c>
      <c r="B42" s="60">
        <v>56.2</v>
      </c>
      <c r="C42" s="60">
        <v>56.2</v>
      </c>
      <c r="D42" s="60">
        <v>56.2</v>
      </c>
      <c r="E42" s="60">
        <v>56.2</v>
      </c>
      <c r="F42" s="60">
        <v>55.4</v>
      </c>
      <c r="G42" s="60">
        <v>55.4</v>
      </c>
      <c r="H42" s="60">
        <v>55.4</v>
      </c>
      <c r="I42" s="60">
        <v>55.4</v>
      </c>
      <c r="J42" s="60">
        <v>55.4</v>
      </c>
      <c r="K42" s="60">
        <v>55.4</v>
      </c>
      <c r="L42" s="60">
        <v>57</v>
      </c>
      <c r="M42" s="72">
        <v>57</v>
      </c>
      <c r="N42" s="72">
        <v>57</v>
      </c>
      <c r="O42" s="72">
        <v>57</v>
      </c>
      <c r="P42" s="72">
        <v>57</v>
      </c>
      <c r="Q42" s="72">
        <v>57</v>
      </c>
      <c r="R42" s="72">
        <v>53.7</v>
      </c>
      <c r="S42" s="72">
        <v>53.7</v>
      </c>
      <c r="T42" s="72">
        <v>54.2</v>
      </c>
      <c r="U42" s="72">
        <v>55.9</v>
      </c>
      <c r="V42" s="72">
        <v>57</v>
      </c>
      <c r="W42" s="72">
        <v>57</v>
      </c>
      <c r="X42" s="72">
        <v>57</v>
      </c>
      <c r="Y42" s="72">
        <v>57</v>
      </c>
      <c r="Z42" s="72">
        <v>57</v>
      </c>
      <c r="AA42" s="72">
        <v>57</v>
      </c>
      <c r="AB42" s="72">
        <v>54.7</v>
      </c>
      <c r="AC42" s="72">
        <v>54.9</v>
      </c>
      <c r="AD42" s="72">
        <v>54.9</v>
      </c>
      <c r="AE42" s="72">
        <v>55.9</v>
      </c>
      <c r="AF42" s="72">
        <v>55.9</v>
      </c>
      <c r="AG42" s="66">
        <v>60</v>
      </c>
      <c r="AH42" s="53">
        <f t="shared" si="2"/>
        <v>57</v>
      </c>
      <c r="AI42" s="54">
        <f t="shared" si="3"/>
        <v>53.7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14.9</v>
      </c>
      <c r="H43" s="60">
        <v>14.8</v>
      </c>
      <c r="I43" s="60">
        <v>14.9</v>
      </c>
      <c r="J43" s="60">
        <v>14.8</v>
      </c>
      <c r="K43" s="60">
        <v>22.1</v>
      </c>
      <c r="L43" s="60">
        <v>22.2</v>
      </c>
      <c r="M43" s="50">
        <v>26.8</v>
      </c>
      <c r="N43" s="50">
        <v>22.6</v>
      </c>
      <c r="O43" s="50">
        <v>22.6</v>
      </c>
      <c r="P43" s="50">
        <v>22.6</v>
      </c>
      <c r="Q43" s="50">
        <v>22.6</v>
      </c>
      <c r="R43" s="50">
        <v>10.199999999999999</v>
      </c>
      <c r="S43" s="50">
        <v>10.4</v>
      </c>
      <c r="T43" s="50">
        <v>10.4</v>
      </c>
      <c r="U43" s="50">
        <v>10.1</v>
      </c>
      <c r="V43" s="50">
        <v>22.3</v>
      </c>
      <c r="W43" s="50">
        <v>22.3</v>
      </c>
      <c r="X43" s="50">
        <v>22.3</v>
      </c>
      <c r="Y43" s="50">
        <v>22.3</v>
      </c>
      <c r="Z43" s="50">
        <v>22.3</v>
      </c>
      <c r="AA43" s="50">
        <v>22.3</v>
      </c>
      <c r="AB43" s="72">
        <v>10.7</v>
      </c>
      <c r="AC43" s="72">
        <v>10.199999999999999</v>
      </c>
      <c r="AD43" s="72">
        <v>10.199999999999999</v>
      </c>
      <c r="AE43" s="72">
        <v>0</v>
      </c>
      <c r="AF43" s="72">
        <v>0</v>
      </c>
      <c r="AG43" s="66">
        <v>30</v>
      </c>
      <c r="AH43" s="53">
        <f t="shared" si="2"/>
        <v>26.8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18</v>
      </c>
      <c r="C45" s="60">
        <v>18</v>
      </c>
      <c r="D45" s="79">
        <v>18</v>
      </c>
      <c r="E45" s="79">
        <v>18</v>
      </c>
      <c r="F45" s="79">
        <v>18</v>
      </c>
      <c r="G45" s="79">
        <v>18</v>
      </c>
      <c r="H45" s="79">
        <v>18</v>
      </c>
      <c r="I45" s="79">
        <v>18</v>
      </c>
      <c r="J45" s="79">
        <v>18</v>
      </c>
      <c r="K45" s="79">
        <v>18</v>
      </c>
      <c r="L45" s="79">
        <v>18</v>
      </c>
      <c r="M45" s="50">
        <v>18</v>
      </c>
      <c r="N45" s="50">
        <v>18</v>
      </c>
      <c r="O45" s="50">
        <v>18</v>
      </c>
      <c r="P45" s="50">
        <v>18</v>
      </c>
      <c r="Q45" s="50">
        <v>18</v>
      </c>
      <c r="R45" s="50">
        <v>18</v>
      </c>
      <c r="S45" s="50">
        <v>18</v>
      </c>
      <c r="T45" s="50">
        <v>18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50">
        <v>18</v>
      </c>
      <c r="AG45" s="66">
        <v>24</v>
      </c>
      <c r="AH45" s="53">
        <f t="shared" si="2"/>
        <v>18</v>
      </c>
      <c r="AI45" s="54">
        <f t="shared" si="3"/>
        <v>18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5.5</v>
      </c>
      <c r="C48" s="60">
        <v>5.5</v>
      </c>
      <c r="D48" s="79">
        <v>5.5</v>
      </c>
      <c r="E48" s="79">
        <v>5.5</v>
      </c>
      <c r="F48" s="79">
        <v>5.5</v>
      </c>
      <c r="G48" s="79">
        <v>5.5</v>
      </c>
      <c r="H48" s="79">
        <v>5.5</v>
      </c>
      <c r="I48" s="79">
        <v>5.5</v>
      </c>
      <c r="J48" s="79">
        <v>5.5</v>
      </c>
      <c r="K48" s="79">
        <v>5.5</v>
      </c>
      <c r="L48" s="79">
        <v>5.5</v>
      </c>
      <c r="M48" s="50">
        <v>5.5</v>
      </c>
      <c r="N48" s="50">
        <v>5.5</v>
      </c>
      <c r="O48" s="50">
        <v>5.5</v>
      </c>
      <c r="P48" s="50">
        <v>5.5</v>
      </c>
      <c r="Q48" s="50">
        <v>5.5</v>
      </c>
      <c r="R48" s="50">
        <v>5.5</v>
      </c>
      <c r="S48" s="50">
        <v>5.5</v>
      </c>
      <c r="T48" s="50">
        <v>5.5</v>
      </c>
      <c r="U48" s="50">
        <v>5.5</v>
      </c>
      <c r="V48" s="50">
        <v>5.5</v>
      </c>
      <c r="W48" s="50">
        <v>5.5</v>
      </c>
      <c r="X48" s="50">
        <v>5.5</v>
      </c>
      <c r="Y48" s="50">
        <v>5.5</v>
      </c>
      <c r="Z48" s="50">
        <v>5.5</v>
      </c>
      <c r="AA48" s="50">
        <v>5.5</v>
      </c>
      <c r="AB48" s="50">
        <v>5.5</v>
      </c>
      <c r="AC48" s="50">
        <v>5.5</v>
      </c>
      <c r="AD48" s="50">
        <v>5.5</v>
      </c>
      <c r="AE48" s="50">
        <v>5.5</v>
      </c>
      <c r="AF48" s="50">
        <v>5.5</v>
      </c>
      <c r="AG48" s="66">
        <v>14</v>
      </c>
      <c r="AH48" s="53">
        <f t="shared" si="2"/>
        <v>5.5</v>
      </c>
      <c r="AI48" s="54">
        <f t="shared" si="3"/>
        <v>5.5</v>
      </c>
      <c r="AK48" s="55"/>
    </row>
    <row r="49" spans="1:37" x14ac:dyDescent="0.25">
      <c r="A49" s="65" t="s">
        <v>57</v>
      </c>
      <c r="B49" s="60">
        <v>7</v>
      </c>
      <c r="C49" s="60">
        <v>7</v>
      </c>
      <c r="D49" s="60">
        <v>7</v>
      </c>
      <c r="E49" s="60">
        <v>7</v>
      </c>
      <c r="F49" s="60">
        <v>7</v>
      </c>
      <c r="G49" s="60">
        <v>7</v>
      </c>
      <c r="H49" s="60">
        <v>7</v>
      </c>
      <c r="I49" s="60">
        <v>7</v>
      </c>
      <c r="J49" s="60">
        <v>7</v>
      </c>
      <c r="K49" s="60">
        <v>7</v>
      </c>
      <c r="L49" s="60">
        <v>7</v>
      </c>
      <c r="M49" s="50">
        <v>7</v>
      </c>
      <c r="N49" s="50">
        <v>7</v>
      </c>
      <c r="O49" s="50">
        <v>7</v>
      </c>
      <c r="P49" s="50">
        <v>7</v>
      </c>
      <c r="Q49" s="50">
        <v>7</v>
      </c>
      <c r="R49" s="5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176.34</v>
      </c>
      <c r="C52" s="71">
        <f t="shared" ref="C52:AF52" si="6">SUM(C39:C51)</f>
        <v>165.73999999999998</v>
      </c>
      <c r="D52" s="71">
        <f t="shared" si="6"/>
        <v>134.94</v>
      </c>
      <c r="E52" s="71">
        <f t="shared" si="6"/>
        <v>134.73999999999998</v>
      </c>
      <c r="F52" s="71">
        <f t="shared" si="6"/>
        <v>134.23999999999998</v>
      </c>
      <c r="G52" s="71">
        <f t="shared" si="6"/>
        <v>178.14</v>
      </c>
      <c r="H52" s="71">
        <f t="shared" si="6"/>
        <v>183.34</v>
      </c>
      <c r="I52" s="71">
        <f t="shared" si="6"/>
        <v>183.34</v>
      </c>
      <c r="J52" s="71">
        <f t="shared" si="6"/>
        <v>230.34</v>
      </c>
      <c r="K52" s="71">
        <f t="shared" si="6"/>
        <v>350.94</v>
      </c>
      <c r="L52" s="71">
        <f t="shared" si="6"/>
        <v>407.64</v>
      </c>
      <c r="M52" s="71">
        <f t="shared" si="6"/>
        <v>417.34000000000003</v>
      </c>
      <c r="N52" s="71">
        <f t="shared" si="6"/>
        <v>408.84000000000003</v>
      </c>
      <c r="O52" s="71">
        <f t="shared" si="6"/>
        <v>411.84000000000003</v>
      </c>
      <c r="P52" s="71">
        <f t="shared" si="6"/>
        <v>419.14000000000004</v>
      </c>
      <c r="Q52" s="71">
        <f t="shared" si="6"/>
        <v>355.14000000000004</v>
      </c>
      <c r="R52" s="71">
        <f t="shared" si="6"/>
        <v>289.83999999999997</v>
      </c>
      <c r="S52" s="71">
        <f t="shared" si="6"/>
        <v>278.24000000000007</v>
      </c>
      <c r="T52" s="71">
        <f t="shared" si="6"/>
        <v>276.44</v>
      </c>
      <c r="U52" s="71">
        <f t="shared" si="6"/>
        <v>284.74</v>
      </c>
      <c r="V52" s="71">
        <f t="shared" si="6"/>
        <v>337.44000000000005</v>
      </c>
      <c r="W52" s="71">
        <f t="shared" si="6"/>
        <v>418.44000000000005</v>
      </c>
      <c r="X52" s="71">
        <f t="shared" si="6"/>
        <v>418.44000000000005</v>
      </c>
      <c r="Y52" s="71">
        <f t="shared" si="6"/>
        <v>418.44000000000005</v>
      </c>
      <c r="Z52" s="71">
        <f t="shared" si="6"/>
        <v>418.44000000000005</v>
      </c>
      <c r="AA52" s="71">
        <f t="shared" si="6"/>
        <v>418.44000000000005</v>
      </c>
      <c r="AB52" s="71">
        <f t="shared" si="6"/>
        <v>379.14</v>
      </c>
      <c r="AC52" s="71">
        <f t="shared" si="6"/>
        <v>324.04000000000002</v>
      </c>
      <c r="AD52" s="71">
        <f t="shared" si="6"/>
        <v>323.54000000000002</v>
      </c>
      <c r="AE52" s="71">
        <f t="shared" si="6"/>
        <v>235.44</v>
      </c>
      <c r="AF52" s="71">
        <f t="shared" si="6"/>
        <v>211.44</v>
      </c>
      <c r="AG52" s="76">
        <f>SUM(AG39:AG51)</f>
        <v>489.91</v>
      </c>
      <c r="AH52" s="53">
        <f t="shared" si="2"/>
        <v>419.14000000000004</v>
      </c>
      <c r="AI52" s="54">
        <f t="shared" si="3"/>
        <v>134.23999999999998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20</v>
      </c>
      <c r="L53" s="60">
        <v>29.7</v>
      </c>
      <c r="M53" s="77">
        <v>55.2</v>
      </c>
      <c r="N53" s="77">
        <v>29.5</v>
      </c>
      <c r="O53" s="77">
        <v>60.3</v>
      </c>
      <c r="P53" s="77">
        <v>60.3</v>
      </c>
      <c r="Q53" s="50">
        <v>60</v>
      </c>
      <c r="R53" s="50">
        <v>60</v>
      </c>
      <c r="S53" s="50">
        <v>53.6</v>
      </c>
      <c r="T53" s="50">
        <v>59.6</v>
      </c>
      <c r="U53" s="50">
        <v>59.7</v>
      </c>
      <c r="V53" s="50">
        <v>59.7</v>
      </c>
      <c r="W53" s="50">
        <v>59.6</v>
      </c>
      <c r="X53" s="50">
        <v>59.7</v>
      </c>
      <c r="Y53" s="50">
        <v>59.7</v>
      </c>
      <c r="Z53" s="50">
        <v>59.7</v>
      </c>
      <c r="AA53" s="50">
        <v>59.7</v>
      </c>
      <c r="AB53" s="50">
        <v>52.7</v>
      </c>
      <c r="AC53" s="50">
        <v>39.4</v>
      </c>
      <c r="AD53" s="50">
        <v>14</v>
      </c>
      <c r="AE53" s="50">
        <v>0</v>
      </c>
      <c r="AF53" s="50">
        <v>0</v>
      </c>
      <c r="AG53" s="61">
        <v>60</v>
      </c>
      <c r="AH53" s="53">
        <f t="shared" si="2"/>
        <v>60.3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10.7</v>
      </c>
      <c r="L54" s="60">
        <v>11.8</v>
      </c>
      <c r="M54" s="77">
        <v>23.4</v>
      </c>
      <c r="N54" s="77">
        <v>15.4</v>
      </c>
      <c r="O54" s="77">
        <v>28.2</v>
      </c>
      <c r="P54" s="77">
        <v>28.2</v>
      </c>
      <c r="Q54" s="72">
        <v>30</v>
      </c>
      <c r="R54" s="72">
        <v>28.8</v>
      </c>
      <c r="S54" s="50">
        <v>29.5</v>
      </c>
      <c r="T54" s="50">
        <v>29.1</v>
      </c>
      <c r="U54" s="50">
        <v>29</v>
      </c>
      <c r="V54" s="50">
        <v>29</v>
      </c>
      <c r="W54" s="72">
        <v>28.5</v>
      </c>
      <c r="X54" s="72">
        <v>28.9</v>
      </c>
      <c r="Y54" s="72">
        <v>28.9</v>
      </c>
      <c r="Z54" s="72">
        <v>28.9</v>
      </c>
      <c r="AA54" s="72">
        <v>28.9</v>
      </c>
      <c r="AB54" s="72">
        <v>23</v>
      </c>
      <c r="AC54" s="72">
        <v>17.3</v>
      </c>
      <c r="AD54" s="72">
        <v>10</v>
      </c>
      <c r="AE54" s="72">
        <v>0</v>
      </c>
      <c r="AF54" s="72">
        <v>0</v>
      </c>
      <c r="AG54" s="66">
        <v>32</v>
      </c>
      <c r="AH54" s="53">
        <f t="shared" si="2"/>
        <v>30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3.9</v>
      </c>
      <c r="L55" s="79">
        <v>4.3</v>
      </c>
      <c r="M55" s="80">
        <v>8.5</v>
      </c>
      <c r="N55" s="80">
        <v>5.6</v>
      </c>
      <c r="O55" s="80">
        <v>10.3</v>
      </c>
      <c r="P55" s="80">
        <v>10.3</v>
      </c>
      <c r="Q55" s="78">
        <v>11</v>
      </c>
      <c r="R55" s="78">
        <v>10.5</v>
      </c>
      <c r="S55" s="50">
        <v>10.8</v>
      </c>
      <c r="T55" s="50">
        <v>10.6</v>
      </c>
      <c r="U55" s="50">
        <v>10.6</v>
      </c>
      <c r="V55" s="50">
        <v>10.6</v>
      </c>
      <c r="W55" s="78">
        <v>10.4</v>
      </c>
      <c r="X55" s="78">
        <v>10.6</v>
      </c>
      <c r="Y55" s="78">
        <v>10.6</v>
      </c>
      <c r="Z55" s="78">
        <v>10.6</v>
      </c>
      <c r="AA55" s="78">
        <v>10.6</v>
      </c>
      <c r="AB55" s="78">
        <v>8.4</v>
      </c>
      <c r="AC55" s="78">
        <v>6.3</v>
      </c>
      <c r="AD55" s="78">
        <v>4</v>
      </c>
      <c r="AE55" s="78">
        <v>0</v>
      </c>
      <c r="AF55" s="78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34.6</v>
      </c>
      <c r="L56" s="71">
        <f t="shared" si="7"/>
        <v>45.8</v>
      </c>
      <c r="M56" s="71">
        <f t="shared" si="7"/>
        <v>87.1</v>
      </c>
      <c r="N56" s="71">
        <f t="shared" si="7"/>
        <v>50.5</v>
      </c>
      <c r="O56" s="71">
        <f t="shared" si="7"/>
        <v>98.8</v>
      </c>
      <c r="P56" s="71">
        <f t="shared" si="7"/>
        <v>98.8</v>
      </c>
      <c r="Q56" s="71">
        <f t="shared" si="7"/>
        <v>101</v>
      </c>
      <c r="R56" s="71">
        <f t="shared" si="7"/>
        <v>99.3</v>
      </c>
      <c r="S56" s="71">
        <f t="shared" si="7"/>
        <v>93.899999999999991</v>
      </c>
      <c r="T56" s="71">
        <f t="shared" si="7"/>
        <v>99.3</v>
      </c>
      <c r="U56" s="71">
        <f t="shared" si="7"/>
        <v>99.3</v>
      </c>
      <c r="V56" s="71">
        <f t="shared" si="7"/>
        <v>99.3</v>
      </c>
      <c r="W56" s="71">
        <f t="shared" si="7"/>
        <v>98.5</v>
      </c>
      <c r="X56" s="71">
        <f t="shared" si="7"/>
        <v>99.199999999999989</v>
      </c>
      <c r="Y56" s="71">
        <f t="shared" si="7"/>
        <v>99.199999999999989</v>
      </c>
      <c r="Z56" s="71">
        <f t="shared" si="7"/>
        <v>99.199999999999989</v>
      </c>
      <c r="AA56" s="71">
        <f t="shared" si="7"/>
        <v>99.199999999999989</v>
      </c>
      <c r="AB56" s="71">
        <f t="shared" si="7"/>
        <v>84.100000000000009</v>
      </c>
      <c r="AC56" s="71">
        <f t="shared" si="7"/>
        <v>63</v>
      </c>
      <c r="AD56" s="71">
        <f t="shared" si="7"/>
        <v>28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101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64</v>
      </c>
      <c r="C57" s="50">
        <v>63</v>
      </c>
      <c r="D57" s="50">
        <v>66.5</v>
      </c>
      <c r="E57" s="50">
        <v>68.3</v>
      </c>
      <c r="F57" s="50">
        <v>68.099999999999994</v>
      </c>
      <c r="G57" s="50">
        <v>69.099999999999994</v>
      </c>
      <c r="H57" s="50">
        <v>71.5</v>
      </c>
      <c r="I57" s="50">
        <v>65.900000000000006</v>
      </c>
      <c r="J57" s="50">
        <v>68.2</v>
      </c>
      <c r="K57" s="50">
        <v>64.3</v>
      </c>
      <c r="L57" s="50">
        <v>71.2</v>
      </c>
      <c r="M57" s="50">
        <v>69.3</v>
      </c>
      <c r="N57" s="50">
        <v>58.5</v>
      </c>
      <c r="O57" s="50">
        <v>71.099999999999994</v>
      </c>
      <c r="P57" s="50">
        <v>72</v>
      </c>
      <c r="Q57" s="50">
        <v>69</v>
      </c>
      <c r="R57" s="50">
        <v>72.3</v>
      </c>
      <c r="S57" s="50">
        <v>76.3</v>
      </c>
      <c r="T57" s="50">
        <v>77.099999999999994</v>
      </c>
      <c r="U57" s="50">
        <v>79.7</v>
      </c>
      <c r="V57" s="50">
        <v>70.8</v>
      </c>
      <c r="W57" s="50">
        <v>60.9</v>
      </c>
      <c r="X57" s="50">
        <v>69.599999999999994</v>
      </c>
      <c r="Y57" s="50">
        <v>74.7</v>
      </c>
      <c r="Z57" s="50">
        <v>72</v>
      </c>
      <c r="AA57" s="50">
        <v>70.2</v>
      </c>
      <c r="AB57" s="50">
        <v>74.7</v>
      </c>
      <c r="AC57" s="50">
        <v>70.900000000000006</v>
      </c>
      <c r="AD57" s="50">
        <v>62</v>
      </c>
      <c r="AE57" s="50">
        <v>65</v>
      </c>
      <c r="AF57" s="50">
        <v>71</v>
      </c>
      <c r="AG57" s="61"/>
      <c r="AH57" s="53">
        <f t="shared" si="2"/>
        <v>79.7</v>
      </c>
      <c r="AI57" s="54">
        <f t="shared" si="3"/>
        <v>58.5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82</v>
      </c>
      <c r="O58" s="50">
        <v>75</v>
      </c>
      <c r="P58" s="50">
        <v>110</v>
      </c>
      <c r="Q58" s="50">
        <v>76</v>
      </c>
      <c r="R58" s="50">
        <v>0</v>
      </c>
      <c r="S58" s="50">
        <v>79</v>
      </c>
      <c r="T58" s="50">
        <v>85.7</v>
      </c>
      <c r="U58" s="50">
        <v>86.6</v>
      </c>
      <c r="V58" s="50">
        <v>88.4</v>
      </c>
      <c r="W58" s="50">
        <v>144</v>
      </c>
      <c r="X58" s="82">
        <v>151</v>
      </c>
      <c r="Y58" s="82">
        <v>100</v>
      </c>
      <c r="Z58" s="82">
        <v>52.8</v>
      </c>
      <c r="AA58" s="82">
        <v>82.6</v>
      </c>
      <c r="AB58" s="72">
        <v>108</v>
      </c>
      <c r="AC58" s="72">
        <v>91.7</v>
      </c>
      <c r="AD58" s="72">
        <v>0</v>
      </c>
      <c r="AE58" s="72">
        <v>0</v>
      </c>
      <c r="AF58" s="72">
        <v>0</v>
      </c>
      <c r="AG58" s="66"/>
      <c r="AH58" s="53">
        <f t="shared" si="2"/>
        <v>151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302</v>
      </c>
      <c r="C59" s="72">
        <v>287</v>
      </c>
      <c r="D59" s="72">
        <v>267.5</v>
      </c>
      <c r="E59" s="72">
        <v>244.4</v>
      </c>
      <c r="F59" s="72">
        <v>228</v>
      </c>
      <c r="G59" s="72">
        <v>231.6</v>
      </c>
      <c r="H59" s="50">
        <v>263</v>
      </c>
      <c r="I59" s="50">
        <v>314.8</v>
      </c>
      <c r="J59" s="50">
        <v>318.10000000000002</v>
      </c>
      <c r="K59" s="50">
        <v>173.1</v>
      </c>
      <c r="L59" s="50">
        <v>165</v>
      </c>
      <c r="M59" s="72">
        <v>8.1</v>
      </c>
      <c r="N59" s="72">
        <v>29.1</v>
      </c>
      <c r="O59" s="72">
        <v>44.1</v>
      </c>
      <c r="P59" s="72">
        <v>55</v>
      </c>
      <c r="Q59" s="72">
        <v>300</v>
      </c>
      <c r="R59" s="72">
        <v>351.3</v>
      </c>
      <c r="S59" s="72">
        <v>330.8</v>
      </c>
      <c r="T59" s="72">
        <v>328.1</v>
      </c>
      <c r="U59" s="72">
        <v>333</v>
      </c>
      <c r="V59" s="72">
        <v>311.3</v>
      </c>
      <c r="W59" s="72">
        <v>85.9</v>
      </c>
      <c r="X59" s="83">
        <v>78.400000000000006</v>
      </c>
      <c r="Y59" s="83">
        <v>93.3</v>
      </c>
      <c r="Z59" s="83">
        <v>89.6</v>
      </c>
      <c r="AA59" s="83">
        <v>109</v>
      </c>
      <c r="AB59" s="72">
        <v>169.6</v>
      </c>
      <c r="AC59" s="72">
        <v>216.8</v>
      </c>
      <c r="AD59" s="72">
        <v>290</v>
      </c>
      <c r="AE59" s="72">
        <v>320</v>
      </c>
      <c r="AF59" s="72">
        <v>300</v>
      </c>
      <c r="AG59" s="84"/>
      <c r="AH59" s="53">
        <f t="shared" si="2"/>
        <v>351.3</v>
      </c>
      <c r="AI59" s="54">
        <f t="shared" si="3"/>
        <v>8.1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44.4</v>
      </c>
      <c r="J60" s="57">
        <v>49.5</v>
      </c>
      <c r="K60" s="57">
        <v>49.9</v>
      </c>
      <c r="L60" s="57">
        <v>56</v>
      </c>
      <c r="M60" s="72">
        <v>55.3</v>
      </c>
      <c r="N60" s="72">
        <v>58.2</v>
      </c>
      <c r="O60" s="72">
        <v>55.7</v>
      </c>
      <c r="P60" s="72">
        <v>56</v>
      </c>
      <c r="Q60" s="72">
        <v>58</v>
      </c>
      <c r="R60" s="72">
        <v>54.2</v>
      </c>
      <c r="S60" s="72">
        <v>50.5</v>
      </c>
      <c r="T60" s="72">
        <v>48.8</v>
      </c>
      <c r="U60" s="72">
        <v>49</v>
      </c>
      <c r="V60" s="72">
        <v>48.2</v>
      </c>
      <c r="W60" s="72">
        <v>55.6</v>
      </c>
      <c r="X60" s="72">
        <v>60.3</v>
      </c>
      <c r="Y60" s="72">
        <v>60.2</v>
      </c>
      <c r="Z60" s="72">
        <v>53.7</v>
      </c>
      <c r="AA60" s="72">
        <v>58.4</v>
      </c>
      <c r="AB60" s="72">
        <v>57.4</v>
      </c>
      <c r="AC60" s="72">
        <v>58.1</v>
      </c>
      <c r="AD60" s="72">
        <v>51</v>
      </c>
      <c r="AE60" s="72">
        <v>42</v>
      </c>
      <c r="AF60" s="57">
        <v>0</v>
      </c>
      <c r="AG60" s="84"/>
      <c r="AH60" s="53">
        <f t="shared" si="2"/>
        <v>60.3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70.599999999999994</v>
      </c>
      <c r="K61" s="57">
        <v>77.099999999999994</v>
      </c>
      <c r="L61" s="57">
        <v>73.3</v>
      </c>
      <c r="M61" s="50">
        <v>80.5</v>
      </c>
      <c r="N61" s="50">
        <v>84.4</v>
      </c>
      <c r="O61" s="50">
        <v>80.3</v>
      </c>
      <c r="P61" s="50">
        <v>85</v>
      </c>
      <c r="Q61" s="50">
        <v>89</v>
      </c>
      <c r="R61" s="50">
        <v>78.900000000000006</v>
      </c>
      <c r="S61" s="50">
        <v>83</v>
      </c>
      <c r="T61" s="50">
        <v>83.3</v>
      </c>
      <c r="U61" s="50">
        <v>76</v>
      </c>
      <c r="V61" s="50">
        <v>83.3</v>
      </c>
      <c r="W61" s="50">
        <v>73.900000000000006</v>
      </c>
      <c r="X61" s="50">
        <v>80.5</v>
      </c>
      <c r="Y61" s="50">
        <v>0</v>
      </c>
      <c r="Z61" s="50">
        <v>47.9</v>
      </c>
      <c r="AA61" s="50">
        <v>76.5</v>
      </c>
      <c r="AB61" s="50">
        <v>67.8</v>
      </c>
      <c r="AC61" s="50">
        <v>58.1</v>
      </c>
      <c r="AD61" s="50">
        <v>60</v>
      </c>
      <c r="AE61" s="50">
        <v>0</v>
      </c>
      <c r="AF61" s="50">
        <v>0</v>
      </c>
      <c r="AG61" s="84"/>
      <c r="AH61" s="53">
        <f t="shared" si="2"/>
        <v>89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6.5</v>
      </c>
      <c r="Z62" s="59">
        <v>6.5</v>
      </c>
      <c r="AA62" s="59">
        <v>6.5</v>
      </c>
      <c r="AB62" s="59">
        <v>6.5</v>
      </c>
      <c r="AC62" s="59">
        <v>6.5</v>
      </c>
      <c r="AD62" s="59">
        <v>0</v>
      </c>
      <c r="AE62" s="59">
        <v>0</v>
      </c>
      <c r="AF62" s="59">
        <v>0</v>
      </c>
      <c r="AG62" s="84"/>
      <c r="AH62" s="53">
        <f t="shared" si="2"/>
        <v>6.5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366</v>
      </c>
      <c r="C68" s="71">
        <f>SUM(C57:C67)</f>
        <v>350</v>
      </c>
      <c r="D68" s="71">
        <f t="shared" ref="D68:AF68" si="8">SUM(D57:D67)</f>
        <v>334</v>
      </c>
      <c r="E68" s="71">
        <f t="shared" si="8"/>
        <v>312.7</v>
      </c>
      <c r="F68" s="71">
        <f t="shared" si="8"/>
        <v>296.10000000000002</v>
      </c>
      <c r="G68" s="71">
        <f t="shared" si="8"/>
        <v>300.7</v>
      </c>
      <c r="H68" s="71">
        <f t="shared" si="8"/>
        <v>334.5</v>
      </c>
      <c r="I68" s="71">
        <f t="shared" si="8"/>
        <v>425.1</v>
      </c>
      <c r="J68" s="71">
        <f t="shared" si="8"/>
        <v>506.4</v>
      </c>
      <c r="K68" s="71">
        <f t="shared" si="8"/>
        <v>364.4</v>
      </c>
      <c r="L68" s="71">
        <f t="shared" si="8"/>
        <v>365.5</v>
      </c>
      <c r="M68" s="71">
        <f t="shared" si="8"/>
        <v>213.2</v>
      </c>
      <c r="N68" s="71">
        <f t="shared" si="8"/>
        <v>312.20000000000005</v>
      </c>
      <c r="O68" s="71">
        <f t="shared" si="8"/>
        <v>326.2</v>
      </c>
      <c r="P68" s="71">
        <f t="shared" si="8"/>
        <v>378</v>
      </c>
      <c r="Q68" s="71">
        <f t="shared" si="8"/>
        <v>592</v>
      </c>
      <c r="R68" s="71">
        <f t="shared" si="8"/>
        <v>556.70000000000005</v>
      </c>
      <c r="S68" s="71">
        <f t="shared" si="8"/>
        <v>619.6</v>
      </c>
      <c r="T68" s="71">
        <f t="shared" si="8"/>
        <v>623</v>
      </c>
      <c r="U68" s="71">
        <f t="shared" si="8"/>
        <v>624.29999999999995</v>
      </c>
      <c r="V68" s="71">
        <f t="shared" si="8"/>
        <v>602</v>
      </c>
      <c r="W68" s="71">
        <f t="shared" si="8"/>
        <v>420.30000000000007</v>
      </c>
      <c r="X68" s="71">
        <f t="shared" si="8"/>
        <v>439.8</v>
      </c>
      <c r="Y68" s="71">
        <f t="shared" si="8"/>
        <v>334.7</v>
      </c>
      <c r="Z68" s="71">
        <f t="shared" si="8"/>
        <v>322.49999999999994</v>
      </c>
      <c r="AA68" s="71">
        <f t="shared" si="8"/>
        <v>403.2</v>
      </c>
      <c r="AB68" s="71">
        <f t="shared" si="8"/>
        <v>483.99999999999994</v>
      </c>
      <c r="AC68" s="71">
        <f t="shared" si="8"/>
        <v>502.10000000000008</v>
      </c>
      <c r="AD68" s="71">
        <f t="shared" si="8"/>
        <v>463</v>
      </c>
      <c r="AE68" s="71">
        <f t="shared" si="8"/>
        <v>427</v>
      </c>
      <c r="AF68" s="71">
        <f t="shared" si="8"/>
        <v>371</v>
      </c>
      <c r="AG68" s="76">
        <f>SUM(AG57:AG67)</f>
        <v>0</v>
      </c>
      <c r="AH68" s="53">
        <f t="shared" si="2"/>
        <v>624.29999999999995</v>
      </c>
      <c r="AI68" s="54">
        <f t="shared" si="3"/>
        <v>213.2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980.04</v>
      </c>
      <c r="C73" s="88">
        <f>C68+C56+C52+C38+C72</f>
        <v>957.44</v>
      </c>
      <c r="D73" s="88">
        <f t="shared" ref="D73:AG73" si="10">D68+D56+D52+D38+D72</f>
        <v>930.64</v>
      </c>
      <c r="E73" s="88">
        <f t="shared" si="10"/>
        <v>919.13999999999987</v>
      </c>
      <c r="F73" s="88">
        <f t="shared" si="10"/>
        <v>912.04</v>
      </c>
      <c r="G73" s="88">
        <f t="shared" si="10"/>
        <v>975.54</v>
      </c>
      <c r="H73" s="88">
        <f t="shared" si="10"/>
        <v>1019.54</v>
      </c>
      <c r="I73" s="88">
        <f t="shared" si="10"/>
        <v>1090.1400000000001</v>
      </c>
      <c r="J73" s="88">
        <f t="shared" si="10"/>
        <v>1208.44</v>
      </c>
      <c r="K73" s="88">
        <f t="shared" si="10"/>
        <v>1369.74</v>
      </c>
      <c r="L73" s="88">
        <f t="shared" si="10"/>
        <v>1458.74</v>
      </c>
      <c r="M73" s="88">
        <f t="shared" si="10"/>
        <v>1517.44</v>
      </c>
      <c r="N73" s="88">
        <f t="shared" si="10"/>
        <v>1571.3400000000001</v>
      </c>
      <c r="O73" s="88">
        <f t="shared" si="10"/>
        <v>1541.6399999999999</v>
      </c>
      <c r="P73" s="88">
        <f t="shared" si="10"/>
        <v>1455.74</v>
      </c>
      <c r="Q73" s="88">
        <f t="shared" si="10"/>
        <v>1487.94</v>
      </c>
      <c r="R73" s="88">
        <f t="shared" si="10"/>
        <v>1436.6399999999999</v>
      </c>
      <c r="S73" s="88">
        <f t="shared" si="10"/>
        <v>1426.24</v>
      </c>
      <c r="T73" s="88">
        <f t="shared" si="10"/>
        <v>1431.24</v>
      </c>
      <c r="U73" s="88">
        <f t="shared" si="10"/>
        <v>1440.84</v>
      </c>
      <c r="V73" s="88">
        <f t="shared" si="10"/>
        <v>1471.24</v>
      </c>
      <c r="W73" s="88">
        <f t="shared" si="10"/>
        <v>1531.7400000000002</v>
      </c>
      <c r="X73" s="88">
        <f t="shared" si="10"/>
        <v>1626.94</v>
      </c>
      <c r="Y73" s="88">
        <f t="shared" si="10"/>
        <v>1598.64</v>
      </c>
      <c r="Z73" s="88">
        <f t="shared" si="10"/>
        <v>1606.44</v>
      </c>
      <c r="AA73" s="88">
        <f t="shared" si="10"/>
        <v>1587.1399999999999</v>
      </c>
      <c r="AB73" s="88">
        <f t="shared" si="10"/>
        <v>1481.54</v>
      </c>
      <c r="AC73" s="88">
        <f t="shared" si="10"/>
        <v>1393.44</v>
      </c>
      <c r="AD73" s="88">
        <f t="shared" si="10"/>
        <v>1278.8399999999999</v>
      </c>
      <c r="AE73" s="88">
        <f t="shared" si="10"/>
        <v>1126.74</v>
      </c>
      <c r="AF73" s="88">
        <f t="shared" si="10"/>
        <v>1026.74</v>
      </c>
      <c r="AG73" s="88">
        <f t="shared" si="10"/>
        <v>2144.14</v>
      </c>
      <c r="AH73" s="53">
        <f t="shared" si="2"/>
        <v>1626.94</v>
      </c>
      <c r="AI73" s="54">
        <f t="shared" si="3"/>
        <v>912.04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>
        <v>5</v>
      </c>
      <c r="Y74" s="90">
        <v>90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90</v>
      </c>
      <c r="AI74" s="54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980.04</v>
      </c>
      <c r="C75" s="88">
        <f>C73+C74</f>
        <v>957.44</v>
      </c>
      <c r="D75" s="88">
        <f t="shared" ref="D75:AF75" si="11">D72+D68+D56+D52+D38+D74</f>
        <v>930.64</v>
      </c>
      <c r="E75" s="88">
        <f t="shared" si="11"/>
        <v>919.13999999999987</v>
      </c>
      <c r="F75" s="88">
        <f t="shared" si="11"/>
        <v>912.04</v>
      </c>
      <c r="G75" s="88">
        <f t="shared" si="11"/>
        <v>975.54</v>
      </c>
      <c r="H75" s="88">
        <f t="shared" si="11"/>
        <v>1019.54</v>
      </c>
      <c r="I75" s="88">
        <f t="shared" si="11"/>
        <v>1090.1400000000001</v>
      </c>
      <c r="J75" s="88">
        <f t="shared" si="11"/>
        <v>1208.44</v>
      </c>
      <c r="K75" s="88">
        <f t="shared" si="11"/>
        <v>1369.74</v>
      </c>
      <c r="L75" s="88">
        <f t="shared" si="11"/>
        <v>1458.74</v>
      </c>
      <c r="M75" s="88">
        <f t="shared" si="11"/>
        <v>1517.44</v>
      </c>
      <c r="N75" s="88">
        <f t="shared" si="11"/>
        <v>1571.3400000000001</v>
      </c>
      <c r="O75" s="88">
        <f t="shared" si="11"/>
        <v>1541.6399999999999</v>
      </c>
      <c r="P75" s="88">
        <f t="shared" si="11"/>
        <v>1455.74</v>
      </c>
      <c r="Q75" s="88">
        <f t="shared" si="11"/>
        <v>1487.94</v>
      </c>
      <c r="R75" s="88">
        <f t="shared" si="11"/>
        <v>1436.6399999999999</v>
      </c>
      <c r="S75" s="88">
        <f t="shared" si="11"/>
        <v>1426.24</v>
      </c>
      <c r="T75" s="88">
        <f t="shared" si="11"/>
        <v>1431.24</v>
      </c>
      <c r="U75" s="88">
        <f t="shared" si="11"/>
        <v>1440.84</v>
      </c>
      <c r="V75" s="88">
        <f t="shared" si="11"/>
        <v>1471.24</v>
      </c>
      <c r="W75" s="88">
        <f t="shared" si="11"/>
        <v>1531.7400000000002</v>
      </c>
      <c r="X75" s="88">
        <f t="shared" si="11"/>
        <v>1631.94</v>
      </c>
      <c r="Y75" s="88">
        <f t="shared" si="11"/>
        <v>1688.64</v>
      </c>
      <c r="Z75" s="88">
        <f t="shared" si="11"/>
        <v>1606.44</v>
      </c>
      <c r="AA75" s="88">
        <f t="shared" si="11"/>
        <v>1587.1399999999999</v>
      </c>
      <c r="AB75" s="88">
        <f t="shared" si="11"/>
        <v>1481.54</v>
      </c>
      <c r="AC75" s="88">
        <f t="shared" si="11"/>
        <v>1393.44</v>
      </c>
      <c r="AD75" s="88">
        <f t="shared" si="11"/>
        <v>1278.8399999999999</v>
      </c>
      <c r="AE75" s="88">
        <f t="shared" si="11"/>
        <v>1126.74</v>
      </c>
      <c r="AF75" s="88">
        <f t="shared" si="11"/>
        <v>1026.74</v>
      </c>
      <c r="AG75" s="76">
        <f>AG72+AG68+AG56+AG52+AG38+AG74</f>
        <v>2144.14</v>
      </c>
      <c r="AH75" s="53">
        <f t="shared" si="2"/>
        <v>1688.64</v>
      </c>
      <c r="AI75" s="54">
        <f t="shared" si="3"/>
        <v>912.04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1960.08</v>
      </c>
      <c r="C83" s="71">
        <f t="shared" ref="C83:AG83" si="20">SUM(C70:C82)</f>
        <v>1914.88</v>
      </c>
      <c r="D83" s="71">
        <f t="shared" si="20"/>
        <v>1861.28</v>
      </c>
      <c r="E83" s="71">
        <f t="shared" si="20"/>
        <v>1838.2799999999997</v>
      </c>
      <c r="F83" s="71">
        <f t="shared" si="20"/>
        <v>1824.08</v>
      </c>
      <c r="G83" s="71">
        <f t="shared" si="20"/>
        <v>1951.08</v>
      </c>
      <c r="H83" s="71">
        <f t="shared" si="20"/>
        <v>2039.08</v>
      </c>
      <c r="I83" s="71">
        <f t="shared" si="20"/>
        <v>2180.2800000000002</v>
      </c>
      <c r="J83" s="71">
        <f t="shared" si="20"/>
        <v>2416.88</v>
      </c>
      <c r="K83" s="71">
        <f t="shared" si="20"/>
        <v>2739.48</v>
      </c>
      <c r="L83" s="71">
        <f t="shared" si="20"/>
        <v>2917.48</v>
      </c>
      <c r="M83" s="71">
        <f t="shared" si="20"/>
        <v>3034.88</v>
      </c>
      <c r="N83" s="71">
        <f t="shared" si="20"/>
        <v>3142.6800000000003</v>
      </c>
      <c r="O83" s="71">
        <f t="shared" si="20"/>
        <v>3083.2799999999997</v>
      </c>
      <c r="P83" s="71">
        <f t="shared" si="20"/>
        <v>2911.48</v>
      </c>
      <c r="Q83" s="71">
        <f t="shared" si="20"/>
        <v>2975.88</v>
      </c>
      <c r="R83" s="71">
        <f t="shared" si="20"/>
        <v>2873.2799999999997</v>
      </c>
      <c r="S83" s="71">
        <f t="shared" si="20"/>
        <v>2852.48</v>
      </c>
      <c r="T83" s="71">
        <f t="shared" si="20"/>
        <v>2862.48</v>
      </c>
      <c r="U83" s="71">
        <f t="shared" si="20"/>
        <v>2881.68</v>
      </c>
      <c r="V83" s="71">
        <f t="shared" si="20"/>
        <v>2942.48</v>
      </c>
      <c r="W83" s="71">
        <f t="shared" si="20"/>
        <v>3063.4800000000005</v>
      </c>
      <c r="X83" s="71">
        <f t="shared" si="20"/>
        <v>3263.88</v>
      </c>
      <c r="Y83" s="71">
        <f t="shared" si="20"/>
        <v>3377.28</v>
      </c>
      <c r="Z83" s="71">
        <f t="shared" si="20"/>
        <v>3212.88</v>
      </c>
      <c r="AA83" s="71">
        <f t="shared" si="20"/>
        <v>3174.2799999999997</v>
      </c>
      <c r="AB83" s="71">
        <f t="shared" si="20"/>
        <v>2963.08</v>
      </c>
      <c r="AC83" s="71">
        <f t="shared" si="20"/>
        <v>2786.88</v>
      </c>
      <c r="AD83" s="71">
        <f t="shared" si="20"/>
        <v>2557.6799999999998</v>
      </c>
      <c r="AE83" s="71">
        <f t="shared" si="20"/>
        <v>2253.48</v>
      </c>
      <c r="AF83" s="71">
        <f t="shared" si="20"/>
        <v>2053.48</v>
      </c>
      <c r="AG83" s="76">
        <f t="shared" si="20"/>
        <v>4360.08</v>
      </c>
      <c r="AH83" s="53">
        <f t="shared" si="13"/>
        <v>3377.28</v>
      </c>
      <c r="AI83" s="54">
        <f t="shared" si="14"/>
        <v>1824.08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50.01</v>
      </c>
      <c r="C84" s="95">
        <v>49.98</v>
      </c>
      <c r="D84" s="95">
        <v>49.932000000000002</v>
      </c>
      <c r="E84" s="95">
        <v>50</v>
      </c>
      <c r="F84" s="95">
        <v>49.991</v>
      </c>
      <c r="G84" s="95">
        <v>50.002000000000002</v>
      </c>
      <c r="H84" s="95">
        <v>50.002000000000002</v>
      </c>
      <c r="I84" s="95">
        <v>50.015000000000001</v>
      </c>
      <c r="J84" s="95">
        <v>49.99</v>
      </c>
      <c r="K84" s="95">
        <v>49.953000000000003</v>
      </c>
      <c r="L84" s="95">
        <v>49.966999999999999</v>
      </c>
      <c r="M84" s="95">
        <v>50.018000000000001</v>
      </c>
      <c r="N84" s="95">
        <v>50</v>
      </c>
      <c r="O84" s="95">
        <v>50</v>
      </c>
      <c r="P84" s="95">
        <v>50</v>
      </c>
      <c r="Q84" s="95">
        <v>50.05</v>
      </c>
      <c r="R84" s="95">
        <v>50.05</v>
      </c>
      <c r="S84" s="95">
        <v>50.002000000000002</v>
      </c>
      <c r="T84" s="95">
        <v>49.793999999999997</v>
      </c>
      <c r="U84" s="95">
        <v>49.96</v>
      </c>
      <c r="V84" s="95">
        <v>49.938000000000002</v>
      </c>
      <c r="W84" s="95">
        <v>50.048000000000002</v>
      </c>
      <c r="X84" s="95">
        <v>50.012</v>
      </c>
      <c r="Y84" s="95">
        <v>49.938000000000002</v>
      </c>
      <c r="Z84" s="95">
        <v>49.948</v>
      </c>
      <c r="AA84" s="95">
        <v>50.029000000000003</v>
      </c>
      <c r="AB84" s="95">
        <v>50.064</v>
      </c>
      <c r="AC84" s="95">
        <v>50.061999999999998</v>
      </c>
      <c r="AD84" s="95">
        <v>50.06</v>
      </c>
      <c r="AE84" s="95">
        <v>50.09</v>
      </c>
      <c r="AF84" s="95">
        <v>49.97</v>
      </c>
      <c r="AG84" s="96"/>
      <c r="AH84" s="53">
        <f t="shared" si="13"/>
        <v>50.09</v>
      </c>
      <c r="AI84" s="54">
        <f t="shared" si="14"/>
        <v>49.793999999999997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126.5</v>
      </c>
      <c r="C85" s="72">
        <v>126.4</v>
      </c>
      <c r="D85" s="72">
        <v>124.6</v>
      </c>
      <c r="E85" s="72">
        <v>125.9</v>
      </c>
      <c r="F85" s="72">
        <v>126.7</v>
      </c>
      <c r="G85" s="72">
        <v>125.3</v>
      </c>
      <c r="H85" s="72">
        <v>125.3</v>
      </c>
      <c r="I85" s="72">
        <v>123.9</v>
      </c>
      <c r="J85" s="72">
        <v>123.8</v>
      </c>
      <c r="K85" s="72">
        <v>124.3</v>
      </c>
      <c r="L85" s="72">
        <v>123.3</v>
      </c>
      <c r="M85" s="72">
        <v>124.3</v>
      </c>
      <c r="N85" s="72">
        <v>121.8</v>
      </c>
      <c r="O85" s="72">
        <v>123.5</v>
      </c>
      <c r="P85" s="72">
        <v>123.5</v>
      </c>
      <c r="Q85" s="72">
        <v>124</v>
      </c>
      <c r="R85" s="72">
        <v>123</v>
      </c>
      <c r="S85" s="72">
        <v>123.9</v>
      </c>
      <c r="T85" s="72">
        <v>123.2</v>
      </c>
      <c r="U85" s="99">
        <v>124.1</v>
      </c>
      <c r="V85" s="99">
        <v>125.9</v>
      </c>
      <c r="W85" s="99">
        <v>124.6</v>
      </c>
      <c r="X85" s="99">
        <v>123</v>
      </c>
      <c r="Y85" s="99">
        <v>122.8</v>
      </c>
      <c r="Z85" s="99">
        <v>124</v>
      </c>
      <c r="AA85" s="99">
        <v>124.9</v>
      </c>
      <c r="AB85" s="72">
        <v>126.1</v>
      </c>
      <c r="AC85" s="72">
        <v>126.5</v>
      </c>
      <c r="AD85" s="72">
        <v>127</v>
      </c>
      <c r="AE85" s="72">
        <v>125</v>
      </c>
      <c r="AF85" s="72">
        <v>126.8</v>
      </c>
      <c r="AG85" s="100"/>
      <c r="AH85" s="53">
        <f t="shared" si="13"/>
        <v>127</v>
      </c>
      <c r="AI85" s="54">
        <f t="shared" si="14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131</v>
      </c>
      <c r="C86" s="72">
        <v>131</v>
      </c>
      <c r="D86" s="72">
        <v>129.5</v>
      </c>
      <c r="E86" s="72">
        <v>130.69999999999999</v>
      </c>
      <c r="F86" s="72">
        <v>131.30000000000001</v>
      </c>
      <c r="G86" s="72">
        <v>130.30000000000001</v>
      </c>
      <c r="H86" s="72">
        <v>130.30000000000001</v>
      </c>
      <c r="I86" s="72">
        <v>128.1</v>
      </c>
      <c r="J86" s="72">
        <v>127.7</v>
      </c>
      <c r="K86" s="72">
        <v>127.7</v>
      </c>
      <c r="L86" s="72">
        <v>126.1</v>
      </c>
      <c r="M86" s="72">
        <v>126.8</v>
      </c>
      <c r="N86" s="72">
        <v>124.2</v>
      </c>
      <c r="O86" s="72">
        <v>125.3</v>
      </c>
      <c r="P86" s="72">
        <v>125.3</v>
      </c>
      <c r="Q86" s="72">
        <v>127</v>
      </c>
      <c r="R86" s="72">
        <v>125.1</v>
      </c>
      <c r="S86" s="72">
        <v>126.1</v>
      </c>
      <c r="T86" s="72">
        <v>125.9</v>
      </c>
      <c r="U86" s="99">
        <v>126.6</v>
      </c>
      <c r="V86" s="99">
        <v>128.4</v>
      </c>
      <c r="W86" s="99">
        <v>126.2</v>
      </c>
      <c r="X86" s="99">
        <v>124.8</v>
      </c>
      <c r="Y86" s="99">
        <v>124.8</v>
      </c>
      <c r="Z86" s="99">
        <v>125.9</v>
      </c>
      <c r="AA86" s="99">
        <v>126.5</v>
      </c>
      <c r="AB86" s="72">
        <v>128</v>
      </c>
      <c r="AC86" s="72">
        <v>128.69999999999999</v>
      </c>
      <c r="AD86" s="72">
        <v>129.5</v>
      </c>
      <c r="AE86" s="72">
        <v>129</v>
      </c>
      <c r="AF86" s="72">
        <v>130.69999999999999</v>
      </c>
      <c r="AG86" s="100"/>
      <c r="AH86" s="53">
        <f t="shared" si="13"/>
        <v>131.30000000000001</v>
      </c>
      <c r="AI86" s="54">
        <f t="shared" si="14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130</v>
      </c>
      <c r="C87" s="72">
        <v>129</v>
      </c>
      <c r="D87" s="72">
        <v>127.3</v>
      </c>
      <c r="E87" s="72">
        <v>127.7</v>
      </c>
      <c r="F87" s="72">
        <v>129.1</v>
      </c>
      <c r="G87" s="72">
        <v>129.80000000000001</v>
      </c>
      <c r="H87" s="72">
        <v>129.80000000000001</v>
      </c>
      <c r="I87" s="72">
        <v>126.5</v>
      </c>
      <c r="J87" s="72">
        <v>129.19999999999999</v>
      </c>
      <c r="K87" s="72">
        <v>125.4</v>
      </c>
      <c r="L87" s="72">
        <v>128.80000000000001</v>
      </c>
      <c r="M87" s="72">
        <v>126.7</v>
      </c>
      <c r="N87" s="72">
        <v>130.9</v>
      </c>
      <c r="O87" s="72">
        <v>130.6</v>
      </c>
      <c r="P87" s="72">
        <v>130.6</v>
      </c>
      <c r="Q87" s="72">
        <v>131</v>
      </c>
      <c r="R87" s="72">
        <v>127.8</v>
      </c>
      <c r="S87" s="72">
        <v>132.4</v>
      </c>
      <c r="T87" s="72">
        <v>129.9</v>
      </c>
      <c r="U87" s="72">
        <v>130.30000000000001</v>
      </c>
      <c r="V87" s="72">
        <v>131.30000000000001</v>
      </c>
      <c r="W87" s="72">
        <v>126.1</v>
      </c>
      <c r="X87" s="99">
        <v>129.19999999999999</v>
      </c>
      <c r="Y87" s="99">
        <v>128.69999999999999</v>
      </c>
      <c r="Z87" s="99">
        <v>130.30000000000001</v>
      </c>
      <c r="AA87" s="99">
        <v>129.6</v>
      </c>
      <c r="AB87" s="72">
        <v>131.19999999999999</v>
      </c>
      <c r="AC87" s="72">
        <v>132.6</v>
      </c>
      <c r="AD87" s="72">
        <v>130</v>
      </c>
      <c r="AE87" s="72">
        <v>132</v>
      </c>
      <c r="AF87" s="72">
        <v>133.4</v>
      </c>
      <c r="AG87" s="100"/>
      <c r="AH87" s="53">
        <f t="shared" si="13"/>
        <v>133.4</v>
      </c>
      <c r="AI87" s="54">
        <f t="shared" si="14"/>
        <v>125.4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</v>
      </c>
      <c r="C88" s="72">
        <v>132</v>
      </c>
      <c r="D88" s="72">
        <v>131.19999999999999</v>
      </c>
      <c r="E88" s="72">
        <v>131.6</v>
      </c>
      <c r="F88" s="72">
        <v>132.6</v>
      </c>
      <c r="G88" s="72">
        <v>132.80000000000001</v>
      </c>
      <c r="H88" s="72">
        <v>132.80000000000001</v>
      </c>
      <c r="I88" s="72">
        <v>129.5</v>
      </c>
      <c r="J88" s="72">
        <v>130.9</v>
      </c>
      <c r="K88" s="72">
        <v>128.9</v>
      </c>
      <c r="L88" s="72">
        <v>131.4</v>
      </c>
      <c r="M88" s="72">
        <v>131</v>
      </c>
      <c r="N88" s="72">
        <v>132.9</v>
      </c>
      <c r="O88" s="72">
        <v>133</v>
      </c>
      <c r="P88" s="72">
        <v>133</v>
      </c>
      <c r="Q88" s="72">
        <v>135</v>
      </c>
      <c r="R88" s="72">
        <v>130.69999999999999</v>
      </c>
      <c r="S88" s="72">
        <v>134.1</v>
      </c>
      <c r="T88" s="72">
        <v>132</v>
      </c>
      <c r="U88" s="72">
        <v>132.30000000000001</v>
      </c>
      <c r="V88" s="72">
        <v>132.80000000000001</v>
      </c>
      <c r="W88" s="72">
        <v>131.5</v>
      </c>
      <c r="X88" s="99">
        <v>133.4</v>
      </c>
      <c r="Y88" s="99">
        <v>133.30000000000001</v>
      </c>
      <c r="Z88" s="99">
        <v>134.1</v>
      </c>
      <c r="AA88" s="99">
        <v>134.9</v>
      </c>
      <c r="AB88" s="72">
        <v>133.5</v>
      </c>
      <c r="AC88" s="72">
        <v>135.4</v>
      </c>
      <c r="AD88" s="72">
        <v>134</v>
      </c>
      <c r="AE88" s="72">
        <v>135</v>
      </c>
      <c r="AF88" s="72">
        <v>137</v>
      </c>
      <c r="AG88" s="100"/>
      <c r="AH88" s="53">
        <f t="shared" si="13"/>
        <v>137</v>
      </c>
      <c r="AI88" s="54">
        <f t="shared" si="14"/>
        <v>128.9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131.69999999999999</v>
      </c>
      <c r="C89" s="103">
        <v>131.80000000000001</v>
      </c>
      <c r="D89" s="103">
        <v>122.9</v>
      </c>
      <c r="E89" s="103">
        <v>124.2</v>
      </c>
      <c r="F89" s="103">
        <v>132.19999999999999</v>
      </c>
      <c r="G89" s="103">
        <v>129.80000000000001</v>
      </c>
      <c r="H89" s="103">
        <v>129.80000000000001</v>
      </c>
      <c r="I89" s="103">
        <v>128.6</v>
      </c>
      <c r="J89" s="103">
        <v>130.69999999999999</v>
      </c>
      <c r="K89" s="103">
        <v>135.5</v>
      </c>
      <c r="L89" s="103">
        <v>135</v>
      </c>
      <c r="M89" s="103">
        <v>135</v>
      </c>
      <c r="N89" s="103">
        <v>133.30000000000001</v>
      </c>
      <c r="O89" s="103">
        <v>132.4</v>
      </c>
      <c r="P89" s="103">
        <v>132.4</v>
      </c>
      <c r="Q89" s="103">
        <v>133</v>
      </c>
      <c r="R89" s="103">
        <v>131.4</v>
      </c>
      <c r="S89" s="103">
        <v>129.4</v>
      </c>
      <c r="T89" s="103">
        <v>131.80000000000001</v>
      </c>
      <c r="U89" s="103">
        <v>132.1</v>
      </c>
      <c r="V89" s="103">
        <v>133.9</v>
      </c>
      <c r="W89" s="103">
        <v>134.80000000000001</v>
      </c>
      <c r="X89" s="99">
        <v>131.1</v>
      </c>
      <c r="Y89" s="99">
        <v>134.4</v>
      </c>
      <c r="Z89" s="99">
        <v>133.80000000000001</v>
      </c>
      <c r="AA89" s="99">
        <v>133.30000000000001</v>
      </c>
      <c r="AB89" s="103">
        <v>134.19999999999999</v>
      </c>
      <c r="AC89" s="103">
        <v>134.19999999999999</v>
      </c>
      <c r="AD89" s="103">
        <v>136</v>
      </c>
      <c r="AE89" s="103">
        <v>133.5</v>
      </c>
      <c r="AF89" s="103">
        <v>128</v>
      </c>
      <c r="AG89" s="104"/>
      <c r="AH89" s="53">
        <f t="shared" si="13"/>
        <v>136</v>
      </c>
      <c r="AI89" s="54">
        <f t="shared" si="14"/>
        <v>122.9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135</v>
      </c>
      <c r="C90" s="72">
        <v>134</v>
      </c>
      <c r="D90" s="72">
        <v>137.30000000000001</v>
      </c>
      <c r="E90" s="72">
        <v>136.69999999999999</v>
      </c>
      <c r="F90" s="72">
        <v>136.69999999999999</v>
      </c>
      <c r="G90" s="72">
        <v>134.1</v>
      </c>
      <c r="H90" s="72">
        <v>134.1</v>
      </c>
      <c r="I90" s="72">
        <v>130.80000000000001</v>
      </c>
      <c r="J90" s="72">
        <v>129.4</v>
      </c>
      <c r="K90" s="72">
        <v>131.6</v>
      </c>
      <c r="L90" s="72">
        <v>129</v>
      </c>
      <c r="M90" s="72">
        <v>129</v>
      </c>
      <c r="N90" s="72">
        <v>133</v>
      </c>
      <c r="O90" s="72">
        <v>130.6</v>
      </c>
      <c r="P90" s="72">
        <v>130.6</v>
      </c>
      <c r="Q90" s="72">
        <v>129</v>
      </c>
      <c r="R90" s="72">
        <v>130.30000000000001</v>
      </c>
      <c r="S90" s="72">
        <v>130.4</v>
      </c>
      <c r="T90" s="72">
        <v>127.8</v>
      </c>
      <c r="U90" s="72">
        <v>130.4</v>
      </c>
      <c r="V90" s="72">
        <v>134.30000000000001</v>
      </c>
      <c r="W90" s="72">
        <v>132.6</v>
      </c>
      <c r="X90" s="99">
        <v>129.4</v>
      </c>
      <c r="Y90" s="99">
        <v>129.4</v>
      </c>
      <c r="Z90" s="99">
        <v>131.69999999999999</v>
      </c>
      <c r="AA90" s="99">
        <v>135.9</v>
      </c>
      <c r="AB90" s="72">
        <v>133.1</v>
      </c>
      <c r="AC90" s="72">
        <v>134.4</v>
      </c>
      <c r="AD90" s="72">
        <v>132</v>
      </c>
      <c r="AE90" s="72">
        <v>136</v>
      </c>
      <c r="AF90" s="72">
        <v>134</v>
      </c>
      <c r="AG90" s="100"/>
      <c r="AH90" s="53">
        <f t="shared" si="13"/>
        <v>137.30000000000001</v>
      </c>
      <c r="AI90" s="54">
        <f t="shared" si="14"/>
        <v>127.8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197.64</v>
      </c>
      <c r="C93" s="113">
        <f>SUM(C15,C18,C21:C22,C42,C44:C45,C47,C49,C94:C97,C102,C108,C114,C123,C125,C137,C144,C147:C148,C155,C157,C159,C163:C165,C167:C169,C174,C180:C181,C183:C185,C193,C198)</f>
        <v>184.64</v>
      </c>
      <c r="D93" s="113">
        <f t="shared" ref="D93:AF93" si="21">SUM(D15,D18,D21:D22,D42,D44:D45,D47,D49,D94:D97,D102,D108,D114,D123,D125,D137,D144,D147:D148,D155,D157,D159,D163:D165,D167:D169,D174,D180:D181,D183:D185,D193,D198)</f>
        <v>171.44</v>
      </c>
      <c r="E93" s="113">
        <f t="shared" si="21"/>
        <v>172.73999999999998</v>
      </c>
      <c r="F93" s="113">
        <f t="shared" si="21"/>
        <v>173.43999999999994</v>
      </c>
      <c r="G93" s="112">
        <f t="shared" si="21"/>
        <v>190.83999999999997</v>
      </c>
      <c r="H93" s="112">
        <f t="shared" si="21"/>
        <v>190.83999999999997</v>
      </c>
      <c r="I93" s="112">
        <f t="shared" si="21"/>
        <v>243.23999999999995</v>
      </c>
      <c r="J93" s="112">
        <f t="shared" si="21"/>
        <v>290.14</v>
      </c>
      <c r="K93" s="112">
        <f t="shared" si="21"/>
        <v>349.94</v>
      </c>
      <c r="L93" s="112">
        <f t="shared" si="21"/>
        <v>391.84000000000003</v>
      </c>
      <c r="M93" s="112">
        <f t="shared" si="21"/>
        <v>417.94000000000005</v>
      </c>
      <c r="N93" s="112">
        <f t="shared" si="21"/>
        <v>446.24</v>
      </c>
      <c r="O93" s="112">
        <f t="shared" si="21"/>
        <v>465.14</v>
      </c>
      <c r="P93" s="112">
        <f t="shared" si="21"/>
        <v>472.54</v>
      </c>
      <c r="Q93" s="112">
        <f t="shared" si="21"/>
        <v>446.24</v>
      </c>
      <c r="R93" s="112">
        <f t="shared" si="21"/>
        <v>445.34000000000003</v>
      </c>
      <c r="S93" s="112">
        <f t="shared" si="21"/>
        <v>448.6400000000001</v>
      </c>
      <c r="T93" s="112">
        <f t="shared" si="21"/>
        <v>492.34000000000003</v>
      </c>
      <c r="U93" s="112">
        <f t="shared" si="21"/>
        <v>438.94000000000005</v>
      </c>
      <c r="V93" s="112">
        <f t="shared" si="21"/>
        <v>451.94000000000005</v>
      </c>
      <c r="W93" s="112">
        <f t="shared" si="21"/>
        <v>479.34000000000003</v>
      </c>
      <c r="X93" s="112">
        <f t="shared" si="21"/>
        <v>506.44000000000005</v>
      </c>
      <c r="Y93" s="112">
        <f t="shared" si="21"/>
        <v>516.03999999999985</v>
      </c>
      <c r="Z93" s="112">
        <f t="shared" si="21"/>
        <v>516.33999999999992</v>
      </c>
      <c r="AA93" s="112">
        <f t="shared" si="21"/>
        <v>506.74</v>
      </c>
      <c r="AB93" s="112">
        <f t="shared" si="21"/>
        <v>471.54000000000008</v>
      </c>
      <c r="AC93" s="112">
        <f t="shared" si="21"/>
        <v>440.34000000000003</v>
      </c>
      <c r="AD93" s="112">
        <f t="shared" si="21"/>
        <v>403.14000000000004</v>
      </c>
      <c r="AE93" s="112">
        <f t="shared" si="21"/>
        <v>305.14000000000004</v>
      </c>
      <c r="AF93" s="112">
        <f t="shared" si="21"/>
        <v>235.14</v>
      </c>
      <c r="AG93" s="114"/>
      <c r="AH93" s="53">
        <f>MAX(C93:AF93)</f>
        <v>516.33999999999992</v>
      </c>
      <c r="AI93" s="54">
        <f>MIN(C93:AF93)</f>
        <v>171.44</v>
      </c>
    </row>
    <row r="94" spans="1:88" x14ac:dyDescent="0.25">
      <c r="A94" s="115" t="s">
        <v>98</v>
      </c>
      <c r="B94" s="116">
        <v>-12</v>
      </c>
      <c r="C94" s="57">
        <v>-13</v>
      </c>
      <c r="D94" s="57">
        <v>-23.3</v>
      </c>
      <c r="E94" s="57">
        <v>-21.4</v>
      </c>
      <c r="F94" s="57">
        <v>-15.9</v>
      </c>
      <c r="G94" s="117">
        <v>-3.6</v>
      </c>
      <c r="H94" s="117">
        <v>-3.6</v>
      </c>
      <c r="I94" s="117">
        <v>-5.2</v>
      </c>
      <c r="J94" s="117">
        <v>4.7</v>
      </c>
      <c r="K94" s="117">
        <v>44.3</v>
      </c>
      <c r="L94" s="117">
        <v>61.8</v>
      </c>
      <c r="M94" s="118">
        <v>60.4</v>
      </c>
      <c r="N94" s="117">
        <v>60.9</v>
      </c>
      <c r="O94" s="117">
        <v>66.2</v>
      </c>
      <c r="P94" s="117">
        <v>70</v>
      </c>
      <c r="Q94" s="117">
        <v>41.7</v>
      </c>
      <c r="R94" s="117">
        <v>35.200000000000003</v>
      </c>
      <c r="S94" s="117">
        <v>27.3</v>
      </c>
      <c r="T94" s="117">
        <v>26.9</v>
      </c>
      <c r="U94" s="118">
        <v>25.8</v>
      </c>
      <c r="V94" s="118">
        <v>40.4</v>
      </c>
      <c r="W94" s="118">
        <v>72.7</v>
      </c>
      <c r="X94" s="117">
        <v>61.3</v>
      </c>
      <c r="Y94" s="117">
        <v>64.099999999999994</v>
      </c>
      <c r="Z94" s="117">
        <v>69.2</v>
      </c>
      <c r="AA94" s="117">
        <v>66.3</v>
      </c>
      <c r="AB94" s="118">
        <v>63.4</v>
      </c>
      <c r="AC94" s="118">
        <v>45.2</v>
      </c>
      <c r="AD94" s="118">
        <v>50</v>
      </c>
      <c r="AE94" s="118">
        <v>25</v>
      </c>
      <c r="AF94" s="118">
        <v>-14</v>
      </c>
      <c r="AG94" s="119">
        <v>75</v>
      </c>
      <c r="AH94" s="53">
        <f t="shared" ref="AH94:AH99" si="22">IF(ABS(MAX(C94:AF94))&gt;ABS(MIN(C94:AF94)),MAX(C94:AF94),MIN(C94:AF94))</f>
        <v>72.7</v>
      </c>
      <c r="AI94" s="120">
        <f t="shared" ref="AI94:AI99" si="23">INDEX($C$9:$AF$9,1,MATCH(AH94,C94:AF94,0))</f>
        <v>0.72916666666666663</v>
      </c>
    </row>
    <row r="95" spans="1:88" x14ac:dyDescent="0.25">
      <c r="A95" s="121" t="s">
        <v>99</v>
      </c>
      <c r="B95" s="122">
        <v>-40</v>
      </c>
      <c r="C95" s="59">
        <v>-45</v>
      </c>
      <c r="D95" s="59">
        <v>-48.6</v>
      </c>
      <c r="E95" s="59">
        <v>-48.9</v>
      </c>
      <c r="F95" s="59">
        <v>-48.9</v>
      </c>
      <c r="G95" s="59">
        <v>-46.8</v>
      </c>
      <c r="H95" s="59">
        <v>-46.8</v>
      </c>
      <c r="I95" s="59">
        <v>-26.5</v>
      </c>
      <c r="J95" s="59">
        <v>3</v>
      </c>
      <c r="K95" s="59">
        <v>23.5</v>
      </c>
      <c r="L95" s="59">
        <v>26.8</v>
      </c>
      <c r="M95" s="59">
        <v>31.5</v>
      </c>
      <c r="N95" s="59">
        <f>25+23.3</f>
        <v>48.3</v>
      </c>
      <c r="O95" s="59">
        <f>30.2+25.3</f>
        <v>55.5</v>
      </c>
      <c r="P95" s="59">
        <v>57</v>
      </c>
      <c r="Q95" s="59">
        <v>64</v>
      </c>
      <c r="R95" s="59">
        <f>34.3+29.6</f>
        <v>63.9</v>
      </c>
      <c r="S95" s="59">
        <v>72.5</v>
      </c>
      <c r="T95" s="59">
        <v>72.5</v>
      </c>
      <c r="U95" s="59">
        <v>66.5</v>
      </c>
      <c r="V95" s="59">
        <v>55</v>
      </c>
      <c r="W95" s="59">
        <v>74.3</v>
      </c>
      <c r="X95" s="59">
        <v>93</v>
      </c>
      <c r="Y95" s="59">
        <v>93.9</v>
      </c>
      <c r="Z95" s="59">
        <v>85.8</v>
      </c>
      <c r="AA95" s="59">
        <v>87</v>
      </c>
      <c r="AB95" s="72">
        <v>71.599999999999994</v>
      </c>
      <c r="AC95" s="72">
        <v>58.1</v>
      </c>
      <c r="AD95" s="72">
        <v>41</v>
      </c>
      <c r="AE95" s="72">
        <v>-6</v>
      </c>
      <c r="AF95" s="72">
        <v>-25</v>
      </c>
      <c r="AG95" s="119">
        <v>240</v>
      </c>
      <c r="AH95" s="53">
        <f t="shared" si="22"/>
        <v>93.9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-8</v>
      </c>
      <c r="C96" s="59">
        <v>-13</v>
      </c>
      <c r="D96" s="59">
        <v>-16.3</v>
      </c>
      <c r="E96" s="59">
        <v>-9.3000000000000007</v>
      </c>
      <c r="F96" s="59">
        <v>-12</v>
      </c>
      <c r="G96" s="59">
        <v>-14.1</v>
      </c>
      <c r="H96" s="59">
        <v>-14.1</v>
      </c>
      <c r="I96" s="59">
        <v>-2.2000000000000002</v>
      </c>
      <c r="J96" s="59">
        <v>0.9</v>
      </c>
      <c r="K96" s="59">
        <v>14.2</v>
      </c>
      <c r="L96" s="59">
        <v>22.2</v>
      </c>
      <c r="M96" s="59">
        <v>42.9</v>
      </c>
      <c r="N96" s="59">
        <v>32.200000000000003</v>
      </c>
      <c r="O96" s="59">
        <v>59.4</v>
      </c>
      <c r="P96" s="59">
        <v>61</v>
      </c>
      <c r="Q96" s="59">
        <v>50</v>
      </c>
      <c r="R96" s="59">
        <v>49.5</v>
      </c>
      <c r="S96" s="59">
        <v>54</v>
      </c>
      <c r="T96" s="59">
        <v>57.6</v>
      </c>
      <c r="U96" s="59">
        <v>52.2</v>
      </c>
      <c r="V96" s="59">
        <v>54</v>
      </c>
      <c r="W96" s="59">
        <v>59</v>
      </c>
      <c r="X96" s="59">
        <v>64.599999999999994</v>
      </c>
      <c r="Y96" s="59">
        <v>62.7</v>
      </c>
      <c r="Z96" s="59">
        <v>63.2</v>
      </c>
      <c r="AA96" s="59">
        <v>59.7</v>
      </c>
      <c r="AB96" s="72">
        <v>56.5</v>
      </c>
      <c r="AC96" s="72">
        <v>47.2</v>
      </c>
      <c r="AD96" s="72">
        <v>30</v>
      </c>
      <c r="AE96" s="72">
        <v>4</v>
      </c>
      <c r="AF96" s="72">
        <v>3</v>
      </c>
      <c r="AG96" s="119">
        <v>60</v>
      </c>
      <c r="AH96" s="53">
        <f t="shared" si="22"/>
        <v>64.599999999999994</v>
      </c>
      <c r="AI96" s="120">
        <f t="shared" si="23"/>
        <v>0.75</v>
      </c>
    </row>
    <row r="97" spans="1:37" x14ac:dyDescent="0.25">
      <c r="A97" s="123" t="s">
        <v>101</v>
      </c>
      <c r="B97" s="124">
        <v>76</v>
      </c>
      <c r="C97" s="62">
        <v>74</v>
      </c>
      <c r="D97" s="62">
        <v>78</v>
      </c>
      <c r="E97" s="62">
        <v>70.7</v>
      </c>
      <c r="F97" s="62">
        <v>69.2</v>
      </c>
      <c r="G97" s="62">
        <v>74.3</v>
      </c>
      <c r="H97" s="62">
        <v>74.3</v>
      </c>
      <c r="I97" s="62">
        <v>96.1</v>
      </c>
      <c r="J97" s="62">
        <v>100.5</v>
      </c>
      <c r="K97" s="62">
        <v>87</v>
      </c>
      <c r="L97" s="62">
        <v>98.5</v>
      </c>
      <c r="M97" s="62">
        <v>100.6</v>
      </c>
      <c r="N97" s="62">
        <v>122.3</v>
      </c>
      <c r="O97" s="62">
        <v>101.5</v>
      </c>
      <c r="P97" s="62">
        <v>102</v>
      </c>
      <c r="Q97" s="62">
        <v>108</v>
      </c>
      <c r="R97" s="62">
        <v>117.5</v>
      </c>
      <c r="S97" s="62">
        <v>115.6</v>
      </c>
      <c r="T97" s="62">
        <v>155.6</v>
      </c>
      <c r="U97" s="62">
        <v>113</v>
      </c>
      <c r="V97" s="62">
        <v>120</v>
      </c>
      <c r="W97" s="62">
        <v>90.8</v>
      </c>
      <c r="X97" s="62">
        <v>105</v>
      </c>
      <c r="Y97" s="62">
        <v>106</v>
      </c>
      <c r="Z97" s="62">
        <v>108.8</v>
      </c>
      <c r="AA97" s="62">
        <v>104.4</v>
      </c>
      <c r="AB97" s="125">
        <v>93.1</v>
      </c>
      <c r="AC97" s="125">
        <v>102.7</v>
      </c>
      <c r="AD97" s="125">
        <v>95</v>
      </c>
      <c r="AE97" s="125">
        <v>94</v>
      </c>
      <c r="AF97" s="125">
        <v>83</v>
      </c>
      <c r="AG97" s="126">
        <v>120</v>
      </c>
      <c r="AH97" s="53">
        <f t="shared" si="22"/>
        <v>155.6</v>
      </c>
      <c r="AI97" s="120">
        <f t="shared" si="23"/>
        <v>0.625</v>
      </c>
    </row>
    <row r="98" spans="1:37" x14ac:dyDescent="0.25">
      <c r="A98" s="123" t="s">
        <v>102</v>
      </c>
      <c r="B98" s="124">
        <v>82</v>
      </c>
      <c r="C98" s="62">
        <v>82</v>
      </c>
      <c r="D98" s="62">
        <v>85.9</v>
      </c>
      <c r="E98" s="62">
        <v>76.7</v>
      </c>
      <c r="F98" s="62">
        <v>77.8</v>
      </c>
      <c r="G98" s="62">
        <v>80.599999999999994</v>
      </c>
      <c r="H98" s="62">
        <v>80.599999999999994</v>
      </c>
      <c r="I98" s="62">
        <v>96.2</v>
      </c>
      <c r="J98" s="62">
        <v>87.1</v>
      </c>
      <c r="K98" s="62">
        <v>72.7</v>
      </c>
      <c r="L98" s="62">
        <v>70.8</v>
      </c>
      <c r="M98" s="62">
        <v>54.3</v>
      </c>
      <c r="N98" s="62">
        <v>86.6</v>
      </c>
      <c r="O98" s="62">
        <v>68.7</v>
      </c>
      <c r="P98" s="62">
        <v>68.7</v>
      </c>
      <c r="Q98" s="62">
        <v>88</v>
      </c>
      <c r="R98" s="62">
        <v>93.6</v>
      </c>
      <c r="S98" s="62">
        <v>103.2</v>
      </c>
      <c r="T98" s="62">
        <v>99</v>
      </c>
      <c r="U98" s="62">
        <v>101.9</v>
      </c>
      <c r="V98" s="62">
        <v>75</v>
      </c>
      <c r="W98" s="62">
        <v>74.8</v>
      </c>
      <c r="X98" s="62">
        <v>98</v>
      </c>
      <c r="Y98" s="62">
        <v>102</v>
      </c>
      <c r="Z98" s="62">
        <v>88.2</v>
      </c>
      <c r="AA98" s="62">
        <v>92.8</v>
      </c>
      <c r="AB98" s="125">
        <v>76.599999999999994</v>
      </c>
      <c r="AC98" s="125">
        <v>79.2</v>
      </c>
      <c r="AD98" s="125">
        <v>73</v>
      </c>
      <c r="AE98" s="125">
        <v>92</v>
      </c>
      <c r="AF98" s="125">
        <v>88</v>
      </c>
      <c r="AG98" s="126"/>
      <c r="AH98" s="53">
        <f t="shared" si="22"/>
        <v>103.2</v>
      </c>
      <c r="AI98" s="120">
        <f t="shared" si="23"/>
        <v>0.58333333333333304</v>
      </c>
    </row>
    <row r="99" spans="1:37" ht="15.75" thickBot="1" x14ac:dyDescent="0.3">
      <c r="A99" s="123" t="s">
        <v>103</v>
      </c>
      <c r="B99" s="124">
        <v>65.5</v>
      </c>
      <c r="C99" s="62">
        <v>61</v>
      </c>
      <c r="D99" s="62">
        <v>70.099999999999994</v>
      </c>
      <c r="E99" s="62">
        <v>70</v>
      </c>
      <c r="F99" s="62">
        <v>58.7</v>
      </c>
      <c r="G99" s="62">
        <v>62.4</v>
      </c>
      <c r="H99" s="62">
        <v>62.4</v>
      </c>
      <c r="I99" s="62">
        <v>53.4</v>
      </c>
      <c r="J99" s="62">
        <v>43.9</v>
      </c>
      <c r="K99" s="62">
        <v>32</v>
      </c>
      <c r="L99" s="62">
        <v>17.3</v>
      </c>
      <c r="M99" s="62">
        <v>16.8</v>
      </c>
      <c r="N99" s="62">
        <v>0</v>
      </c>
      <c r="O99" s="62">
        <v>6.5</v>
      </c>
      <c r="P99" s="62">
        <v>6.5</v>
      </c>
      <c r="Q99" s="62">
        <v>22.5</v>
      </c>
      <c r="R99" s="62">
        <v>22.5</v>
      </c>
      <c r="S99" s="62">
        <v>28.9</v>
      </c>
      <c r="T99" s="62">
        <v>26.3</v>
      </c>
      <c r="U99" s="62">
        <v>34.4</v>
      </c>
      <c r="V99" s="62">
        <v>26.3</v>
      </c>
      <c r="W99" s="62">
        <v>7.8</v>
      </c>
      <c r="X99" s="62">
        <v>22.4</v>
      </c>
      <c r="Y99" s="62">
        <v>17.100000000000001</v>
      </c>
      <c r="Z99" s="62">
        <v>14.6</v>
      </c>
      <c r="AA99" s="62">
        <v>19.5</v>
      </c>
      <c r="AB99" s="125">
        <v>24.1</v>
      </c>
      <c r="AC99" s="125">
        <v>26.1</v>
      </c>
      <c r="AD99" s="125">
        <v>21</v>
      </c>
      <c r="AE99" s="125">
        <v>38</v>
      </c>
      <c r="AF99" s="125">
        <v>74</v>
      </c>
      <c r="AG99" s="127"/>
      <c r="AH99" s="53">
        <f t="shared" si="22"/>
        <v>74</v>
      </c>
      <c r="AI99" s="120">
        <f t="shared" si="23"/>
        <v>0.95833333333333304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1571.3400000000001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2078/09/6)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980.04</v>
      </c>
      <c r="U213" s="173">
        <f t="shared" si="60"/>
        <v>957.44</v>
      </c>
      <c r="V213" s="173">
        <f t="shared" si="60"/>
        <v>930.64</v>
      </c>
      <c r="W213" s="173">
        <f t="shared" si="60"/>
        <v>919.13999999999987</v>
      </c>
      <c r="X213" s="173">
        <f t="shared" si="60"/>
        <v>912.04</v>
      </c>
      <c r="Y213" s="173">
        <f t="shared" si="60"/>
        <v>975.54</v>
      </c>
      <c r="Z213" s="173">
        <f t="shared" si="60"/>
        <v>1019.54</v>
      </c>
      <c r="AA213" s="173">
        <f t="shared" si="60"/>
        <v>1090.1400000000001</v>
      </c>
      <c r="AB213" s="173">
        <f t="shared" si="60"/>
        <v>1208.44</v>
      </c>
      <c r="AC213" s="173">
        <f t="shared" si="60"/>
        <v>1369.74</v>
      </c>
      <c r="AD213" s="173">
        <f t="shared" si="60"/>
        <v>1458.74</v>
      </c>
      <c r="AE213" s="173">
        <f t="shared" si="60"/>
        <v>1517.44</v>
      </c>
      <c r="AF213" s="173">
        <f t="shared" si="60"/>
        <v>1571.3400000000001</v>
      </c>
      <c r="AG213" s="173">
        <f t="shared" si="60"/>
        <v>1541.6399999999999</v>
      </c>
      <c r="AH213" s="173">
        <f t="shared" si="60"/>
        <v>1455.74</v>
      </c>
      <c r="AI213" s="173">
        <f t="shared" si="60"/>
        <v>1487.94</v>
      </c>
      <c r="AJ213" s="173">
        <f t="shared" si="60"/>
        <v>1436.6399999999999</v>
      </c>
      <c r="AK213" s="173">
        <f t="shared" si="60"/>
        <v>1426.24</v>
      </c>
      <c r="AL213" s="173">
        <f t="shared" si="60"/>
        <v>1431.24</v>
      </c>
      <c r="AM213" s="173">
        <f t="shared" si="60"/>
        <v>1440.84</v>
      </c>
      <c r="AN213" s="173">
        <f t="shared" si="60"/>
        <v>1471.24</v>
      </c>
      <c r="AO213" s="173">
        <f t="shared" si="60"/>
        <v>1531.7400000000002</v>
      </c>
      <c r="AP213" s="173">
        <f t="shared" si="60"/>
        <v>1631.94</v>
      </c>
      <c r="AQ213" s="173">
        <f t="shared" si="60"/>
        <v>1688.64</v>
      </c>
      <c r="AR213" s="173">
        <f t="shared" si="60"/>
        <v>1606.44</v>
      </c>
      <c r="AS213" s="173">
        <f t="shared" si="60"/>
        <v>1587.1399999999999</v>
      </c>
      <c r="AT213" s="173">
        <f t="shared" si="60"/>
        <v>1481.54</v>
      </c>
      <c r="AU213" s="173">
        <f t="shared" si="60"/>
        <v>1393.44</v>
      </c>
      <c r="AV213" s="173">
        <f t="shared" si="60"/>
        <v>1278.8399999999999</v>
      </c>
      <c r="AW213" s="173">
        <f t="shared" si="60"/>
        <v>1126.74</v>
      </c>
      <c r="AX213" s="173">
        <f t="shared" si="60"/>
        <v>1026.74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 C57:L59 D63:D67 P39:R39 D60:M61 P40:Q42 R40:T41 M58:M59 X85:AA91 AB81:AF81 B81:R81 C56:AF56 B82:AF83 D193:AF199 B193:B199 C68:AF72 B84:B91 B73:AF80 B9:AF10 B191:AF191 AF57:AF62 B53:B72 AG73 AB94:AF99 B94:B99 U212:AF212 C60:C67 B36:M36 M39:P42 Q42:R42 N36:R37 R39:R42 S58:W59 N58:R61 W11:AE11 M11:V14 M16:X17 W12:X14 N45:X48 U40:Z42 M31:X32 AB84:AF91 Z40:AE43 AB16:AF17 AB28:AF29 AB12:AF14 S36:AF36 AB31:AF31 AF42:AF43 M53:AF55 AB19:AF26 M19:AA29">
    <cfRule type="expression" dxfId="10420" priority="251">
      <formula>B$9&gt;=20/24</formula>
    </cfRule>
    <cfRule type="expression" dxfId="10419" priority="252">
      <formula>AND(B$9&gt;=14/24,B$9&lt;20/24)</formula>
    </cfRule>
    <cfRule type="expression" dxfId="10418" priority="253">
      <formula>AND(B$9&gt;=8/24,B$9&lt;14/24)</formula>
    </cfRule>
    <cfRule type="expression" dxfId="10417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416" priority="246">
      <formula>M$9&gt;=20/24</formula>
    </cfRule>
    <cfRule type="expression" dxfId="10415" priority="247">
      <formula>AND(M$9&gt;=14/24,M$9&lt;20/24)</formula>
    </cfRule>
    <cfRule type="expression" dxfId="10414" priority="248">
      <formula>AND(M$9&gt;=8/24,M$9&lt;14/24)</formula>
    </cfRule>
    <cfRule type="expression" dxfId="10413" priority="249">
      <formula>M$9&lt;8/24</formula>
    </cfRule>
  </conditionalFormatting>
  <conditionalFormatting sqref="M43:R43">
    <cfRule type="expression" dxfId="10412" priority="242">
      <formula>M$9&gt;=20/24</formula>
    </cfRule>
    <cfRule type="expression" dxfId="10411" priority="243">
      <formula>AND(M$9&gt;=14/24,M$9&lt;20/24)</formula>
    </cfRule>
    <cfRule type="expression" dxfId="10410" priority="244">
      <formula>AND(M$9&gt;=8/24,M$9&lt;14/24)</formula>
    </cfRule>
    <cfRule type="expression" dxfId="10409" priority="245">
      <formula>M$9&lt;8/24</formula>
    </cfRule>
  </conditionalFormatting>
  <conditionalFormatting sqref="AB32:AF32">
    <cfRule type="expression" dxfId="10408" priority="238">
      <formula>AB$9&gt;=20/24</formula>
    </cfRule>
    <cfRule type="expression" dxfId="10407" priority="239">
      <formula>AND(AB$9&gt;=14/24,AB$9&lt;20/24)</formula>
    </cfRule>
    <cfRule type="expression" dxfId="10406" priority="240">
      <formula>AND(AB$9&gt;=8/24,AB$9&lt;14/24)</formula>
    </cfRule>
    <cfRule type="expression" dxfId="10405" priority="241">
      <formula>AB$9&lt;8/24</formula>
    </cfRule>
  </conditionalFormatting>
  <conditionalFormatting sqref="S39:AE39">
    <cfRule type="expression" dxfId="10404" priority="234">
      <formula>S$9&gt;=20/24</formula>
    </cfRule>
    <cfRule type="expression" dxfId="10403" priority="235">
      <formula>AND(S$9&gt;=14/24,S$9&lt;20/24)</formula>
    </cfRule>
    <cfRule type="expression" dxfId="10402" priority="236">
      <formula>AND(S$9&gt;=8/24,S$9&lt;14/24)</formula>
    </cfRule>
    <cfRule type="expression" dxfId="10401" priority="237">
      <formula>S$9&lt;8/24</formula>
    </cfRule>
  </conditionalFormatting>
  <conditionalFormatting sqref="S57:AE57">
    <cfRule type="expression" dxfId="10400" priority="230">
      <formula>S$9&gt;=20/24</formula>
    </cfRule>
    <cfRule type="expression" dxfId="10399" priority="231">
      <formula>AND(S$9&gt;=14/24,S$9&lt;20/24)</formula>
    </cfRule>
    <cfRule type="expression" dxfId="10398" priority="232">
      <formula>AND(S$9&gt;=8/24,S$9&lt;14/24)</formula>
    </cfRule>
    <cfRule type="expression" dxfId="10397" priority="233">
      <formula>S$9&lt;8/24</formula>
    </cfRule>
  </conditionalFormatting>
  <conditionalFormatting sqref="S81:AA81">
    <cfRule type="expression" dxfId="10396" priority="226">
      <formula>S$9&gt;=20/24</formula>
    </cfRule>
    <cfRule type="expression" dxfId="10395" priority="227">
      <formula>AND(S$9&gt;=14/24,S$9&lt;20/24)</formula>
    </cfRule>
    <cfRule type="expression" dxfId="10394" priority="228">
      <formula>AND(S$9&gt;=8/24,S$9&lt;14/24)</formula>
    </cfRule>
    <cfRule type="expression" dxfId="10393" priority="229">
      <formula>S$9&lt;8/24</formula>
    </cfRule>
  </conditionalFormatting>
  <conditionalFormatting sqref="U84:AA84">
    <cfRule type="expression" dxfId="10392" priority="222">
      <formula>U$9&gt;=20/24</formula>
    </cfRule>
    <cfRule type="expression" dxfId="10391" priority="223">
      <formula>AND(U$9&gt;=14/24,U$9&lt;20/24)</formula>
    </cfRule>
    <cfRule type="expression" dxfId="10390" priority="224">
      <formula>AND(U$9&gt;=8/24,U$9&lt;14/24)</formula>
    </cfRule>
    <cfRule type="expression" dxfId="10389" priority="225">
      <formula>U$9&lt;8/24</formula>
    </cfRule>
  </conditionalFormatting>
  <conditionalFormatting sqref="M35:X35">
    <cfRule type="expression" dxfId="10388" priority="218">
      <formula>M$9&gt;=20/24</formula>
    </cfRule>
    <cfRule type="expression" dxfId="10387" priority="219">
      <formula>AND(M$9&gt;=14/24,M$9&lt;20/24)</formula>
    </cfRule>
    <cfRule type="expression" dxfId="10386" priority="220">
      <formula>AND(M$9&gt;=8/24,M$9&lt;14/24)</formula>
    </cfRule>
    <cfRule type="expression" dxfId="10385" priority="221">
      <formula>M$9&lt;8/24</formula>
    </cfRule>
  </conditionalFormatting>
  <conditionalFormatting sqref="M49:X49">
    <cfRule type="expression" dxfId="10384" priority="214">
      <formula>M$9&gt;=20/24</formula>
    </cfRule>
    <cfRule type="expression" dxfId="10383" priority="215">
      <formula>AND(M$9&gt;=14/24,M$9&lt;20/24)</formula>
    </cfRule>
    <cfRule type="expression" dxfId="10382" priority="216">
      <formula>AND(M$9&gt;=8/24,M$9&lt;14/24)</formula>
    </cfRule>
    <cfRule type="expression" dxfId="10381" priority="217">
      <formula>M$9&lt;8/24</formula>
    </cfRule>
  </conditionalFormatting>
  <conditionalFormatting sqref="M50:X50">
    <cfRule type="expression" dxfId="10380" priority="210">
      <formula>M$9&gt;=20/24</formula>
    </cfRule>
    <cfRule type="expression" dxfId="10379" priority="211">
      <formula>AND(M$9&gt;=14/24,M$9&lt;20/24)</formula>
    </cfRule>
    <cfRule type="expression" dxfId="10378" priority="212">
      <formula>AND(M$9&gt;=8/24,M$9&lt;14/24)</formula>
    </cfRule>
    <cfRule type="expression" dxfId="10377" priority="213">
      <formula>M$9&lt;8/24</formula>
    </cfRule>
  </conditionalFormatting>
  <conditionalFormatting sqref="M45:X48">
    <cfRule type="expression" dxfId="10376" priority="206">
      <formula>M$9&gt;=20/24</formula>
    </cfRule>
    <cfRule type="expression" dxfId="10375" priority="207">
      <formula>AND(M$9&gt;=14/24,M$9&lt;20/24)</formula>
    </cfRule>
    <cfRule type="expression" dxfId="10374" priority="208">
      <formula>AND(M$9&gt;=8/24,M$9&lt;14/24)</formula>
    </cfRule>
    <cfRule type="expression" dxfId="10373" priority="209">
      <formula>M$9&lt;8/24</formula>
    </cfRule>
  </conditionalFormatting>
  <conditionalFormatting sqref="S37:AF37">
    <cfRule type="expression" dxfId="10372" priority="202">
      <formula>S$9&gt;=20/24</formula>
    </cfRule>
    <cfRule type="expression" dxfId="10371" priority="203">
      <formula>AND(S$9&gt;=14/24,S$9&lt;20/24)</formula>
    </cfRule>
    <cfRule type="expression" dxfId="10370" priority="204">
      <formula>AND(S$9&gt;=8/24,S$9&lt;14/24)</formula>
    </cfRule>
    <cfRule type="expression" dxfId="10369" priority="205">
      <formula>S$9&lt;8/24</formula>
    </cfRule>
  </conditionalFormatting>
  <conditionalFormatting sqref="Y31:AA32 Y35:AF35">
    <cfRule type="expression" dxfId="10368" priority="198">
      <formula>Y$9&gt;=20/24</formula>
    </cfRule>
    <cfRule type="expression" dxfId="10367" priority="199">
      <formula>AND(Y$9&gt;=14/24,Y$9&lt;20/24)</formula>
    </cfRule>
    <cfRule type="expression" dxfId="10366" priority="200">
      <formula>AND(Y$9&gt;=8/24,Y$9&lt;14/24)</formula>
    </cfRule>
    <cfRule type="expression" dxfId="10365" priority="201">
      <formula>Y$9&lt;8/24</formula>
    </cfRule>
  </conditionalFormatting>
  <conditionalFormatting sqref="S42:T43 T43:AA43 S45:AF48">
    <cfRule type="expression" dxfId="10364" priority="194">
      <formula>S$9&gt;=20/24</formula>
    </cfRule>
    <cfRule type="expression" dxfId="10363" priority="195">
      <formula>AND(S$9&gt;=14/24,S$9&lt;20/24)</formula>
    </cfRule>
    <cfRule type="expression" dxfId="10362" priority="196">
      <formula>AND(S$9&gt;=8/24,S$9&lt;14/24)</formula>
    </cfRule>
    <cfRule type="expression" dxfId="10361" priority="197">
      <formula>S$9&lt;8/24</formula>
    </cfRule>
  </conditionalFormatting>
  <conditionalFormatting sqref="S49:AF49">
    <cfRule type="expression" dxfId="10360" priority="190">
      <formula>S$9&gt;=20/24</formula>
    </cfRule>
    <cfRule type="expression" dxfId="10359" priority="191">
      <formula>AND(S$9&gt;=14/24,S$9&lt;20/24)</formula>
    </cfRule>
    <cfRule type="expression" dxfId="10358" priority="192">
      <formula>AND(S$9&gt;=8/24,S$9&lt;14/24)</formula>
    </cfRule>
    <cfRule type="expression" dxfId="10357" priority="193">
      <formula>S$9&lt;8/24</formula>
    </cfRule>
  </conditionalFormatting>
  <conditionalFormatting sqref="S50:AF50">
    <cfRule type="expression" dxfId="10356" priority="186">
      <formula>S$9&gt;=20/24</formula>
    </cfRule>
    <cfRule type="expression" dxfId="10355" priority="187">
      <formula>AND(S$9&gt;=14/24,S$9&lt;20/24)</formula>
    </cfRule>
    <cfRule type="expression" dxfId="10354" priority="188">
      <formula>AND(S$9&gt;=8/24,S$9&lt;14/24)</formula>
    </cfRule>
    <cfRule type="expression" dxfId="10353" priority="189">
      <formula>S$9&lt;8/24</formula>
    </cfRule>
  </conditionalFormatting>
  <conditionalFormatting sqref="S60:T67 X60:AE61 Y62:AE62 Y63:AF67">
    <cfRule type="expression" dxfId="10352" priority="182">
      <formula>S$9&gt;=20/24</formula>
    </cfRule>
    <cfRule type="expression" dxfId="10351" priority="183">
      <formula>AND(S$9&gt;=14/24,S$9&lt;20/24)</formula>
    </cfRule>
    <cfRule type="expression" dxfId="10350" priority="184">
      <formula>AND(S$9&gt;=8/24,S$9&lt;14/24)</formula>
    </cfRule>
    <cfRule type="expression" dxfId="10349" priority="185">
      <formula>S$9&lt;8/24</formula>
    </cfRule>
  </conditionalFormatting>
  <conditionalFormatting sqref="D62:I62 I63:I67 J62:L67">
    <cfRule type="expression" dxfId="10348" priority="178">
      <formula>D$9&gt;=20/24</formula>
    </cfRule>
    <cfRule type="expression" dxfId="10347" priority="179">
      <formula>AND(D$9&gt;=14/24,D$9&lt;20/24)</formula>
    </cfRule>
    <cfRule type="expression" dxfId="10346" priority="180">
      <formula>AND(D$9&gt;=8/24,D$9&lt;14/24)</formula>
    </cfRule>
    <cfRule type="expression" dxfId="10345" priority="181">
      <formula>D$9&lt;8/24</formula>
    </cfRule>
  </conditionalFormatting>
  <conditionalFormatting sqref="U94:AA97">
    <cfRule type="expression" dxfId="10344" priority="174">
      <formula>U$9&gt;=20/24</formula>
    </cfRule>
    <cfRule type="expression" dxfId="10343" priority="175">
      <formula>AND(U$9&gt;=14/24,U$9&lt;20/24)</formula>
    </cfRule>
    <cfRule type="expression" dxfId="10342" priority="176">
      <formula>AND(U$9&gt;=8/24,U$9&lt;14/24)</formula>
    </cfRule>
    <cfRule type="expression" dxfId="10341" priority="177">
      <formula>U$9&lt;8/24</formula>
    </cfRule>
  </conditionalFormatting>
  <conditionalFormatting sqref="AG51 D11:M11 B11:C16 D12:E16 F16:J16 B17:J17 F12:M14 W11:AF11 N11:V14 K16:X17 W12:X14 AB12:AF17 B34:AF56 B18:AF32">
    <cfRule type="expression" dxfId="10340" priority="173">
      <formula>B11&gt;$AG11</formula>
    </cfRule>
  </conditionalFormatting>
  <conditionalFormatting sqref="A100:A156 A84:A97 A11:A14 A16:A32 A45:A72 A80:A82 A74:A78 A35:A43 A169:A199">
    <cfRule type="expression" dxfId="10339" priority="172">
      <formula>$AH11=0</formula>
    </cfRule>
  </conditionalFormatting>
  <conditionalFormatting sqref="U98:AA98">
    <cfRule type="expression" dxfId="10338" priority="168">
      <formula>U$9&gt;=20/24</formula>
    </cfRule>
    <cfRule type="expression" dxfId="10337" priority="169">
      <formula>AND(U$9&gt;=14/24,U$9&lt;20/24)</formula>
    </cfRule>
    <cfRule type="expression" dxfId="10336" priority="170">
      <formula>AND(U$9&gt;=8/24,U$9&lt;14/24)</formula>
    </cfRule>
    <cfRule type="expression" dxfId="10335" priority="171">
      <formula>U$9&lt;8/24</formula>
    </cfRule>
  </conditionalFormatting>
  <conditionalFormatting sqref="A98">
    <cfRule type="expression" dxfId="10334" priority="167">
      <formula>$AH98=0</formula>
    </cfRule>
  </conditionalFormatting>
  <conditionalFormatting sqref="E63:H67">
    <cfRule type="expression" dxfId="10333" priority="159">
      <formula>E$9&gt;=20/24</formula>
    </cfRule>
    <cfRule type="expression" dxfId="10332" priority="160">
      <formula>AND(E$9&gt;=14/24,E$9&lt;20/24)</formula>
    </cfRule>
    <cfRule type="expression" dxfId="10331" priority="161">
      <formula>AND(E$9&gt;=8/24,E$9&lt;14/24)</formula>
    </cfRule>
    <cfRule type="expression" dxfId="10330" priority="162">
      <formula>E$9&lt;8/24</formula>
    </cfRule>
  </conditionalFormatting>
  <conditionalFormatting sqref="M62:R67">
    <cfRule type="expression" dxfId="10329" priority="155">
      <formula>M$9&gt;=20/24</formula>
    </cfRule>
    <cfRule type="expression" dxfId="10328" priority="156">
      <formula>AND(M$9&gt;=14/24,M$9&lt;20/24)</formula>
    </cfRule>
    <cfRule type="expression" dxfId="10327" priority="157">
      <formula>AND(M$9&gt;=8/24,M$9&lt;14/24)</formula>
    </cfRule>
    <cfRule type="expression" dxfId="10326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10325" priority="150">
      <formula>AB$9&gt;=20/24</formula>
    </cfRule>
    <cfRule type="expression" dxfId="10324" priority="151">
      <formula>AND(AB$9&gt;=14/24,AB$9&lt;20/24)</formula>
    </cfRule>
    <cfRule type="expression" dxfId="10323" priority="152">
      <formula>AND(AB$9&gt;=8/24,AB$9&lt;14/24)</formula>
    </cfRule>
    <cfRule type="expression" dxfId="10322" priority="153">
      <formula>AB$9&lt;8/24</formula>
    </cfRule>
  </conditionalFormatting>
  <conditionalFormatting sqref="M34:X34">
    <cfRule type="expression" dxfId="10321" priority="146">
      <formula>M$9&gt;=20/24</formula>
    </cfRule>
    <cfRule type="expression" dxfId="10320" priority="147">
      <formula>AND(M$9&gt;=14/24,M$9&lt;20/24)</formula>
    </cfRule>
    <cfRule type="expression" dxfId="10319" priority="148">
      <formula>AND(M$9&gt;=8/24,M$9&lt;14/24)</formula>
    </cfRule>
    <cfRule type="expression" dxfId="10318" priority="149">
      <formula>M$9&lt;8/24</formula>
    </cfRule>
  </conditionalFormatting>
  <conditionalFormatting sqref="Y34:AA34">
    <cfRule type="expression" dxfId="10317" priority="142">
      <formula>Y$9&gt;=20/24</formula>
    </cfRule>
    <cfRule type="expression" dxfId="10316" priority="143">
      <formula>AND(Y$9&gt;=14/24,Y$9&lt;20/24)</formula>
    </cfRule>
    <cfRule type="expression" dxfId="10315" priority="144">
      <formula>AND(Y$9&gt;=8/24,Y$9&lt;14/24)</formula>
    </cfRule>
    <cfRule type="expression" dxfId="10314" priority="145">
      <formula>Y$9&lt;8/24</formula>
    </cfRule>
  </conditionalFormatting>
  <conditionalFormatting sqref="A34">
    <cfRule type="expression" dxfId="10313" priority="141">
      <formula>$AH34=0</formula>
    </cfRule>
  </conditionalFormatting>
  <conditionalFormatting sqref="A83">
    <cfRule type="expression" dxfId="10312" priority="140">
      <formula>$AH83=0</formula>
    </cfRule>
  </conditionalFormatting>
  <conditionalFormatting sqref="AB15:AF15">
    <cfRule type="expression" dxfId="10311" priority="136">
      <formula>AB$9&gt;=20/24</formula>
    </cfRule>
    <cfRule type="expression" dxfId="10310" priority="137">
      <formula>AND(AB$9&gt;=14/24,AB$9&lt;20/24)</formula>
    </cfRule>
    <cfRule type="expression" dxfId="10309" priority="138">
      <formula>AND(AB$9&gt;=8/24,AB$9&lt;14/24)</formula>
    </cfRule>
    <cfRule type="expression" dxfId="10308" priority="139">
      <formula>AB$9&lt;8/24</formula>
    </cfRule>
  </conditionalFormatting>
  <conditionalFormatting sqref="M15:X15">
    <cfRule type="expression" dxfId="10307" priority="132">
      <formula>M$9&gt;=20/24</formula>
    </cfRule>
    <cfRule type="expression" dxfId="10306" priority="133">
      <formula>AND(M$9&gt;=14/24,M$9&lt;20/24)</formula>
    </cfRule>
    <cfRule type="expression" dxfId="10305" priority="134">
      <formula>AND(M$9&gt;=8/24,M$9&lt;14/24)</formula>
    </cfRule>
    <cfRule type="expression" dxfId="10304" priority="135">
      <formula>M$9&lt;8/24</formula>
    </cfRule>
  </conditionalFormatting>
  <conditionalFormatting sqref="F15:X15">
    <cfRule type="expression" dxfId="10303" priority="131">
      <formula>F15&gt;$AG15</formula>
    </cfRule>
  </conditionalFormatting>
  <conditionalFormatting sqref="A15">
    <cfRule type="expression" dxfId="10302" priority="130">
      <formula>$AH15=0</formula>
    </cfRule>
  </conditionalFormatting>
  <conditionalFormatting sqref="A163:A168">
    <cfRule type="expression" dxfId="10301" priority="129">
      <formula>$AH163=0</formula>
    </cfRule>
  </conditionalFormatting>
  <conditionalFormatting sqref="A157:A162">
    <cfRule type="expression" dxfId="10300" priority="128">
      <formula>$AH157=0</formula>
    </cfRule>
  </conditionalFormatting>
  <conditionalFormatting sqref="Z44:AF44">
    <cfRule type="expression" dxfId="10299" priority="124">
      <formula>Z$9&gt;=20/24</formula>
    </cfRule>
    <cfRule type="expression" dxfId="10298" priority="125">
      <formula>AND(Z$9&gt;=14/24,Z$9&lt;20/24)</formula>
    </cfRule>
    <cfRule type="expression" dxfId="10297" priority="126">
      <formula>AND(Z$9&gt;=8/24,Z$9&lt;14/24)</formula>
    </cfRule>
    <cfRule type="expression" dxfId="10296" priority="127">
      <formula>Z$9&lt;8/24</formula>
    </cfRule>
  </conditionalFormatting>
  <conditionalFormatting sqref="M44:T44">
    <cfRule type="expression" dxfId="10295" priority="120">
      <formula>M$9&gt;=20/24</formula>
    </cfRule>
    <cfRule type="expression" dxfId="10294" priority="121">
      <formula>AND(M$9&gt;=14/24,M$9&lt;20/24)</formula>
    </cfRule>
    <cfRule type="expression" dxfId="10293" priority="122">
      <formula>AND(M$9&gt;=8/24,M$9&lt;14/24)</formula>
    </cfRule>
    <cfRule type="expression" dxfId="10292" priority="123">
      <formula>M$9&lt;8/24</formula>
    </cfRule>
  </conditionalFormatting>
  <conditionalFormatting sqref="S44:AA44">
    <cfRule type="expression" dxfId="10291" priority="116">
      <formula>S$9&gt;=20/24</formula>
    </cfRule>
    <cfRule type="expression" dxfId="10290" priority="117">
      <formula>AND(S$9&gt;=14/24,S$9&lt;20/24)</formula>
    </cfRule>
    <cfRule type="expression" dxfId="10289" priority="118">
      <formula>AND(S$9&gt;=8/24,S$9&lt;14/24)</formula>
    </cfRule>
    <cfRule type="expression" dxfId="10288" priority="119">
      <formula>S$9&lt;8/24</formula>
    </cfRule>
  </conditionalFormatting>
  <conditionalFormatting sqref="A44">
    <cfRule type="expression" dxfId="10287" priority="115">
      <formula>$AH44=0</formula>
    </cfRule>
  </conditionalFormatting>
  <conditionalFormatting sqref="A79">
    <cfRule type="expression" dxfId="10286" priority="114">
      <formula>$AH79=0</formula>
    </cfRule>
  </conditionalFormatting>
  <conditionalFormatting sqref="A73">
    <cfRule type="expression" dxfId="10285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 X62:X67">
    <cfRule type="expression" dxfId="10284" priority="109">
      <formula>U$9&gt;=20/24</formula>
    </cfRule>
    <cfRule type="expression" dxfId="10283" priority="110">
      <formula>AND(U$9&gt;=14/24,U$9&lt;20/24)</formula>
    </cfRule>
    <cfRule type="expression" dxfId="10282" priority="111">
      <formula>AND(U$9&gt;=8/24,U$9&lt;14/24)</formula>
    </cfRule>
    <cfRule type="expression" dxfId="10281" priority="112">
      <formula>U$9&lt;8/24</formula>
    </cfRule>
  </conditionalFormatting>
  <conditionalFormatting sqref="U85:W91">
    <cfRule type="expression" dxfId="10280" priority="105">
      <formula>U$9&gt;=20/24</formula>
    </cfRule>
    <cfRule type="expression" dxfId="10279" priority="106">
      <formula>AND(U$9&gt;=14/24,U$9&lt;20/24)</formula>
    </cfRule>
    <cfRule type="expression" dxfId="10278" priority="107">
      <formula>AND(U$9&gt;=8/24,U$9&lt;14/24)</formula>
    </cfRule>
    <cfRule type="expression" dxfId="10277" priority="108">
      <formula>U$9&lt;8/24</formula>
    </cfRule>
  </conditionalFormatting>
  <conditionalFormatting sqref="S85:T91 C84:R91">
    <cfRule type="expression" dxfId="10276" priority="101">
      <formula>C$9&gt;=20/24</formula>
    </cfRule>
    <cfRule type="expression" dxfId="10275" priority="102">
      <formula>AND(C$9&gt;=14/24,C$9&lt;20/24)</formula>
    </cfRule>
    <cfRule type="expression" dxfId="10274" priority="103">
      <formula>AND(C$9&gt;=8/24,C$9&lt;14/24)</formula>
    </cfRule>
    <cfRule type="expression" dxfId="10273" priority="104">
      <formula>C$9&lt;8/24</formula>
    </cfRule>
  </conditionalFormatting>
  <conditionalFormatting sqref="S84:T84">
    <cfRule type="expression" dxfId="10272" priority="97">
      <formula>S$9&gt;=20/24</formula>
    </cfRule>
    <cfRule type="expression" dxfId="10271" priority="98">
      <formula>AND(S$9&gt;=14/24,S$9&lt;20/24)</formula>
    </cfRule>
    <cfRule type="expression" dxfId="10270" priority="99">
      <formula>AND(S$9&gt;=8/24,S$9&lt;14/24)</formula>
    </cfRule>
    <cfRule type="expression" dxfId="10269" priority="100">
      <formula>S$9&lt;8/24</formula>
    </cfRule>
  </conditionalFormatting>
  <conditionalFormatting sqref="C94:F94 C95:M97">
    <cfRule type="expression" dxfId="10268" priority="93">
      <formula>C$9&gt;=20/24</formula>
    </cfRule>
    <cfRule type="expression" dxfId="10267" priority="94">
      <formula>AND(C$9&gt;=14/24,C$9&lt;20/24)</formula>
    </cfRule>
    <cfRule type="expression" dxfId="10266" priority="95">
      <formula>AND(C$9&gt;=8/24,C$9&lt;14/24)</formula>
    </cfRule>
    <cfRule type="expression" dxfId="10265" priority="96">
      <formula>C$9&lt;8/24</formula>
    </cfRule>
  </conditionalFormatting>
  <conditionalFormatting sqref="Q94:R97 N95:P97">
    <cfRule type="expression" dxfId="10264" priority="89">
      <formula>N$9&gt;=20/24</formula>
    </cfRule>
    <cfRule type="expression" dxfId="10263" priority="90">
      <formula>AND(N$9&gt;=14/24,N$9&lt;20/24)</formula>
    </cfRule>
    <cfRule type="expression" dxfId="10262" priority="91">
      <formula>AND(N$9&gt;=8/24,N$9&lt;14/24)</formula>
    </cfRule>
    <cfRule type="expression" dxfId="10261" priority="92">
      <formula>N$9&lt;8/24</formula>
    </cfRule>
  </conditionalFormatting>
  <conditionalFormatting sqref="S94:T97">
    <cfRule type="expression" dxfId="10260" priority="85">
      <formula>S$9&gt;=20/24</formula>
    </cfRule>
    <cfRule type="expression" dxfId="10259" priority="86">
      <formula>AND(S$9&gt;=14/24,S$9&lt;20/24)</formula>
    </cfRule>
    <cfRule type="expression" dxfId="10258" priority="87">
      <formula>AND(S$9&gt;=8/24,S$9&lt;14/24)</formula>
    </cfRule>
    <cfRule type="expression" dxfId="10257" priority="88">
      <formula>S$9&lt;8/24</formula>
    </cfRule>
  </conditionalFormatting>
  <conditionalFormatting sqref="C98:M98">
    <cfRule type="expression" dxfId="10256" priority="81">
      <formula>C$9&gt;=20/24</formula>
    </cfRule>
    <cfRule type="expression" dxfId="10255" priority="82">
      <formula>AND(C$9&gt;=14/24,C$9&lt;20/24)</formula>
    </cfRule>
    <cfRule type="expression" dxfId="10254" priority="83">
      <formula>AND(C$9&gt;=8/24,C$9&lt;14/24)</formula>
    </cfRule>
    <cfRule type="expression" dxfId="10253" priority="84">
      <formula>C$9&lt;8/24</formula>
    </cfRule>
  </conditionalFormatting>
  <conditionalFormatting sqref="N98:R98">
    <cfRule type="expression" dxfId="10252" priority="77">
      <formula>N$9&gt;=20/24</formula>
    </cfRule>
    <cfRule type="expression" dxfId="10251" priority="78">
      <formula>AND(N$9&gt;=14/24,N$9&lt;20/24)</formula>
    </cfRule>
    <cfRule type="expression" dxfId="10250" priority="79">
      <formula>AND(N$9&gt;=8/24,N$9&lt;14/24)</formula>
    </cfRule>
    <cfRule type="expression" dxfId="10249" priority="80">
      <formula>N$9&lt;8/24</formula>
    </cfRule>
  </conditionalFormatting>
  <conditionalFormatting sqref="S98:T98">
    <cfRule type="expression" dxfId="10248" priority="73">
      <formula>S$9&gt;=20/24</formula>
    </cfRule>
    <cfRule type="expression" dxfId="10247" priority="74">
      <formula>AND(S$9&gt;=14/24,S$9&lt;20/24)</formula>
    </cfRule>
    <cfRule type="expression" dxfId="10246" priority="75">
      <formula>AND(S$9&gt;=8/24,S$9&lt;14/24)</formula>
    </cfRule>
    <cfRule type="expression" dxfId="10245" priority="76">
      <formula>S$9&lt;8/24</formula>
    </cfRule>
  </conditionalFormatting>
  <conditionalFormatting sqref="M94:P94">
    <cfRule type="expression" dxfId="10244" priority="69">
      <formula>M$9&gt;=20/24</formula>
    </cfRule>
    <cfRule type="expression" dxfId="10243" priority="70">
      <formula>AND(M$9&gt;=14/24,M$9&lt;20/24)</formula>
    </cfRule>
    <cfRule type="expression" dxfId="10242" priority="71">
      <formula>AND(M$9&gt;=8/24,M$9&lt;14/24)</formula>
    </cfRule>
    <cfRule type="expression" dxfId="10241" priority="72">
      <formula>M$9&lt;8/24</formula>
    </cfRule>
  </conditionalFormatting>
  <conditionalFormatting sqref="G94:L94">
    <cfRule type="expression" dxfId="10240" priority="65">
      <formula>G$9&gt;=20/24</formula>
    </cfRule>
    <cfRule type="expression" dxfId="10239" priority="66">
      <formula>AND(G$9&gt;=14/24,G$9&lt;20/24)</formula>
    </cfRule>
    <cfRule type="expression" dxfId="10238" priority="67">
      <formula>AND(G$9&gt;=8/24,G$9&lt;14/24)</formula>
    </cfRule>
    <cfRule type="expression" dxfId="10237" priority="68">
      <formula>G$9&lt;8/24</formula>
    </cfRule>
  </conditionalFormatting>
  <conditionalFormatting sqref="U94:W94">
    <cfRule type="expression" dxfId="10236" priority="61">
      <formula>U$9&gt;=20/24</formula>
    </cfRule>
    <cfRule type="expression" dxfId="10235" priority="62">
      <formula>AND(U$9&gt;=14/24,U$9&lt;20/24)</formula>
    </cfRule>
    <cfRule type="expression" dxfId="10234" priority="63">
      <formula>AND(U$9&gt;=8/24,U$9&lt;14/24)</formula>
    </cfRule>
    <cfRule type="expression" dxfId="10233" priority="64">
      <formula>U$9&lt;8/24</formula>
    </cfRule>
  </conditionalFormatting>
  <conditionalFormatting sqref="N94:T94">
    <cfRule type="expression" dxfId="10232" priority="57">
      <formula>N$9&gt;=20/24</formula>
    </cfRule>
    <cfRule type="expression" dxfId="10231" priority="58">
      <formula>AND(N$9&gt;=14/24,N$9&lt;20/24)</formula>
    </cfRule>
    <cfRule type="expression" dxfId="10230" priority="59">
      <formula>AND(N$9&gt;=8/24,N$9&lt;14/24)</formula>
    </cfRule>
    <cfRule type="expression" dxfId="10229" priority="60">
      <formula>N$9&lt;8/24</formula>
    </cfRule>
  </conditionalFormatting>
  <conditionalFormatting sqref="U99:AA99">
    <cfRule type="expression" dxfId="10228" priority="53">
      <formula>U$9&gt;=20/24</formula>
    </cfRule>
    <cfRule type="expression" dxfId="10227" priority="54">
      <formula>AND(U$9&gt;=14/24,U$9&lt;20/24)</formula>
    </cfRule>
    <cfRule type="expression" dxfId="10226" priority="55">
      <formula>AND(U$9&gt;=8/24,U$9&lt;14/24)</formula>
    </cfRule>
    <cfRule type="expression" dxfId="10225" priority="56">
      <formula>U$9&lt;8/24</formula>
    </cfRule>
  </conditionalFormatting>
  <conditionalFormatting sqref="C99:M99">
    <cfRule type="expression" dxfId="10224" priority="49">
      <formula>C$9&gt;=20/24</formula>
    </cfRule>
    <cfRule type="expression" dxfId="10223" priority="50">
      <formula>AND(C$9&gt;=14/24,C$9&lt;20/24)</formula>
    </cfRule>
    <cfRule type="expression" dxfId="10222" priority="51">
      <formula>AND(C$9&gt;=8/24,C$9&lt;14/24)</formula>
    </cfRule>
    <cfRule type="expression" dxfId="10221" priority="52">
      <formula>C$9&lt;8/24</formula>
    </cfRule>
  </conditionalFormatting>
  <conditionalFormatting sqref="N99:R99">
    <cfRule type="expression" dxfId="10220" priority="45">
      <formula>N$9&gt;=20/24</formula>
    </cfRule>
    <cfRule type="expression" dxfId="10219" priority="46">
      <formula>AND(N$9&gt;=14/24,N$9&lt;20/24)</formula>
    </cfRule>
    <cfRule type="expression" dxfId="10218" priority="47">
      <formula>AND(N$9&gt;=8/24,N$9&lt;14/24)</formula>
    </cfRule>
    <cfRule type="expression" dxfId="10217" priority="48">
      <formula>N$9&lt;8/24</formula>
    </cfRule>
  </conditionalFormatting>
  <conditionalFormatting sqref="S99:T99">
    <cfRule type="expression" dxfId="10216" priority="41">
      <formula>S$9&gt;=20/24</formula>
    </cfRule>
    <cfRule type="expression" dxfId="10215" priority="42">
      <formula>AND(S$9&gt;=14/24,S$9&lt;20/24)</formula>
    </cfRule>
    <cfRule type="expression" dxfId="10214" priority="43">
      <formula>AND(S$9&gt;=8/24,S$9&lt;14/24)</formula>
    </cfRule>
    <cfRule type="expression" dxfId="10213" priority="44">
      <formula>S$9&lt;8/24</formula>
    </cfRule>
  </conditionalFormatting>
  <conditionalFormatting sqref="Y12:AA16">
    <cfRule type="expression" dxfId="10212" priority="37">
      <formula>Y$9&gt;=20/24</formula>
    </cfRule>
    <cfRule type="expression" dxfId="10211" priority="38">
      <formula>AND(Y$9&gt;=14/24,Y$9&lt;20/24)</formula>
    </cfRule>
    <cfRule type="expression" dxfId="10210" priority="39">
      <formula>AND(Y$9&gt;=8/24,Y$9&lt;14/24)</formula>
    </cfRule>
    <cfRule type="expression" dxfId="10209" priority="40">
      <formula>Y$9&lt;8/24</formula>
    </cfRule>
  </conditionalFormatting>
  <conditionalFormatting sqref="Y17:AA17">
    <cfRule type="expression" dxfId="10208" priority="33">
      <formula>Y$9&gt;=20/24</formula>
    </cfRule>
    <cfRule type="expression" dxfId="10207" priority="34">
      <formula>AND(Y$9&gt;=14/24,Y$9&lt;20/24)</formula>
    </cfRule>
    <cfRule type="expression" dxfId="10206" priority="35">
      <formula>AND(Y$9&gt;=8/24,Y$9&lt;14/24)</formula>
    </cfRule>
    <cfRule type="expression" dxfId="10205" priority="36">
      <formula>Y$9&lt;8/24</formula>
    </cfRule>
  </conditionalFormatting>
  <conditionalFormatting sqref="Y12:AA13">
    <cfRule type="expression" dxfId="10204" priority="29">
      <formula>Y$9&gt;=20/24</formula>
    </cfRule>
    <cfRule type="expression" dxfId="10203" priority="30">
      <formula>AND(Y$9&gt;=14/24,Y$9&lt;20/24)</formula>
    </cfRule>
    <cfRule type="expression" dxfId="10202" priority="31">
      <formula>AND(Y$9&gt;=8/24,Y$9&lt;14/24)</formula>
    </cfRule>
    <cfRule type="expression" dxfId="10201" priority="32">
      <formula>Y$9&lt;8/24</formula>
    </cfRule>
  </conditionalFormatting>
  <conditionalFormatting sqref="AB58:AE59">
    <cfRule type="expression" dxfId="10200" priority="25">
      <formula>AB$9&gt;=20/24</formula>
    </cfRule>
    <cfRule type="expression" dxfId="10199" priority="26">
      <formula>AND(AB$9&gt;=14/24,AB$9&lt;20/24)</formula>
    </cfRule>
    <cfRule type="expression" dxfId="10198" priority="27">
      <formula>AND(AB$9&gt;=8/24,AB$9&lt;14/24)</formula>
    </cfRule>
    <cfRule type="expression" dxfId="10197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196" priority="258">
      <formula>C$9&gt;=20/24</formula>
    </cfRule>
    <cfRule type="expression" dxfId="10195" priority="259">
      <formula>AND(C$9&gt;=14/24,C$9&lt;20/24)</formula>
    </cfRule>
    <cfRule type="expression" dxfId="10194" priority="260">
      <formula>AND(C$9&gt;=8/24,C$9&lt;14/24)</formula>
    </cfRule>
    <cfRule type="expression" dxfId="10193" priority="261">
      <formula>C$9&lt;8/24</formula>
    </cfRule>
  </conditionalFormatting>
  <conditionalFormatting sqref="A200">
    <cfRule type="expression" dxfId="10192" priority="262">
      <formula>$AH200=0</formula>
    </cfRule>
  </conditionalFormatting>
  <conditionalFormatting sqref="AG212">
    <cfRule type="expression" dxfId="10191" priority="263">
      <formula>B$9&gt;=20/24</formula>
    </cfRule>
    <cfRule type="expression" dxfId="10190" priority="264">
      <formula>AND(B$9&gt;=14/24,B$9&lt;20/24)</formula>
    </cfRule>
    <cfRule type="expression" dxfId="10189" priority="265">
      <formula>AND(B$9&gt;=8/24,B$9&lt;14/24)</formula>
    </cfRule>
    <cfRule type="expression" dxfId="10188" priority="266">
      <formula>B$9&lt;8/24</formula>
    </cfRule>
  </conditionalFormatting>
  <conditionalFormatting sqref="S8">
    <cfRule type="expression" dxfId="10187" priority="19">
      <formula>U$9&gt;=20/24</formula>
    </cfRule>
    <cfRule type="expression" dxfId="10186" priority="20">
      <formula>AND(U$9&gt;=14/24,U$9&lt;20/24)</formula>
    </cfRule>
    <cfRule type="expression" dxfId="10185" priority="21">
      <formula>AND(U$9&gt;=8/24,U$9&lt;14/24)</formula>
    </cfRule>
    <cfRule type="expression" dxfId="10184" priority="22">
      <formula>U$9&lt;8/24</formula>
    </cfRule>
  </conditionalFormatting>
  <conditionalFormatting sqref="AB8">
    <cfRule type="expression" dxfId="10183" priority="15">
      <formula>AD$9&gt;=20/24</formula>
    </cfRule>
    <cfRule type="expression" dxfId="10182" priority="16">
      <formula>AND(AD$9&gt;=14/24,AD$9&lt;20/24)</formula>
    </cfRule>
    <cfRule type="expression" dxfId="10181" priority="17">
      <formula>AND(AD$9&gt;=8/24,AD$9&lt;14/24)</formula>
    </cfRule>
    <cfRule type="expression" dxfId="10180" priority="18">
      <formula>AD$9&lt;8/24</formula>
    </cfRule>
  </conditionalFormatting>
  <conditionalFormatting sqref="AH212:AX212">
    <cfRule type="expression" dxfId="10179" priority="267">
      <formula>AG$9&gt;=20/24</formula>
    </cfRule>
    <cfRule type="expression" dxfId="10178" priority="268">
      <formula>AND(AG$9&gt;=14/24,AG$9&lt;20/24)</formula>
    </cfRule>
    <cfRule type="expression" dxfId="10177" priority="269">
      <formula>AND(AG$9&gt;=8/24,AG$9&lt;14/24)</formula>
    </cfRule>
    <cfRule type="expression" dxfId="10176" priority="270">
      <formula>AG$9&lt;8/24</formula>
    </cfRule>
  </conditionalFormatting>
  <conditionalFormatting sqref="T212">
    <cfRule type="expression" dxfId="10175" priority="271">
      <formula>AX$9&gt;=20/24</formula>
    </cfRule>
    <cfRule type="expression" dxfId="10174" priority="272">
      <formula>AND(AX$9&gt;=14/24,AX$9&lt;20/24)</formula>
    </cfRule>
    <cfRule type="expression" dxfId="10173" priority="273">
      <formula>AND(AX$9&gt;=8/24,AX$9&lt;14/24)</formula>
    </cfRule>
    <cfRule type="expression" dxfId="10172" priority="274">
      <formula>AX$9&lt;8/24</formula>
    </cfRule>
  </conditionalFormatting>
  <conditionalFormatting sqref="A99">
    <cfRule type="expression" dxfId="10171" priority="14">
      <formula>$AH99=0</formula>
    </cfRule>
  </conditionalFormatting>
  <conditionalFormatting sqref="M33:X33">
    <cfRule type="expression" dxfId="10170" priority="10">
      <formula>M$9&gt;=20/24</formula>
    </cfRule>
    <cfRule type="expression" dxfId="10169" priority="11">
      <formula>AND(M$9&gt;=14/24,M$9&lt;20/24)</formula>
    </cfRule>
    <cfRule type="expression" dxfId="10168" priority="12">
      <formula>AND(M$9&gt;=8/24,M$9&lt;14/24)</formula>
    </cfRule>
    <cfRule type="expression" dxfId="10167" priority="13">
      <formula>M$9&lt;8/24</formula>
    </cfRule>
  </conditionalFormatting>
  <conditionalFormatting sqref="AB33:AF33">
    <cfRule type="expression" dxfId="10166" priority="6">
      <formula>AB$9&gt;=20/24</formula>
    </cfRule>
    <cfRule type="expression" dxfId="10165" priority="7">
      <formula>AND(AB$9&gt;=14/24,AB$9&lt;20/24)</formula>
    </cfRule>
    <cfRule type="expression" dxfId="10164" priority="8">
      <formula>AND(AB$9&gt;=8/24,AB$9&lt;14/24)</formula>
    </cfRule>
    <cfRule type="expression" dxfId="10163" priority="9">
      <formula>AB$9&lt;8/24</formula>
    </cfRule>
  </conditionalFormatting>
  <conditionalFormatting sqref="Y33:AA33">
    <cfRule type="expression" dxfId="10162" priority="2">
      <formula>Y$9&gt;=20/24</formula>
    </cfRule>
    <cfRule type="expression" dxfId="10161" priority="3">
      <formula>AND(Y$9&gt;=14/24,Y$9&lt;20/24)</formula>
    </cfRule>
    <cfRule type="expression" dxfId="10160" priority="4">
      <formula>AND(Y$9&gt;=8/24,Y$9&lt;14/24)</formula>
    </cfRule>
    <cfRule type="expression" dxfId="10159" priority="5">
      <formula>Y$9&lt;8/24</formula>
    </cfRule>
  </conditionalFormatting>
  <conditionalFormatting sqref="B33:AF33">
    <cfRule type="expression" dxfId="10158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54B1766D-8E88-4A87-82F6-12B002B3B69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98" sqref="N9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2078/09/7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364.5</v>
      </c>
      <c r="C5" s="32">
        <f t="shared" si="0"/>
        <v>339.5</v>
      </c>
      <c r="D5" s="32">
        <f t="shared" si="0"/>
        <v>298.7</v>
      </c>
      <c r="E5" s="32">
        <f t="shared" si="0"/>
        <v>289.89999999999998</v>
      </c>
      <c r="F5" s="32">
        <f t="shared" si="0"/>
        <v>310.39999999999998</v>
      </c>
      <c r="G5" s="32">
        <f t="shared" si="0"/>
        <v>326.5</v>
      </c>
      <c r="H5" s="32">
        <f t="shared" si="0"/>
        <v>409.8</v>
      </c>
      <c r="I5" s="32">
        <f t="shared" si="0"/>
        <v>487.7</v>
      </c>
      <c r="J5" s="32">
        <f t="shared" si="0"/>
        <v>352.40000000000003</v>
      </c>
      <c r="K5" s="32">
        <f t="shared" si="0"/>
        <v>362.70000000000005</v>
      </c>
      <c r="L5" s="32">
        <f t="shared" si="0"/>
        <v>166.8</v>
      </c>
      <c r="M5" s="32">
        <f t="shared" si="0"/>
        <v>274</v>
      </c>
      <c r="N5" s="32">
        <f t="shared" si="0"/>
        <v>359.6</v>
      </c>
      <c r="O5" s="32">
        <f t="shared" si="0"/>
        <v>403.99999999999994</v>
      </c>
      <c r="P5" s="32">
        <f t="shared" si="0"/>
        <v>397.9</v>
      </c>
      <c r="Q5" s="32">
        <f t="shared" si="0"/>
        <v>521.90000000000009</v>
      </c>
      <c r="R5" s="32">
        <f t="shared" si="0"/>
        <v>542.79999999999995</v>
      </c>
      <c r="S5" s="32">
        <f t="shared" si="0"/>
        <v>544.5</v>
      </c>
      <c r="T5" s="32">
        <f t="shared" si="0"/>
        <v>527.9</v>
      </c>
      <c r="U5" s="32">
        <f t="shared" si="0"/>
        <v>468.5</v>
      </c>
      <c r="V5" s="32">
        <f t="shared" si="0"/>
        <v>485.09999999999997</v>
      </c>
      <c r="W5" s="32">
        <f t="shared" si="0"/>
        <v>340.1</v>
      </c>
      <c r="X5" s="32">
        <f t="shared" si="0"/>
        <v>333.59999999999997</v>
      </c>
      <c r="Y5" s="32">
        <f t="shared" si="0"/>
        <v>391.79999999999995</v>
      </c>
      <c r="Z5" s="32">
        <f t="shared" si="0"/>
        <v>361.9</v>
      </c>
      <c r="AA5" s="32">
        <f t="shared" si="0"/>
        <v>316.3</v>
      </c>
      <c r="AB5" s="32">
        <f t="shared" si="0"/>
        <v>490.7</v>
      </c>
      <c r="AC5" s="32">
        <f t="shared" si="0"/>
        <v>486.9</v>
      </c>
      <c r="AD5" s="32">
        <f t="shared" si="0"/>
        <v>476.90000000000003</v>
      </c>
      <c r="AE5" s="32">
        <f t="shared" si="0"/>
        <v>394.2</v>
      </c>
      <c r="AF5" s="32">
        <f>B68</f>
        <v>371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1491MW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Load=908</v>
      </c>
      <c r="B7" s="37">
        <f>B75</f>
        <v>949.33999999999992</v>
      </c>
      <c r="C7" s="37">
        <f t="shared" ref="C7:AF7" si="1">C75</f>
        <v>942.83999999999992</v>
      </c>
      <c r="D7" s="37">
        <f t="shared" si="1"/>
        <v>910.44</v>
      </c>
      <c r="E7" s="37">
        <f t="shared" si="1"/>
        <v>908.33999999999992</v>
      </c>
      <c r="F7" s="37">
        <f t="shared" si="1"/>
        <v>913.33999999999992</v>
      </c>
      <c r="G7" s="37">
        <f t="shared" si="1"/>
        <v>955.13999999999987</v>
      </c>
      <c r="H7" s="37">
        <f t="shared" si="1"/>
        <v>992.93999999999983</v>
      </c>
      <c r="I7" s="37">
        <f t="shared" si="1"/>
        <v>1095.7399999999998</v>
      </c>
      <c r="J7" s="37">
        <f t="shared" si="1"/>
        <v>1205.04</v>
      </c>
      <c r="K7" s="37">
        <f t="shared" si="1"/>
        <v>1302.3400000000001</v>
      </c>
      <c r="L7" s="37">
        <f t="shared" si="1"/>
        <v>1404.1399999999999</v>
      </c>
      <c r="M7" s="37">
        <f t="shared" si="1"/>
        <v>1442.1400000000003</v>
      </c>
      <c r="N7" s="37">
        <f t="shared" si="1"/>
        <v>1491.04</v>
      </c>
      <c r="O7" s="37">
        <f t="shared" si="1"/>
        <v>1450.9399999999998</v>
      </c>
      <c r="P7" s="37">
        <f t="shared" si="1"/>
        <v>1409.4399999999998</v>
      </c>
      <c r="Q7" s="37">
        <f t="shared" si="1"/>
        <v>1337.1399999999999</v>
      </c>
      <c r="R7" s="37">
        <f t="shared" si="1"/>
        <v>1253.3400000000001</v>
      </c>
      <c r="S7" s="37">
        <f t="shared" si="1"/>
        <v>1286.44</v>
      </c>
      <c r="T7" s="37">
        <f t="shared" si="1"/>
        <v>1249.74</v>
      </c>
      <c r="U7" s="37">
        <f t="shared" si="1"/>
        <v>1311.1399999999999</v>
      </c>
      <c r="V7" s="37">
        <f t="shared" si="1"/>
        <v>1308.3399999999999</v>
      </c>
      <c r="W7" s="37">
        <f t="shared" si="1"/>
        <v>1384.84</v>
      </c>
      <c r="X7" s="37">
        <f t="shared" si="1"/>
        <v>1384.84</v>
      </c>
      <c r="Y7" s="37">
        <f t="shared" si="1"/>
        <v>1644.64</v>
      </c>
      <c r="Z7" s="37">
        <f t="shared" si="1"/>
        <v>1613.6399999999999</v>
      </c>
      <c r="AA7" s="37">
        <f t="shared" si="1"/>
        <v>1538.6399999999999</v>
      </c>
      <c r="AB7" s="37">
        <f t="shared" si="1"/>
        <v>1480.34</v>
      </c>
      <c r="AC7" s="37">
        <f t="shared" si="1"/>
        <v>1550.84</v>
      </c>
      <c r="AD7" s="37">
        <f t="shared" si="1"/>
        <v>1312.74</v>
      </c>
      <c r="AE7" s="37">
        <f t="shared" si="1"/>
        <v>1164.44</v>
      </c>
      <c r="AF7" s="37">
        <f t="shared" si="1"/>
        <v>990.43999999999983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20</v>
      </c>
      <c r="D11" s="49">
        <v>20</v>
      </c>
      <c r="E11" s="49">
        <v>60</v>
      </c>
      <c r="F11" s="49">
        <v>64</v>
      </c>
      <c r="G11" s="49">
        <v>80</v>
      </c>
      <c r="H11" s="49">
        <v>73</v>
      </c>
      <c r="I11" s="49">
        <v>92.2</v>
      </c>
      <c r="J11" s="49">
        <v>50</v>
      </c>
      <c r="K11" s="49">
        <v>200</v>
      </c>
      <c r="L11" s="49">
        <v>220</v>
      </c>
      <c r="M11" s="50">
        <v>380</v>
      </c>
      <c r="N11" s="50">
        <v>340</v>
      </c>
      <c r="O11" s="50">
        <v>200</v>
      </c>
      <c r="P11" s="50">
        <v>90</v>
      </c>
      <c r="Q11" s="50">
        <v>76</v>
      </c>
      <c r="R11" s="177">
        <v>12</v>
      </c>
      <c r="S11" s="50">
        <v>10</v>
      </c>
      <c r="T11" s="50">
        <v>10</v>
      </c>
      <c r="U11" s="50">
        <v>25</v>
      </c>
      <c r="V11" s="50">
        <v>25</v>
      </c>
      <c r="W11" s="50">
        <v>25.7</v>
      </c>
      <c r="X11" s="50">
        <v>327</v>
      </c>
      <c r="Y11" s="50">
        <v>380</v>
      </c>
      <c r="Z11" s="50">
        <v>310</v>
      </c>
      <c r="AA11" s="50">
        <v>255</v>
      </c>
      <c r="AB11" s="50">
        <v>255</v>
      </c>
      <c r="AC11" s="50">
        <v>255</v>
      </c>
      <c r="AD11" s="50">
        <v>45</v>
      </c>
      <c r="AE11" s="50">
        <v>20</v>
      </c>
      <c r="AF11" s="50">
        <v>20</v>
      </c>
      <c r="AG11" s="52">
        <v>456</v>
      </c>
      <c r="AH11" s="53">
        <f>MAX(B11:AF11)</f>
        <v>380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38</v>
      </c>
      <c r="O12" s="49">
        <v>38</v>
      </c>
      <c r="P12" s="49">
        <v>36</v>
      </c>
      <c r="Q12" s="49">
        <v>36</v>
      </c>
      <c r="R12" s="49">
        <v>36.200000000000003</v>
      </c>
      <c r="S12" s="57">
        <v>36.200000000000003</v>
      </c>
      <c r="T12" s="57">
        <v>38</v>
      </c>
      <c r="U12" s="57">
        <v>38</v>
      </c>
      <c r="V12" s="57">
        <v>38</v>
      </c>
      <c r="W12" s="57">
        <v>38</v>
      </c>
      <c r="X12" s="57">
        <v>38</v>
      </c>
      <c r="Y12" s="57">
        <v>38</v>
      </c>
      <c r="Z12" s="57">
        <v>38</v>
      </c>
      <c r="AA12" s="57">
        <v>38</v>
      </c>
      <c r="AB12" s="57">
        <v>38</v>
      </c>
      <c r="AC12" s="57">
        <v>38</v>
      </c>
      <c r="AD12" s="57">
        <v>38</v>
      </c>
      <c r="AE12" s="57">
        <v>38</v>
      </c>
      <c r="AF12" s="57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22</v>
      </c>
      <c r="C13" s="49">
        <v>22</v>
      </c>
      <c r="D13" s="49">
        <v>21.6</v>
      </c>
      <c r="E13" s="49">
        <v>21.9</v>
      </c>
      <c r="F13" s="49">
        <v>22.4</v>
      </c>
      <c r="G13" s="49">
        <v>22.4</v>
      </c>
      <c r="H13" s="49">
        <v>22.4</v>
      </c>
      <c r="I13" s="49">
        <v>22.4</v>
      </c>
      <c r="J13" s="49">
        <v>22.4</v>
      </c>
      <c r="K13" s="49">
        <v>21.9</v>
      </c>
      <c r="L13" s="49">
        <v>21.9</v>
      </c>
      <c r="M13" s="49">
        <v>21.9</v>
      </c>
      <c r="N13" s="49">
        <v>21.9</v>
      </c>
      <c r="O13" s="49">
        <v>21.9</v>
      </c>
      <c r="P13" s="49">
        <v>22.4</v>
      </c>
      <c r="Q13" s="49">
        <v>22.4</v>
      </c>
      <c r="R13" s="49">
        <v>22.4</v>
      </c>
      <c r="S13" s="57">
        <v>22.4</v>
      </c>
      <c r="T13" s="57">
        <v>22.4</v>
      </c>
      <c r="U13" s="57">
        <v>22.4</v>
      </c>
      <c r="V13" s="57">
        <v>22.4</v>
      </c>
      <c r="W13" s="57">
        <v>22.4</v>
      </c>
      <c r="X13" s="57">
        <v>22.4</v>
      </c>
      <c r="Y13" s="57">
        <v>22.4</v>
      </c>
      <c r="Z13" s="57">
        <v>22.4</v>
      </c>
      <c r="AA13" s="57">
        <v>22.4</v>
      </c>
      <c r="AB13" s="57">
        <v>22.4</v>
      </c>
      <c r="AC13" s="57">
        <v>22.4</v>
      </c>
      <c r="AD13" s="57">
        <v>22.4</v>
      </c>
      <c r="AE13" s="57">
        <v>22.4</v>
      </c>
      <c r="AF13" s="57">
        <v>22.4</v>
      </c>
      <c r="AG13" s="58">
        <v>52.4</v>
      </c>
      <c r="AH13" s="53">
        <f t="shared" si="2"/>
        <v>22.4</v>
      </c>
      <c r="AI13" s="54">
        <f t="shared" si="3"/>
        <v>21.6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40.1</v>
      </c>
      <c r="C14" s="49">
        <v>40.1</v>
      </c>
      <c r="D14" s="49">
        <v>40</v>
      </c>
      <c r="E14" s="49">
        <v>40</v>
      </c>
      <c r="F14" s="49">
        <v>40</v>
      </c>
      <c r="G14" s="49">
        <v>40</v>
      </c>
      <c r="H14" s="49">
        <v>40</v>
      </c>
      <c r="I14" s="49">
        <v>40</v>
      </c>
      <c r="J14" s="49">
        <v>40</v>
      </c>
      <c r="K14" s="49">
        <v>39.6</v>
      </c>
      <c r="L14" s="49">
        <v>39.6</v>
      </c>
      <c r="M14" s="50">
        <v>39.6</v>
      </c>
      <c r="N14" s="50">
        <v>39.6</v>
      </c>
      <c r="O14" s="50">
        <v>40.200000000000003</v>
      </c>
      <c r="P14" s="50">
        <v>40</v>
      </c>
      <c r="Q14" s="50">
        <v>40</v>
      </c>
      <c r="R14" s="50">
        <v>40</v>
      </c>
      <c r="S14" s="59">
        <v>40</v>
      </c>
      <c r="T14" s="59">
        <v>40.200000000000003</v>
      </c>
      <c r="U14" s="59">
        <v>40.200000000000003</v>
      </c>
      <c r="V14" s="59">
        <v>40.200000000000003</v>
      </c>
      <c r="W14" s="59">
        <v>40.200000000000003</v>
      </c>
      <c r="X14" s="59">
        <v>40.200000000000003</v>
      </c>
      <c r="Y14" s="59">
        <v>40.200000000000003</v>
      </c>
      <c r="Z14" s="59">
        <v>40.200000000000003</v>
      </c>
      <c r="AA14" s="59">
        <v>40.200000000000003</v>
      </c>
      <c r="AB14" s="59">
        <v>40.200000000000003</v>
      </c>
      <c r="AC14" s="59">
        <v>40.200000000000003</v>
      </c>
      <c r="AD14" s="59">
        <v>40.200000000000003</v>
      </c>
      <c r="AE14" s="59">
        <v>40.200000000000003</v>
      </c>
      <c r="AF14" s="59">
        <v>40.200000000000003</v>
      </c>
      <c r="AG14" s="58">
        <v>50</v>
      </c>
      <c r="AH14" s="53">
        <f t="shared" si="2"/>
        <v>40.200000000000003</v>
      </c>
      <c r="AI14" s="54">
        <f t="shared" si="3"/>
        <v>39.6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23.2</v>
      </c>
      <c r="C15" s="60">
        <v>23.2</v>
      </c>
      <c r="D15" s="60">
        <v>23.2</v>
      </c>
      <c r="E15" s="60">
        <v>23.2</v>
      </c>
      <c r="F15" s="60">
        <v>23.2</v>
      </c>
      <c r="G15" s="60">
        <v>23.2</v>
      </c>
      <c r="H15" s="60">
        <v>23.2</v>
      </c>
      <c r="I15" s="60">
        <v>23.2</v>
      </c>
      <c r="J15" s="60">
        <v>23.2</v>
      </c>
      <c r="K15" s="60">
        <v>23.1</v>
      </c>
      <c r="L15" s="60">
        <v>23.1</v>
      </c>
      <c r="M15" s="50">
        <v>23.1</v>
      </c>
      <c r="N15" s="50">
        <v>23.1</v>
      </c>
      <c r="O15" s="50">
        <v>22.2</v>
      </c>
      <c r="P15" s="50">
        <v>22.3</v>
      </c>
      <c r="Q15" s="50">
        <v>22.3</v>
      </c>
      <c r="R15" s="50">
        <v>22.3</v>
      </c>
      <c r="S15" s="59">
        <v>22.3</v>
      </c>
      <c r="T15" s="59">
        <v>22.3</v>
      </c>
      <c r="U15" s="59">
        <v>22.3</v>
      </c>
      <c r="V15" s="59">
        <v>22.3</v>
      </c>
      <c r="W15" s="59">
        <v>22.3</v>
      </c>
      <c r="X15" s="59">
        <v>22.3</v>
      </c>
      <c r="Y15" s="59">
        <v>22.3</v>
      </c>
      <c r="Z15" s="59">
        <v>22.3</v>
      </c>
      <c r="AA15" s="59">
        <v>22.3</v>
      </c>
      <c r="AB15" s="59">
        <v>22.3</v>
      </c>
      <c r="AC15" s="59">
        <v>22.3</v>
      </c>
      <c r="AD15" s="59">
        <v>22.3</v>
      </c>
      <c r="AE15" s="59">
        <v>22.3</v>
      </c>
      <c r="AF15" s="59">
        <v>22.3</v>
      </c>
      <c r="AG15" s="61">
        <v>45</v>
      </c>
      <c r="AH15" s="53">
        <f t="shared" si="2"/>
        <v>23.2</v>
      </c>
      <c r="AI15" s="54">
        <f t="shared" si="3"/>
        <v>22.2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8.6999999999999993</v>
      </c>
      <c r="C17" s="49">
        <v>8.6999999999999993</v>
      </c>
      <c r="D17" s="49">
        <v>8.6999999999999993</v>
      </c>
      <c r="E17" s="49">
        <v>8.6999999999999993</v>
      </c>
      <c r="F17" s="49">
        <v>8.6999999999999993</v>
      </c>
      <c r="G17" s="49">
        <v>8.6999999999999993</v>
      </c>
      <c r="H17" s="49">
        <v>8.6999999999999993</v>
      </c>
      <c r="I17" s="49">
        <v>8.6999999999999993</v>
      </c>
      <c r="J17" s="49">
        <v>8.6999999999999993</v>
      </c>
      <c r="K17" s="49">
        <v>8.6999999999999993</v>
      </c>
      <c r="L17" s="49">
        <v>8.6999999999999993</v>
      </c>
      <c r="M17" s="50">
        <v>8.6999999999999993</v>
      </c>
      <c r="N17" s="50">
        <v>8.6999999999999993</v>
      </c>
      <c r="O17" s="50">
        <v>8.6999999999999993</v>
      </c>
      <c r="P17" s="50">
        <v>8.6999999999999993</v>
      </c>
      <c r="Q17" s="50">
        <v>8.6999999999999993</v>
      </c>
      <c r="R17" s="50">
        <v>8.6999999999999993</v>
      </c>
      <c r="S17" s="59">
        <v>8.6999999999999993</v>
      </c>
      <c r="T17" s="59">
        <v>8.6999999999999993</v>
      </c>
      <c r="U17" s="59">
        <v>8.6999999999999993</v>
      </c>
      <c r="V17" s="59">
        <v>8.6999999999999993</v>
      </c>
      <c r="W17" s="59">
        <v>8.6999999999999993</v>
      </c>
      <c r="X17" s="59">
        <v>8.6999999999999993</v>
      </c>
      <c r="Y17" s="59">
        <v>8.6999999999999993</v>
      </c>
      <c r="Z17" s="59">
        <v>8.6999999999999993</v>
      </c>
      <c r="AA17" s="59">
        <v>8.6999999999999993</v>
      </c>
      <c r="AB17" s="59">
        <v>8.6999999999999993</v>
      </c>
      <c r="AC17" s="59">
        <v>8.6999999999999993</v>
      </c>
      <c r="AD17" s="59">
        <v>8.6999999999999993</v>
      </c>
      <c r="AE17" s="59">
        <v>8.6999999999999993</v>
      </c>
      <c r="AF17" s="59">
        <v>8.6999999999999993</v>
      </c>
      <c r="AG17" s="58">
        <v>42</v>
      </c>
      <c r="AH17" s="53">
        <f t="shared" si="2"/>
        <v>8.6999999999999993</v>
      </c>
      <c r="AI17" s="54">
        <f t="shared" si="3"/>
        <v>8.6999999999999993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10.199999999999999</v>
      </c>
      <c r="C19" s="49">
        <v>10.199999999999999</v>
      </c>
      <c r="D19" s="49">
        <v>10.199999999999999</v>
      </c>
      <c r="E19" s="49">
        <v>10.199999999999999</v>
      </c>
      <c r="F19" s="49">
        <v>10.199999999999999</v>
      </c>
      <c r="G19" s="49">
        <v>10.199999999999999</v>
      </c>
      <c r="H19" s="49">
        <v>10.199999999999999</v>
      </c>
      <c r="I19" s="49">
        <v>10.199999999999999</v>
      </c>
      <c r="J19" s="49">
        <v>10.199999999999999</v>
      </c>
      <c r="K19" s="49">
        <v>10.199999999999999</v>
      </c>
      <c r="L19" s="49">
        <v>10.199999999999999</v>
      </c>
      <c r="M19" s="50">
        <v>10.199999999999999</v>
      </c>
      <c r="N19" s="50">
        <v>10.199999999999999</v>
      </c>
      <c r="O19" s="50">
        <v>10.199999999999999</v>
      </c>
      <c r="P19" s="50">
        <v>10.199999999999999</v>
      </c>
      <c r="Q19" s="50">
        <v>10.199999999999999</v>
      </c>
      <c r="R19" s="50">
        <v>10.199999999999999</v>
      </c>
      <c r="S19" s="50">
        <v>10.199999999999999</v>
      </c>
      <c r="T19" s="50">
        <v>10.199999999999999</v>
      </c>
      <c r="U19" s="50">
        <v>10.199999999999999</v>
      </c>
      <c r="V19" s="50">
        <v>10.199999999999999</v>
      </c>
      <c r="W19" s="50">
        <v>10.199999999999999</v>
      </c>
      <c r="X19" s="50">
        <v>10.199999999999999</v>
      </c>
      <c r="Y19" s="50">
        <v>10.199999999999999</v>
      </c>
      <c r="Z19" s="50">
        <v>10.199999999999999</v>
      </c>
      <c r="AA19" s="50">
        <v>10.199999999999999</v>
      </c>
      <c r="AB19" s="50">
        <v>10.199999999999999</v>
      </c>
      <c r="AC19" s="50">
        <v>10.199999999999999</v>
      </c>
      <c r="AD19" s="50">
        <v>10.199999999999999</v>
      </c>
      <c r="AE19" s="50">
        <v>10.199999999999999</v>
      </c>
      <c r="AF19" s="50">
        <v>10.199999999999999</v>
      </c>
      <c r="AG19" s="58">
        <v>30</v>
      </c>
      <c r="AH19" s="53">
        <f t="shared" si="2"/>
        <v>10.199999999999999</v>
      </c>
      <c r="AI19" s="54">
        <f t="shared" si="3"/>
        <v>10.199999999999999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19.2</v>
      </c>
      <c r="C22" s="49">
        <v>19.2</v>
      </c>
      <c r="D22" s="49">
        <v>12.4</v>
      </c>
      <c r="E22" s="49">
        <v>12.4</v>
      </c>
      <c r="F22" s="49">
        <v>12.4</v>
      </c>
      <c r="G22" s="49">
        <v>12.4</v>
      </c>
      <c r="H22" s="49">
        <v>12.4</v>
      </c>
      <c r="I22" s="49">
        <v>12.4</v>
      </c>
      <c r="J22" s="49">
        <v>12.4</v>
      </c>
      <c r="K22" s="49">
        <v>12.4</v>
      </c>
      <c r="L22" s="49">
        <v>12.4</v>
      </c>
      <c r="M22" s="50">
        <v>12.4</v>
      </c>
      <c r="N22" s="50">
        <v>11.4</v>
      </c>
      <c r="O22" s="50">
        <v>11.4</v>
      </c>
      <c r="P22" s="50">
        <v>11.4</v>
      </c>
      <c r="Q22" s="50">
        <v>11.4</v>
      </c>
      <c r="R22" s="50">
        <v>11.4</v>
      </c>
      <c r="S22" s="50">
        <v>11.4</v>
      </c>
      <c r="T22" s="50">
        <v>12.1</v>
      </c>
      <c r="U22" s="50">
        <v>12.1</v>
      </c>
      <c r="V22" s="50">
        <v>12.1</v>
      </c>
      <c r="W22" s="50">
        <v>12.1</v>
      </c>
      <c r="X22" s="50">
        <v>12.1</v>
      </c>
      <c r="Y22" s="50">
        <v>12.1</v>
      </c>
      <c r="Z22" s="50">
        <v>12.1</v>
      </c>
      <c r="AA22" s="50">
        <v>12.1</v>
      </c>
      <c r="AB22" s="50">
        <v>12.1</v>
      </c>
      <c r="AC22" s="50">
        <v>12.1</v>
      </c>
      <c r="AD22" s="50">
        <v>12.1</v>
      </c>
      <c r="AE22" s="50">
        <v>12.1</v>
      </c>
      <c r="AF22" s="50">
        <v>12.1</v>
      </c>
      <c r="AG22" s="58">
        <v>25</v>
      </c>
      <c r="AH22" s="53">
        <f t="shared" si="2"/>
        <v>19.2</v>
      </c>
      <c r="AI22" s="54">
        <f t="shared" si="3"/>
        <v>11.4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11</v>
      </c>
      <c r="C24" s="49">
        <v>11</v>
      </c>
      <c r="D24" s="49">
        <v>11</v>
      </c>
      <c r="E24" s="49">
        <v>11</v>
      </c>
      <c r="F24" s="49">
        <v>11</v>
      </c>
      <c r="G24" s="49">
        <v>11</v>
      </c>
      <c r="H24" s="49">
        <v>11</v>
      </c>
      <c r="I24" s="49">
        <v>11</v>
      </c>
      <c r="J24" s="49">
        <v>11</v>
      </c>
      <c r="K24" s="49">
        <v>11</v>
      </c>
      <c r="L24" s="49">
        <v>11</v>
      </c>
      <c r="M24" s="50">
        <v>11</v>
      </c>
      <c r="N24" s="50">
        <v>11</v>
      </c>
      <c r="O24" s="50">
        <v>11</v>
      </c>
      <c r="P24" s="50">
        <v>11</v>
      </c>
      <c r="Q24" s="50">
        <v>11</v>
      </c>
      <c r="R24" s="50">
        <v>11</v>
      </c>
      <c r="S24" s="50">
        <v>11</v>
      </c>
      <c r="T24" s="50">
        <v>10.7</v>
      </c>
      <c r="U24" s="50">
        <v>10.7</v>
      </c>
      <c r="V24" s="50">
        <v>10.7</v>
      </c>
      <c r="W24" s="50">
        <v>10.7</v>
      </c>
      <c r="X24" s="50">
        <v>10.7</v>
      </c>
      <c r="Y24" s="50">
        <v>10.7</v>
      </c>
      <c r="Z24" s="50">
        <v>10.7</v>
      </c>
      <c r="AA24" s="50">
        <v>10.7</v>
      </c>
      <c r="AB24" s="50">
        <v>10.7</v>
      </c>
      <c r="AC24" s="50">
        <v>10.7</v>
      </c>
      <c r="AD24" s="50">
        <v>10.7</v>
      </c>
      <c r="AE24" s="50">
        <v>10.7</v>
      </c>
      <c r="AF24" s="50">
        <v>10.7</v>
      </c>
      <c r="AG24" s="58">
        <v>25</v>
      </c>
      <c r="AH24" s="53">
        <f t="shared" si="2"/>
        <v>11</v>
      </c>
      <c r="AI24" s="54">
        <f t="shared" si="3"/>
        <v>10.7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7</v>
      </c>
      <c r="C26" s="49">
        <v>7</v>
      </c>
      <c r="D26" s="49">
        <v>7</v>
      </c>
      <c r="E26" s="49">
        <v>7</v>
      </c>
      <c r="F26" s="49">
        <v>7</v>
      </c>
      <c r="G26" s="49">
        <v>7</v>
      </c>
      <c r="H26" s="49">
        <v>7</v>
      </c>
      <c r="I26" s="49">
        <v>7</v>
      </c>
      <c r="J26" s="49">
        <v>7</v>
      </c>
      <c r="K26" s="49">
        <v>7</v>
      </c>
      <c r="L26" s="49">
        <v>7</v>
      </c>
      <c r="M26" s="50">
        <v>7</v>
      </c>
      <c r="N26" s="50">
        <v>7</v>
      </c>
      <c r="O26" s="50">
        <v>7</v>
      </c>
      <c r="P26" s="50">
        <v>7</v>
      </c>
      <c r="Q26" s="50">
        <v>7</v>
      </c>
      <c r="R26" s="50">
        <v>7</v>
      </c>
      <c r="S26" s="50">
        <v>7</v>
      </c>
      <c r="T26" s="50">
        <v>7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8">
        <v>20</v>
      </c>
      <c r="AH26" s="53">
        <f t="shared" si="2"/>
        <v>7</v>
      </c>
      <c r="AI26" s="54">
        <f t="shared" si="3"/>
        <v>7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46.5</v>
      </c>
      <c r="C37" s="60">
        <v>46.5</v>
      </c>
      <c r="D37" s="60">
        <f>17.2+33</f>
        <v>50.2</v>
      </c>
      <c r="E37" s="60">
        <f>17.7+33.4</f>
        <v>51.099999999999994</v>
      </c>
      <c r="F37" s="60">
        <f>17.7+33.6</f>
        <v>51.3</v>
      </c>
      <c r="G37" s="60">
        <f>17.8+33.5</f>
        <v>51.3</v>
      </c>
      <c r="H37" s="60">
        <f>17.8+33.3</f>
        <v>51.099999999999994</v>
      </c>
      <c r="I37" s="60">
        <f>17.7+33</f>
        <v>50.7</v>
      </c>
      <c r="J37" s="60">
        <f>18.1+33</f>
        <v>51.1</v>
      </c>
      <c r="K37" s="60">
        <f>18.9+32.6</f>
        <v>51.5</v>
      </c>
      <c r="L37" s="60">
        <f>18+33</f>
        <v>51</v>
      </c>
      <c r="M37" s="69">
        <f>18.1+33</f>
        <v>51.1</v>
      </c>
      <c r="N37" s="69">
        <v>49.6</v>
      </c>
      <c r="O37" s="69">
        <v>50.6</v>
      </c>
      <c r="P37" s="69">
        <v>50.6</v>
      </c>
      <c r="Q37" s="69">
        <v>55</v>
      </c>
      <c r="R37" s="69">
        <v>55.6</v>
      </c>
      <c r="S37" s="69">
        <v>51.5</v>
      </c>
      <c r="T37" s="69">
        <f>18.8+34.2</f>
        <v>53</v>
      </c>
      <c r="U37" s="69">
        <f>18.1+34.1</f>
        <v>52.2</v>
      </c>
      <c r="V37" s="69">
        <f>17.6+32.3</f>
        <v>49.9</v>
      </c>
      <c r="W37" s="69">
        <f>17.3+31.5</f>
        <v>48.8</v>
      </c>
      <c r="X37" s="69">
        <v>48.8</v>
      </c>
      <c r="Y37" s="69">
        <v>48.8</v>
      </c>
      <c r="Z37" s="69">
        <v>46</v>
      </c>
      <c r="AA37" s="69">
        <v>46</v>
      </c>
      <c r="AB37" s="69">
        <v>46</v>
      </c>
      <c r="AC37" s="69">
        <v>51.5</v>
      </c>
      <c r="AD37" s="69">
        <v>52.7</v>
      </c>
      <c r="AE37" s="69">
        <v>53.8</v>
      </c>
      <c r="AF37" s="60">
        <v>55.6</v>
      </c>
      <c r="AG37" s="66">
        <v>240</v>
      </c>
      <c r="AH37" s="53">
        <f t="shared" si="2"/>
        <v>55.6</v>
      </c>
      <c r="AI37" s="54">
        <f t="shared" si="3"/>
        <v>46</v>
      </c>
      <c r="AK37" s="55"/>
    </row>
    <row r="38" spans="1:88" ht="15.75" thickBot="1" x14ac:dyDescent="0.3">
      <c r="A38" s="70" t="s">
        <v>46</v>
      </c>
      <c r="B38" s="71">
        <f>SUM(B11:B36)</f>
        <v>443.89999999999992</v>
      </c>
      <c r="C38" s="71">
        <f t="shared" ref="C38:AF38" si="4">SUM(C11:C36)</f>
        <v>443.89999999999992</v>
      </c>
      <c r="D38" s="71">
        <f t="shared" si="4"/>
        <v>436.59999999999997</v>
      </c>
      <c r="E38" s="71">
        <f t="shared" si="4"/>
        <v>476.89999999999992</v>
      </c>
      <c r="F38" s="71">
        <f t="shared" si="4"/>
        <v>481.39999999999992</v>
      </c>
      <c r="G38" s="71">
        <f t="shared" si="4"/>
        <v>497.39999999999992</v>
      </c>
      <c r="H38" s="71">
        <f t="shared" si="4"/>
        <v>490.39999999999992</v>
      </c>
      <c r="I38" s="71">
        <f t="shared" si="4"/>
        <v>509.59999999999991</v>
      </c>
      <c r="J38" s="71">
        <f t="shared" si="4"/>
        <v>467.39999999999992</v>
      </c>
      <c r="K38" s="71">
        <f t="shared" si="4"/>
        <v>616.4</v>
      </c>
      <c r="L38" s="71">
        <f t="shared" si="4"/>
        <v>636.4</v>
      </c>
      <c r="M38" s="71">
        <f t="shared" si="4"/>
        <v>796.4000000000002</v>
      </c>
      <c r="N38" s="71">
        <f t="shared" si="4"/>
        <v>755.4</v>
      </c>
      <c r="O38" s="71">
        <f t="shared" si="4"/>
        <v>615.09999999999991</v>
      </c>
      <c r="P38" s="71">
        <f t="shared" si="4"/>
        <v>503.49999999999994</v>
      </c>
      <c r="Q38" s="71">
        <f t="shared" si="4"/>
        <v>489.49999999999994</v>
      </c>
      <c r="R38" s="71">
        <f t="shared" si="4"/>
        <v>425.7</v>
      </c>
      <c r="S38" s="71">
        <f t="shared" si="4"/>
        <v>423.7</v>
      </c>
      <c r="T38" s="71">
        <f t="shared" si="4"/>
        <v>426.09999999999997</v>
      </c>
      <c r="U38" s="71">
        <f t="shared" si="4"/>
        <v>441.09999999999997</v>
      </c>
      <c r="V38" s="71">
        <f t="shared" si="4"/>
        <v>441.09999999999997</v>
      </c>
      <c r="W38" s="71">
        <f t="shared" si="4"/>
        <v>441.7999999999999</v>
      </c>
      <c r="X38" s="71">
        <f t="shared" si="4"/>
        <v>743.1</v>
      </c>
      <c r="Y38" s="71">
        <f t="shared" si="4"/>
        <v>796.10000000000025</v>
      </c>
      <c r="Z38" s="71">
        <f t="shared" si="4"/>
        <v>726.1</v>
      </c>
      <c r="AA38" s="71">
        <f t="shared" si="4"/>
        <v>671.09999999999991</v>
      </c>
      <c r="AB38" s="71">
        <f t="shared" si="4"/>
        <v>671.09999999999991</v>
      </c>
      <c r="AC38" s="71">
        <f t="shared" si="4"/>
        <v>671.09999999999991</v>
      </c>
      <c r="AD38" s="71">
        <f t="shared" si="4"/>
        <v>461.09999999999997</v>
      </c>
      <c r="AE38" s="71">
        <f t="shared" si="4"/>
        <v>436.09999999999997</v>
      </c>
      <c r="AF38" s="71">
        <f t="shared" si="4"/>
        <v>436.09999999999997</v>
      </c>
      <c r="AG38" s="66">
        <f>SUM(AG11:AG37)</f>
        <v>1492.8299999999997</v>
      </c>
      <c r="AH38" s="53">
        <f t="shared" si="2"/>
        <v>796.4000000000002</v>
      </c>
      <c r="AI38" s="54">
        <f t="shared" si="3"/>
        <v>423.7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48.3</v>
      </c>
      <c r="K39" s="60">
        <v>98.1</v>
      </c>
      <c r="L39" s="60">
        <v>97.5</v>
      </c>
      <c r="M39" s="50">
        <v>145.80000000000001</v>
      </c>
      <c r="N39" s="50">
        <v>145.6</v>
      </c>
      <c r="O39" s="50">
        <v>145</v>
      </c>
      <c r="P39" s="50">
        <v>145.6</v>
      </c>
      <c r="Q39" s="50">
        <v>136.6</v>
      </c>
      <c r="R39" s="50">
        <v>91.1</v>
      </c>
      <c r="S39" s="50">
        <v>91</v>
      </c>
      <c r="T39" s="50">
        <v>81.5</v>
      </c>
      <c r="U39" s="50">
        <v>97.7</v>
      </c>
      <c r="V39" s="50">
        <v>120</v>
      </c>
      <c r="W39" s="50">
        <v>143.69999999999999</v>
      </c>
      <c r="X39" s="50">
        <v>143.69999999999999</v>
      </c>
      <c r="Y39" s="50">
        <v>145.19999999999999</v>
      </c>
      <c r="Z39" s="50">
        <v>144.9</v>
      </c>
      <c r="AA39" s="50">
        <v>144.9</v>
      </c>
      <c r="AB39" s="50">
        <v>144.9</v>
      </c>
      <c r="AC39" s="50">
        <v>111.2</v>
      </c>
      <c r="AD39" s="50">
        <v>95</v>
      </c>
      <c r="AE39" s="50">
        <v>81.599999999999994</v>
      </c>
      <c r="AF39" s="49">
        <v>30</v>
      </c>
      <c r="AG39" s="61">
        <v>144</v>
      </c>
      <c r="AH39" s="53">
        <f t="shared" si="2"/>
        <v>145.80000000000001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34.700000000000003</v>
      </c>
      <c r="I40" s="60">
        <v>34.799999999999997</v>
      </c>
      <c r="J40" s="60">
        <v>34.799999999999997</v>
      </c>
      <c r="K40" s="60">
        <v>34.799999999999997</v>
      </c>
      <c r="L40" s="60">
        <v>60</v>
      </c>
      <c r="M40" s="72">
        <v>59.7</v>
      </c>
      <c r="N40" s="72">
        <v>53.9</v>
      </c>
      <c r="O40" s="72">
        <v>55.1</v>
      </c>
      <c r="P40" s="72">
        <v>70.3</v>
      </c>
      <c r="Q40" s="72">
        <v>49.7</v>
      </c>
      <c r="R40" s="72">
        <v>35.1</v>
      </c>
      <c r="S40" s="72">
        <v>35.9</v>
      </c>
      <c r="T40" s="72">
        <v>25.6</v>
      </c>
      <c r="U40" s="72">
        <v>46</v>
      </c>
      <c r="V40" s="72">
        <v>54.1</v>
      </c>
      <c r="W40" s="72">
        <v>52.5</v>
      </c>
      <c r="X40" s="72">
        <v>52.5</v>
      </c>
      <c r="Y40" s="72">
        <v>71.5</v>
      </c>
      <c r="Z40" s="72">
        <v>69.8</v>
      </c>
      <c r="AA40" s="72">
        <v>70.3</v>
      </c>
      <c r="AB40" s="72">
        <v>70.3</v>
      </c>
      <c r="AC40" s="72">
        <v>50.9</v>
      </c>
      <c r="AD40" s="72">
        <v>50.9</v>
      </c>
      <c r="AE40" s="72">
        <v>23</v>
      </c>
      <c r="AF40" s="60">
        <v>0</v>
      </c>
      <c r="AG40" s="66">
        <v>70</v>
      </c>
      <c r="AH40" s="53">
        <f t="shared" si="2"/>
        <v>71.5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23</v>
      </c>
      <c r="C41" s="60">
        <v>23</v>
      </c>
      <c r="D41" s="60">
        <v>23.4</v>
      </c>
      <c r="E41" s="60">
        <v>23.5</v>
      </c>
      <c r="F41" s="60">
        <v>23.6</v>
      </c>
      <c r="G41" s="60">
        <v>23.2</v>
      </c>
      <c r="H41" s="60">
        <v>22.8</v>
      </c>
      <c r="I41" s="60">
        <v>22.8</v>
      </c>
      <c r="J41" s="60">
        <v>35.6</v>
      </c>
      <c r="K41" s="60">
        <v>35.5</v>
      </c>
      <c r="L41" s="60">
        <v>66.900000000000006</v>
      </c>
      <c r="M41" s="72">
        <v>69.5</v>
      </c>
      <c r="N41" s="72">
        <v>68.7</v>
      </c>
      <c r="O41" s="72">
        <v>57.3</v>
      </c>
      <c r="P41" s="72">
        <v>67.8</v>
      </c>
      <c r="Q41" s="72">
        <v>45.8</v>
      </c>
      <c r="R41" s="72">
        <v>33.700000000000003</v>
      </c>
      <c r="S41" s="72">
        <v>39</v>
      </c>
      <c r="T41" s="72">
        <v>16.600000000000001</v>
      </c>
      <c r="U41" s="72">
        <v>33.200000000000003</v>
      </c>
      <c r="V41" s="72">
        <v>39.6</v>
      </c>
      <c r="W41" s="72">
        <v>60.6</v>
      </c>
      <c r="X41" s="72">
        <v>60.6</v>
      </c>
      <c r="Y41" s="72">
        <v>67.8</v>
      </c>
      <c r="Z41" s="72">
        <v>52.4</v>
      </c>
      <c r="AA41" s="72">
        <v>61</v>
      </c>
      <c r="AB41" s="72">
        <v>61</v>
      </c>
      <c r="AC41" s="72">
        <v>66.900000000000006</v>
      </c>
      <c r="AD41" s="72">
        <v>67</v>
      </c>
      <c r="AE41" s="72">
        <v>41.9</v>
      </c>
      <c r="AF41" s="60">
        <v>17.7</v>
      </c>
      <c r="AG41" s="66">
        <v>69</v>
      </c>
      <c r="AH41" s="53">
        <f t="shared" si="2"/>
        <v>69.5</v>
      </c>
      <c r="AI41" s="54">
        <f t="shared" si="3"/>
        <v>16.600000000000001</v>
      </c>
      <c r="AK41" s="55"/>
    </row>
    <row r="42" spans="1:88" x14ac:dyDescent="0.25">
      <c r="A42" s="65" t="s">
        <v>50</v>
      </c>
      <c r="B42" s="60">
        <v>55.9</v>
      </c>
      <c r="C42" s="60">
        <v>55.9</v>
      </c>
      <c r="D42" s="60">
        <v>55.4</v>
      </c>
      <c r="E42" s="60">
        <v>53.7</v>
      </c>
      <c r="F42" s="60">
        <v>53.7</v>
      </c>
      <c r="G42" s="60">
        <v>53.7</v>
      </c>
      <c r="H42" s="60">
        <v>53.7</v>
      </c>
      <c r="I42" s="60">
        <v>53.7</v>
      </c>
      <c r="J42" s="60">
        <v>55.4</v>
      </c>
      <c r="K42" s="60">
        <v>55.9</v>
      </c>
      <c r="L42" s="60">
        <v>57</v>
      </c>
      <c r="M42" s="72">
        <v>57</v>
      </c>
      <c r="N42" s="72">
        <v>55</v>
      </c>
      <c r="O42" s="72">
        <v>54.4</v>
      </c>
      <c r="P42" s="72">
        <v>54.4</v>
      </c>
      <c r="Q42" s="72">
        <v>54.4</v>
      </c>
      <c r="R42" s="72">
        <v>54.4</v>
      </c>
      <c r="S42" s="72">
        <v>54.4</v>
      </c>
      <c r="T42" s="72">
        <v>54.4</v>
      </c>
      <c r="U42" s="72">
        <v>54.4</v>
      </c>
      <c r="V42" s="72">
        <v>54.4</v>
      </c>
      <c r="W42" s="72">
        <v>53.9</v>
      </c>
      <c r="X42" s="72">
        <v>53.9</v>
      </c>
      <c r="Y42" s="72">
        <v>52.1</v>
      </c>
      <c r="Z42" s="72">
        <v>52.1</v>
      </c>
      <c r="AA42" s="72">
        <v>52.1</v>
      </c>
      <c r="AB42" s="72">
        <v>52.1</v>
      </c>
      <c r="AC42" s="72">
        <v>52.9</v>
      </c>
      <c r="AD42" s="72">
        <v>54.4</v>
      </c>
      <c r="AE42" s="72">
        <v>55.9</v>
      </c>
      <c r="AF42" s="60">
        <v>57.9</v>
      </c>
      <c r="AG42" s="66">
        <v>60</v>
      </c>
      <c r="AH42" s="53">
        <f t="shared" si="2"/>
        <v>57.9</v>
      </c>
      <c r="AI42" s="54">
        <f t="shared" si="3"/>
        <v>52.1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9.1999999999999993</v>
      </c>
      <c r="G43" s="60">
        <v>14.9</v>
      </c>
      <c r="H43" s="60">
        <v>14.8</v>
      </c>
      <c r="I43" s="60">
        <v>15</v>
      </c>
      <c r="J43" s="60">
        <v>25.8</v>
      </c>
      <c r="K43" s="60">
        <v>29.5</v>
      </c>
      <c r="L43" s="60">
        <v>22</v>
      </c>
      <c r="M43" s="50">
        <v>28.7</v>
      </c>
      <c r="N43" s="50">
        <v>25</v>
      </c>
      <c r="O43" s="50">
        <v>15</v>
      </c>
      <c r="P43" s="50">
        <v>15</v>
      </c>
      <c r="Q43" s="50">
        <v>15</v>
      </c>
      <c r="R43" s="50">
        <v>10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25.4</v>
      </c>
      <c r="Y43" s="50">
        <v>28.7</v>
      </c>
      <c r="Z43" s="50">
        <v>28.7</v>
      </c>
      <c r="AA43" s="50">
        <v>28.7</v>
      </c>
      <c r="AB43" s="50">
        <v>24.9</v>
      </c>
      <c r="AC43" s="72">
        <v>24.4</v>
      </c>
      <c r="AD43" s="72">
        <v>14.8</v>
      </c>
      <c r="AE43" s="72">
        <v>0</v>
      </c>
      <c r="AF43" s="60">
        <v>0</v>
      </c>
      <c r="AG43" s="66">
        <v>30</v>
      </c>
      <c r="AH43" s="53">
        <f t="shared" si="2"/>
        <v>29.5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18</v>
      </c>
      <c r="C45" s="60">
        <v>18</v>
      </c>
      <c r="D45" s="79">
        <v>18</v>
      </c>
      <c r="E45" s="79">
        <v>18</v>
      </c>
      <c r="F45" s="79">
        <v>18</v>
      </c>
      <c r="G45" s="79">
        <v>18</v>
      </c>
      <c r="H45" s="79">
        <v>18</v>
      </c>
      <c r="I45" s="79">
        <v>18</v>
      </c>
      <c r="J45" s="79">
        <v>18</v>
      </c>
      <c r="K45" s="79">
        <v>18</v>
      </c>
      <c r="L45" s="79">
        <v>18</v>
      </c>
      <c r="M45" s="50">
        <v>18</v>
      </c>
      <c r="N45" s="50">
        <v>18</v>
      </c>
      <c r="O45" s="50">
        <v>18</v>
      </c>
      <c r="P45" s="50">
        <v>17</v>
      </c>
      <c r="Q45" s="50">
        <v>17</v>
      </c>
      <c r="R45" s="50">
        <v>17</v>
      </c>
      <c r="S45" s="50">
        <v>17</v>
      </c>
      <c r="T45" s="50">
        <v>17</v>
      </c>
      <c r="U45" s="50">
        <v>17</v>
      </c>
      <c r="V45" s="50">
        <v>17</v>
      </c>
      <c r="W45" s="50">
        <v>17</v>
      </c>
      <c r="X45" s="50">
        <v>17</v>
      </c>
      <c r="Y45" s="50">
        <v>17</v>
      </c>
      <c r="Z45" s="50">
        <v>17</v>
      </c>
      <c r="AA45" s="50">
        <v>17</v>
      </c>
      <c r="AB45" s="50">
        <v>17</v>
      </c>
      <c r="AC45" s="50">
        <v>17</v>
      </c>
      <c r="AD45" s="50">
        <v>17</v>
      </c>
      <c r="AE45" s="50">
        <v>17</v>
      </c>
      <c r="AF45" s="50">
        <v>17</v>
      </c>
      <c r="AG45" s="66">
        <v>24</v>
      </c>
      <c r="AH45" s="53">
        <f t="shared" si="2"/>
        <v>18</v>
      </c>
      <c r="AI45" s="54">
        <f t="shared" si="3"/>
        <v>17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5.5</v>
      </c>
      <c r="C48" s="60">
        <v>5.5</v>
      </c>
      <c r="D48" s="79">
        <v>5.5</v>
      </c>
      <c r="E48" s="79">
        <v>5.5</v>
      </c>
      <c r="F48" s="79">
        <v>5.5</v>
      </c>
      <c r="G48" s="79">
        <v>5.5</v>
      </c>
      <c r="H48" s="79">
        <v>0</v>
      </c>
      <c r="I48" s="79">
        <v>0</v>
      </c>
      <c r="J48" s="79">
        <v>0</v>
      </c>
      <c r="K48" s="79">
        <v>0</v>
      </c>
      <c r="L48" s="79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60">
        <v>5.5</v>
      </c>
      <c r="AG48" s="66">
        <v>14</v>
      </c>
      <c r="AH48" s="53">
        <f t="shared" si="2"/>
        <v>5.5</v>
      </c>
      <c r="AI48" s="54">
        <f t="shared" si="3"/>
        <v>0</v>
      </c>
      <c r="AK48" s="55"/>
    </row>
    <row r="49" spans="1:37" x14ac:dyDescent="0.25">
      <c r="A49" s="65" t="s">
        <v>57</v>
      </c>
      <c r="B49" s="60">
        <v>7</v>
      </c>
      <c r="C49" s="60">
        <v>7</v>
      </c>
      <c r="D49" s="60">
        <v>7</v>
      </c>
      <c r="E49" s="60">
        <v>7</v>
      </c>
      <c r="F49" s="60">
        <v>7</v>
      </c>
      <c r="G49" s="60">
        <v>7</v>
      </c>
      <c r="H49" s="60">
        <v>7</v>
      </c>
      <c r="I49" s="60">
        <v>7</v>
      </c>
      <c r="J49" s="60">
        <v>7</v>
      </c>
      <c r="K49" s="60">
        <v>7</v>
      </c>
      <c r="L49" s="60">
        <v>7</v>
      </c>
      <c r="M49" s="50">
        <v>7</v>
      </c>
      <c r="N49" s="50">
        <v>7</v>
      </c>
      <c r="O49" s="50">
        <v>7</v>
      </c>
      <c r="P49" s="50">
        <v>7</v>
      </c>
      <c r="Q49" s="50">
        <v>7</v>
      </c>
      <c r="R49" s="5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134.44</v>
      </c>
      <c r="C52" s="71">
        <f t="shared" ref="C52:AF52" si="6">SUM(C39:C51)</f>
        <v>134.44</v>
      </c>
      <c r="D52" s="71">
        <f t="shared" si="6"/>
        <v>134.34</v>
      </c>
      <c r="E52" s="71">
        <f t="shared" si="6"/>
        <v>132.73999999999998</v>
      </c>
      <c r="F52" s="71">
        <f t="shared" si="6"/>
        <v>142.04</v>
      </c>
      <c r="G52" s="71">
        <f t="shared" si="6"/>
        <v>147.34</v>
      </c>
      <c r="H52" s="71">
        <f t="shared" si="6"/>
        <v>176.04</v>
      </c>
      <c r="I52" s="71">
        <f t="shared" si="6"/>
        <v>176.34</v>
      </c>
      <c r="J52" s="71">
        <f t="shared" si="6"/>
        <v>249.94</v>
      </c>
      <c r="K52" s="71">
        <f t="shared" si="6"/>
        <v>303.83999999999997</v>
      </c>
      <c r="L52" s="71">
        <f t="shared" si="6"/>
        <v>353.44</v>
      </c>
      <c r="M52" s="71">
        <f t="shared" si="6"/>
        <v>410.74</v>
      </c>
      <c r="N52" s="71">
        <f t="shared" si="6"/>
        <v>398.24</v>
      </c>
      <c r="O52" s="71">
        <f t="shared" si="6"/>
        <v>376.84</v>
      </c>
      <c r="P52" s="71">
        <f t="shared" si="6"/>
        <v>402.14</v>
      </c>
      <c r="Q52" s="71">
        <f t="shared" si="6"/>
        <v>350.54</v>
      </c>
      <c r="R52" s="71">
        <f t="shared" si="6"/>
        <v>273.33999999999997</v>
      </c>
      <c r="S52" s="71">
        <f t="shared" si="6"/>
        <v>269.34000000000003</v>
      </c>
      <c r="T52" s="71">
        <f t="shared" si="6"/>
        <v>227.14</v>
      </c>
      <c r="U52" s="71">
        <f t="shared" si="6"/>
        <v>280.33999999999997</v>
      </c>
      <c r="V52" s="71">
        <f t="shared" si="6"/>
        <v>317.14</v>
      </c>
      <c r="W52" s="71">
        <f t="shared" si="6"/>
        <v>359.74</v>
      </c>
      <c r="X52" s="71">
        <v>385.14</v>
      </c>
      <c r="Y52" s="71">
        <f t="shared" si="6"/>
        <v>414.34000000000003</v>
      </c>
      <c r="Z52" s="71">
        <f t="shared" si="6"/>
        <v>396.94</v>
      </c>
      <c r="AA52" s="71">
        <f t="shared" si="6"/>
        <v>406.04</v>
      </c>
      <c r="AB52" s="71">
        <f t="shared" si="6"/>
        <v>402.24</v>
      </c>
      <c r="AC52" s="71">
        <f t="shared" si="6"/>
        <v>355.34</v>
      </c>
      <c r="AD52" s="71">
        <f t="shared" si="6"/>
        <v>331.14000000000004</v>
      </c>
      <c r="AE52" s="71">
        <f t="shared" si="6"/>
        <v>251.44</v>
      </c>
      <c r="AF52" s="71">
        <f t="shared" si="6"/>
        <v>160.13999999999999</v>
      </c>
      <c r="AG52" s="76">
        <f>SUM(AG39:AG51)</f>
        <v>489.91</v>
      </c>
      <c r="AH52" s="53">
        <f t="shared" si="2"/>
        <v>414.34000000000003</v>
      </c>
      <c r="AI52" s="54">
        <f t="shared" si="3"/>
        <v>132.73999999999998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20.2</v>
      </c>
      <c r="L53" s="60">
        <v>30.6</v>
      </c>
      <c r="M53" s="77">
        <v>40.799999999999997</v>
      </c>
      <c r="N53" s="77">
        <v>40</v>
      </c>
      <c r="O53" s="77">
        <v>60</v>
      </c>
      <c r="P53" s="77">
        <v>60</v>
      </c>
      <c r="Q53" s="50">
        <v>59.8</v>
      </c>
      <c r="R53" s="50">
        <v>20</v>
      </c>
      <c r="S53" s="50">
        <v>29.4</v>
      </c>
      <c r="T53" s="50">
        <v>30.3</v>
      </c>
      <c r="U53" s="50">
        <v>40.1</v>
      </c>
      <c r="V53" s="50">
        <v>54.7</v>
      </c>
      <c r="W53" s="50">
        <v>59.7</v>
      </c>
      <c r="X53" s="50">
        <v>59.7</v>
      </c>
      <c r="Y53" s="50">
        <v>60.6</v>
      </c>
      <c r="Z53" s="50">
        <v>59.2</v>
      </c>
      <c r="AA53" s="50">
        <v>59.6</v>
      </c>
      <c r="AB53" s="50">
        <v>54.4</v>
      </c>
      <c r="AC53" s="50">
        <v>20.100000000000001</v>
      </c>
      <c r="AD53" s="50">
        <v>20.100000000000001</v>
      </c>
      <c r="AE53" s="50">
        <v>0</v>
      </c>
      <c r="AF53" s="50">
        <v>0</v>
      </c>
      <c r="AG53" s="61">
        <v>60</v>
      </c>
      <c r="AH53" s="53">
        <f t="shared" si="2"/>
        <v>60.6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7</v>
      </c>
      <c r="L54" s="60">
        <v>15.4</v>
      </c>
      <c r="M54" s="77">
        <v>20.100000000000001</v>
      </c>
      <c r="N54" s="77">
        <v>17</v>
      </c>
      <c r="O54" s="77">
        <v>28.9</v>
      </c>
      <c r="P54" s="77">
        <v>29.5</v>
      </c>
      <c r="Q54" s="72">
        <v>28.9</v>
      </c>
      <c r="R54" s="72">
        <v>9.1</v>
      </c>
      <c r="S54" s="50">
        <v>15.5</v>
      </c>
      <c r="T54" s="50">
        <v>15.9</v>
      </c>
      <c r="U54" s="50">
        <v>15.9</v>
      </c>
      <c r="V54" s="72">
        <v>19.7</v>
      </c>
      <c r="W54" s="72">
        <v>28.2</v>
      </c>
      <c r="X54" s="72">
        <v>28.2</v>
      </c>
      <c r="Y54" s="72">
        <v>29.3</v>
      </c>
      <c r="Z54" s="72">
        <v>29</v>
      </c>
      <c r="AA54" s="72">
        <v>29</v>
      </c>
      <c r="AB54" s="72">
        <v>26.6</v>
      </c>
      <c r="AC54" s="72">
        <v>10</v>
      </c>
      <c r="AD54" s="72">
        <v>9.9</v>
      </c>
      <c r="AE54" s="72">
        <v>0</v>
      </c>
      <c r="AF54" s="72">
        <v>0</v>
      </c>
      <c r="AG54" s="66">
        <v>32</v>
      </c>
      <c r="AH54" s="53">
        <f t="shared" si="2"/>
        <v>29.5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2.5</v>
      </c>
      <c r="L55" s="79">
        <v>5.6</v>
      </c>
      <c r="M55" s="80">
        <v>7.3</v>
      </c>
      <c r="N55" s="80">
        <v>6.4</v>
      </c>
      <c r="O55" s="80">
        <v>10.5</v>
      </c>
      <c r="P55" s="80">
        <v>10.3</v>
      </c>
      <c r="Q55" s="78">
        <v>10.5</v>
      </c>
      <c r="R55" s="78">
        <v>3.3</v>
      </c>
      <c r="S55" s="50">
        <v>5.7</v>
      </c>
      <c r="T55" s="50">
        <v>5.8</v>
      </c>
      <c r="U55" s="50">
        <v>5.8</v>
      </c>
      <c r="V55" s="78">
        <v>7.2</v>
      </c>
      <c r="W55" s="78">
        <v>10.3</v>
      </c>
      <c r="X55" s="78">
        <v>10.3</v>
      </c>
      <c r="Y55" s="78">
        <v>10.7</v>
      </c>
      <c r="Z55" s="78">
        <v>10.6</v>
      </c>
      <c r="AA55" s="78">
        <v>11</v>
      </c>
      <c r="AB55" s="78">
        <v>9.6999999999999993</v>
      </c>
      <c r="AC55" s="78">
        <v>3.6</v>
      </c>
      <c r="AD55" s="78">
        <v>3.6</v>
      </c>
      <c r="AE55" s="78">
        <v>0</v>
      </c>
      <c r="AF55" s="78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29.7</v>
      </c>
      <c r="L56" s="71">
        <f t="shared" si="7"/>
        <v>51.6</v>
      </c>
      <c r="M56" s="71">
        <f t="shared" si="7"/>
        <v>68.2</v>
      </c>
      <c r="N56" s="71">
        <f t="shared" si="7"/>
        <v>63.4</v>
      </c>
      <c r="O56" s="71">
        <f t="shared" si="7"/>
        <v>99.4</v>
      </c>
      <c r="P56" s="71">
        <f t="shared" si="7"/>
        <v>99.8</v>
      </c>
      <c r="Q56" s="71">
        <f t="shared" si="7"/>
        <v>99.199999999999989</v>
      </c>
      <c r="R56" s="71">
        <f t="shared" si="7"/>
        <v>32.4</v>
      </c>
      <c r="S56" s="71">
        <f t="shared" si="7"/>
        <v>50.6</v>
      </c>
      <c r="T56" s="71">
        <f t="shared" si="7"/>
        <v>52</v>
      </c>
      <c r="U56" s="71">
        <f t="shared" si="7"/>
        <v>61.8</v>
      </c>
      <c r="V56" s="71">
        <f t="shared" si="7"/>
        <v>81.600000000000009</v>
      </c>
      <c r="W56" s="71">
        <f t="shared" si="7"/>
        <v>98.2</v>
      </c>
      <c r="X56" s="71">
        <v>98.2</v>
      </c>
      <c r="Y56" s="71">
        <f t="shared" si="7"/>
        <v>100.60000000000001</v>
      </c>
      <c r="Z56" s="71">
        <f t="shared" si="7"/>
        <v>98.8</v>
      </c>
      <c r="AA56" s="71">
        <f t="shared" si="7"/>
        <v>99.6</v>
      </c>
      <c r="AB56" s="71">
        <f t="shared" si="7"/>
        <v>90.7</v>
      </c>
      <c r="AC56" s="71">
        <f t="shared" si="7"/>
        <v>33.700000000000003</v>
      </c>
      <c r="AD56" s="71">
        <f t="shared" si="7"/>
        <v>33.6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100.60000000000001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66</v>
      </c>
      <c r="C57" s="50">
        <v>67.5</v>
      </c>
      <c r="D57" s="50">
        <v>64.7</v>
      </c>
      <c r="E57" s="50">
        <v>64.099999999999994</v>
      </c>
      <c r="F57" s="50">
        <v>61.8</v>
      </c>
      <c r="G57" s="50">
        <v>64</v>
      </c>
      <c r="H57" s="50">
        <v>70.7</v>
      </c>
      <c r="I57" s="50">
        <v>70.5</v>
      </c>
      <c r="J57" s="50">
        <v>69.2</v>
      </c>
      <c r="K57" s="50">
        <v>74.400000000000006</v>
      </c>
      <c r="L57" s="50">
        <v>69.400000000000006</v>
      </c>
      <c r="M57" s="50">
        <v>28.7</v>
      </c>
      <c r="N57" s="50">
        <v>73.7</v>
      </c>
      <c r="O57" s="50">
        <v>74.7</v>
      </c>
      <c r="P57" s="50">
        <v>79</v>
      </c>
      <c r="Q57" s="50">
        <v>68.400000000000006</v>
      </c>
      <c r="R57" s="50">
        <v>68</v>
      </c>
      <c r="S57" s="50">
        <v>71.900000000000006</v>
      </c>
      <c r="T57" s="50">
        <v>73.8</v>
      </c>
      <c r="U57" s="50">
        <v>72</v>
      </c>
      <c r="V57" s="50">
        <v>64</v>
      </c>
      <c r="W57" s="50">
        <v>68.7</v>
      </c>
      <c r="X57" s="50">
        <v>72.5</v>
      </c>
      <c r="Y57" s="50">
        <v>74.599999999999994</v>
      </c>
      <c r="Z57" s="50">
        <v>70.5</v>
      </c>
      <c r="AA57" s="50">
        <v>72</v>
      </c>
      <c r="AB57" s="50">
        <v>71.8</v>
      </c>
      <c r="AC57" s="50">
        <v>63.8</v>
      </c>
      <c r="AD57" s="50">
        <v>67</v>
      </c>
      <c r="AE57" s="50">
        <v>72.099999999999994</v>
      </c>
      <c r="AF57" s="50">
        <v>60.3</v>
      </c>
      <c r="AG57" s="61"/>
      <c r="AH57" s="53">
        <f t="shared" si="2"/>
        <v>79</v>
      </c>
      <c r="AI57" s="54">
        <f t="shared" si="3"/>
        <v>28.7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80.8</v>
      </c>
      <c r="O58" s="50">
        <v>80.400000000000006</v>
      </c>
      <c r="P58" s="50">
        <v>70.400000000000006</v>
      </c>
      <c r="Q58" s="50">
        <v>57.3</v>
      </c>
      <c r="R58" s="50">
        <v>0</v>
      </c>
      <c r="S58" s="50">
        <v>0</v>
      </c>
      <c r="T58" s="50">
        <v>0</v>
      </c>
      <c r="U58" s="50">
        <v>0</v>
      </c>
      <c r="V58" s="50">
        <v>132</v>
      </c>
      <c r="W58" s="50">
        <v>139</v>
      </c>
      <c r="X58" s="82">
        <v>108</v>
      </c>
      <c r="Y58" s="82">
        <v>110</v>
      </c>
      <c r="Z58" s="82">
        <v>132</v>
      </c>
      <c r="AA58" s="82">
        <v>138</v>
      </c>
      <c r="AB58" s="72">
        <v>127</v>
      </c>
      <c r="AC58" s="72">
        <v>42.7</v>
      </c>
      <c r="AD58" s="72">
        <v>0</v>
      </c>
      <c r="AE58" s="72">
        <v>0</v>
      </c>
      <c r="AF58" s="72">
        <v>0</v>
      </c>
      <c r="AG58" s="66"/>
      <c r="AH58" s="53">
        <f t="shared" si="2"/>
        <v>139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305</v>
      </c>
      <c r="C59" s="72">
        <v>297</v>
      </c>
      <c r="D59" s="72">
        <v>274.8</v>
      </c>
      <c r="E59" s="72">
        <v>234.6</v>
      </c>
      <c r="F59" s="72">
        <v>228.1</v>
      </c>
      <c r="G59" s="72">
        <v>246.4</v>
      </c>
      <c r="H59" s="50">
        <v>255.8</v>
      </c>
      <c r="I59" s="50">
        <v>305</v>
      </c>
      <c r="J59" s="50">
        <v>310.2</v>
      </c>
      <c r="K59" s="50">
        <v>165.4</v>
      </c>
      <c r="L59" s="50">
        <v>176.8</v>
      </c>
      <c r="M59" s="72">
        <v>13.7</v>
      </c>
      <c r="N59" s="72">
        <v>0</v>
      </c>
      <c r="O59" s="72">
        <v>63</v>
      </c>
      <c r="P59" s="72">
        <v>136</v>
      </c>
      <c r="Q59" s="72">
        <v>138.5</v>
      </c>
      <c r="R59" s="72">
        <v>331</v>
      </c>
      <c r="S59" s="72">
        <v>345</v>
      </c>
      <c r="T59" s="72">
        <v>335.8</v>
      </c>
      <c r="U59" s="72">
        <v>324</v>
      </c>
      <c r="V59" s="72">
        <v>162</v>
      </c>
      <c r="W59" s="72">
        <v>159</v>
      </c>
      <c r="X59" s="83">
        <v>37.5</v>
      </c>
      <c r="Y59" s="83">
        <v>9.1</v>
      </c>
      <c r="Z59" s="83">
        <v>49.6</v>
      </c>
      <c r="AA59" s="83">
        <v>15</v>
      </c>
      <c r="AB59" s="72">
        <v>-13.5</v>
      </c>
      <c r="AC59" s="72">
        <v>259</v>
      </c>
      <c r="AD59" s="72">
        <v>292</v>
      </c>
      <c r="AE59" s="72">
        <v>280</v>
      </c>
      <c r="AF59" s="72">
        <v>283</v>
      </c>
      <c r="AG59" s="84"/>
      <c r="AH59" s="53">
        <f t="shared" si="2"/>
        <v>345</v>
      </c>
      <c r="AI59" s="54">
        <f t="shared" si="3"/>
        <v>-13.5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34.299999999999997</v>
      </c>
      <c r="J60" s="57">
        <v>36</v>
      </c>
      <c r="K60" s="57">
        <v>38.799999999999997</v>
      </c>
      <c r="L60" s="57">
        <v>40.5</v>
      </c>
      <c r="M60" s="72">
        <v>40.4</v>
      </c>
      <c r="N60" s="72">
        <v>49.5</v>
      </c>
      <c r="O60" s="72">
        <v>51.6</v>
      </c>
      <c r="P60" s="72">
        <v>45.9</v>
      </c>
      <c r="Q60" s="72">
        <v>51.9</v>
      </c>
      <c r="R60" s="72">
        <v>53.8</v>
      </c>
      <c r="S60" s="72">
        <v>55.9</v>
      </c>
      <c r="T60" s="72">
        <v>54.1</v>
      </c>
      <c r="U60" s="72">
        <v>52.3</v>
      </c>
      <c r="V60" s="72">
        <v>44</v>
      </c>
      <c r="W60" s="72">
        <v>39.200000000000003</v>
      </c>
      <c r="X60" s="72">
        <v>49.6</v>
      </c>
      <c r="Y60" s="72">
        <v>57.1</v>
      </c>
      <c r="Z60" s="72">
        <v>58.6</v>
      </c>
      <c r="AA60" s="72">
        <v>58.9</v>
      </c>
      <c r="AB60" s="72">
        <v>56.5</v>
      </c>
      <c r="AC60" s="72">
        <v>54.9</v>
      </c>
      <c r="AD60" s="72">
        <v>53.7</v>
      </c>
      <c r="AE60" s="72">
        <v>45.6</v>
      </c>
      <c r="AF60" s="57">
        <v>42.9</v>
      </c>
      <c r="AG60" s="84"/>
      <c r="AH60" s="53">
        <f t="shared" si="2"/>
        <v>58.9</v>
      </c>
      <c r="AI60" s="54">
        <f t="shared" si="3"/>
        <v>0</v>
      </c>
      <c r="AK60" s="55"/>
    </row>
    <row r="61" spans="1:37" x14ac:dyDescent="0.25">
      <c r="A61" s="65" t="s">
        <v>69</v>
      </c>
      <c r="B61" s="57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72.3</v>
      </c>
      <c r="K61" s="57">
        <v>73.8</v>
      </c>
      <c r="L61" s="57">
        <v>76</v>
      </c>
      <c r="M61" s="50">
        <v>84</v>
      </c>
      <c r="N61" s="50">
        <v>70</v>
      </c>
      <c r="O61" s="50">
        <v>79.900000000000006</v>
      </c>
      <c r="P61" s="50">
        <v>62.7</v>
      </c>
      <c r="Q61" s="50">
        <v>71.8</v>
      </c>
      <c r="R61" s="50">
        <v>59.1</v>
      </c>
      <c r="S61" s="50">
        <v>60</v>
      </c>
      <c r="T61" s="50">
        <v>70.8</v>
      </c>
      <c r="U61" s="50">
        <v>69.599999999999994</v>
      </c>
      <c r="V61" s="50">
        <v>56.5</v>
      </c>
      <c r="W61" s="50">
        <v>69.2</v>
      </c>
      <c r="X61" s="50">
        <v>62.5</v>
      </c>
      <c r="Y61" s="50">
        <v>66.8</v>
      </c>
      <c r="Z61" s="50">
        <v>65.099999999999994</v>
      </c>
      <c r="AA61" s="50">
        <v>68</v>
      </c>
      <c r="AB61" s="50">
        <v>64.5</v>
      </c>
      <c r="AC61" s="50">
        <v>60.3</v>
      </c>
      <c r="AD61" s="50">
        <v>64.2</v>
      </c>
      <c r="AE61" s="50">
        <v>69.2</v>
      </c>
      <c r="AF61" s="50">
        <v>0</v>
      </c>
      <c r="AG61" s="84"/>
      <c r="AH61" s="53">
        <f t="shared" si="2"/>
        <v>84</v>
      </c>
      <c r="AI61" s="54">
        <f t="shared" si="3"/>
        <v>0</v>
      </c>
      <c r="AK61" s="55"/>
    </row>
    <row r="62" spans="1:37" x14ac:dyDescent="0.25">
      <c r="A62" s="65" t="s">
        <v>70</v>
      </c>
      <c r="B62" s="57">
        <v>0</v>
      </c>
      <c r="C62" s="57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6</v>
      </c>
      <c r="Z62" s="59">
        <v>6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6</v>
      </c>
      <c r="AI62" s="54">
        <f t="shared" si="3"/>
        <v>0</v>
      </c>
      <c r="AK62" s="55"/>
    </row>
    <row r="63" spans="1:37" x14ac:dyDescent="0.25">
      <c r="A63" s="65" t="s">
        <v>71</v>
      </c>
      <c r="B63" s="57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0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7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62">
        <v>0</v>
      </c>
      <c r="O66" s="62">
        <v>10</v>
      </c>
      <c r="P66" s="62">
        <v>10</v>
      </c>
      <c r="Q66" s="62">
        <v>10</v>
      </c>
      <c r="R66" s="62">
        <v>10</v>
      </c>
      <c r="S66" s="59">
        <v>10</v>
      </c>
      <c r="T66" s="59">
        <v>10</v>
      </c>
      <c r="U66" s="59">
        <v>10</v>
      </c>
      <c r="V66" s="59">
        <v>10</v>
      </c>
      <c r="W66" s="59">
        <v>10</v>
      </c>
      <c r="X66" s="62">
        <v>10</v>
      </c>
      <c r="Y66" s="62">
        <v>10</v>
      </c>
      <c r="Z66" s="62">
        <v>10</v>
      </c>
      <c r="AA66" s="62">
        <v>10</v>
      </c>
      <c r="AB66" s="62">
        <v>10</v>
      </c>
      <c r="AC66" s="62">
        <v>10</v>
      </c>
      <c r="AD66" s="62">
        <v>10</v>
      </c>
      <c r="AE66" s="62">
        <v>10</v>
      </c>
      <c r="AF66" s="62">
        <v>8</v>
      </c>
      <c r="AG66" s="86"/>
      <c r="AH66" s="53">
        <f t="shared" si="2"/>
        <v>10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7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0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371</v>
      </c>
      <c r="C68" s="71">
        <f>SUM(C57:C67)</f>
        <v>364.5</v>
      </c>
      <c r="D68" s="71">
        <f t="shared" ref="D68:AF68" si="8">SUM(D57:D67)</f>
        <v>339.5</v>
      </c>
      <c r="E68" s="71">
        <f t="shared" si="8"/>
        <v>298.7</v>
      </c>
      <c r="F68" s="71">
        <f t="shared" si="8"/>
        <v>289.89999999999998</v>
      </c>
      <c r="G68" s="71">
        <f t="shared" si="8"/>
        <v>310.39999999999998</v>
      </c>
      <c r="H68" s="71">
        <f t="shared" si="8"/>
        <v>326.5</v>
      </c>
      <c r="I68" s="71">
        <f t="shared" si="8"/>
        <v>409.8</v>
      </c>
      <c r="J68" s="71">
        <f t="shared" si="8"/>
        <v>487.7</v>
      </c>
      <c r="K68" s="71">
        <f t="shared" si="8"/>
        <v>352.40000000000003</v>
      </c>
      <c r="L68" s="71">
        <f t="shared" si="8"/>
        <v>362.70000000000005</v>
      </c>
      <c r="M68" s="71">
        <f t="shared" si="8"/>
        <v>166.8</v>
      </c>
      <c r="N68" s="71">
        <f t="shared" si="8"/>
        <v>274</v>
      </c>
      <c r="O68" s="71">
        <f t="shared" si="8"/>
        <v>359.6</v>
      </c>
      <c r="P68" s="71">
        <f t="shared" si="8"/>
        <v>403.99999999999994</v>
      </c>
      <c r="Q68" s="71">
        <f t="shared" si="8"/>
        <v>397.9</v>
      </c>
      <c r="R68" s="71">
        <f t="shared" si="8"/>
        <v>521.90000000000009</v>
      </c>
      <c r="S68" s="71">
        <f t="shared" si="8"/>
        <v>542.79999999999995</v>
      </c>
      <c r="T68" s="71">
        <f t="shared" si="8"/>
        <v>544.5</v>
      </c>
      <c r="U68" s="71">
        <f t="shared" si="8"/>
        <v>527.9</v>
      </c>
      <c r="V68" s="71">
        <f t="shared" si="8"/>
        <v>468.5</v>
      </c>
      <c r="W68" s="71">
        <f t="shared" si="8"/>
        <v>485.09999999999997</v>
      </c>
      <c r="X68" s="71">
        <v>340.1</v>
      </c>
      <c r="Y68" s="71">
        <f t="shared" si="8"/>
        <v>333.59999999999997</v>
      </c>
      <c r="Z68" s="71">
        <f t="shared" si="8"/>
        <v>391.79999999999995</v>
      </c>
      <c r="AA68" s="71">
        <f t="shared" si="8"/>
        <v>361.9</v>
      </c>
      <c r="AB68" s="71">
        <f t="shared" si="8"/>
        <v>316.3</v>
      </c>
      <c r="AC68" s="71">
        <f t="shared" si="8"/>
        <v>490.7</v>
      </c>
      <c r="AD68" s="71">
        <f t="shared" si="8"/>
        <v>486.9</v>
      </c>
      <c r="AE68" s="71">
        <f t="shared" si="8"/>
        <v>476.90000000000003</v>
      </c>
      <c r="AF68" s="71">
        <f t="shared" si="8"/>
        <v>394.2</v>
      </c>
      <c r="AG68" s="76">
        <f>SUM(AG57:AG67)</f>
        <v>0</v>
      </c>
      <c r="AH68" s="53">
        <f t="shared" si="2"/>
        <v>544.5</v>
      </c>
      <c r="AI68" s="54">
        <f t="shared" si="3"/>
        <v>166.8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v>0</v>
      </c>
      <c r="Y72" s="71"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949.33999999999992</v>
      </c>
      <c r="C73" s="88">
        <f>C68+C56+C52+C38+C72</f>
        <v>942.83999999999992</v>
      </c>
      <c r="D73" s="88">
        <f t="shared" ref="D73:AG73" si="10">D68+D56+D52+D38+D72</f>
        <v>910.44</v>
      </c>
      <c r="E73" s="88">
        <f t="shared" si="10"/>
        <v>908.33999999999992</v>
      </c>
      <c r="F73" s="88">
        <f t="shared" si="10"/>
        <v>913.33999999999992</v>
      </c>
      <c r="G73" s="88">
        <f t="shared" si="10"/>
        <v>955.13999999999987</v>
      </c>
      <c r="H73" s="88">
        <f t="shared" si="10"/>
        <v>992.93999999999983</v>
      </c>
      <c r="I73" s="88">
        <f t="shared" si="10"/>
        <v>1095.7399999999998</v>
      </c>
      <c r="J73" s="88">
        <f t="shared" si="10"/>
        <v>1205.04</v>
      </c>
      <c r="K73" s="88">
        <f t="shared" si="10"/>
        <v>1302.3400000000001</v>
      </c>
      <c r="L73" s="88">
        <f t="shared" si="10"/>
        <v>1404.1399999999999</v>
      </c>
      <c r="M73" s="88">
        <f t="shared" si="10"/>
        <v>1442.1400000000003</v>
      </c>
      <c r="N73" s="88">
        <f t="shared" si="10"/>
        <v>1491.04</v>
      </c>
      <c r="O73" s="88">
        <f t="shared" si="10"/>
        <v>1450.9399999999998</v>
      </c>
      <c r="P73" s="88">
        <f t="shared" si="10"/>
        <v>1409.4399999999998</v>
      </c>
      <c r="Q73" s="88">
        <f t="shared" si="10"/>
        <v>1337.1399999999999</v>
      </c>
      <c r="R73" s="88">
        <f t="shared" si="10"/>
        <v>1253.3400000000001</v>
      </c>
      <c r="S73" s="88">
        <f t="shared" si="10"/>
        <v>1286.44</v>
      </c>
      <c r="T73" s="88">
        <f t="shared" si="10"/>
        <v>1249.74</v>
      </c>
      <c r="U73" s="88">
        <f t="shared" si="10"/>
        <v>1311.1399999999999</v>
      </c>
      <c r="V73" s="88">
        <f t="shared" si="10"/>
        <v>1308.3399999999999</v>
      </c>
      <c r="W73" s="88">
        <f t="shared" si="10"/>
        <v>1384.84</v>
      </c>
      <c r="X73" s="88">
        <v>1384.84</v>
      </c>
      <c r="Y73" s="88">
        <v>1644.64</v>
      </c>
      <c r="Z73" s="88">
        <f t="shared" si="10"/>
        <v>1613.6399999999999</v>
      </c>
      <c r="AA73" s="88">
        <f t="shared" si="10"/>
        <v>1538.6399999999999</v>
      </c>
      <c r="AB73" s="88">
        <f t="shared" si="10"/>
        <v>1480.34</v>
      </c>
      <c r="AC73" s="88">
        <f t="shared" si="10"/>
        <v>1550.84</v>
      </c>
      <c r="AD73" s="88">
        <f t="shared" si="10"/>
        <v>1312.74</v>
      </c>
      <c r="AE73" s="88">
        <f t="shared" si="10"/>
        <v>1164.44</v>
      </c>
      <c r="AF73" s="88">
        <f t="shared" si="10"/>
        <v>990.43999999999983</v>
      </c>
      <c r="AG73" s="88">
        <f t="shared" si="10"/>
        <v>2144.14</v>
      </c>
      <c r="AH73" s="53">
        <f t="shared" si="2"/>
        <v>1644.64</v>
      </c>
      <c r="AI73" s="54">
        <f t="shared" si="3"/>
        <v>908.33999999999992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949.33999999999992</v>
      </c>
      <c r="C75" s="88">
        <f>C73+C74</f>
        <v>942.83999999999992</v>
      </c>
      <c r="D75" s="88">
        <f t="shared" ref="D75:AF75" si="11">D72+D68+D56+D52+D38+D74</f>
        <v>910.44</v>
      </c>
      <c r="E75" s="88">
        <f t="shared" si="11"/>
        <v>908.33999999999992</v>
      </c>
      <c r="F75" s="88">
        <f t="shared" si="11"/>
        <v>913.33999999999992</v>
      </c>
      <c r="G75" s="88">
        <f t="shared" si="11"/>
        <v>955.13999999999987</v>
      </c>
      <c r="H75" s="88">
        <f t="shared" si="11"/>
        <v>992.93999999999983</v>
      </c>
      <c r="I75" s="88">
        <f t="shared" si="11"/>
        <v>1095.7399999999998</v>
      </c>
      <c r="J75" s="88">
        <f t="shared" si="11"/>
        <v>1205.04</v>
      </c>
      <c r="K75" s="88">
        <f t="shared" si="11"/>
        <v>1302.3400000000001</v>
      </c>
      <c r="L75" s="88">
        <f t="shared" si="11"/>
        <v>1404.1399999999999</v>
      </c>
      <c r="M75" s="88">
        <f t="shared" si="11"/>
        <v>1442.1400000000003</v>
      </c>
      <c r="N75" s="88">
        <f t="shared" si="11"/>
        <v>1491.04</v>
      </c>
      <c r="O75" s="88">
        <f t="shared" si="11"/>
        <v>1450.9399999999998</v>
      </c>
      <c r="P75" s="88">
        <f t="shared" si="11"/>
        <v>1409.4399999999998</v>
      </c>
      <c r="Q75" s="88">
        <f t="shared" si="11"/>
        <v>1337.1399999999999</v>
      </c>
      <c r="R75" s="88">
        <f t="shared" si="11"/>
        <v>1253.3400000000001</v>
      </c>
      <c r="S75" s="88">
        <f t="shared" si="11"/>
        <v>1286.44</v>
      </c>
      <c r="T75" s="88">
        <f t="shared" si="11"/>
        <v>1249.74</v>
      </c>
      <c r="U75" s="88">
        <f t="shared" si="11"/>
        <v>1311.1399999999999</v>
      </c>
      <c r="V75" s="88">
        <f t="shared" si="11"/>
        <v>1308.3399999999999</v>
      </c>
      <c r="W75" s="88">
        <f t="shared" si="11"/>
        <v>1384.84</v>
      </c>
      <c r="X75" s="88">
        <v>1384.84</v>
      </c>
      <c r="Y75" s="88">
        <v>1644.64</v>
      </c>
      <c r="Z75" s="88">
        <f t="shared" si="11"/>
        <v>1613.6399999999999</v>
      </c>
      <c r="AA75" s="88">
        <f t="shared" si="11"/>
        <v>1538.6399999999999</v>
      </c>
      <c r="AB75" s="88">
        <f t="shared" si="11"/>
        <v>1480.34</v>
      </c>
      <c r="AC75" s="88">
        <f t="shared" si="11"/>
        <v>1550.84</v>
      </c>
      <c r="AD75" s="88">
        <f t="shared" si="11"/>
        <v>1312.74</v>
      </c>
      <c r="AE75" s="88">
        <f t="shared" si="11"/>
        <v>1164.44</v>
      </c>
      <c r="AF75" s="88">
        <f t="shared" si="11"/>
        <v>990.43999999999983</v>
      </c>
      <c r="AG75" s="76">
        <f>AG72+AG68+AG56+AG52+AG38+AG74</f>
        <v>2144.14</v>
      </c>
      <c r="AH75" s="53">
        <f t="shared" si="2"/>
        <v>1644.64</v>
      </c>
      <c r="AI75" s="54">
        <f t="shared" si="3"/>
        <v>908.33999999999992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v>0</v>
      </c>
      <c r="Y76" s="57"/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v>0</v>
      </c>
      <c r="Y77" s="57"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v>0</v>
      </c>
      <c r="Y78" s="57"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v>0</v>
      </c>
      <c r="Y79" s="57">
        <v>0</v>
      </c>
      <c r="Z79" s="57">
        <f t="shared" si="17"/>
        <v>0</v>
      </c>
      <c r="AA79" s="57">
        <f t="shared" si="17"/>
        <v>0</v>
      </c>
      <c r="AB79" s="57">
        <f t="shared" si="17"/>
        <v>13.5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13.5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v>0</v>
      </c>
      <c r="Y80" s="57"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v>0</v>
      </c>
      <c r="Y82" s="71">
        <v>0</v>
      </c>
      <c r="Z82" s="71">
        <f t="shared" si="19"/>
        <v>0</v>
      </c>
      <c r="AA82" s="71">
        <f t="shared" si="19"/>
        <v>0</v>
      </c>
      <c r="AB82" s="71">
        <f t="shared" si="19"/>
        <v>13.5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13.5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1898.6799999999998</v>
      </c>
      <c r="C83" s="71">
        <f t="shared" ref="C83:AG83" si="20">SUM(C70:C82)</f>
        <v>1885.6799999999998</v>
      </c>
      <c r="D83" s="71">
        <f t="shared" si="20"/>
        <v>1820.88</v>
      </c>
      <c r="E83" s="71">
        <f t="shared" si="20"/>
        <v>1816.6799999999998</v>
      </c>
      <c r="F83" s="71">
        <f t="shared" si="20"/>
        <v>1826.6799999999998</v>
      </c>
      <c r="G83" s="71">
        <f t="shared" si="20"/>
        <v>1910.2799999999997</v>
      </c>
      <c r="H83" s="71">
        <f t="shared" si="20"/>
        <v>1985.8799999999997</v>
      </c>
      <c r="I83" s="71">
        <f t="shared" si="20"/>
        <v>2191.4799999999996</v>
      </c>
      <c r="J83" s="71">
        <f t="shared" si="20"/>
        <v>2410.08</v>
      </c>
      <c r="K83" s="71">
        <f t="shared" si="20"/>
        <v>2604.6800000000003</v>
      </c>
      <c r="L83" s="71">
        <f t="shared" si="20"/>
        <v>2808.2799999999997</v>
      </c>
      <c r="M83" s="71">
        <f t="shared" si="20"/>
        <v>2884.2800000000007</v>
      </c>
      <c r="N83" s="71">
        <f t="shared" si="20"/>
        <v>2982.08</v>
      </c>
      <c r="O83" s="71">
        <f t="shared" si="20"/>
        <v>2901.8799999999997</v>
      </c>
      <c r="P83" s="71">
        <f t="shared" si="20"/>
        <v>2818.8799999999997</v>
      </c>
      <c r="Q83" s="71">
        <f t="shared" si="20"/>
        <v>2674.2799999999997</v>
      </c>
      <c r="R83" s="71">
        <f t="shared" si="20"/>
        <v>2506.6800000000003</v>
      </c>
      <c r="S83" s="71">
        <f t="shared" si="20"/>
        <v>2572.88</v>
      </c>
      <c r="T83" s="71">
        <f t="shared" si="20"/>
        <v>2499.48</v>
      </c>
      <c r="U83" s="71">
        <f t="shared" si="20"/>
        <v>2622.2799999999997</v>
      </c>
      <c r="V83" s="71">
        <f t="shared" si="20"/>
        <v>2616.6799999999998</v>
      </c>
      <c r="W83" s="71">
        <f t="shared" si="20"/>
        <v>2769.68</v>
      </c>
      <c r="X83" s="71">
        <v>340.1</v>
      </c>
      <c r="Y83" s="71">
        <v>333.59999999999997</v>
      </c>
      <c r="Z83" s="71">
        <f t="shared" si="20"/>
        <v>3227.2799999999997</v>
      </c>
      <c r="AA83" s="71">
        <f t="shared" si="20"/>
        <v>3077.2799999999997</v>
      </c>
      <c r="AB83" s="71">
        <f t="shared" si="20"/>
        <v>2987.68</v>
      </c>
      <c r="AC83" s="71">
        <f t="shared" si="20"/>
        <v>3101.68</v>
      </c>
      <c r="AD83" s="71">
        <f t="shared" si="20"/>
        <v>2625.48</v>
      </c>
      <c r="AE83" s="71">
        <f t="shared" si="20"/>
        <v>2328.88</v>
      </c>
      <c r="AF83" s="71">
        <f t="shared" si="20"/>
        <v>1980.8799999999997</v>
      </c>
      <c r="AG83" s="76">
        <f t="shared" si="20"/>
        <v>4360.08</v>
      </c>
      <c r="AH83" s="53">
        <f t="shared" si="13"/>
        <v>3227.2799999999997</v>
      </c>
      <c r="AI83" s="54">
        <f t="shared" si="14"/>
        <v>333.59999999999997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</v>
      </c>
      <c r="C84" s="95">
        <v>49.83</v>
      </c>
      <c r="D84" s="95">
        <v>50.042999999999999</v>
      </c>
      <c r="E84" s="95">
        <v>49.975999999999999</v>
      </c>
      <c r="F84" s="95">
        <v>50.017000000000003</v>
      </c>
      <c r="G84" s="95">
        <v>50.026000000000003</v>
      </c>
      <c r="H84" s="95">
        <v>49.981999999999999</v>
      </c>
      <c r="I84" s="95">
        <v>49.991</v>
      </c>
      <c r="J84" s="95">
        <v>49.938000000000002</v>
      </c>
      <c r="K84" s="95">
        <v>49.993000000000002</v>
      </c>
      <c r="L84" s="95">
        <v>50.02</v>
      </c>
      <c r="M84" s="95">
        <v>50.024999999999999</v>
      </c>
      <c r="N84" s="95">
        <v>49.994999999999997</v>
      </c>
      <c r="O84" s="95">
        <v>49.984999999999999</v>
      </c>
      <c r="P84" s="95">
        <v>49.996000000000002</v>
      </c>
      <c r="Q84" s="95">
        <v>50.021000000000001</v>
      </c>
      <c r="R84" s="95">
        <v>50.018000000000001</v>
      </c>
      <c r="S84" s="95">
        <v>50.027000000000001</v>
      </c>
      <c r="T84" s="95">
        <v>49.93</v>
      </c>
      <c r="U84" s="95">
        <v>49.94</v>
      </c>
      <c r="V84" s="95">
        <v>49.94</v>
      </c>
      <c r="W84" s="95">
        <v>50.06</v>
      </c>
      <c r="X84" s="95">
        <v>50.06</v>
      </c>
      <c r="Y84" s="95">
        <v>50.03</v>
      </c>
      <c r="Z84" s="95">
        <v>50.02</v>
      </c>
      <c r="AA84" s="95">
        <v>49.936</v>
      </c>
      <c r="AB84" s="95">
        <v>50.04</v>
      </c>
      <c r="AC84" s="95">
        <v>49.911000000000001</v>
      </c>
      <c r="AD84" s="95">
        <v>49.933</v>
      </c>
      <c r="AE84" s="95">
        <v>49.893999999999998</v>
      </c>
      <c r="AF84" s="95">
        <v>50.040999999999997</v>
      </c>
      <c r="AG84" s="96"/>
      <c r="AH84" s="53">
        <f t="shared" si="13"/>
        <v>50.06</v>
      </c>
      <c r="AI84" s="54">
        <f t="shared" si="14"/>
        <v>49.83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</v>
      </c>
      <c r="C85" s="98">
        <v>125</v>
      </c>
      <c r="D85" s="72">
        <v>126.7</v>
      </c>
      <c r="E85" s="72">
        <v>125.5</v>
      </c>
      <c r="F85" s="72">
        <v>126.3</v>
      </c>
      <c r="G85" s="72">
        <v>124.6</v>
      </c>
      <c r="H85" s="72">
        <v>125.1</v>
      </c>
      <c r="I85" s="72">
        <v>126.8</v>
      </c>
      <c r="J85" s="72">
        <v>124.8</v>
      </c>
      <c r="K85" s="72">
        <v>126.5</v>
      </c>
      <c r="L85" s="72">
        <v>124.1</v>
      </c>
      <c r="M85" s="72">
        <v>124.1</v>
      </c>
      <c r="N85" s="72">
        <v>124.1</v>
      </c>
      <c r="O85" s="72">
        <v>124.6</v>
      </c>
      <c r="P85" s="72">
        <v>125</v>
      </c>
      <c r="Q85" s="72">
        <v>125.3</v>
      </c>
      <c r="R85" s="72">
        <v>125</v>
      </c>
      <c r="S85" s="72">
        <v>123.2</v>
      </c>
      <c r="T85" s="72">
        <v>125</v>
      </c>
      <c r="U85" s="99">
        <v>122.5</v>
      </c>
      <c r="V85" s="99">
        <v>125.6</v>
      </c>
      <c r="W85" s="99">
        <v>125.1</v>
      </c>
      <c r="X85" s="99">
        <v>122.4</v>
      </c>
      <c r="Y85" s="99">
        <v>121.6</v>
      </c>
      <c r="Z85" s="99">
        <v>123.5</v>
      </c>
      <c r="AA85" s="99">
        <v>125</v>
      </c>
      <c r="AB85" s="72">
        <v>125.2</v>
      </c>
      <c r="AC85" s="72">
        <v>124.7</v>
      </c>
      <c r="AD85" s="72">
        <v>124.7</v>
      </c>
      <c r="AE85" s="72">
        <v>124.5</v>
      </c>
      <c r="AF85" s="72">
        <v>125.3</v>
      </c>
      <c r="AG85" s="100"/>
      <c r="AH85" s="53">
        <f t="shared" si="13"/>
        <v>126.8</v>
      </c>
      <c r="AI85" s="54">
        <f t="shared" si="14"/>
        <v>121.6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</v>
      </c>
      <c r="C86" s="98">
        <v>129</v>
      </c>
      <c r="D86" s="72">
        <v>131</v>
      </c>
      <c r="E86" s="72">
        <v>130.6</v>
      </c>
      <c r="F86" s="72">
        <v>130.6</v>
      </c>
      <c r="G86" s="72">
        <v>129</v>
      </c>
      <c r="H86" s="72">
        <v>129.5</v>
      </c>
      <c r="I86" s="72">
        <v>130.6</v>
      </c>
      <c r="J86" s="72">
        <v>128.30000000000001</v>
      </c>
      <c r="K86" s="72">
        <v>130.1</v>
      </c>
      <c r="L86" s="72">
        <v>127.3</v>
      </c>
      <c r="M86" s="72">
        <v>126.8</v>
      </c>
      <c r="N86" s="72">
        <v>126.8</v>
      </c>
      <c r="O86" s="72">
        <v>127.3</v>
      </c>
      <c r="P86" s="72">
        <v>127.4</v>
      </c>
      <c r="Q86" s="72">
        <v>127.8</v>
      </c>
      <c r="R86" s="72">
        <v>127.6</v>
      </c>
      <c r="S86" s="72">
        <v>127</v>
      </c>
      <c r="T86" s="72">
        <v>126.6</v>
      </c>
      <c r="U86" s="99">
        <v>125.3</v>
      </c>
      <c r="V86" s="99">
        <v>128</v>
      </c>
      <c r="W86" s="99">
        <v>127.1</v>
      </c>
      <c r="X86" s="99">
        <v>124.7</v>
      </c>
      <c r="Y86" s="99">
        <v>123.8</v>
      </c>
      <c r="Z86" s="99">
        <v>125.3</v>
      </c>
      <c r="AA86" s="99">
        <v>127</v>
      </c>
      <c r="AB86" s="72">
        <v>127.3</v>
      </c>
      <c r="AC86" s="72">
        <v>127.5</v>
      </c>
      <c r="AD86" s="72">
        <v>127.7</v>
      </c>
      <c r="AE86" s="72">
        <v>128.19999999999999</v>
      </c>
      <c r="AF86" s="72">
        <v>129.4</v>
      </c>
      <c r="AG86" s="100"/>
      <c r="AH86" s="53">
        <f t="shared" si="13"/>
        <v>131</v>
      </c>
      <c r="AI86" s="54">
        <f t="shared" si="14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</v>
      </c>
      <c r="C87" s="98">
        <v>131</v>
      </c>
      <c r="D87" s="72">
        <v>132</v>
      </c>
      <c r="E87" s="72">
        <v>131.80000000000001</v>
      </c>
      <c r="F87" s="72">
        <v>131.69999999999999</v>
      </c>
      <c r="G87" s="72">
        <v>130.80000000000001</v>
      </c>
      <c r="H87" s="72">
        <v>130.1</v>
      </c>
      <c r="I87" s="72">
        <v>130.9</v>
      </c>
      <c r="J87" s="72">
        <v>127.1</v>
      </c>
      <c r="K87" s="72">
        <v>127.8</v>
      </c>
      <c r="L87" s="72">
        <v>125.6</v>
      </c>
      <c r="M87" s="72">
        <v>125.9</v>
      </c>
      <c r="N87" s="72">
        <v>129</v>
      </c>
      <c r="O87" s="72">
        <v>129.6</v>
      </c>
      <c r="P87" s="72">
        <v>129.6</v>
      </c>
      <c r="Q87" s="72">
        <v>131.1</v>
      </c>
      <c r="R87" s="72">
        <v>129</v>
      </c>
      <c r="S87" s="72">
        <v>129</v>
      </c>
      <c r="T87" s="72">
        <v>132.5</v>
      </c>
      <c r="U87" s="72">
        <v>128</v>
      </c>
      <c r="V87" s="72">
        <v>132.9</v>
      </c>
      <c r="W87" s="72">
        <v>131.6</v>
      </c>
      <c r="X87" s="99">
        <v>129.6</v>
      </c>
      <c r="Y87" s="99">
        <v>129.69999999999999</v>
      </c>
      <c r="Z87" s="99">
        <v>128.80000000000001</v>
      </c>
      <c r="AA87" s="99">
        <v>130</v>
      </c>
      <c r="AB87" s="72">
        <v>131.9</v>
      </c>
      <c r="AC87" s="72">
        <v>132.6</v>
      </c>
      <c r="AD87" s="72">
        <v>129.30000000000001</v>
      </c>
      <c r="AE87" s="72">
        <v>132.19999999999999</v>
      </c>
      <c r="AF87" s="72">
        <v>132</v>
      </c>
      <c r="AG87" s="100"/>
      <c r="AH87" s="53">
        <f t="shared" si="13"/>
        <v>132.9</v>
      </c>
      <c r="AI87" s="54">
        <f t="shared" si="14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134</v>
      </c>
      <c r="C88" s="98">
        <v>134</v>
      </c>
      <c r="D88" s="72">
        <v>135.5</v>
      </c>
      <c r="E88" s="72">
        <v>135.5</v>
      </c>
      <c r="F88" s="72">
        <v>135.19999999999999</v>
      </c>
      <c r="G88" s="72">
        <v>134.1</v>
      </c>
      <c r="H88" s="72">
        <v>133.30000000000001</v>
      </c>
      <c r="I88" s="72">
        <v>134.30000000000001</v>
      </c>
      <c r="J88" s="72">
        <v>130.1</v>
      </c>
      <c r="K88" s="72">
        <v>131.69999999999999</v>
      </c>
      <c r="L88" s="72">
        <v>130.5</v>
      </c>
      <c r="M88" s="72">
        <v>129.5</v>
      </c>
      <c r="N88" s="72">
        <v>133.4</v>
      </c>
      <c r="O88" s="72">
        <v>133.30000000000001</v>
      </c>
      <c r="P88" s="72">
        <v>132.30000000000001</v>
      </c>
      <c r="Q88" s="72">
        <v>134.4</v>
      </c>
      <c r="R88" s="72">
        <v>133.9</v>
      </c>
      <c r="S88" s="72">
        <v>132</v>
      </c>
      <c r="T88" s="72">
        <v>132.5</v>
      </c>
      <c r="U88" s="72">
        <v>134.1</v>
      </c>
      <c r="V88" s="72">
        <v>135</v>
      </c>
      <c r="W88" s="72">
        <v>133.6</v>
      </c>
      <c r="X88" s="99">
        <v>131</v>
      </c>
      <c r="Y88" s="99">
        <v>131.69999999999999</v>
      </c>
      <c r="Z88" s="99">
        <v>130</v>
      </c>
      <c r="AA88" s="99">
        <v>133</v>
      </c>
      <c r="AB88" s="72">
        <v>136.19999999999999</v>
      </c>
      <c r="AC88" s="72">
        <v>133.9</v>
      </c>
      <c r="AD88" s="72">
        <v>132.69999999999999</v>
      </c>
      <c r="AE88" s="72">
        <v>135.5</v>
      </c>
      <c r="AF88" s="72">
        <v>135.80000000000001</v>
      </c>
      <c r="AG88" s="100"/>
      <c r="AH88" s="53">
        <f t="shared" si="13"/>
        <v>136.19999999999999</v>
      </c>
      <c r="AI88" s="54">
        <f t="shared" si="14"/>
        <v>129.5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127</v>
      </c>
      <c r="C89" s="102">
        <v>127</v>
      </c>
      <c r="D89" s="103">
        <v>130</v>
      </c>
      <c r="E89" s="103">
        <v>129.80000000000001</v>
      </c>
      <c r="F89" s="103">
        <v>129.4</v>
      </c>
      <c r="G89" s="103">
        <v>128</v>
      </c>
      <c r="H89" s="103">
        <v>129.5</v>
      </c>
      <c r="I89" s="103">
        <v>128.30000000000001</v>
      </c>
      <c r="J89" s="103">
        <v>134.6</v>
      </c>
      <c r="K89" s="103">
        <v>136</v>
      </c>
      <c r="L89" s="103">
        <v>132.6</v>
      </c>
      <c r="M89" s="103">
        <v>134.80000000000001</v>
      </c>
      <c r="N89" s="103">
        <v>134.6</v>
      </c>
      <c r="O89" s="103">
        <v>135.80000000000001</v>
      </c>
      <c r="P89" s="103">
        <v>127.5</v>
      </c>
      <c r="Q89" s="103">
        <v>134.80000000000001</v>
      </c>
      <c r="R89" s="103">
        <v>132.9</v>
      </c>
      <c r="S89" s="103">
        <v>133</v>
      </c>
      <c r="T89" s="103">
        <v>132.6</v>
      </c>
      <c r="U89" s="103">
        <v>132.1</v>
      </c>
      <c r="V89" s="103">
        <v>134.69999999999999</v>
      </c>
      <c r="W89" s="103">
        <v>134.30000000000001</v>
      </c>
      <c r="X89" s="99">
        <v>132.9</v>
      </c>
      <c r="Y89" s="99">
        <v>132.9</v>
      </c>
      <c r="Z89" s="99">
        <v>134.5</v>
      </c>
      <c r="AA89" s="99">
        <v>135</v>
      </c>
      <c r="AB89" s="103">
        <v>136.69999999999999</v>
      </c>
      <c r="AC89" s="103">
        <v>132.69999999999999</v>
      </c>
      <c r="AD89" s="103">
        <v>133.1</v>
      </c>
      <c r="AE89" s="103">
        <v>132</v>
      </c>
      <c r="AF89" s="103">
        <v>129.80000000000001</v>
      </c>
      <c r="AG89" s="104"/>
      <c r="AH89" s="53">
        <f t="shared" si="13"/>
        <v>136.69999999999999</v>
      </c>
      <c r="AI89" s="54">
        <f t="shared" si="14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135</v>
      </c>
      <c r="C90" s="98">
        <v>135</v>
      </c>
      <c r="D90" s="72">
        <v>137.80000000000001</v>
      </c>
      <c r="E90" s="72">
        <v>137.30000000000001</v>
      </c>
      <c r="F90" s="72">
        <v>135.80000000000001</v>
      </c>
      <c r="G90" s="72">
        <v>135</v>
      </c>
      <c r="H90" s="72">
        <v>133.30000000000001</v>
      </c>
      <c r="I90" s="72">
        <v>132.30000000000001</v>
      </c>
      <c r="J90" s="72">
        <v>128.9</v>
      </c>
      <c r="K90" s="72">
        <v>128.30000000000001</v>
      </c>
      <c r="L90" s="72">
        <v>128.30000000000001</v>
      </c>
      <c r="M90" s="72">
        <v>128.4</v>
      </c>
      <c r="N90" s="72">
        <v>129.30000000000001</v>
      </c>
      <c r="O90" s="72">
        <v>129.6</v>
      </c>
      <c r="P90" s="72">
        <v>127.5</v>
      </c>
      <c r="Q90" s="72">
        <v>132.4</v>
      </c>
      <c r="R90" s="72">
        <v>135.9</v>
      </c>
      <c r="S90" s="72">
        <v>133</v>
      </c>
      <c r="T90" s="72">
        <v>137</v>
      </c>
      <c r="U90" s="72">
        <v>136.4</v>
      </c>
      <c r="V90" s="72">
        <v>136</v>
      </c>
      <c r="W90" s="72">
        <v>135.5</v>
      </c>
      <c r="X90" s="99">
        <v>131.5</v>
      </c>
      <c r="Y90" s="99">
        <v>134.4</v>
      </c>
      <c r="Z90" s="99">
        <v>131.6</v>
      </c>
      <c r="AA90" s="99">
        <v>131</v>
      </c>
      <c r="AB90" s="72">
        <v>132.80000000000001</v>
      </c>
      <c r="AC90" s="72">
        <v>135</v>
      </c>
      <c r="AD90" s="72">
        <v>131.9</v>
      </c>
      <c r="AE90" s="72">
        <v>134</v>
      </c>
      <c r="AF90" s="72">
        <v>135.4</v>
      </c>
      <c r="AG90" s="100"/>
      <c r="AH90" s="53">
        <f t="shared" si="13"/>
        <v>137.80000000000001</v>
      </c>
      <c r="AI90" s="54">
        <f t="shared" si="14"/>
        <v>127.5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202.73999999999998</v>
      </c>
      <c r="C93" s="113">
        <f>SUM(C15,C18,C21:C22,C42,C44:C45,C47,C49,C94:C97,C102,C108,C114,C123,C125,C137,C144,C147:C148,C155,C157,C159,C163:C165,C167:C169,C174,C180:C181,C183:C185,C193,C198)</f>
        <v>199.73999999999998</v>
      </c>
      <c r="D93" s="113">
        <f t="shared" ref="D93:AF93" si="21">SUM(D15,D18,D21:D22,D42,D44:D45,D47,D49,D94:D97,D102,D108,D114,D123,D125,D137,D144,D147:D148,D155,D157,D159,D163:D165,D167:D169,D174,D180:D181,D183:D185,D193,D198)</f>
        <v>185.53999999999996</v>
      </c>
      <c r="E93" s="113">
        <f t="shared" si="21"/>
        <v>184.23999999999998</v>
      </c>
      <c r="F93" s="113">
        <f t="shared" si="21"/>
        <v>185.33999999999997</v>
      </c>
      <c r="G93" s="112">
        <f t="shared" si="21"/>
        <v>202.64</v>
      </c>
      <c r="H93" s="112">
        <f t="shared" si="21"/>
        <v>225.83999999999997</v>
      </c>
      <c r="I93" s="112">
        <f t="shared" si="21"/>
        <v>268.64</v>
      </c>
      <c r="J93" s="112">
        <f t="shared" si="21"/>
        <v>308.94</v>
      </c>
      <c r="K93" s="112">
        <f t="shared" si="21"/>
        <v>356.14000000000004</v>
      </c>
      <c r="L93" s="112">
        <f t="shared" si="21"/>
        <v>406.14</v>
      </c>
      <c r="M93" s="112">
        <f t="shared" si="21"/>
        <v>442.34</v>
      </c>
      <c r="N93" s="112">
        <f t="shared" si="21"/>
        <v>461.14</v>
      </c>
      <c r="O93" s="112">
        <f t="shared" si="21"/>
        <v>445.34000000000003</v>
      </c>
      <c r="P93" s="112">
        <f t="shared" si="21"/>
        <v>437.34000000000003</v>
      </c>
      <c r="Q93" s="112">
        <f t="shared" si="21"/>
        <v>411.94</v>
      </c>
      <c r="R93" s="112">
        <f t="shared" si="21"/>
        <v>397.94000000000005</v>
      </c>
      <c r="S93" s="112">
        <f t="shared" si="21"/>
        <v>415.24</v>
      </c>
      <c r="T93" s="112">
        <f t="shared" si="21"/>
        <v>393.44000000000005</v>
      </c>
      <c r="U93" s="112">
        <f t="shared" si="21"/>
        <v>406.44000000000005</v>
      </c>
      <c r="V93" s="112">
        <f t="shared" si="21"/>
        <v>416.44</v>
      </c>
      <c r="W93" s="112">
        <f t="shared" si="21"/>
        <v>438.94000000000005</v>
      </c>
      <c r="X93" s="112">
        <v>503.49708333333336</v>
      </c>
      <c r="Y93" s="112">
        <v>419.8970833333334</v>
      </c>
      <c r="Z93" s="112">
        <f t="shared" si="21"/>
        <v>502.44</v>
      </c>
      <c r="AA93" s="112">
        <f t="shared" si="21"/>
        <v>486.84000000000003</v>
      </c>
      <c r="AB93" s="112">
        <f t="shared" si="21"/>
        <v>475.24</v>
      </c>
      <c r="AC93" s="112">
        <f t="shared" si="21"/>
        <v>415.04000000000008</v>
      </c>
      <c r="AD93" s="112">
        <f t="shared" si="21"/>
        <v>396.74000000000007</v>
      </c>
      <c r="AE93" s="112">
        <f t="shared" si="21"/>
        <v>312.14000000000004</v>
      </c>
      <c r="AF93" s="112">
        <f t="shared" si="21"/>
        <v>245.63999999999996</v>
      </c>
      <c r="AG93" s="114"/>
      <c r="AH93" s="53">
        <f>MAX(C93:AF93)</f>
        <v>503.49708333333336</v>
      </c>
      <c r="AI93" s="54">
        <f>MIN(C93:AF93)</f>
        <v>184.23999999999998</v>
      </c>
    </row>
    <row r="94" spans="1:88" x14ac:dyDescent="0.25">
      <c r="A94" s="115" t="s">
        <v>98</v>
      </c>
      <c r="B94" s="116">
        <v>-24</v>
      </c>
      <c r="C94" s="57">
        <v>-22</v>
      </c>
      <c r="D94" s="57">
        <v>-20.6</v>
      </c>
      <c r="E94" s="57">
        <v>-21.9</v>
      </c>
      <c r="F94" s="57">
        <v>-15.9</v>
      </c>
      <c r="G94" s="117">
        <v>-19</v>
      </c>
      <c r="H94" s="117">
        <v>-2.6</v>
      </c>
      <c r="I94" s="117">
        <v>-1.1000000000000001</v>
      </c>
      <c r="J94" s="117">
        <v>16.5</v>
      </c>
      <c r="K94" s="117">
        <v>35.5</v>
      </c>
      <c r="L94" s="117">
        <v>41.1</v>
      </c>
      <c r="M94" s="118">
        <v>64.599999999999994</v>
      </c>
      <c r="N94" s="117">
        <v>64.599999999999994</v>
      </c>
      <c r="O94" s="117">
        <v>64.099999999999994</v>
      </c>
      <c r="P94" s="117">
        <v>79.099999999999994</v>
      </c>
      <c r="Q94" s="117">
        <v>63.8</v>
      </c>
      <c r="R94" s="117">
        <v>39.9</v>
      </c>
      <c r="S94" s="117">
        <v>41.1</v>
      </c>
      <c r="T94" s="117">
        <v>23.7</v>
      </c>
      <c r="U94" s="118">
        <v>54</v>
      </c>
      <c r="V94" s="118">
        <v>58.3</v>
      </c>
      <c r="W94" s="118">
        <v>70.5</v>
      </c>
      <c r="X94" s="117">
        <v>62.3</v>
      </c>
      <c r="Y94" s="117">
        <v>59.2</v>
      </c>
      <c r="Z94" s="117">
        <v>63.1</v>
      </c>
      <c r="AA94" s="117">
        <v>67.8</v>
      </c>
      <c r="AB94" s="118">
        <v>75.900000000000006</v>
      </c>
      <c r="AC94" s="118">
        <v>66.599999999999994</v>
      </c>
      <c r="AD94" s="118">
        <v>63.4</v>
      </c>
      <c r="AE94" s="118">
        <v>36.700000000000003</v>
      </c>
      <c r="AF94" s="118">
        <v>2.2000000000000002</v>
      </c>
      <c r="AG94" s="119">
        <v>75</v>
      </c>
      <c r="AH94" s="53">
        <f t="shared" ref="AH94:AH99" si="22">IF(ABS(MAX(C94:AF94))&gt;ABS(MIN(C94:AF94)),MAX(C94:AF94),MIN(C94:AF94))</f>
        <v>79.099999999999994</v>
      </c>
      <c r="AI94" s="120">
        <f t="shared" ref="AI94:AI99" si="23">INDEX($C$9:$AF$9,1,MATCH(AH94,C94:AF94,0))</f>
        <v>0.45833333333333298</v>
      </c>
    </row>
    <row r="95" spans="1:88" x14ac:dyDescent="0.25">
      <c r="A95" s="121" t="s">
        <v>99</v>
      </c>
      <c r="B95" s="122">
        <v>-37</v>
      </c>
      <c r="C95" s="59">
        <v>-38</v>
      </c>
      <c r="D95" s="59">
        <v>-40</v>
      </c>
      <c r="E95" s="59">
        <v>-43</v>
      </c>
      <c r="F95" s="59">
        <v>-43.5</v>
      </c>
      <c r="G95" s="59">
        <v>-37.200000000000003</v>
      </c>
      <c r="H95" s="59">
        <v>-35</v>
      </c>
      <c r="I95" s="59">
        <v>-2.6</v>
      </c>
      <c r="J95" s="59">
        <v>26.2</v>
      </c>
      <c r="K95" s="59">
        <v>32.5</v>
      </c>
      <c r="L95" s="59">
        <v>46</v>
      </c>
      <c r="M95" s="59">
        <v>35.6</v>
      </c>
      <c r="N95" s="59">
        <v>43.6</v>
      </c>
      <c r="O95" s="59">
        <v>44.6</v>
      </c>
      <c r="P95" s="59">
        <v>26</v>
      </c>
      <c r="Q95" s="59">
        <v>32</v>
      </c>
      <c r="R95" s="59">
        <v>42</v>
      </c>
      <c r="S95" s="59">
        <v>45.6</v>
      </c>
      <c r="T95" s="59">
        <f>26.4+25.1</f>
        <v>51.5</v>
      </c>
      <c r="U95" s="59">
        <f>32.9+32.7</f>
        <v>65.599999999999994</v>
      </c>
      <c r="V95" s="59">
        <f>29+25.6</f>
        <v>54.6</v>
      </c>
      <c r="W95" s="59">
        <f>33.1+27.7</f>
        <v>60.8</v>
      </c>
      <c r="X95" s="59">
        <v>87.5</v>
      </c>
      <c r="Y95" s="59">
        <v>97.2</v>
      </c>
      <c r="Z95" s="59">
        <f>48.1+44.6</f>
        <v>92.7</v>
      </c>
      <c r="AA95" s="59">
        <v>80.599999999999994</v>
      </c>
      <c r="AB95" s="72">
        <v>73</v>
      </c>
      <c r="AC95" s="72">
        <v>61.2</v>
      </c>
      <c r="AD95" s="72">
        <v>57.8</v>
      </c>
      <c r="AE95" s="72">
        <v>44</v>
      </c>
      <c r="AF95" s="72">
        <v>-21.5</v>
      </c>
      <c r="AG95" s="119">
        <v>240</v>
      </c>
      <c r="AH95" s="53">
        <f t="shared" si="22"/>
        <v>97.2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-7</v>
      </c>
      <c r="C96" s="59">
        <v>-10</v>
      </c>
      <c r="D96" s="59">
        <v>-8.6</v>
      </c>
      <c r="E96" s="59">
        <v>-11.1</v>
      </c>
      <c r="F96" s="59">
        <v>-7.8</v>
      </c>
      <c r="G96" s="59">
        <v>-8.3000000000000007</v>
      </c>
      <c r="H96" s="59">
        <v>-2.6</v>
      </c>
      <c r="I96" s="59">
        <v>2.8</v>
      </c>
      <c r="J96" s="59">
        <v>7.6</v>
      </c>
      <c r="K96" s="59">
        <v>27.8</v>
      </c>
      <c r="L96" s="59">
        <v>30.5</v>
      </c>
      <c r="M96" s="59">
        <v>39</v>
      </c>
      <c r="N96" s="59">
        <v>40</v>
      </c>
      <c r="O96" s="59">
        <v>45.2</v>
      </c>
      <c r="P96" s="59">
        <v>46.1</v>
      </c>
      <c r="Q96" s="59">
        <v>44.9</v>
      </c>
      <c r="R96" s="59">
        <v>34.5</v>
      </c>
      <c r="S96" s="59">
        <v>35.299999999999997</v>
      </c>
      <c r="T96" s="59">
        <v>31.4</v>
      </c>
      <c r="U96" s="59">
        <v>41.1</v>
      </c>
      <c r="V96" s="59">
        <v>43.5</v>
      </c>
      <c r="W96" s="59">
        <v>49.3</v>
      </c>
      <c r="X96" s="59">
        <v>58.7</v>
      </c>
      <c r="Y96" s="59">
        <v>66.599999999999994</v>
      </c>
      <c r="Z96" s="59">
        <v>65.7</v>
      </c>
      <c r="AA96" s="59">
        <v>65.5</v>
      </c>
      <c r="AB96" s="72">
        <v>55.4</v>
      </c>
      <c r="AC96" s="72">
        <v>34.6</v>
      </c>
      <c r="AD96" s="72">
        <v>31.8</v>
      </c>
      <c r="AE96" s="72">
        <v>17.5</v>
      </c>
      <c r="AF96" s="72">
        <v>3.7</v>
      </c>
      <c r="AG96" s="119">
        <v>60</v>
      </c>
      <c r="AH96" s="53">
        <f t="shared" si="22"/>
        <v>66.599999999999994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83</v>
      </c>
      <c r="C97" s="62">
        <v>82</v>
      </c>
      <c r="D97" s="62">
        <v>74.3</v>
      </c>
      <c r="E97" s="62">
        <v>81.5</v>
      </c>
      <c r="F97" s="62">
        <v>73.8</v>
      </c>
      <c r="G97" s="62">
        <v>88.4</v>
      </c>
      <c r="H97" s="62">
        <v>87.3</v>
      </c>
      <c r="I97" s="62">
        <v>90.8</v>
      </c>
      <c r="J97" s="62">
        <v>78.2</v>
      </c>
      <c r="K97" s="62">
        <v>79.5</v>
      </c>
      <c r="L97" s="62">
        <v>106.6</v>
      </c>
      <c r="M97" s="62">
        <v>121.2</v>
      </c>
      <c r="N97" s="62">
        <v>134</v>
      </c>
      <c r="O97" s="62">
        <v>114</v>
      </c>
      <c r="P97" s="62">
        <v>109.6</v>
      </c>
      <c r="Q97" s="62">
        <v>94.7</v>
      </c>
      <c r="R97" s="62">
        <v>105</v>
      </c>
      <c r="S97" s="62">
        <v>116.7</v>
      </c>
      <c r="T97" s="62">
        <v>109.6</v>
      </c>
      <c r="U97" s="62">
        <v>68.5</v>
      </c>
      <c r="V97" s="62">
        <v>82.8</v>
      </c>
      <c r="W97" s="62">
        <v>81.599999999999994</v>
      </c>
      <c r="X97" s="62">
        <v>107.3</v>
      </c>
      <c r="Y97" s="62">
        <v>11</v>
      </c>
      <c r="Z97" s="62">
        <v>106</v>
      </c>
      <c r="AA97" s="62">
        <v>98</v>
      </c>
      <c r="AB97" s="125">
        <v>96</v>
      </c>
      <c r="AC97" s="125">
        <v>76.900000000000006</v>
      </c>
      <c r="AD97" s="125">
        <v>66.5</v>
      </c>
      <c r="AE97" s="125">
        <v>35.200000000000003</v>
      </c>
      <c r="AF97" s="125">
        <v>80.5</v>
      </c>
      <c r="AG97" s="126">
        <v>120</v>
      </c>
      <c r="AH97" s="53">
        <f t="shared" si="22"/>
        <v>134</v>
      </c>
      <c r="AI97" s="120">
        <f t="shared" si="23"/>
        <v>0.375</v>
      </c>
    </row>
    <row r="98" spans="1:37" x14ac:dyDescent="0.25">
      <c r="A98" s="123" t="s">
        <v>102</v>
      </c>
      <c r="B98" s="124">
        <v>91</v>
      </c>
      <c r="C98" s="62">
        <v>92</v>
      </c>
      <c r="D98" s="62">
        <v>83.5</v>
      </c>
      <c r="E98" s="62">
        <v>87.9</v>
      </c>
      <c r="F98" s="62">
        <v>81.3</v>
      </c>
      <c r="G98" s="62">
        <v>93.2</v>
      </c>
      <c r="H98" s="62">
        <v>91.1</v>
      </c>
      <c r="I98" s="62">
        <v>80.7</v>
      </c>
      <c r="J98" s="62">
        <v>96.1</v>
      </c>
      <c r="K98" s="62">
        <v>64.5</v>
      </c>
      <c r="L98" s="62">
        <v>90.3</v>
      </c>
      <c r="M98" s="62">
        <v>64.5</v>
      </c>
      <c r="N98" s="62">
        <v>80</v>
      </c>
      <c r="O98" s="62">
        <v>65</v>
      </c>
      <c r="P98" s="62">
        <v>36.1</v>
      </c>
      <c r="Q98" s="62">
        <v>44.5</v>
      </c>
      <c r="R98" s="62">
        <v>79.099999999999994</v>
      </c>
      <c r="S98" s="62">
        <v>79</v>
      </c>
      <c r="T98" s="62">
        <v>97.4</v>
      </c>
      <c r="U98" s="62">
        <v>88.2</v>
      </c>
      <c r="V98" s="62">
        <v>66.7</v>
      </c>
      <c r="W98" s="62">
        <v>61.4</v>
      </c>
      <c r="X98" s="62">
        <v>96.7</v>
      </c>
      <c r="Y98" s="62">
        <v>101.2</v>
      </c>
      <c r="Z98" s="62">
        <v>92.1</v>
      </c>
      <c r="AA98" s="62">
        <v>73.7</v>
      </c>
      <c r="AB98" s="125">
        <v>72.3</v>
      </c>
      <c r="AC98" s="125">
        <v>85.4</v>
      </c>
      <c r="AD98" s="125">
        <v>82.6</v>
      </c>
      <c r="AE98" s="125">
        <v>88.9</v>
      </c>
      <c r="AF98" s="125">
        <v>84.8</v>
      </c>
      <c r="AG98" s="126"/>
      <c r="AH98" s="53">
        <f t="shared" si="22"/>
        <v>101.2</v>
      </c>
      <c r="AI98" s="120">
        <f t="shared" si="23"/>
        <v>0.77083333333333337</v>
      </c>
    </row>
    <row r="99" spans="1:37" ht="15.75" thickBot="1" x14ac:dyDescent="0.3">
      <c r="A99" s="123" t="s">
        <v>103</v>
      </c>
      <c r="B99" s="124">
        <v>68</v>
      </c>
      <c r="C99" s="62">
        <v>66</v>
      </c>
      <c r="D99" s="62">
        <v>65.900000000000006</v>
      </c>
      <c r="E99" s="62">
        <v>65.900000000000006</v>
      </c>
      <c r="F99" s="62">
        <v>62.8</v>
      </c>
      <c r="G99" s="62">
        <v>64.3</v>
      </c>
      <c r="H99" s="62">
        <v>63</v>
      </c>
      <c r="I99" s="62">
        <v>53.3</v>
      </c>
      <c r="J99" s="62">
        <v>44.3</v>
      </c>
      <c r="K99" s="62">
        <v>24.3</v>
      </c>
      <c r="L99" s="62">
        <v>38.5</v>
      </c>
      <c r="M99" s="62">
        <v>12.7</v>
      </c>
      <c r="N99" s="62">
        <v>10</v>
      </c>
      <c r="O99" s="62">
        <v>6.4</v>
      </c>
      <c r="P99" s="62">
        <v>2.2000000000000002</v>
      </c>
      <c r="Q99" s="62">
        <v>0</v>
      </c>
      <c r="R99" s="62">
        <v>13.6</v>
      </c>
      <c r="S99" s="62">
        <v>15.2</v>
      </c>
      <c r="T99" s="62">
        <v>-7.4</v>
      </c>
      <c r="U99" s="62">
        <v>-7.5</v>
      </c>
      <c r="V99" s="62">
        <v>0.8</v>
      </c>
      <c r="W99" s="62">
        <v>-1.9</v>
      </c>
      <c r="X99" s="62">
        <v>-13.4</v>
      </c>
      <c r="Y99" s="62">
        <v>21.1</v>
      </c>
      <c r="Z99" s="62">
        <v>-16.3</v>
      </c>
      <c r="AA99" s="62">
        <v>11.8</v>
      </c>
      <c r="AB99" s="125">
        <v>1.5</v>
      </c>
      <c r="AC99" s="125">
        <v>11.8</v>
      </c>
      <c r="AD99" s="125">
        <v>15</v>
      </c>
      <c r="AE99" s="125">
        <v>20.7</v>
      </c>
      <c r="AF99" s="125">
        <v>33.4</v>
      </c>
      <c r="AG99" s="127"/>
      <c r="AH99" s="53">
        <f t="shared" si="22"/>
        <v>66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1491.04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2078/09/7)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949.33999999999992</v>
      </c>
      <c r="U213" s="173">
        <f t="shared" si="60"/>
        <v>942.83999999999992</v>
      </c>
      <c r="V213" s="173">
        <f t="shared" si="60"/>
        <v>910.44</v>
      </c>
      <c r="W213" s="173">
        <f t="shared" si="60"/>
        <v>908.33999999999992</v>
      </c>
      <c r="X213" s="173">
        <f t="shared" si="60"/>
        <v>913.33999999999992</v>
      </c>
      <c r="Y213" s="173">
        <f t="shared" si="60"/>
        <v>955.13999999999987</v>
      </c>
      <c r="Z213" s="173">
        <f t="shared" si="60"/>
        <v>992.93999999999983</v>
      </c>
      <c r="AA213" s="173">
        <f t="shared" si="60"/>
        <v>1095.7399999999998</v>
      </c>
      <c r="AB213" s="173">
        <f t="shared" si="60"/>
        <v>1205.04</v>
      </c>
      <c r="AC213" s="173">
        <f t="shared" si="60"/>
        <v>1302.3400000000001</v>
      </c>
      <c r="AD213" s="173">
        <f t="shared" si="60"/>
        <v>1404.1399999999999</v>
      </c>
      <c r="AE213" s="173">
        <f t="shared" si="60"/>
        <v>1442.1400000000003</v>
      </c>
      <c r="AF213" s="173">
        <f t="shared" si="60"/>
        <v>1491.04</v>
      </c>
      <c r="AG213" s="173">
        <f t="shared" si="60"/>
        <v>1450.9399999999998</v>
      </c>
      <c r="AH213" s="173">
        <f t="shared" si="60"/>
        <v>1409.4399999999998</v>
      </c>
      <c r="AI213" s="173">
        <f t="shared" si="60"/>
        <v>1337.1399999999999</v>
      </c>
      <c r="AJ213" s="173">
        <f t="shared" si="60"/>
        <v>1253.3400000000001</v>
      </c>
      <c r="AK213" s="173">
        <f t="shared" si="60"/>
        <v>1286.44</v>
      </c>
      <c r="AL213" s="173">
        <f t="shared" si="60"/>
        <v>1249.74</v>
      </c>
      <c r="AM213" s="173">
        <f t="shared" si="60"/>
        <v>1311.1399999999999</v>
      </c>
      <c r="AN213" s="173">
        <f t="shared" si="60"/>
        <v>1308.3399999999999</v>
      </c>
      <c r="AO213" s="173">
        <f t="shared" si="60"/>
        <v>1384.84</v>
      </c>
      <c r="AP213" s="173">
        <f t="shared" si="60"/>
        <v>1384.84</v>
      </c>
      <c r="AQ213" s="173">
        <f t="shared" si="60"/>
        <v>1644.64</v>
      </c>
      <c r="AR213" s="173">
        <f t="shared" si="60"/>
        <v>1613.6399999999999</v>
      </c>
      <c r="AS213" s="173">
        <f t="shared" si="60"/>
        <v>1538.6399999999999</v>
      </c>
      <c r="AT213" s="173">
        <f t="shared" si="60"/>
        <v>1480.34</v>
      </c>
      <c r="AU213" s="173">
        <f t="shared" si="60"/>
        <v>1550.84</v>
      </c>
      <c r="AV213" s="173">
        <f t="shared" si="60"/>
        <v>1312.74</v>
      </c>
      <c r="AW213" s="173">
        <f t="shared" si="60"/>
        <v>1164.44</v>
      </c>
      <c r="AX213" s="173">
        <f t="shared" si="60"/>
        <v>990.43999999999983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 D57:L59 N62:N67 D60:O60 P39:R39 M39:O42 D61:N61 O61:O67 P40:Q42 P60:R67 AB81:AF81 B81:R81 B82:AF83 D193:AF199 B193:B199 AB84:AF91 B84:B91 M53:AF55 B73:AF80 B9:AF10 B191:AF191 AF57:AF67 AG73 AB94:AF99 B94:B99 U212:AF212 B53:B72 C53:C55 C57:C67 C85:C90 D63:L67 B36:M36 M12:R14 Q42:R42 N36:R37 M16:R32 N45:R48 R40:U41 M58:W59 C56:AF56 C68:AF72 U40:Z42 X85:AA91 Z40:AE43 M11:AF11 S18:AF30 S36:AF36">
    <cfRule type="expression" dxfId="10156" priority="251">
      <formula>B$9&gt;=20/24</formula>
    </cfRule>
    <cfRule type="expression" dxfId="10155" priority="252">
      <formula>AND(B$9&gt;=14/24,B$9&lt;20/24)</formula>
    </cfRule>
    <cfRule type="expression" dxfId="10154" priority="253">
      <formula>AND(B$9&gt;=8/24,B$9&lt;14/24)</formula>
    </cfRule>
    <cfRule type="expression" dxfId="10153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152" priority="246">
      <formula>M$9&gt;=20/24</formula>
    </cfRule>
    <cfRule type="expression" dxfId="10151" priority="247">
      <formula>AND(M$9&gt;=14/24,M$9&lt;20/24)</formula>
    </cfRule>
    <cfRule type="expression" dxfId="10150" priority="248">
      <formula>AND(M$9&gt;=8/24,M$9&lt;14/24)</formula>
    </cfRule>
    <cfRule type="expression" dxfId="10149" priority="249">
      <formula>M$9&lt;8/24</formula>
    </cfRule>
  </conditionalFormatting>
  <conditionalFormatting sqref="M43:R43">
    <cfRule type="expression" dxfId="10148" priority="242">
      <formula>M$9&gt;=20/24</formula>
    </cfRule>
    <cfRule type="expression" dxfId="10147" priority="243">
      <formula>AND(M$9&gt;=14/24,M$9&lt;20/24)</formula>
    </cfRule>
    <cfRule type="expression" dxfId="10146" priority="244">
      <formula>AND(M$9&gt;=8/24,M$9&lt;14/24)</formula>
    </cfRule>
    <cfRule type="expression" dxfId="10145" priority="245">
      <formula>M$9&lt;8/24</formula>
    </cfRule>
  </conditionalFormatting>
  <conditionalFormatting sqref="S39:AE39">
    <cfRule type="expression" dxfId="10144" priority="234">
      <formula>S$9&gt;=20/24</formula>
    </cfRule>
    <cfRule type="expression" dxfId="10143" priority="235">
      <formula>AND(S$9&gt;=14/24,S$9&lt;20/24)</formula>
    </cfRule>
    <cfRule type="expression" dxfId="10142" priority="236">
      <formula>AND(S$9&gt;=8/24,S$9&lt;14/24)</formula>
    </cfRule>
    <cfRule type="expression" dxfId="10141" priority="237">
      <formula>S$9&lt;8/24</formula>
    </cfRule>
  </conditionalFormatting>
  <conditionalFormatting sqref="S57:AE57">
    <cfRule type="expression" dxfId="10140" priority="230">
      <formula>S$9&gt;=20/24</formula>
    </cfRule>
    <cfRule type="expression" dxfId="10139" priority="231">
      <formula>AND(S$9&gt;=14/24,S$9&lt;20/24)</formula>
    </cfRule>
    <cfRule type="expression" dxfId="10138" priority="232">
      <formula>AND(S$9&gt;=8/24,S$9&lt;14/24)</formula>
    </cfRule>
    <cfRule type="expression" dxfId="10137" priority="233">
      <formula>S$9&lt;8/24</formula>
    </cfRule>
  </conditionalFormatting>
  <conditionalFormatting sqref="S81:AA81">
    <cfRule type="expression" dxfId="10136" priority="226">
      <formula>S$9&gt;=20/24</formula>
    </cfRule>
    <cfRule type="expression" dxfId="10135" priority="227">
      <formula>AND(S$9&gt;=14/24,S$9&lt;20/24)</formula>
    </cfRule>
    <cfRule type="expression" dxfId="10134" priority="228">
      <formula>AND(S$9&gt;=8/24,S$9&lt;14/24)</formula>
    </cfRule>
    <cfRule type="expression" dxfId="10133" priority="229">
      <formula>S$9&lt;8/24</formula>
    </cfRule>
  </conditionalFormatting>
  <conditionalFormatting sqref="U84:AA84">
    <cfRule type="expression" dxfId="10132" priority="222">
      <formula>U$9&gt;=20/24</formula>
    </cfRule>
    <cfRule type="expression" dxfId="10131" priority="223">
      <formula>AND(U$9&gt;=14/24,U$9&lt;20/24)</formula>
    </cfRule>
    <cfRule type="expression" dxfId="10130" priority="224">
      <formula>AND(U$9&gt;=8/24,U$9&lt;14/24)</formula>
    </cfRule>
    <cfRule type="expression" dxfId="10129" priority="225">
      <formula>U$9&lt;8/24</formula>
    </cfRule>
  </conditionalFormatting>
  <conditionalFormatting sqref="M35:R35">
    <cfRule type="expression" dxfId="10128" priority="218">
      <formula>M$9&gt;=20/24</formula>
    </cfRule>
    <cfRule type="expression" dxfId="10127" priority="219">
      <formula>AND(M$9&gt;=14/24,M$9&lt;20/24)</formula>
    </cfRule>
    <cfRule type="expression" dxfId="10126" priority="220">
      <formula>AND(M$9&gt;=8/24,M$9&lt;14/24)</formula>
    </cfRule>
    <cfRule type="expression" dxfId="10125" priority="221">
      <formula>M$9&lt;8/24</formula>
    </cfRule>
  </conditionalFormatting>
  <conditionalFormatting sqref="M49:W49">
    <cfRule type="expression" dxfId="10124" priority="214">
      <formula>M$9&gt;=20/24</formula>
    </cfRule>
    <cfRule type="expression" dxfId="10123" priority="215">
      <formula>AND(M$9&gt;=14/24,M$9&lt;20/24)</formula>
    </cfRule>
    <cfRule type="expression" dxfId="10122" priority="216">
      <formula>AND(M$9&gt;=8/24,M$9&lt;14/24)</formula>
    </cfRule>
    <cfRule type="expression" dxfId="10121" priority="217">
      <formula>M$9&lt;8/24</formula>
    </cfRule>
  </conditionalFormatting>
  <conditionalFormatting sqref="M50:R50">
    <cfRule type="expression" dxfId="10120" priority="210">
      <formula>M$9&gt;=20/24</formula>
    </cfRule>
    <cfRule type="expression" dxfId="10119" priority="211">
      <formula>AND(M$9&gt;=14/24,M$9&lt;20/24)</formula>
    </cfRule>
    <cfRule type="expression" dxfId="10118" priority="212">
      <formula>AND(M$9&gt;=8/24,M$9&lt;14/24)</formula>
    </cfRule>
    <cfRule type="expression" dxfId="10117" priority="213">
      <formula>M$9&lt;8/24</formula>
    </cfRule>
  </conditionalFormatting>
  <conditionalFormatting sqref="M45:R48">
    <cfRule type="expression" dxfId="10116" priority="206">
      <formula>M$9&gt;=20/24</formula>
    </cfRule>
    <cfRule type="expression" dxfId="10115" priority="207">
      <formula>AND(M$9&gt;=14/24,M$9&lt;20/24)</formula>
    </cfRule>
    <cfRule type="expression" dxfId="10114" priority="208">
      <formula>AND(M$9&gt;=8/24,M$9&lt;14/24)</formula>
    </cfRule>
    <cfRule type="expression" dxfId="10113" priority="209">
      <formula>M$9&lt;8/24</formula>
    </cfRule>
  </conditionalFormatting>
  <conditionalFormatting sqref="S37:AE37">
    <cfRule type="expression" dxfId="10112" priority="202">
      <formula>S$9&gt;=20/24</formula>
    </cfRule>
    <cfRule type="expression" dxfId="10111" priority="203">
      <formula>AND(S$9&gt;=14/24,S$9&lt;20/24)</formula>
    </cfRule>
    <cfRule type="expression" dxfId="10110" priority="204">
      <formula>AND(S$9&gt;=8/24,S$9&lt;14/24)</formula>
    </cfRule>
    <cfRule type="expression" dxfId="10109" priority="205">
      <formula>S$9&lt;8/24</formula>
    </cfRule>
  </conditionalFormatting>
  <conditionalFormatting sqref="S31:AF32 S35:AF35">
    <cfRule type="expression" dxfId="10108" priority="198">
      <formula>S$9&gt;=20/24</formula>
    </cfRule>
    <cfRule type="expression" dxfId="10107" priority="199">
      <formula>AND(S$9&gt;=14/24,S$9&lt;20/24)</formula>
    </cfRule>
    <cfRule type="expression" dxfId="10106" priority="200">
      <formula>AND(S$9&gt;=8/24,S$9&lt;14/24)</formula>
    </cfRule>
    <cfRule type="expression" dxfId="10105" priority="201">
      <formula>S$9&lt;8/24</formula>
    </cfRule>
  </conditionalFormatting>
  <conditionalFormatting sqref="S42:W43 U43:AB43 S45:AE48 AF45:AF47">
    <cfRule type="expression" dxfId="10104" priority="194">
      <formula>S$9&gt;=20/24</formula>
    </cfRule>
    <cfRule type="expression" dxfId="10103" priority="195">
      <formula>AND(S$9&gt;=14/24,S$9&lt;20/24)</formula>
    </cfRule>
    <cfRule type="expression" dxfId="10102" priority="196">
      <formula>AND(S$9&gt;=8/24,S$9&lt;14/24)</formula>
    </cfRule>
    <cfRule type="expression" dxfId="10101" priority="197">
      <formula>S$9&lt;8/24</formula>
    </cfRule>
  </conditionalFormatting>
  <conditionalFormatting sqref="S49:AF49">
    <cfRule type="expression" dxfId="10100" priority="190">
      <formula>S$9&gt;=20/24</formula>
    </cfRule>
    <cfRule type="expression" dxfId="10099" priority="191">
      <formula>AND(S$9&gt;=14/24,S$9&lt;20/24)</formula>
    </cfRule>
    <cfRule type="expression" dxfId="10098" priority="192">
      <formula>AND(S$9&gt;=8/24,S$9&lt;14/24)</formula>
    </cfRule>
    <cfRule type="expression" dxfId="10097" priority="193">
      <formula>S$9&lt;8/24</formula>
    </cfRule>
  </conditionalFormatting>
  <conditionalFormatting sqref="S50:AF50">
    <cfRule type="expression" dxfId="10096" priority="186">
      <formula>S$9&gt;=20/24</formula>
    </cfRule>
    <cfRule type="expression" dxfId="10095" priority="187">
      <formula>AND(S$9&gt;=14/24,S$9&lt;20/24)</formula>
    </cfRule>
    <cfRule type="expression" dxfId="10094" priority="188">
      <formula>AND(S$9&gt;=8/24,S$9&lt;14/24)</formula>
    </cfRule>
    <cfRule type="expression" dxfId="10093" priority="189">
      <formula>S$9&lt;8/24</formula>
    </cfRule>
  </conditionalFormatting>
  <conditionalFormatting sqref="S60:AE67">
    <cfRule type="expression" dxfId="10092" priority="182">
      <formula>S$9&gt;=20/24</formula>
    </cfRule>
    <cfRule type="expression" dxfId="10091" priority="183">
      <formula>AND(S$9&gt;=14/24,S$9&lt;20/24)</formula>
    </cfRule>
    <cfRule type="expression" dxfId="10090" priority="184">
      <formula>AND(S$9&gt;=8/24,S$9&lt;14/24)</formula>
    </cfRule>
    <cfRule type="expression" dxfId="10089" priority="185">
      <formula>S$9&lt;8/24</formula>
    </cfRule>
  </conditionalFormatting>
  <conditionalFormatting sqref="D62:L62">
    <cfRule type="expression" dxfId="10088" priority="178">
      <formula>D$9&gt;=20/24</formula>
    </cfRule>
    <cfRule type="expression" dxfId="10087" priority="179">
      <formula>AND(D$9&gt;=14/24,D$9&lt;20/24)</formula>
    </cfRule>
    <cfRule type="expression" dxfId="10086" priority="180">
      <formula>AND(D$9&gt;=8/24,D$9&lt;14/24)</formula>
    </cfRule>
    <cfRule type="expression" dxfId="10085" priority="181">
      <formula>D$9&lt;8/24</formula>
    </cfRule>
  </conditionalFormatting>
  <conditionalFormatting sqref="U94:AA97">
    <cfRule type="expression" dxfId="10084" priority="174">
      <formula>U$9&gt;=20/24</formula>
    </cfRule>
    <cfRule type="expression" dxfId="10083" priority="175">
      <formula>AND(U$9&gt;=14/24,U$9&lt;20/24)</formula>
    </cfRule>
    <cfRule type="expression" dxfId="10082" priority="176">
      <formula>AND(U$9&gt;=8/24,U$9&lt;14/24)</formula>
    </cfRule>
    <cfRule type="expression" dxfId="10081" priority="177">
      <formula>U$9&lt;8/24</formula>
    </cfRule>
  </conditionalFormatting>
  <conditionalFormatting sqref="AG51 B11:C17 D16:O17 B18:O32 D12:R14 P16:R32 D11:AF11 S18:AF32 B34:AF56">
    <cfRule type="expression" dxfId="10080" priority="173">
      <formula>B11&gt;$AG11</formula>
    </cfRule>
  </conditionalFormatting>
  <conditionalFormatting sqref="A100:A156 A84:A97 A11:A14 A16:A32 A45:A72 A80:A82 A74:A78 A35:A43 A169:A199">
    <cfRule type="expression" dxfId="10079" priority="172">
      <formula>$AH11=0</formula>
    </cfRule>
  </conditionalFormatting>
  <conditionalFormatting sqref="U98:AA98">
    <cfRule type="expression" dxfId="10078" priority="168">
      <formula>U$9&gt;=20/24</formula>
    </cfRule>
    <cfRule type="expression" dxfId="10077" priority="169">
      <formula>AND(U$9&gt;=14/24,U$9&lt;20/24)</formula>
    </cfRule>
    <cfRule type="expression" dxfId="10076" priority="170">
      <formula>AND(U$9&gt;=8/24,U$9&lt;14/24)</formula>
    </cfRule>
    <cfRule type="expression" dxfId="10075" priority="171">
      <formula>U$9&lt;8/24</formula>
    </cfRule>
  </conditionalFormatting>
  <conditionalFormatting sqref="A98">
    <cfRule type="expression" dxfId="10074" priority="167">
      <formula>$AH98=0</formula>
    </cfRule>
  </conditionalFormatting>
  <conditionalFormatting sqref="M62:M67">
    <cfRule type="expression" dxfId="10073" priority="155">
      <formula>M$9&gt;=20/24</formula>
    </cfRule>
    <cfRule type="expression" dxfId="10072" priority="156">
      <formula>AND(M$9&gt;=14/24,M$9&lt;20/24)</formula>
    </cfRule>
    <cfRule type="expression" dxfId="10071" priority="157">
      <formula>AND(M$9&gt;=8/24,M$9&lt;14/24)</formula>
    </cfRule>
    <cfRule type="expression" dxfId="10070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M34:R34">
    <cfRule type="expression" dxfId="10069" priority="146">
      <formula>M$9&gt;=20/24</formula>
    </cfRule>
    <cfRule type="expression" dxfId="10068" priority="147">
      <formula>AND(M$9&gt;=14/24,M$9&lt;20/24)</formula>
    </cfRule>
    <cfRule type="expression" dxfId="10067" priority="148">
      <formula>AND(M$9&gt;=8/24,M$9&lt;14/24)</formula>
    </cfRule>
    <cfRule type="expression" dxfId="10066" priority="149">
      <formula>M$9&lt;8/24</formula>
    </cfRule>
  </conditionalFormatting>
  <conditionalFormatting sqref="S34:AF34">
    <cfRule type="expression" dxfId="10065" priority="142">
      <formula>S$9&gt;=20/24</formula>
    </cfRule>
    <cfRule type="expression" dxfId="10064" priority="143">
      <formula>AND(S$9&gt;=14/24,S$9&lt;20/24)</formula>
    </cfRule>
    <cfRule type="expression" dxfId="10063" priority="144">
      <formula>AND(S$9&gt;=8/24,S$9&lt;14/24)</formula>
    </cfRule>
    <cfRule type="expression" dxfId="10062" priority="145">
      <formula>S$9&lt;8/24</formula>
    </cfRule>
  </conditionalFormatting>
  <conditionalFormatting sqref="A34">
    <cfRule type="expression" dxfId="10061" priority="141">
      <formula>$AH34=0</formula>
    </cfRule>
  </conditionalFormatting>
  <conditionalFormatting sqref="A83">
    <cfRule type="expression" dxfId="10060" priority="140">
      <formula>$AH83=0</formula>
    </cfRule>
  </conditionalFormatting>
  <conditionalFormatting sqref="M15:R15">
    <cfRule type="expression" dxfId="10059" priority="132">
      <formula>M$9&gt;=20/24</formula>
    </cfRule>
    <cfRule type="expression" dxfId="10058" priority="133">
      <formula>AND(M$9&gt;=14/24,M$9&lt;20/24)</formula>
    </cfRule>
    <cfRule type="expression" dxfId="10057" priority="134">
      <formula>AND(M$9&gt;=8/24,M$9&lt;14/24)</formula>
    </cfRule>
    <cfRule type="expression" dxfId="10056" priority="135">
      <formula>M$9&lt;8/24</formula>
    </cfRule>
  </conditionalFormatting>
  <conditionalFormatting sqref="D15:R15">
    <cfRule type="expression" dxfId="10055" priority="131">
      <formula>D15&gt;$AG15</formula>
    </cfRule>
  </conditionalFormatting>
  <conditionalFormatting sqref="A15">
    <cfRule type="expression" dxfId="10054" priority="130">
      <formula>$AH15=0</formula>
    </cfRule>
  </conditionalFormatting>
  <conditionalFormatting sqref="A163:A168">
    <cfRule type="expression" dxfId="10053" priority="129">
      <formula>$AH163=0</formula>
    </cfRule>
  </conditionalFormatting>
  <conditionalFormatting sqref="A157:A162">
    <cfRule type="expression" dxfId="10052" priority="128">
      <formula>$AH157=0</formula>
    </cfRule>
  </conditionalFormatting>
  <conditionalFormatting sqref="Z44:AF44">
    <cfRule type="expression" dxfId="10051" priority="124">
      <formula>Z$9&gt;=20/24</formula>
    </cfRule>
    <cfRule type="expression" dxfId="10050" priority="125">
      <formula>AND(Z$9&gt;=14/24,Z$9&lt;20/24)</formula>
    </cfRule>
    <cfRule type="expression" dxfId="10049" priority="126">
      <formula>AND(Z$9&gt;=8/24,Z$9&lt;14/24)</formula>
    </cfRule>
    <cfRule type="expression" dxfId="10048" priority="127">
      <formula>Z$9&lt;8/24</formula>
    </cfRule>
  </conditionalFormatting>
  <conditionalFormatting sqref="M44:R44">
    <cfRule type="expression" dxfId="10047" priority="120">
      <formula>M$9&gt;=20/24</formula>
    </cfRule>
    <cfRule type="expression" dxfId="10046" priority="121">
      <formula>AND(M$9&gt;=14/24,M$9&lt;20/24)</formula>
    </cfRule>
    <cfRule type="expression" dxfId="10045" priority="122">
      <formula>AND(M$9&gt;=8/24,M$9&lt;14/24)</formula>
    </cfRule>
    <cfRule type="expression" dxfId="10044" priority="123">
      <formula>M$9&lt;8/24</formula>
    </cfRule>
  </conditionalFormatting>
  <conditionalFormatting sqref="S44:AF44">
    <cfRule type="expression" dxfId="10043" priority="116">
      <formula>S$9&gt;=20/24</formula>
    </cfRule>
    <cfRule type="expression" dxfId="10042" priority="117">
      <formula>AND(S$9&gt;=14/24,S$9&lt;20/24)</formula>
    </cfRule>
    <cfRule type="expression" dxfId="10041" priority="118">
      <formula>AND(S$9&gt;=8/24,S$9&lt;14/24)</formula>
    </cfRule>
    <cfRule type="expression" dxfId="10040" priority="119">
      <formula>S$9&lt;8/24</formula>
    </cfRule>
  </conditionalFormatting>
  <conditionalFormatting sqref="A44">
    <cfRule type="expression" dxfId="10039" priority="115">
      <formula>$AH44=0</formula>
    </cfRule>
  </conditionalFormatting>
  <conditionalFormatting sqref="A79">
    <cfRule type="expression" dxfId="10038" priority="114">
      <formula>$AH79=0</formula>
    </cfRule>
  </conditionalFormatting>
  <conditionalFormatting sqref="A73">
    <cfRule type="expression" dxfId="10037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10036" priority="105">
      <formula>U$9&gt;=20/24</formula>
    </cfRule>
    <cfRule type="expression" dxfId="10035" priority="106">
      <formula>AND(U$9&gt;=14/24,U$9&lt;20/24)</formula>
    </cfRule>
    <cfRule type="expression" dxfId="10034" priority="107">
      <formula>AND(U$9&gt;=8/24,U$9&lt;14/24)</formula>
    </cfRule>
    <cfRule type="expression" dxfId="10033" priority="108">
      <formula>U$9&lt;8/24</formula>
    </cfRule>
  </conditionalFormatting>
  <conditionalFormatting sqref="C84:D84 C91:T91 D85:D90 E84:R90 S85:T90">
    <cfRule type="expression" dxfId="10032" priority="101">
      <formula>C$9&gt;=20/24</formula>
    </cfRule>
    <cfRule type="expression" dxfId="10031" priority="102">
      <formula>AND(C$9&gt;=14/24,C$9&lt;20/24)</formula>
    </cfRule>
    <cfRule type="expression" dxfId="10030" priority="103">
      <formula>AND(C$9&gt;=8/24,C$9&lt;14/24)</formula>
    </cfRule>
    <cfRule type="expression" dxfId="10029" priority="104">
      <formula>C$9&lt;8/24</formula>
    </cfRule>
  </conditionalFormatting>
  <conditionalFormatting sqref="S84:T84">
    <cfRule type="expression" dxfId="10028" priority="97">
      <formula>S$9&gt;=20/24</formula>
    </cfRule>
    <cfRule type="expression" dxfId="10027" priority="98">
      <formula>AND(S$9&gt;=14/24,S$9&lt;20/24)</formula>
    </cfRule>
    <cfRule type="expression" dxfId="10026" priority="99">
      <formula>AND(S$9&gt;=8/24,S$9&lt;14/24)</formula>
    </cfRule>
    <cfRule type="expression" dxfId="10025" priority="100">
      <formula>S$9&lt;8/24</formula>
    </cfRule>
  </conditionalFormatting>
  <conditionalFormatting sqref="F94 C94:E97 F95:M97">
    <cfRule type="expression" dxfId="10024" priority="93">
      <formula>C$9&gt;=20/24</formula>
    </cfRule>
    <cfRule type="expression" dxfId="10023" priority="94">
      <formula>AND(C$9&gt;=14/24,C$9&lt;20/24)</formula>
    </cfRule>
    <cfRule type="expression" dxfId="10022" priority="95">
      <formula>AND(C$9&gt;=8/24,C$9&lt;14/24)</formula>
    </cfRule>
    <cfRule type="expression" dxfId="10021" priority="96">
      <formula>C$9&lt;8/24</formula>
    </cfRule>
  </conditionalFormatting>
  <conditionalFormatting sqref="N95:R97 O94:R94">
    <cfRule type="expression" dxfId="10020" priority="89">
      <formula>N$9&gt;=20/24</formula>
    </cfRule>
    <cfRule type="expression" dxfId="10019" priority="90">
      <formula>AND(N$9&gt;=14/24,N$9&lt;20/24)</formula>
    </cfRule>
    <cfRule type="expression" dxfId="10018" priority="91">
      <formula>AND(N$9&gt;=8/24,N$9&lt;14/24)</formula>
    </cfRule>
    <cfRule type="expression" dxfId="10017" priority="92">
      <formula>N$9&lt;8/24</formula>
    </cfRule>
  </conditionalFormatting>
  <conditionalFormatting sqref="S94:T97">
    <cfRule type="expression" dxfId="10016" priority="85">
      <formula>S$9&gt;=20/24</formula>
    </cfRule>
    <cfRule type="expression" dxfId="10015" priority="86">
      <formula>AND(S$9&gt;=14/24,S$9&lt;20/24)</formula>
    </cfRule>
    <cfRule type="expression" dxfId="10014" priority="87">
      <formula>AND(S$9&gt;=8/24,S$9&lt;14/24)</formula>
    </cfRule>
    <cfRule type="expression" dxfId="10013" priority="88">
      <formula>S$9&lt;8/24</formula>
    </cfRule>
  </conditionalFormatting>
  <conditionalFormatting sqref="C98:M98">
    <cfRule type="expression" dxfId="10012" priority="81">
      <formula>C$9&gt;=20/24</formula>
    </cfRule>
    <cfRule type="expression" dxfId="10011" priority="82">
      <formula>AND(C$9&gt;=14/24,C$9&lt;20/24)</formula>
    </cfRule>
    <cfRule type="expression" dxfId="10010" priority="83">
      <formula>AND(C$9&gt;=8/24,C$9&lt;14/24)</formula>
    </cfRule>
    <cfRule type="expression" dxfId="10009" priority="84">
      <formula>C$9&lt;8/24</formula>
    </cfRule>
  </conditionalFormatting>
  <conditionalFormatting sqref="N98:R98">
    <cfRule type="expression" dxfId="10008" priority="77">
      <formula>N$9&gt;=20/24</formula>
    </cfRule>
    <cfRule type="expression" dxfId="10007" priority="78">
      <formula>AND(N$9&gt;=14/24,N$9&lt;20/24)</formula>
    </cfRule>
    <cfRule type="expression" dxfId="10006" priority="79">
      <formula>AND(N$9&gt;=8/24,N$9&lt;14/24)</formula>
    </cfRule>
    <cfRule type="expression" dxfId="10005" priority="80">
      <formula>N$9&lt;8/24</formula>
    </cfRule>
  </conditionalFormatting>
  <conditionalFormatting sqref="S98:T98">
    <cfRule type="expression" dxfId="10004" priority="73">
      <formula>S$9&gt;=20/24</formula>
    </cfRule>
    <cfRule type="expression" dxfId="10003" priority="74">
      <formula>AND(S$9&gt;=14/24,S$9&lt;20/24)</formula>
    </cfRule>
    <cfRule type="expression" dxfId="10002" priority="75">
      <formula>AND(S$9&gt;=8/24,S$9&lt;14/24)</formula>
    </cfRule>
    <cfRule type="expression" dxfId="10001" priority="76">
      <formula>S$9&lt;8/24</formula>
    </cfRule>
  </conditionalFormatting>
  <conditionalFormatting sqref="M94:N94">
    <cfRule type="expression" dxfId="10000" priority="69">
      <formula>M$9&gt;=20/24</formula>
    </cfRule>
    <cfRule type="expression" dxfId="9999" priority="70">
      <formula>AND(M$9&gt;=14/24,M$9&lt;20/24)</formula>
    </cfRule>
    <cfRule type="expression" dxfId="9998" priority="71">
      <formula>AND(M$9&gt;=8/24,M$9&lt;14/24)</formula>
    </cfRule>
    <cfRule type="expression" dxfId="9997" priority="72">
      <formula>M$9&lt;8/24</formula>
    </cfRule>
  </conditionalFormatting>
  <conditionalFormatting sqref="G94:L94">
    <cfRule type="expression" dxfId="9996" priority="65">
      <formula>G$9&gt;=20/24</formula>
    </cfRule>
    <cfRule type="expression" dxfId="9995" priority="66">
      <formula>AND(G$9&gt;=14/24,G$9&lt;20/24)</formula>
    </cfRule>
    <cfRule type="expression" dxfId="9994" priority="67">
      <formula>AND(G$9&gt;=8/24,G$9&lt;14/24)</formula>
    </cfRule>
    <cfRule type="expression" dxfId="9993" priority="68">
      <formula>G$9&lt;8/24</formula>
    </cfRule>
  </conditionalFormatting>
  <conditionalFormatting sqref="U94:W94">
    <cfRule type="expression" dxfId="9992" priority="61">
      <formula>U$9&gt;=20/24</formula>
    </cfRule>
    <cfRule type="expression" dxfId="9991" priority="62">
      <formula>AND(U$9&gt;=14/24,U$9&lt;20/24)</formula>
    </cfRule>
    <cfRule type="expression" dxfId="9990" priority="63">
      <formula>AND(U$9&gt;=8/24,U$9&lt;14/24)</formula>
    </cfRule>
    <cfRule type="expression" dxfId="9989" priority="64">
      <formula>U$9&lt;8/24</formula>
    </cfRule>
  </conditionalFormatting>
  <conditionalFormatting sqref="N94:T94">
    <cfRule type="expression" dxfId="9988" priority="57">
      <formula>N$9&gt;=20/24</formula>
    </cfRule>
    <cfRule type="expression" dxfId="9987" priority="58">
      <formula>AND(N$9&gt;=14/24,N$9&lt;20/24)</formula>
    </cfRule>
    <cfRule type="expression" dxfId="9986" priority="59">
      <formula>AND(N$9&gt;=8/24,N$9&lt;14/24)</formula>
    </cfRule>
    <cfRule type="expression" dxfId="9985" priority="60">
      <formula>N$9&lt;8/24</formula>
    </cfRule>
  </conditionalFormatting>
  <conditionalFormatting sqref="U99:AA99">
    <cfRule type="expression" dxfId="9984" priority="53">
      <formula>U$9&gt;=20/24</formula>
    </cfRule>
    <cfRule type="expression" dxfId="9983" priority="54">
      <formula>AND(U$9&gt;=14/24,U$9&lt;20/24)</formula>
    </cfRule>
    <cfRule type="expression" dxfId="9982" priority="55">
      <formula>AND(U$9&gt;=8/24,U$9&lt;14/24)</formula>
    </cfRule>
    <cfRule type="expression" dxfId="9981" priority="56">
      <formula>U$9&lt;8/24</formula>
    </cfRule>
  </conditionalFormatting>
  <conditionalFormatting sqref="C99:M99">
    <cfRule type="expression" dxfId="9980" priority="49">
      <formula>C$9&gt;=20/24</formula>
    </cfRule>
    <cfRule type="expression" dxfId="9979" priority="50">
      <formula>AND(C$9&gt;=14/24,C$9&lt;20/24)</formula>
    </cfRule>
    <cfRule type="expression" dxfId="9978" priority="51">
      <formula>AND(C$9&gt;=8/24,C$9&lt;14/24)</formula>
    </cfRule>
    <cfRule type="expression" dxfId="9977" priority="52">
      <formula>C$9&lt;8/24</formula>
    </cfRule>
  </conditionalFormatting>
  <conditionalFormatting sqref="N99:R99">
    <cfRule type="expression" dxfId="9976" priority="45">
      <formula>N$9&gt;=20/24</formula>
    </cfRule>
    <cfRule type="expression" dxfId="9975" priority="46">
      <formula>AND(N$9&gt;=14/24,N$9&lt;20/24)</formula>
    </cfRule>
    <cfRule type="expression" dxfId="9974" priority="47">
      <formula>AND(N$9&gt;=8/24,N$9&lt;14/24)</formula>
    </cfRule>
    <cfRule type="expression" dxfId="9973" priority="48">
      <formula>N$9&lt;8/24</formula>
    </cfRule>
  </conditionalFormatting>
  <conditionalFormatting sqref="S99:T99">
    <cfRule type="expression" dxfId="9972" priority="41">
      <formula>S$9&gt;=20/24</formula>
    </cfRule>
    <cfRule type="expression" dxfId="9971" priority="42">
      <formula>AND(S$9&gt;=14/24,S$9&lt;20/24)</formula>
    </cfRule>
    <cfRule type="expression" dxfId="9970" priority="43">
      <formula>AND(S$9&gt;=8/24,S$9&lt;14/24)</formula>
    </cfRule>
    <cfRule type="expression" dxfId="9969" priority="44">
      <formula>S$9&lt;8/24</formula>
    </cfRule>
  </conditionalFormatting>
  <conditionalFormatting sqref="S12:AF16">
    <cfRule type="expression" dxfId="9968" priority="37">
      <formula>S$9&gt;=20/24</formula>
    </cfRule>
    <cfRule type="expression" dxfId="9967" priority="38">
      <formula>AND(S$9&gt;=14/24,S$9&lt;20/24)</formula>
    </cfRule>
    <cfRule type="expression" dxfId="9966" priority="39">
      <formula>AND(S$9&gt;=8/24,S$9&lt;14/24)</formula>
    </cfRule>
    <cfRule type="expression" dxfId="9965" priority="40">
      <formula>S$9&lt;8/24</formula>
    </cfRule>
  </conditionalFormatting>
  <conditionalFormatting sqref="S17:AF17">
    <cfRule type="expression" dxfId="9964" priority="33">
      <formula>S$9&gt;=20/24</formula>
    </cfRule>
    <cfRule type="expression" dxfId="9963" priority="34">
      <formula>AND(S$9&gt;=14/24,S$9&lt;20/24)</formula>
    </cfRule>
    <cfRule type="expression" dxfId="9962" priority="35">
      <formula>AND(S$9&gt;=8/24,S$9&lt;14/24)</formula>
    </cfRule>
    <cfRule type="expression" dxfId="9961" priority="36">
      <formula>S$9&lt;8/24</formula>
    </cfRule>
  </conditionalFormatting>
  <conditionalFormatting sqref="S12:AF13">
    <cfRule type="expression" dxfId="9960" priority="29">
      <formula>S$9&gt;=20/24</formula>
    </cfRule>
    <cfRule type="expression" dxfId="9959" priority="30">
      <formula>AND(S$9&gt;=14/24,S$9&lt;20/24)</formula>
    </cfRule>
    <cfRule type="expression" dxfId="9958" priority="31">
      <formula>AND(S$9&gt;=8/24,S$9&lt;14/24)</formula>
    </cfRule>
    <cfRule type="expression" dxfId="9957" priority="32">
      <formula>S$9&lt;8/24</formula>
    </cfRule>
  </conditionalFormatting>
  <conditionalFormatting sqref="AB58:AE59">
    <cfRule type="expression" dxfId="9956" priority="25">
      <formula>AB$9&gt;=20/24</formula>
    </cfRule>
    <cfRule type="expression" dxfId="9955" priority="26">
      <formula>AND(AB$9&gt;=14/24,AB$9&lt;20/24)</formula>
    </cfRule>
    <cfRule type="expression" dxfId="9954" priority="27">
      <formula>AND(AB$9&gt;=8/24,AB$9&lt;14/24)</formula>
    </cfRule>
    <cfRule type="expression" dxfId="9953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952" priority="258">
      <formula>C$9&gt;=20/24</formula>
    </cfRule>
    <cfRule type="expression" dxfId="9951" priority="259">
      <formula>AND(C$9&gt;=14/24,C$9&lt;20/24)</formula>
    </cfRule>
    <cfRule type="expression" dxfId="9950" priority="260">
      <formula>AND(C$9&gt;=8/24,C$9&lt;14/24)</formula>
    </cfRule>
    <cfRule type="expression" dxfId="9949" priority="261">
      <formula>C$9&lt;8/24</formula>
    </cfRule>
  </conditionalFormatting>
  <conditionalFormatting sqref="A200">
    <cfRule type="expression" dxfId="9948" priority="262">
      <formula>$AH200=0</formula>
    </cfRule>
  </conditionalFormatting>
  <conditionalFormatting sqref="AG212">
    <cfRule type="expression" dxfId="9947" priority="263">
      <formula>B$9&gt;=20/24</formula>
    </cfRule>
    <cfRule type="expression" dxfId="9946" priority="264">
      <formula>AND(B$9&gt;=14/24,B$9&lt;20/24)</formula>
    </cfRule>
    <cfRule type="expression" dxfId="9945" priority="265">
      <formula>AND(B$9&gt;=8/24,B$9&lt;14/24)</formula>
    </cfRule>
    <cfRule type="expression" dxfId="9944" priority="266">
      <formula>B$9&lt;8/24</formula>
    </cfRule>
  </conditionalFormatting>
  <conditionalFormatting sqref="S8">
    <cfRule type="expression" dxfId="9943" priority="19">
      <formula>U$9&gt;=20/24</formula>
    </cfRule>
    <cfRule type="expression" dxfId="9942" priority="20">
      <formula>AND(U$9&gt;=14/24,U$9&lt;20/24)</formula>
    </cfRule>
    <cfRule type="expression" dxfId="9941" priority="21">
      <formula>AND(U$9&gt;=8/24,U$9&lt;14/24)</formula>
    </cfRule>
    <cfRule type="expression" dxfId="9940" priority="22">
      <formula>U$9&lt;8/24</formula>
    </cfRule>
  </conditionalFormatting>
  <conditionalFormatting sqref="AB8">
    <cfRule type="expression" dxfId="9939" priority="15">
      <formula>AD$9&gt;=20/24</formula>
    </cfRule>
    <cfRule type="expression" dxfId="9938" priority="16">
      <formula>AND(AD$9&gt;=14/24,AD$9&lt;20/24)</formula>
    </cfRule>
    <cfRule type="expression" dxfId="9937" priority="17">
      <formula>AND(AD$9&gt;=8/24,AD$9&lt;14/24)</formula>
    </cfRule>
    <cfRule type="expression" dxfId="9936" priority="18">
      <formula>AD$9&lt;8/24</formula>
    </cfRule>
  </conditionalFormatting>
  <conditionalFormatting sqref="AH212:AX212">
    <cfRule type="expression" dxfId="9935" priority="267">
      <formula>AG$9&gt;=20/24</formula>
    </cfRule>
    <cfRule type="expression" dxfId="9934" priority="268">
      <formula>AND(AG$9&gt;=14/24,AG$9&lt;20/24)</formula>
    </cfRule>
    <cfRule type="expression" dxfId="9933" priority="269">
      <formula>AND(AG$9&gt;=8/24,AG$9&lt;14/24)</formula>
    </cfRule>
    <cfRule type="expression" dxfId="9932" priority="270">
      <formula>AG$9&lt;8/24</formula>
    </cfRule>
  </conditionalFormatting>
  <conditionalFormatting sqref="T212">
    <cfRule type="expression" dxfId="9931" priority="271">
      <formula>AX$9&gt;=20/24</formula>
    </cfRule>
    <cfRule type="expression" dxfId="9930" priority="272">
      <formula>AND(AX$9&gt;=14/24,AX$9&lt;20/24)</formula>
    </cfRule>
    <cfRule type="expression" dxfId="9929" priority="273">
      <formula>AND(AX$9&gt;=8/24,AX$9&lt;14/24)</formula>
    </cfRule>
    <cfRule type="expression" dxfId="9928" priority="274">
      <formula>AX$9&lt;8/24</formula>
    </cfRule>
  </conditionalFormatting>
  <conditionalFormatting sqref="A99">
    <cfRule type="expression" dxfId="9927" priority="14">
      <formula>$AH99=0</formula>
    </cfRule>
  </conditionalFormatting>
  <conditionalFormatting sqref="M33:R33">
    <cfRule type="expression" dxfId="9926" priority="10">
      <formula>M$9&gt;=20/24</formula>
    </cfRule>
    <cfRule type="expression" dxfId="9925" priority="11">
      <formula>AND(M$9&gt;=14/24,M$9&lt;20/24)</formula>
    </cfRule>
    <cfRule type="expression" dxfId="9924" priority="12">
      <formula>AND(M$9&gt;=8/24,M$9&lt;14/24)</formula>
    </cfRule>
    <cfRule type="expression" dxfId="9923" priority="13">
      <formula>M$9&lt;8/24</formula>
    </cfRule>
  </conditionalFormatting>
  <conditionalFormatting sqref="S33:AF33">
    <cfRule type="expression" dxfId="9922" priority="2">
      <formula>S$9&gt;=20/24</formula>
    </cfRule>
    <cfRule type="expression" dxfId="9921" priority="3">
      <formula>AND(S$9&gt;=14/24,S$9&lt;20/24)</formula>
    </cfRule>
    <cfRule type="expression" dxfId="9920" priority="4">
      <formula>AND(S$9&gt;=8/24,S$9&lt;14/24)</formula>
    </cfRule>
    <cfRule type="expression" dxfId="9919" priority="5">
      <formula>S$9&lt;8/24</formula>
    </cfRule>
  </conditionalFormatting>
  <conditionalFormatting sqref="B33:AF33">
    <cfRule type="expression" dxfId="9918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97334BAE-ACDB-4C1B-9FA4-981D73D9D30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60" sqref="AE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2078/09/8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353.2</v>
      </c>
      <c r="C5" s="32">
        <f t="shared" si="0"/>
        <v>316</v>
      </c>
      <c r="D5" s="32">
        <f t="shared" si="0"/>
        <v>304</v>
      </c>
      <c r="E5" s="32">
        <f t="shared" si="0"/>
        <v>295</v>
      </c>
      <c r="F5" s="32">
        <f t="shared" si="0"/>
        <v>265</v>
      </c>
      <c r="G5" s="32">
        <f t="shared" si="0"/>
        <v>300</v>
      </c>
      <c r="H5" s="32">
        <f t="shared" si="0"/>
        <v>304</v>
      </c>
      <c r="I5" s="32">
        <f t="shared" si="0"/>
        <v>364.3</v>
      </c>
      <c r="J5" s="32">
        <f t="shared" si="0"/>
        <v>413</v>
      </c>
      <c r="K5" s="32">
        <f t="shared" si="0"/>
        <v>325.5</v>
      </c>
      <c r="L5" s="32">
        <f t="shared" si="0"/>
        <v>196.7</v>
      </c>
      <c r="M5" s="32">
        <f t="shared" si="0"/>
        <v>140.19999999999999</v>
      </c>
      <c r="N5" s="32">
        <f t="shared" si="0"/>
        <v>465.1</v>
      </c>
      <c r="O5" s="32">
        <f t="shared" si="0"/>
        <v>421.59999999999997</v>
      </c>
      <c r="P5" s="32">
        <f t="shared" si="0"/>
        <v>404.5</v>
      </c>
      <c r="Q5" s="32">
        <f t="shared" si="0"/>
        <v>394</v>
      </c>
      <c r="R5" s="32">
        <f t="shared" si="0"/>
        <v>414.5</v>
      </c>
      <c r="S5" s="32">
        <f t="shared" si="0"/>
        <v>418.09999999999997</v>
      </c>
      <c r="T5" s="32">
        <f t="shared" si="0"/>
        <v>468.5</v>
      </c>
      <c r="U5" s="32">
        <f t="shared" si="0"/>
        <v>349.2</v>
      </c>
      <c r="V5" s="32">
        <f t="shared" si="0"/>
        <v>341.20000000000005</v>
      </c>
      <c r="W5" s="32">
        <f t="shared" si="0"/>
        <v>366.1</v>
      </c>
      <c r="X5" s="32">
        <f t="shared" si="0"/>
        <v>269.5</v>
      </c>
      <c r="Y5" s="32">
        <f t="shared" si="0"/>
        <v>208.7</v>
      </c>
      <c r="Z5" s="32">
        <f t="shared" si="0"/>
        <v>364.2</v>
      </c>
      <c r="AA5" s="32">
        <f t="shared" si="0"/>
        <v>380.6</v>
      </c>
      <c r="AB5" s="32">
        <f t="shared" si="0"/>
        <v>391.70000000000005</v>
      </c>
      <c r="AC5" s="32">
        <f t="shared" si="0"/>
        <v>445.4</v>
      </c>
      <c r="AD5" s="32">
        <f t="shared" si="0"/>
        <v>296</v>
      </c>
      <c r="AE5" s="32">
        <f t="shared" si="0"/>
        <v>274</v>
      </c>
      <c r="AF5" s="32">
        <f>B68</f>
        <v>363.2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1431MW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Load=870</v>
      </c>
      <c r="B7" s="37">
        <f>B75</f>
        <v>953.73999999999978</v>
      </c>
      <c r="C7" s="37">
        <f t="shared" ref="C7:AF7" si="1">C75</f>
        <v>913.83999999999992</v>
      </c>
      <c r="D7" s="37">
        <f t="shared" si="1"/>
        <v>870.54</v>
      </c>
      <c r="E7" s="37">
        <f t="shared" si="1"/>
        <v>869.54</v>
      </c>
      <c r="F7" s="37">
        <f t="shared" si="1"/>
        <v>895.54</v>
      </c>
      <c r="G7" s="37">
        <f t="shared" si="1"/>
        <v>911.83999999999992</v>
      </c>
      <c r="H7" s="37">
        <f t="shared" si="1"/>
        <v>988.93999999999994</v>
      </c>
      <c r="I7" s="37">
        <f t="shared" si="1"/>
        <v>1032.6400000000001</v>
      </c>
      <c r="J7" s="37">
        <f t="shared" si="1"/>
        <v>1201.0400000000002</v>
      </c>
      <c r="K7" s="37">
        <f t="shared" si="1"/>
        <v>1313.14</v>
      </c>
      <c r="L7" s="37">
        <f t="shared" si="1"/>
        <v>1337.24</v>
      </c>
      <c r="M7" s="37">
        <f t="shared" si="1"/>
        <v>1431.3400000000001</v>
      </c>
      <c r="N7" s="37">
        <f t="shared" si="1"/>
        <v>1390.3400000000001</v>
      </c>
      <c r="O7" s="37">
        <f t="shared" si="1"/>
        <v>1402.04</v>
      </c>
      <c r="P7" s="37">
        <f t="shared" si="1"/>
        <v>1271.4399999999998</v>
      </c>
      <c r="Q7" s="37">
        <f t="shared" si="1"/>
        <v>1186.6399999999999</v>
      </c>
      <c r="R7" s="37">
        <f t="shared" si="1"/>
        <v>1117.1399999999999</v>
      </c>
      <c r="S7" s="37">
        <f t="shared" si="1"/>
        <v>1126.1399999999999</v>
      </c>
      <c r="T7" s="37">
        <f t="shared" si="1"/>
        <v>1133.94</v>
      </c>
      <c r="U7" s="37">
        <f t="shared" si="1"/>
        <v>1178.04</v>
      </c>
      <c r="V7" s="37">
        <f t="shared" si="1"/>
        <v>1296.8400000000001</v>
      </c>
      <c r="W7" s="37">
        <f t="shared" si="1"/>
        <v>1354.7400000000002</v>
      </c>
      <c r="X7" s="37">
        <f t="shared" si="1"/>
        <v>1502.04</v>
      </c>
      <c r="Y7" s="37">
        <f t="shared" si="1"/>
        <v>1571.3400000000001</v>
      </c>
      <c r="Z7" s="37">
        <f t="shared" si="1"/>
        <v>1547.74</v>
      </c>
      <c r="AA7" s="37">
        <f t="shared" si="1"/>
        <v>1496.04</v>
      </c>
      <c r="AB7" s="37">
        <f t="shared" si="1"/>
        <v>1393.44</v>
      </c>
      <c r="AC7" s="37">
        <f t="shared" si="1"/>
        <v>1339.94</v>
      </c>
      <c r="AD7" s="37">
        <f t="shared" si="1"/>
        <v>1272.54</v>
      </c>
      <c r="AE7" s="37">
        <f t="shared" si="1"/>
        <v>1053.44</v>
      </c>
      <c r="AF7" s="37">
        <f t="shared" si="1"/>
        <v>945.43999999999994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20</v>
      </c>
      <c r="C11" s="50">
        <v>20</v>
      </c>
      <c r="D11" s="49">
        <v>14</v>
      </c>
      <c r="E11" s="49">
        <v>25</v>
      </c>
      <c r="F11" s="49">
        <v>50</v>
      </c>
      <c r="G11" s="49">
        <v>50</v>
      </c>
      <c r="H11" s="49">
        <v>65</v>
      </c>
      <c r="I11" s="49">
        <v>90</v>
      </c>
      <c r="J11" s="49">
        <v>125</v>
      </c>
      <c r="K11" s="49">
        <v>125</v>
      </c>
      <c r="L11" s="49">
        <v>202</v>
      </c>
      <c r="M11" s="50">
        <v>350</v>
      </c>
      <c r="N11" s="50">
        <v>380</v>
      </c>
      <c r="O11" s="50">
        <v>150</v>
      </c>
      <c r="P11" s="50">
        <v>60</v>
      </c>
      <c r="Q11" s="50">
        <v>15</v>
      </c>
      <c r="R11" s="177">
        <v>15</v>
      </c>
      <c r="S11" s="50">
        <v>15</v>
      </c>
      <c r="T11" s="50">
        <v>20</v>
      </c>
      <c r="U11" s="50">
        <v>30</v>
      </c>
      <c r="V11" s="50">
        <v>220</v>
      </c>
      <c r="W11" s="50">
        <v>250</v>
      </c>
      <c r="X11" s="50">
        <v>300</v>
      </c>
      <c r="Y11" s="50">
        <v>374</v>
      </c>
      <c r="Z11" s="51">
        <v>420</v>
      </c>
      <c r="AA11" s="50">
        <v>250</v>
      </c>
      <c r="AB11" s="50">
        <v>185</v>
      </c>
      <c r="AC11" s="50">
        <v>130</v>
      </c>
      <c r="AD11" s="50">
        <v>85</v>
      </c>
      <c r="AE11" s="50">
        <v>76</v>
      </c>
      <c r="AF11" s="49">
        <v>50</v>
      </c>
      <c r="AG11" s="52">
        <v>456</v>
      </c>
      <c r="AH11" s="53">
        <f>MAX(B11:AF11)</f>
        <v>420</v>
      </c>
      <c r="AI11" s="54">
        <f>MIN(B11:AF11)</f>
        <v>14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7">
        <v>38</v>
      </c>
      <c r="C12" s="57">
        <v>38</v>
      </c>
      <c r="D12" s="57">
        <v>38</v>
      </c>
      <c r="E12" s="57">
        <v>38</v>
      </c>
      <c r="F12" s="57">
        <v>38</v>
      </c>
      <c r="G12" s="57">
        <v>38</v>
      </c>
      <c r="H12" s="57">
        <v>38</v>
      </c>
      <c r="I12" s="57">
        <v>38</v>
      </c>
      <c r="J12" s="57">
        <v>38</v>
      </c>
      <c r="K12" s="57">
        <v>38</v>
      </c>
      <c r="L12" s="57">
        <v>38</v>
      </c>
      <c r="M12" s="49">
        <v>38</v>
      </c>
      <c r="N12" s="49">
        <v>38</v>
      </c>
      <c r="O12" s="49">
        <v>38</v>
      </c>
      <c r="P12" s="49">
        <v>38</v>
      </c>
      <c r="Q12" s="49">
        <v>38</v>
      </c>
      <c r="R12" s="49">
        <v>38</v>
      </c>
      <c r="S12" s="57">
        <v>38</v>
      </c>
      <c r="T12" s="57">
        <v>38</v>
      </c>
      <c r="U12" s="57">
        <v>38</v>
      </c>
      <c r="V12" s="57">
        <v>38</v>
      </c>
      <c r="W12" s="57">
        <v>38</v>
      </c>
      <c r="X12" s="57">
        <v>38</v>
      </c>
      <c r="Y12" s="57">
        <v>38</v>
      </c>
      <c r="Z12" s="50">
        <v>38</v>
      </c>
      <c r="AA12" s="50">
        <v>38</v>
      </c>
      <c r="AB12" s="50">
        <v>38</v>
      </c>
      <c r="AC12" s="50">
        <v>38</v>
      </c>
      <c r="AD12" s="50">
        <v>38</v>
      </c>
      <c r="AE12" s="50">
        <v>38</v>
      </c>
      <c r="AF12" s="50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38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22.4</v>
      </c>
      <c r="C13" s="57">
        <v>22.4</v>
      </c>
      <c r="D13" s="57">
        <v>22.4</v>
      </c>
      <c r="E13" s="57">
        <v>22.4</v>
      </c>
      <c r="F13" s="57">
        <v>22.4</v>
      </c>
      <c r="G13" s="57">
        <v>22.4</v>
      </c>
      <c r="H13" s="57">
        <v>22.4</v>
      </c>
      <c r="I13" s="57">
        <v>22.4</v>
      </c>
      <c r="J13" s="57">
        <v>22.4</v>
      </c>
      <c r="K13" s="57">
        <v>22.4</v>
      </c>
      <c r="L13" s="57">
        <v>22.4</v>
      </c>
      <c r="M13" s="49">
        <v>21.1</v>
      </c>
      <c r="N13" s="49">
        <v>22.7</v>
      </c>
      <c r="O13" s="49">
        <v>22.7</v>
      </c>
      <c r="P13" s="49">
        <v>21.6</v>
      </c>
      <c r="Q13" s="49">
        <v>21.6</v>
      </c>
      <c r="R13" s="49">
        <v>21.6</v>
      </c>
      <c r="S13" s="57">
        <v>21.9</v>
      </c>
      <c r="T13" s="57">
        <v>22</v>
      </c>
      <c r="U13" s="57">
        <v>22</v>
      </c>
      <c r="V13" s="57">
        <v>18.7</v>
      </c>
      <c r="W13" s="57">
        <v>18.7</v>
      </c>
      <c r="X13" s="57">
        <v>18.7</v>
      </c>
      <c r="Y13" s="57">
        <v>22.2</v>
      </c>
      <c r="Z13" s="50">
        <v>22.2</v>
      </c>
      <c r="AA13" s="50">
        <v>22.2</v>
      </c>
      <c r="AB13" s="50">
        <v>22.1</v>
      </c>
      <c r="AC13" s="50">
        <v>22.1</v>
      </c>
      <c r="AD13" s="50">
        <v>22.1</v>
      </c>
      <c r="AE13" s="50">
        <v>22.1</v>
      </c>
      <c r="AF13" s="50">
        <v>22.1</v>
      </c>
      <c r="AG13" s="58">
        <v>52.4</v>
      </c>
      <c r="AH13" s="53">
        <f t="shared" si="2"/>
        <v>22.7</v>
      </c>
      <c r="AI13" s="54">
        <f t="shared" si="3"/>
        <v>18.7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40.200000000000003</v>
      </c>
      <c r="C14" s="59">
        <v>40.200000000000003</v>
      </c>
      <c r="D14" s="59">
        <v>40.200000000000003</v>
      </c>
      <c r="E14" s="59">
        <v>40.200000000000003</v>
      </c>
      <c r="F14" s="59">
        <v>40.200000000000003</v>
      </c>
      <c r="G14" s="59">
        <v>40.200000000000003</v>
      </c>
      <c r="H14" s="59">
        <v>40.200000000000003</v>
      </c>
      <c r="I14" s="59">
        <v>40.200000000000003</v>
      </c>
      <c r="J14" s="59">
        <v>40.200000000000003</v>
      </c>
      <c r="K14" s="59">
        <v>40.200000000000003</v>
      </c>
      <c r="L14" s="59">
        <v>40.200000000000003</v>
      </c>
      <c r="M14" s="50">
        <v>41</v>
      </c>
      <c r="N14" s="50">
        <v>41</v>
      </c>
      <c r="O14" s="50">
        <v>41</v>
      </c>
      <c r="P14" s="50">
        <v>40.6</v>
      </c>
      <c r="Q14" s="50">
        <v>40.6</v>
      </c>
      <c r="R14" s="50">
        <v>40.6</v>
      </c>
      <c r="S14" s="59">
        <v>40.1</v>
      </c>
      <c r="T14" s="59">
        <v>39.700000000000003</v>
      </c>
      <c r="U14" s="59">
        <v>39.700000000000003</v>
      </c>
      <c r="V14" s="59">
        <v>39.799999999999997</v>
      </c>
      <c r="W14" s="59">
        <v>39.799999999999997</v>
      </c>
      <c r="X14" s="59">
        <v>39.799999999999997</v>
      </c>
      <c r="Y14" s="59">
        <v>40.1</v>
      </c>
      <c r="Z14" s="50">
        <v>39.700000000000003</v>
      </c>
      <c r="AA14" s="50">
        <v>39.700000000000003</v>
      </c>
      <c r="AB14" s="50">
        <v>39.6</v>
      </c>
      <c r="AC14" s="50">
        <v>39.6</v>
      </c>
      <c r="AD14" s="50">
        <v>39.6</v>
      </c>
      <c r="AE14" s="50">
        <v>39.6</v>
      </c>
      <c r="AF14" s="50">
        <v>39.6</v>
      </c>
      <c r="AG14" s="58">
        <v>50</v>
      </c>
      <c r="AH14" s="53">
        <f t="shared" si="2"/>
        <v>41</v>
      </c>
      <c r="AI14" s="54">
        <f t="shared" si="3"/>
        <v>39.6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22.3</v>
      </c>
      <c r="C15" s="59">
        <v>22.3</v>
      </c>
      <c r="D15" s="59">
        <v>22.3</v>
      </c>
      <c r="E15" s="59">
        <v>22.3</v>
      </c>
      <c r="F15" s="59">
        <v>22.3</v>
      </c>
      <c r="G15" s="59">
        <v>22.3</v>
      </c>
      <c r="H15" s="59">
        <v>22.3</v>
      </c>
      <c r="I15" s="59">
        <v>22.3</v>
      </c>
      <c r="J15" s="59">
        <v>22.3</v>
      </c>
      <c r="K15" s="59">
        <v>22.3</v>
      </c>
      <c r="L15" s="59">
        <v>22.3</v>
      </c>
      <c r="M15" s="50">
        <v>22.7</v>
      </c>
      <c r="N15" s="50">
        <v>22</v>
      </c>
      <c r="O15" s="50">
        <v>22</v>
      </c>
      <c r="P15" s="50">
        <v>22.6</v>
      </c>
      <c r="Q15" s="50">
        <v>22.6</v>
      </c>
      <c r="R15" s="50">
        <v>22.6</v>
      </c>
      <c r="S15" s="59">
        <v>22.1</v>
      </c>
      <c r="T15" s="59">
        <v>23.1</v>
      </c>
      <c r="U15" s="59">
        <v>23.1</v>
      </c>
      <c r="V15" s="59">
        <v>22.7</v>
      </c>
      <c r="W15" s="59">
        <v>22.7</v>
      </c>
      <c r="X15" s="59">
        <v>22.7</v>
      </c>
      <c r="Y15" s="59">
        <v>22.7</v>
      </c>
      <c r="Z15" s="50">
        <v>22.8</v>
      </c>
      <c r="AA15" s="50">
        <v>22.8</v>
      </c>
      <c r="AB15" s="50">
        <v>22.8</v>
      </c>
      <c r="AC15" s="50">
        <v>22.8</v>
      </c>
      <c r="AD15" s="50">
        <v>22.8</v>
      </c>
      <c r="AE15" s="50">
        <v>22.8</v>
      </c>
      <c r="AF15" s="50">
        <v>22.8</v>
      </c>
      <c r="AG15" s="61">
        <v>45</v>
      </c>
      <c r="AH15" s="53">
        <f t="shared" si="2"/>
        <v>23.1</v>
      </c>
      <c r="AI15" s="54">
        <f t="shared" si="3"/>
        <v>22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8.6999999999999993</v>
      </c>
      <c r="C17" s="59">
        <v>8.6999999999999993</v>
      </c>
      <c r="D17" s="59">
        <v>8.6999999999999993</v>
      </c>
      <c r="E17" s="59">
        <v>8.6999999999999993</v>
      </c>
      <c r="F17" s="59">
        <v>8.6999999999999993</v>
      </c>
      <c r="G17" s="59">
        <v>8.6999999999999993</v>
      </c>
      <c r="H17" s="59">
        <v>8.6999999999999993</v>
      </c>
      <c r="I17" s="59">
        <v>8.6999999999999993</v>
      </c>
      <c r="J17" s="59">
        <v>8.6999999999999993</v>
      </c>
      <c r="K17" s="59">
        <v>8.6999999999999993</v>
      </c>
      <c r="L17" s="59">
        <v>8.6999999999999993</v>
      </c>
      <c r="M17" s="59">
        <v>8.6999999999999993</v>
      </c>
      <c r="N17" s="59">
        <v>8.6999999999999993</v>
      </c>
      <c r="O17" s="59">
        <v>8.6999999999999993</v>
      </c>
      <c r="P17" s="59">
        <v>8.6999999999999993</v>
      </c>
      <c r="Q17" s="59">
        <v>8.6999999999999993</v>
      </c>
      <c r="R17" s="59">
        <v>8.6999999999999993</v>
      </c>
      <c r="S17" s="59">
        <v>8.6999999999999993</v>
      </c>
      <c r="T17" s="59">
        <v>8.6999999999999993</v>
      </c>
      <c r="U17" s="59">
        <v>8.6999999999999993</v>
      </c>
      <c r="V17" s="59">
        <v>8.6999999999999993</v>
      </c>
      <c r="W17" s="59">
        <v>8.6999999999999993</v>
      </c>
      <c r="X17" s="59">
        <v>8.6999999999999993</v>
      </c>
      <c r="Y17" s="59">
        <v>8.6999999999999993</v>
      </c>
      <c r="Z17" s="50">
        <v>8.6999999999999993</v>
      </c>
      <c r="AA17" s="50">
        <v>8.6999999999999993</v>
      </c>
      <c r="AB17" s="50">
        <v>8.6999999999999993</v>
      </c>
      <c r="AC17" s="50">
        <v>8.6999999999999993</v>
      </c>
      <c r="AD17" s="50">
        <v>8.6999999999999993</v>
      </c>
      <c r="AE17" s="50">
        <v>8.6999999999999993</v>
      </c>
      <c r="AF17" s="50">
        <v>8.6999999999999993</v>
      </c>
      <c r="AG17" s="58">
        <v>42</v>
      </c>
      <c r="AH17" s="53">
        <f t="shared" si="2"/>
        <v>8.6999999999999993</v>
      </c>
      <c r="AI17" s="54">
        <f t="shared" si="3"/>
        <v>8.6999999999999993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10.199999999999999</v>
      </c>
      <c r="C19" s="50">
        <v>10.199999999999999</v>
      </c>
      <c r="D19" s="50">
        <v>10.199999999999999</v>
      </c>
      <c r="E19" s="50">
        <v>10.199999999999999</v>
      </c>
      <c r="F19" s="50">
        <v>10.199999999999999</v>
      </c>
      <c r="G19" s="50">
        <v>10.199999999999999</v>
      </c>
      <c r="H19" s="50">
        <v>10.199999999999999</v>
      </c>
      <c r="I19" s="50">
        <v>10.199999999999999</v>
      </c>
      <c r="J19" s="50">
        <v>10.199999999999999</v>
      </c>
      <c r="K19" s="50">
        <v>10.199999999999999</v>
      </c>
      <c r="L19" s="50">
        <v>10.199999999999999</v>
      </c>
      <c r="M19" s="50">
        <v>10.199999999999999</v>
      </c>
      <c r="N19" s="50">
        <v>10.199999999999999</v>
      </c>
      <c r="O19" s="50">
        <v>10.199999999999999</v>
      </c>
      <c r="P19" s="50">
        <v>10.199999999999999</v>
      </c>
      <c r="Q19" s="50">
        <v>10.199999999999999</v>
      </c>
      <c r="R19" s="50">
        <v>10.199999999999999</v>
      </c>
      <c r="S19" s="50">
        <v>10.199999999999999</v>
      </c>
      <c r="T19" s="50">
        <v>10</v>
      </c>
      <c r="U19" s="50">
        <v>10</v>
      </c>
      <c r="V19" s="50">
        <v>10</v>
      </c>
      <c r="W19" s="50">
        <v>10</v>
      </c>
      <c r="X19" s="50">
        <v>10</v>
      </c>
      <c r="Y19" s="50">
        <v>10</v>
      </c>
      <c r="Z19" s="50">
        <v>10</v>
      </c>
      <c r="AA19" s="50">
        <v>10</v>
      </c>
      <c r="AB19" s="50">
        <v>10</v>
      </c>
      <c r="AC19" s="50">
        <v>10</v>
      </c>
      <c r="AD19" s="50">
        <v>10</v>
      </c>
      <c r="AE19" s="50">
        <v>10</v>
      </c>
      <c r="AF19" s="50">
        <v>10</v>
      </c>
      <c r="AG19" s="58">
        <v>30</v>
      </c>
      <c r="AH19" s="53">
        <f t="shared" si="2"/>
        <v>10.199999999999999</v>
      </c>
      <c r="AI19" s="54">
        <f t="shared" si="3"/>
        <v>10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12.1</v>
      </c>
      <c r="C22" s="50">
        <v>12.1</v>
      </c>
      <c r="D22" s="50">
        <v>12.1</v>
      </c>
      <c r="E22" s="50">
        <v>12.1</v>
      </c>
      <c r="F22" s="50">
        <v>12.1</v>
      </c>
      <c r="G22" s="50">
        <v>12.1</v>
      </c>
      <c r="H22" s="50">
        <v>12.1</v>
      </c>
      <c r="I22" s="50">
        <v>12.1</v>
      </c>
      <c r="J22" s="50">
        <v>12.1</v>
      </c>
      <c r="K22" s="50">
        <v>12.1</v>
      </c>
      <c r="L22" s="50">
        <v>12.1</v>
      </c>
      <c r="M22" s="50">
        <v>12.1</v>
      </c>
      <c r="N22" s="50">
        <v>12.1</v>
      </c>
      <c r="O22" s="50">
        <v>12.1</v>
      </c>
      <c r="P22" s="50">
        <v>12.1</v>
      </c>
      <c r="Q22" s="50">
        <v>12.1</v>
      </c>
      <c r="R22" s="50">
        <v>12.1</v>
      </c>
      <c r="S22" s="50">
        <v>10.1</v>
      </c>
      <c r="T22" s="50">
        <v>9.8000000000000007</v>
      </c>
      <c r="U22" s="50">
        <v>9.8000000000000007</v>
      </c>
      <c r="V22" s="50">
        <v>9.8000000000000007</v>
      </c>
      <c r="W22" s="50">
        <v>9.8000000000000007</v>
      </c>
      <c r="X22" s="50">
        <v>9.8000000000000007</v>
      </c>
      <c r="Y22" s="50">
        <v>19</v>
      </c>
      <c r="Z22" s="50">
        <v>19</v>
      </c>
      <c r="AA22" s="50">
        <v>18.600000000000001</v>
      </c>
      <c r="AB22" s="50">
        <v>18.600000000000001</v>
      </c>
      <c r="AC22" s="50">
        <v>18.600000000000001</v>
      </c>
      <c r="AD22" s="50">
        <v>18.600000000000001</v>
      </c>
      <c r="AE22" s="50">
        <v>18.600000000000001</v>
      </c>
      <c r="AF22" s="50">
        <v>18.600000000000001</v>
      </c>
      <c r="AG22" s="58">
        <v>25</v>
      </c>
      <c r="AH22" s="53">
        <f t="shared" si="2"/>
        <v>19</v>
      </c>
      <c r="AI22" s="54">
        <f t="shared" si="3"/>
        <v>9.8000000000000007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10.7</v>
      </c>
      <c r="C24" s="50">
        <v>10.7</v>
      </c>
      <c r="D24" s="50">
        <v>10.7</v>
      </c>
      <c r="E24" s="50">
        <v>10.7</v>
      </c>
      <c r="F24" s="50">
        <v>10.7</v>
      </c>
      <c r="G24" s="50">
        <v>10.7</v>
      </c>
      <c r="H24" s="50">
        <v>10.7</v>
      </c>
      <c r="I24" s="50">
        <v>10.7</v>
      </c>
      <c r="J24" s="50">
        <v>10.7</v>
      </c>
      <c r="K24" s="50">
        <v>10.7</v>
      </c>
      <c r="L24" s="50">
        <v>10.7</v>
      </c>
      <c r="M24" s="50">
        <v>10.8</v>
      </c>
      <c r="N24" s="50">
        <v>10.8</v>
      </c>
      <c r="O24" s="50">
        <v>10.8</v>
      </c>
      <c r="P24" s="50">
        <v>10.8</v>
      </c>
      <c r="Q24" s="50">
        <v>10.8</v>
      </c>
      <c r="R24" s="50">
        <v>10.8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13</v>
      </c>
      <c r="AD24" s="50">
        <v>13</v>
      </c>
      <c r="AE24" s="50">
        <v>13</v>
      </c>
      <c r="AF24" s="50">
        <v>13</v>
      </c>
      <c r="AG24" s="58">
        <v>25</v>
      </c>
      <c r="AH24" s="53">
        <f t="shared" si="2"/>
        <v>13</v>
      </c>
      <c r="AI24" s="54">
        <f t="shared" si="3"/>
        <v>10.7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6.8</v>
      </c>
      <c r="C26" s="50">
        <v>6.8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6.8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55.6</v>
      </c>
      <c r="C37" s="60">
        <v>56.1</v>
      </c>
      <c r="D37" s="60">
        <v>56.1</v>
      </c>
      <c r="E37" s="60">
        <v>56.1</v>
      </c>
      <c r="F37" s="60">
        <v>56.1</v>
      </c>
      <c r="G37" s="60">
        <v>56.1</v>
      </c>
      <c r="H37" s="60">
        <v>56.1</v>
      </c>
      <c r="I37" s="60">
        <v>56.1</v>
      </c>
      <c r="J37" s="60">
        <v>56.1</v>
      </c>
      <c r="K37" s="60">
        <v>56.1</v>
      </c>
      <c r="L37" s="60">
        <v>55.6</v>
      </c>
      <c r="M37" s="60">
        <v>52</v>
      </c>
      <c r="N37" s="60">
        <v>51.5</v>
      </c>
      <c r="O37" s="60">
        <v>51.5</v>
      </c>
      <c r="P37" s="69">
        <f>35.1+19.6</f>
        <v>54.7</v>
      </c>
      <c r="Q37" s="69">
        <f>36+19.8</f>
        <v>55.8</v>
      </c>
      <c r="R37" s="69">
        <v>54</v>
      </c>
      <c r="S37" s="69">
        <f>17.7+31</f>
        <v>48.7</v>
      </c>
      <c r="T37" s="69">
        <f>17.6+32</f>
        <v>49.6</v>
      </c>
      <c r="U37" s="69">
        <f>17.7+31.3</f>
        <v>49</v>
      </c>
      <c r="V37" s="69">
        <f>18.4+33.9</f>
        <v>52.3</v>
      </c>
      <c r="W37" s="69">
        <f>18.5+33.9</f>
        <v>52.4</v>
      </c>
      <c r="X37" s="69">
        <f>18.2+33.4</f>
        <v>51.599999999999994</v>
      </c>
      <c r="Y37" s="69">
        <v>51.5</v>
      </c>
      <c r="Z37" s="69">
        <f>17.9+32.3</f>
        <v>50.199999999999996</v>
      </c>
      <c r="AA37" s="69">
        <f>17.9+32.3</f>
        <v>50.199999999999996</v>
      </c>
      <c r="AB37" s="69">
        <f>17.9+32.3</f>
        <v>50.199999999999996</v>
      </c>
      <c r="AC37" s="69">
        <f>17.9+32.3</f>
        <v>50.199999999999996</v>
      </c>
      <c r="AD37" s="69">
        <f>17.9+32.3</f>
        <v>50.199999999999996</v>
      </c>
      <c r="AE37" s="69">
        <v>55</v>
      </c>
      <c r="AF37" s="69">
        <v>55</v>
      </c>
      <c r="AG37" s="66">
        <v>240</v>
      </c>
      <c r="AH37" s="53">
        <f t="shared" si="2"/>
        <v>56.1</v>
      </c>
      <c r="AI37" s="54">
        <f t="shared" si="3"/>
        <v>48.7</v>
      </c>
      <c r="AK37" s="55"/>
    </row>
    <row r="38" spans="1:88" ht="15.75" thickBot="1" x14ac:dyDescent="0.3">
      <c r="A38" s="70" t="s">
        <v>46</v>
      </c>
      <c r="B38" s="71">
        <f>SUM(B11:B36)</f>
        <v>435.89999999999992</v>
      </c>
      <c r="C38" s="71">
        <f t="shared" ref="C38:AF38" si="4">SUM(C11:C36)</f>
        <v>435.89999999999992</v>
      </c>
      <c r="D38" s="71">
        <f t="shared" si="4"/>
        <v>429.89999999999992</v>
      </c>
      <c r="E38" s="71">
        <f t="shared" si="4"/>
        <v>440.89999999999992</v>
      </c>
      <c r="F38" s="71">
        <f t="shared" si="4"/>
        <v>465.9</v>
      </c>
      <c r="G38" s="71">
        <f t="shared" si="4"/>
        <v>465.9</v>
      </c>
      <c r="H38" s="71">
        <f t="shared" si="4"/>
        <v>480.9</v>
      </c>
      <c r="I38" s="71">
        <f t="shared" si="4"/>
        <v>505.90000000000003</v>
      </c>
      <c r="J38" s="71">
        <f t="shared" si="4"/>
        <v>540.90000000000009</v>
      </c>
      <c r="K38" s="71">
        <f t="shared" si="4"/>
        <v>540.90000000000009</v>
      </c>
      <c r="L38" s="71">
        <f t="shared" si="4"/>
        <v>617.9</v>
      </c>
      <c r="M38" s="71">
        <f t="shared" si="4"/>
        <v>765.6</v>
      </c>
      <c r="N38" s="71">
        <f t="shared" si="4"/>
        <v>796.50000000000023</v>
      </c>
      <c r="O38" s="71">
        <f t="shared" si="4"/>
        <v>566.5</v>
      </c>
      <c r="P38" s="71">
        <f t="shared" si="4"/>
        <v>475.59999999999991</v>
      </c>
      <c r="Q38" s="71">
        <f t="shared" si="4"/>
        <v>430.59999999999997</v>
      </c>
      <c r="R38" s="71">
        <f t="shared" si="4"/>
        <v>430.59999999999997</v>
      </c>
      <c r="S38" s="71">
        <f t="shared" si="4"/>
        <v>428.09999999999997</v>
      </c>
      <c r="T38" s="71">
        <f t="shared" si="4"/>
        <v>433.3</v>
      </c>
      <c r="U38" s="71">
        <f t="shared" si="4"/>
        <v>443.29999999999995</v>
      </c>
      <c r="V38" s="71">
        <f t="shared" si="4"/>
        <v>629.70000000000005</v>
      </c>
      <c r="W38" s="71">
        <f t="shared" si="4"/>
        <v>659.7</v>
      </c>
      <c r="X38" s="71">
        <f t="shared" si="4"/>
        <v>709.7</v>
      </c>
      <c r="Y38" s="71">
        <f t="shared" si="4"/>
        <v>796.70000000000016</v>
      </c>
      <c r="Z38" s="71">
        <f t="shared" si="4"/>
        <v>842.40000000000009</v>
      </c>
      <c r="AA38" s="71">
        <f t="shared" si="4"/>
        <v>672</v>
      </c>
      <c r="AB38" s="71">
        <f t="shared" si="4"/>
        <v>606.79999999999995</v>
      </c>
      <c r="AC38" s="71">
        <f t="shared" si="4"/>
        <v>553.79999999999995</v>
      </c>
      <c r="AD38" s="71">
        <f t="shared" si="4"/>
        <v>508.8</v>
      </c>
      <c r="AE38" s="71">
        <f t="shared" si="4"/>
        <v>499.79999999999995</v>
      </c>
      <c r="AF38" s="71">
        <f t="shared" si="4"/>
        <v>473.79999999999995</v>
      </c>
      <c r="AG38" s="66">
        <f>SUM(AG11:AG37)</f>
        <v>1492.8299999999997</v>
      </c>
      <c r="AH38" s="53">
        <f t="shared" si="2"/>
        <v>842.40000000000009</v>
      </c>
      <c r="AI38" s="54">
        <f t="shared" si="3"/>
        <v>428.09999999999997</v>
      </c>
      <c r="AK38" s="55"/>
    </row>
    <row r="39" spans="1:88" x14ac:dyDescent="0.25">
      <c r="A39" s="56" t="s">
        <v>47</v>
      </c>
      <c r="B39" s="49">
        <v>30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25</v>
      </c>
      <c r="I39" s="60">
        <v>35.700000000000003</v>
      </c>
      <c r="J39" s="60">
        <v>68</v>
      </c>
      <c r="K39" s="60">
        <v>106</v>
      </c>
      <c r="L39" s="60">
        <v>118</v>
      </c>
      <c r="M39" s="50">
        <v>145.69999999999999</v>
      </c>
      <c r="N39" s="50">
        <v>145</v>
      </c>
      <c r="O39" s="50">
        <v>110</v>
      </c>
      <c r="P39" s="50">
        <v>110</v>
      </c>
      <c r="Q39" s="50">
        <v>110</v>
      </c>
      <c r="R39" s="50">
        <v>97.1</v>
      </c>
      <c r="S39" s="50">
        <v>97.1</v>
      </c>
      <c r="T39" s="50">
        <v>97.3</v>
      </c>
      <c r="U39" s="50">
        <v>81.099999999999994</v>
      </c>
      <c r="V39" s="50">
        <v>70.900000000000006</v>
      </c>
      <c r="W39" s="50">
        <v>80</v>
      </c>
      <c r="X39" s="50">
        <v>120</v>
      </c>
      <c r="Y39" s="50">
        <v>145.19999999999999</v>
      </c>
      <c r="Z39" s="50">
        <v>144.9</v>
      </c>
      <c r="AA39" s="50">
        <v>126.7</v>
      </c>
      <c r="AB39" s="50">
        <v>106.8</v>
      </c>
      <c r="AC39" s="50">
        <v>97.2</v>
      </c>
      <c r="AD39" s="50">
        <v>70</v>
      </c>
      <c r="AE39" s="50">
        <v>62</v>
      </c>
      <c r="AF39" s="49">
        <v>30.6</v>
      </c>
      <c r="AG39" s="61">
        <v>144</v>
      </c>
      <c r="AH39" s="53">
        <f t="shared" si="2"/>
        <v>145.69999999999999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34.700000000000003</v>
      </c>
      <c r="H40" s="60">
        <v>34.799999999999997</v>
      </c>
      <c r="I40" s="60">
        <v>34.799999999999997</v>
      </c>
      <c r="J40" s="60">
        <v>49.6</v>
      </c>
      <c r="K40" s="60">
        <v>66</v>
      </c>
      <c r="L40" s="60">
        <v>71.3</v>
      </c>
      <c r="M40" s="72">
        <v>70.2</v>
      </c>
      <c r="N40" s="72">
        <v>70</v>
      </c>
      <c r="O40" s="72">
        <v>50</v>
      </c>
      <c r="P40" s="72">
        <v>50</v>
      </c>
      <c r="Q40" s="72">
        <v>51.7</v>
      </c>
      <c r="R40" s="72">
        <v>42</v>
      </c>
      <c r="S40" s="72">
        <v>36</v>
      </c>
      <c r="T40" s="72">
        <v>35.299999999999997</v>
      </c>
      <c r="U40" s="72">
        <v>35.299999999999997</v>
      </c>
      <c r="V40" s="72">
        <v>24.8</v>
      </c>
      <c r="W40" s="72">
        <v>34.5</v>
      </c>
      <c r="X40" s="72">
        <v>43.6</v>
      </c>
      <c r="Y40" s="72">
        <v>70.599999999999994</v>
      </c>
      <c r="Z40" s="72">
        <v>71.2</v>
      </c>
      <c r="AA40" s="72">
        <v>60</v>
      </c>
      <c r="AB40" s="72">
        <v>60</v>
      </c>
      <c r="AC40" s="72">
        <v>60</v>
      </c>
      <c r="AD40" s="72">
        <v>50</v>
      </c>
      <c r="AE40" s="72">
        <v>50</v>
      </c>
      <c r="AF40" s="60">
        <v>27</v>
      </c>
      <c r="AG40" s="66">
        <v>70</v>
      </c>
      <c r="AH40" s="53">
        <f t="shared" si="2"/>
        <v>71.3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17.7</v>
      </c>
      <c r="C41" s="60">
        <v>20</v>
      </c>
      <c r="D41" s="60">
        <v>23</v>
      </c>
      <c r="E41" s="60">
        <v>23</v>
      </c>
      <c r="F41" s="60">
        <v>23</v>
      </c>
      <c r="G41" s="60">
        <v>34.6</v>
      </c>
      <c r="H41" s="60">
        <v>32.9</v>
      </c>
      <c r="I41" s="60">
        <v>41</v>
      </c>
      <c r="J41" s="60">
        <v>32</v>
      </c>
      <c r="K41" s="60">
        <v>41</v>
      </c>
      <c r="L41" s="60">
        <v>46.8</v>
      </c>
      <c r="M41" s="72">
        <v>68.8</v>
      </c>
      <c r="N41" s="72">
        <v>68.099999999999994</v>
      </c>
      <c r="O41" s="72">
        <v>67.099999999999994</v>
      </c>
      <c r="P41" s="72">
        <v>48.1</v>
      </c>
      <c r="Q41" s="72">
        <v>46.4</v>
      </c>
      <c r="R41" s="72">
        <v>40</v>
      </c>
      <c r="S41" s="72">
        <v>47</v>
      </c>
      <c r="T41" s="72">
        <v>46.5</v>
      </c>
      <c r="U41" s="72">
        <v>46.6</v>
      </c>
      <c r="V41" s="72">
        <v>46.8</v>
      </c>
      <c r="W41" s="72">
        <v>46.4</v>
      </c>
      <c r="X41" s="72">
        <v>69.3</v>
      </c>
      <c r="Y41" s="72">
        <v>68.5</v>
      </c>
      <c r="Z41" s="72">
        <v>67.900000000000006</v>
      </c>
      <c r="AA41" s="72">
        <v>62.6</v>
      </c>
      <c r="AB41" s="72">
        <v>62.3</v>
      </c>
      <c r="AC41" s="72">
        <v>62.1</v>
      </c>
      <c r="AD41" s="72">
        <v>60</v>
      </c>
      <c r="AE41" s="72">
        <v>32</v>
      </c>
      <c r="AF41" s="60">
        <v>35.9</v>
      </c>
      <c r="AG41" s="66">
        <v>69</v>
      </c>
      <c r="AH41" s="53">
        <f t="shared" si="2"/>
        <v>69.3</v>
      </c>
      <c r="AI41" s="54">
        <f t="shared" si="3"/>
        <v>17.7</v>
      </c>
      <c r="AK41" s="55"/>
    </row>
    <row r="42" spans="1:88" x14ac:dyDescent="0.25">
      <c r="A42" s="65" t="s">
        <v>50</v>
      </c>
      <c r="B42" s="60">
        <v>57.9</v>
      </c>
      <c r="C42" s="60">
        <v>55.7</v>
      </c>
      <c r="D42" s="60">
        <v>52.6</v>
      </c>
      <c r="E42" s="60">
        <v>52.6</v>
      </c>
      <c r="F42" s="60">
        <v>52.6</v>
      </c>
      <c r="G42" s="60">
        <v>52.6</v>
      </c>
      <c r="H42" s="60">
        <v>52.6</v>
      </c>
      <c r="I42" s="60">
        <v>52.6</v>
      </c>
      <c r="J42" s="60">
        <v>53.4</v>
      </c>
      <c r="K42" s="60">
        <v>53.4</v>
      </c>
      <c r="L42" s="60">
        <v>55.9</v>
      </c>
      <c r="M42" s="72">
        <v>55.9</v>
      </c>
      <c r="N42" s="72">
        <v>55.9</v>
      </c>
      <c r="O42" s="72">
        <v>55.9</v>
      </c>
      <c r="P42" s="72">
        <v>54.4</v>
      </c>
      <c r="Q42" s="72">
        <v>54.4</v>
      </c>
      <c r="R42" s="72">
        <v>54.4</v>
      </c>
      <c r="S42" s="72">
        <v>54.4</v>
      </c>
      <c r="T42" s="72">
        <v>54.4</v>
      </c>
      <c r="U42" s="72">
        <v>54.2</v>
      </c>
      <c r="V42" s="72">
        <v>52.4</v>
      </c>
      <c r="W42" s="72">
        <v>52.4</v>
      </c>
      <c r="X42" s="72">
        <v>52.4</v>
      </c>
      <c r="Y42" s="72">
        <v>52.4</v>
      </c>
      <c r="Z42" s="72">
        <v>52.9</v>
      </c>
      <c r="AA42" s="72">
        <v>52.9</v>
      </c>
      <c r="AB42" s="72">
        <v>54.6</v>
      </c>
      <c r="AC42" s="72">
        <v>54.6</v>
      </c>
      <c r="AD42" s="72">
        <v>54.6</v>
      </c>
      <c r="AE42" s="72">
        <v>54.6</v>
      </c>
      <c r="AF42" s="72">
        <v>54.6</v>
      </c>
      <c r="AG42" s="66">
        <v>60</v>
      </c>
      <c r="AH42" s="53">
        <f t="shared" si="2"/>
        <v>57.9</v>
      </c>
      <c r="AI42" s="54">
        <f t="shared" si="3"/>
        <v>52.4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</v>
      </c>
      <c r="G43" s="60">
        <v>10</v>
      </c>
      <c r="H43" s="60">
        <v>13.7</v>
      </c>
      <c r="I43" s="60">
        <v>9.6</v>
      </c>
      <c r="J43" s="60">
        <v>22.3</v>
      </c>
      <c r="K43" s="60">
        <v>22.3</v>
      </c>
      <c r="L43" s="60">
        <v>28.6</v>
      </c>
      <c r="M43" s="50">
        <v>28.9</v>
      </c>
      <c r="N43" s="50">
        <v>15</v>
      </c>
      <c r="O43" s="50">
        <v>15</v>
      </c>
      <c r="P43" s="50">
        <v>14.9</v>
      </c>
      <c r="Q43" s="50">
        <v>10</v>
      </c>
      <c r="R43" s="50">
        <v>10</v>
      </c>
      <c r="S43" s="50">
        <v>0</v>
      </c>
      <c r="T43" s="50">
        <v>0</v>
      </c>
      <c r="U43" s="50">
        <v>0</v>
      </c>
      <c r="V43" s="50">
        <v>0</v>
      </c>
      <c r="W43" s="50">
        <v>10</v>
      </c>
      <c r="X43" s="50">
        <v>10</v>
      </c>
      <c r="Y43" s="50">
        <v>28.8</v>
      </c>
      <c r="Z43" s="72">
        <v>28.5</v>
      </c>
      <c r="AA43" s="72">
        <v>28.3</v>
      </c>
      <c r="AB43" s="72">
        <v>22</v>
      </c>
      <c r="AC43" s="72">
        <v>22</v>
      </c>
      <c r="AD43" s="72">
        <v>10</v>
      </c>
      <c r="AE43" s="72">
        <v>10</v>
      </c>
      <c r="AF43" s="72">
        <v>0</v>
      </c>
      <c r="AG43" s="66">
        <v>30</v>
      </c>
      <c r="AH43" s="53">
        <f t="shared" si="2"/>
        <v>28.9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17</v>
      </c>
      <c r="C45" s="50">
        <v>17</v>
      </c>
      <c r="D45" s="50">
        <v>17</v>
      </c>
      <c r="E45" s="50">
        <v>17</v>
      </c>
      <c r="F45" s="50">
        <v>17</v>
      </c>
      <c r="G45" s="50">
        <v>17</v>
      </c>
      <c r="H45" s="50">
        <v>17</v>
      </c>
      <c r="I45" s="50">
        <v>17</v>
      </c>
      <c r="J45" s="50">
        <v>17</v>
      </c>
      <c r="K45" s="50">
        <v>17</v>
      </c>
      <c r="L45" s="50">
        <v>17</v>
      </c>
      <c r="M45" s="50">
        <v>17</v>
      </c>
      <c r="N45" s="50">
        <v>17</v>
      </c>
      <c r="O45" s="50">
        <v>17</v>
      </c>
      <c r="P45" s="50">
        <v>17</v>
      </c>
      <c r="Q45" s="50">
        <v>17</v>
      </c>
      <c r="R45" s="50">
        <v>17</v>
      </c>
      <c r="S45" s="50">
        <v>17</v>
      </c>
      <c r="T45" s="50">
        <v>17</v>
      </c>
      <c r="U45" s="50">
        <v>17</v>
      </c>
      <c r="V45" s="50">
        <v>17</v>
      </c>
      <c r="W45" s="50">
        <v>17</v>
      </c>
      <c r="X45" s="50">
        <v>17</v>
      </c>
      <c r="Y45" s="50">
        <v>17</v>
      </c>
      <c r="Z45" s="50">
        <v>17</v>
      </c>
      <c r="AA45" s="50">
        <v>17</v>
      </c>
      <c r="AB45" s="50">
        <v>17</v>
      </c>
      <c r="AC45" s="50">
        <v>17</v>
      </c>
      <c r="AD45" s="50">
        <v>17</v>
      </c>
      <c r="AE45" s="50">
        <v>17</v>
      </c>
      <c r="AF45" s="50">
        <v>17</v>
      </c>
      <c r="AG45" s="66">
        <v>24</v>
      </c>
      <c r="AH45" s="53">
        <f t="shared" si="2"/>
        <v>17</v>
      </c>
      <c r="AI45" s="54">
        <f t="shared" si="3"/>
        <v>17</v>
      </c>
      <c r="AK45" s="55"/>
    </row>
    <row r="46" spans="1:88" x14ac:dyDescent="0.25">
      <c r="A46" s="65" t="s">
        <v>54</v>
      </c>
      <c r="B46" s="50">
        <v>4.5</v>
      </c>
      <c r="C46" s="50">
        <v>4.5</v>
      </c>
      <c r="D46" s="50">
        <v>4.5</v>
      </c>
      <c r="E46" s="50">
        <v>4.5</v>
      </c>
      <c r="F46" s="50">
        <v>4.5</v>
      </c>
      <c r="G46" s="50">
        <v>4.5</v>
      </c>
      <c r="H46" s="50">
        <v>4.5</v>
      </c>
      <c r="I46" s="50">
        <v>4.5</v>
      </c>
      <c r="J46" s="50">
        <v>4.5</v>
      </c>
      <c r="K46" s="50">
        <v>4.5</v>
      </c>
      <c r="L46" s="5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4.5999999999999996</v>
      </c>
      <c r="AC46" s="50">
        <v>4.5</v>
      </c>
      <c r="AD46" s="50">
        <v>4.5</v>
      </c>
      <c r="AE46" s="50">
        <v>4.5</v>
      </c>
      <c r="AF46" s="50">
        <v>5</v>
      </c>
      <c r="AG46" s="66">
        <v>15</v>
      </c>
      <c r="AH46" s="53">
        <f t="shared" si="2"/>
        <v>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0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6">
        <v>14</v>
      </c>
      <c r="AH48" s="53">
        <f t="shared" si="2"/>
        <v>0</v>
      </c>
      <c r="AI48" s="54">
        <f t="shared" si="3"/>
        <v>0</v>
      </c>
      <c r="AK48" s="55"/>
    </row>
    <row r="49" spans="1:37" x14ac:dyDescent="0.25">
      <c r="A49" s="65" t="s">
        <v>57</v>
      </c>
      <c r="B49" s="50">
        <v>7</v>
      </c>
      <c r="C49" s="50">
        <v>7</v>
      </c>
      <c r="D49" s="50">
        <v>7</v>
      </c>
      <c r="E49" s="50">
        <v>7</v>
      </c>
      <c r="F49" s="50">
        <v>7</v>
      </c>
      <c r="G49" s="50">
        <v>7</v>
      </c>
      <c r="H49" s="50">
        <v>7</v>
      </c>
      <c r="I49" s="50">
        <v>7</v>
      </c>
      <c r="J49" s="50">
        <v>7</v>
      </c>
      <c r="K49" s="50">
        <v>7</v>
      </c>
      <c r="L49" s="50">
        <v>7</v>
      </c>
      <c r="M49" s="50">
        <v>7</v>
      </c>
      <c r="N49" s="50">
        <v>7</v>
      </c>
      <c r="O49" s="50">
        <v>7</v>
      </c>
      <c r="P49" s="50">
        <v>7</v>
      </c>
      <c r="Q49" s="50">
        <v>7</v>
      </c>
      <c r="R49" s="5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5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5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154.63999999999999</v>
      </c>
      <c r="C52" s="71">
        <f t="shared" ref="C52:AF52" si="7">SUM(C39:C51)</f>
        <v>124.74000000000001</v>
      </c>
      <c r="D52" s="71">
        <f t="shared" si="7"/>
        <v>124.64</v>
      </c>
      <c r="E52" s="71">
        <f t="shared" si="7"/>
        <v>124.64</v>
      </c>
      <c r="F52" s="71">
        <f t="shared" si="7"/>
        <v>134.63999999999999</v>
      </c>
      <c r="G52" s="71">
        <f t="shared" si="7"/>
        <v>180.94</v>
      </c>
      <c r="H52" s="71">
        <f t="shared" si="7"/>
        <v>208.03999999999996</v>
      </c>
      <c r="I52" s="71">
        <f t="shared" si="7"/>
        <v>222.73999999999998</v>
      </c>
      <c r="J52" s="71">
        <f t="shared" si="7"/>
        <v>274.34000000000003</v>
      </c>
      <c r="K52" s="71">
        <f t="shared" si="7"/>
        <v>337.74</v>
      </c>
      <c r="L52" s="71">
        <f t="shared" si="7"/>
        <v>369.64000000000004</v>
      </c>
      <c r="M52" s="71">
        <f t="shared" si="7"/>
        <v>418.53999999999996</v>
      </c>
      <c r="N52" s="71">
        <f t="shared" si="7"/>
        <v>403.04</v>
      </c>
      <c r="O52" s="71">
        <f t="shared" si="7"/>
        <v>347.04</v>
      </c>
      <c r="P52" s="71">
        <f t="shared" si="7"/>
        <v>326.44</v>
      </c>
      <c r="Q52" s="71">
        <f t="shared" si="7"/>
        <v>321.54000000000002</v>
      </c>
      <c r="R52" s="71">
        <f t="shared" si="7"/>
        <v>292.54000000000002</v>
      </c>
      <c r="S52" s="71">
        <f t="shared" si="7"/>
        <v>283.54000000000002</v>
      </c>
      <c r="T52" s="71">
        <f t="shared" si="7"/>
        <v>282.54000000000002</v>
      </c>
      <c r="U52" s="71">
        <f t="shared" si="7"/>
        <v>266.24</v>
      </c>
      <c r="V52" s="71">
        <f t="shared" si="7"/>
        <v>243.94</v>
      </c>
      <c r="W52" s="71">
        <f t="shared" si="7"/>
        <v>272.34000000000003</v>
      </c>
      <c r="X52" s="71">
        <f t="shared" si="7"/>
        <v>344.34</v>
      </c>
      <c r="Y52" s="71">
        <f t="shared" si="7"/>
        <v>414.53999999999996</v>
      </c>
      <c r="Z52" s="71">
        <f t="shared" si="7"/>
        <v>414.44</v>
      </c>
      <c r="AA52" s="71">
        <f t="shared" si="7"/>
        <v>379.54</v>
      </c>
      <c r="AB52" s="71">
        <f t="shared" si="7"/>
        <v>354.84000000000009</v>
      </c>
      <c r="AC52" s="71">
        <f t="shared" si="7"/>
        <v>344.94</v>
      </c>
      <c r="AD52" s="71">
        <f t="shared" si="7"/>
        <v>293.64000000000004</v>
      </c>
      <c r="AE52" s="71">
        <f t="shared" si="7"/>
        <v>257.64</v>
      </c>
      <c r="AF52" s="71">
        <f t="shared" si="7"/>
        <v>197.64</v>
      </c>
      <c r="AG52" s="76">
        <f>SUM(AG39:AG51)</f>
        <v>489.91</v>
      </c>
      <c r="AH52" s="53">
        <f t="shared" si="2"/>
        <v>418.53999999999996</v>
      </c>
      <c r="AI52" s="54">
        <f t="shared" si="3"/>
        <v>124.64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13.8</v>
      </c>
      <c r="K53" s="60">
        <v>13.8</v>
      </c>
      <c r="L53" s="60">
        <v>14.5</v>
      </c>
      <c r="M53" s="77">
        <v>29.9</v>
      </c>
      <c r="N53" s="77">
        <v>30</v>
      </c>
      <c r="O53" s="77">
        <v>13.8</v>
      </c>
      <c r="P53" s="77">
        <v>10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50</v>
      </c>
      <c r="W53" s="50">
        <v>50</v>
      </c>
      <c r="X53" s="50">
        <v>50.1</v>
      </c>
      <c r="Y53" s="50">
        <v>55</v>
      </c>
      <c r="Z53" s="50">
        <v>50</v>
      </c>
      <c r="AA53" s="50">
        <v>49.3</v>
      </c>
      <c r="AB53" s="50">
        <v>29.5</v>
      </c>
      <c r="AC53" s="50">
        <v>29.3</v>
      </c>
      <c r="AD53" s="50">
        <v>14</v>
      </c>
      <c r="AE53" s="50">
        <v>0</v>
      </c>
      <c r="AF53" s="50">
        <v>0</v>
      </c>
      <c r="AG53" s="61">
        <v>60</v>
      </c>
      <c r="AH53" s="53">
        <f t="shared" si="2"/>
        <v>55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5.6</v>
      </c>
      <c r="K54" s="60">
        <v>5.6</v>
      </c>
      <c r="L54" s="60">
        <v>7.1</v>
      </c>
      <c r="M54" s="77">
        <v>15.1</v>
      </c>
      <c r="N54" s="77">
        <v>15.1</v>
      </c>
      <c r="O54" s="77">
        <v>7</v>
      </c>
      <c r="P54" s="77">
        <v>5.8</v>
      </c>
      <c r="Q54" s="72">
        <v>0</v>
      </c>
      <c r="R54" s="72">
        <v>0</v>
      </c>
      <c r="S54" s="50">
        <v>0</v>
      </c>
      <c r="T54" s="50">
        <v>0</v>
      </c>
      <c r="U54" s="50">
        <v>0</v>
      </c>
      <c r="V54" s="72">
        <v>17.600000000000001</v>
      </c>
      <c r="W54" s="72">
        <v>23.1</v>
      </c>
      <c r="X54" s="72">
        <v>23.3</v>
      </c>
      <c r="Y54" s="72">
        <v>26.1</v>
      </c>
      <c r="Z54" s="72">
        <v>23.6</v>
      </c>
      <c r="AA54" s="72">
        <v>22.7</v>
      </c>
      <c r="AB54" s="72">
        <v>15.2</v>
      </c>
      <c r="AC54" s="72">
        <v>14.8</v>
      </c>
      <c r="AD54" s="72">
        <v>6.7</v>
      </c>
      <c r="AE54" s="72">
        <v>0</v>
      </c>
      <c r="AF54" s="72">
        <v>0</v>
      </c>
      <c r="AG54" s="66">
        <v>32</v>
      </c>
      <c r="AH54" s="53">
        <f t="shared" si="2"/>
        <v>26.1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2.1</v>
      </c>
      <c r="K55" s="79">
        <v>2.1</v>
      </c>
      <c r="L55" s="79">
        <v>2.6</v>
      </c>
      <c r="M55" s="80">
        <v>5.5</v>
      </c>
      <c r="N55" s="80">
        <v>5.5</v>
      </c>
      <c r="O55" s="80">
        <v>2.6</v>
      </c>
      <c r="P55" s="80">
        <v>2</v>
      </c>
      <c r="Q55" s="78">
        <v>0</v>
      </c>
      <c r="R55" s="78">
        <v>0</v>
      </c>
      <c r="S55" s="50">
        <v>0</v>
      </c>
      <c r="T55" s="50">
        <v>0</v>
      </c>
      <c r="U55" s="50">
        <v>0</v>
      </c>
      <c r="V55" s="78">
        <v>6.4</v>
      </c>
      <c r="W55" s="78">
        <v>8.4</v>
      </c>
      <c r="X55" s="78">
        <v>8.5</v>
      </c>
      <c r="Y55" s="78">
        <v>9.5</v>
      </c>
      <c r="Z55" s="78">
        <v>8.6</v>
      </c>
      <c r="AA55" s="78">
        <v>8.3000000000000007</v>
      </c>
      <c r="AB55" s="78">
        <v>6.5</v>
      </c>
      <c r="AC55" s="78">
        <v>5.4</v>
      </c>
      <c r="AD55" s="78">
        <v>4</v>
      </c>
      <c r="AE55" s="78">
        <v>0</v>
      </c>
      <c r="AF55" s="78">
        <v>0</v>
      </c>
      <c r="AG55" s="81">
        <v>14</v>
      </c>
      <c r="AH55" s="53">
        <f t="shared" si="2"/>
        <v>9.5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21.5</v>
      </c>
      <c r="K56" s="71">
        <f t="shared" si="8"/>
        <v>21.5</v>
      </c>
      <c r="L56" s="71">
        <f t="shared" si="8"/>
        <v>24.200000000000003</v>
      </c>
      <c r="M56" s="71">
        <f t="shared" si="8"/>
        <v>50.5</v>
      </c>
      <c r="N56" s="71">
        <f t="shared" si="8"/>
        <v>50.6</v>
      </c>
      <c r="O56" s="71">
        <f t="shared" si="8"/>
        <v>23.400000000000002</v>
      </c>
      <c r="P56" s="71">
        <f t="shared" si="8"/>
        <v>17.8</v>
      </c>
      <c r="Q56" s="71">
        <f t="shared" si="8"/>
        <v>0</v>
      </c>
      <c r="R56" s="71">
        <f t="shared" si="8"/>
        <v>0</v>
      </c>
      <c r="S56" s="71">
        <f t="shared" si="8"/>
        <v>0</v>
      </c>
      <c r="T56" s="71">
        <f t="shared" si="8"/>
        <v>0</v>
      </c>
      <c r="U56" s="71">
        <f t="shared" si="8"/>
        <v>0</v>
      </c>
      <c r="V56" s="71">
        <f t="shared" si="8"/>
        <v>74</v>
      </c>
      <c r="W56" s="71">
        <f t="shared" si="8"/>
        <v>81.5</v>
      </c>
      <c r="X56" s="71">
        <f t="shared" si="8"/>
        <v>81.900000000000006</v>
      </c>
      <c r="Y56" s="71">
        <f t="shared" si="8"/>
        <v>90.6</v>
      </c>
      <c r="Z56" s="71">
        <f t="shared" si="8"/>
        <v>82.199999999999989</v>
      </c>
      <c r="AA56" s="71">
        <f t="shared" si="8"/>
        <v>80.3</v>
      </c>
      <c r="AB56" s="71">
        <f t="shared" si="8"/>
        <v>51.2</v>
      </c>
      <c r="AC56" s="71">
        <f t="shared" si="8"/>
        <v>49.5</v>
      </c>
      <c r="AD56" s="71">
        <f t="shared" si="8"/>
        <v>24.7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90.6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70.2</v>
      </c>
      <c r="C57" s="50">
        <v>70.2</v>
      </c>
      <c r="D57" s="50">
        <v>66</v>
      </c>
      <c r="E57" s="50">
        <v>69</v>
      </c>
      <c r="F57" s="50">
        <v>60</v>
      </c>
      <c r="G57" s="50">
        <v>62</v>
      </c>
      <c r="H57" s="50">
        <v>68</v>
      </c>
      <c r="I57" s="50">
        <v>68</v>
      </c>
      <c r="J57" s="50">
        <v>64.8</v>
      </c>
      <c r="K57" s="50">
        <v>79</v>
      </c>
      <c r="L57" s="50">
        <v>76</v>
      </c>
      <c r="M57" s="50">
        <v>68</v>
      </c>
      <c r="N57" s="50">
        <v>70</v>
      </c>
      <c r="O57" s="50">
        <v>74</v>
      </c>
      <c r="P57" s="50">
        <v>70.400000000000006</v>
      </c>
      <c r="Q57" s="50">
        <v>68.7</v>
      </c>
      <c r="R57" s="50">
        <v>68</v>
      </c>
      <c r="S57" s="50">
        <v>68.599999999999994</v>
      </c>
      <c r="T57" s="50">
        <v>72.2</v>
      </c>
      <c r="U57" s="50">
        <v>68.3</v>
      </c>
      <c r="V57" s="50">
        <v>73</v>
      </c>
      <c r="W57" s="50">
        <v>66.7</v>
      </c>
      <c r="X57" s="50">
        <v>77.5</v>
      </c>
      <c r="Y57" s="50">
        <v>78</v>
      </c>
      <c r="Z57" s="50">
        <v>72.900000000000006</v>
      </c>
      <c r="AA57" s="50">
        <v>69.2</v>
      </c>
      <c r="AB57" s="50">
        <v>69</v>
      </c>
      <c r="AC57" s="50">
        <v>69</v>
      </c>
      <c r="AD57" s="50">
        <v>68</v>
      </c>
      <c r="AE57" s="50">
        <v>66</v>
      </c>
      <c r="AF57" s="50">
        <v>64</v>
      </c>
      <c r="AG57" s="61"/>
      <c r="AH57" s="53">
        <f t="shared" si="2"/>
        <v>79</v>
      </c>
      <c r="AI57" s="54">
        <f t="shared" si="3"/>
        <v>60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293</v>
      </c>
      <c r="C59" s="72">
        <v>283</v>
      </c>
      <c r="D59" s="72">
        <v>250</v>
      </c>
      <c r="E59" s="72">
        <v>235</v>
      </c>
      <c r="F59" s="72">
        <v>235</v>
      </c>
      <c r="G59" s="72">
        <v>203</v>
      </c>
      <c r="H59" s="50">
        <v>232</v>
      </c>
      <c r="I59" s="50">
        <v>236</v>
      </c>
      <c r="J59" s="50">
        <v>248.5</v>
      </c>
      <c r="K59" s="50">
        <v>283</v>
      </c>
      <c r="L59" s="50">
        <v>198</v>
      </c>
      <c r="M59" s="72">
        <v>76</v>
      </c>
      <c r="N59" s="72">
        <v>20</v>
      </c>
      <c r="O59" s="72">
        <v>265</v>
      </c>
      <c r="P59" s="72">
        <v>300</v>
      </c>
      <c r="Q59" s="72">
        <v>320</v>
      </c>
      <c r="R59" s="72">
        <v>326</v>
      </c>
      <c r="S59" s="72">
        <v>345.9</v>
      </c>
      <c r="T59" s="72">
        <v>345.9</v>
      </c>
      <c r="U59" s="72">
        <v>346.8</v>
      </c>
      <c r="V59" s="72">
        <v>176</v>
      </c>
      <c r="W59" s="72">
        <v>158</v>
      </c>
      <c r="X59" s="83">
        <v>153</v>
      </c>
      <c r="Y59" s="83">
        <v>61.9</v>
      </c>
      <c r="Z59" s="83">
        <v>0</v>
      </c>
      <c r="AA59" s="83">
        <v>162.30000000000001</v>
      </c>
      <c r="AB59" s="72">
        <v>185</v>
      </c>
      <c r="AC59" s="72">
        <v>203</v>
      </c>
      <c r="AD59" s="72">
        <v>256</v>
      </c>
      <c r="AE59" s="72">
        <v>230</v>
      </c>
      <c r="AF59" s="72">
        <v>210</v>
      </c>
      <c r="AG59" s="84"/>
      <c r="AH59" s="53">
        <f t="shared" si="2"/>
        <v>346.8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51</v>
      </c>
      <c r="K60" s="57">
        <v>51</v>
      </c>
      <c r="L60" s="57">
        <v>51.5</v>
      </c>
      <c r="M60" s="72">
        <v>52.7</v>
      </c>
      <c r="N60" s="72">
        <v>50.2</v>
      </c>
      <c r="O60" s="72">
        <v>52.8</v>
      </c>
      <c r="P60" s="72">
        <v>51.2</v>
      </c>
      <c r="Q60" s="72">
        <v>15.8</v>
      </c>
      <c r="R60" s="72">
        <v>0</v>
      </c>
      <c r="S60" s="72">
        <v>0</v>
      </c>
      <c r="T60" s="72">
        <v>0</v>
      </c>
      <c r="U60" s="72">
        <v>53.4</v>
      </c>
      <c r="V60" s="72">
        <v>50.5</v>
      </c>
      <c r="W60" s="72">
        <v>50.1</v>
      </c>
      <c r="X60" s="72">
        <v>56.8</v>
      </c>
      <c r="Y60" s="72">
        <v>56.8</v>
      </c>
      <c r="Z60" s="72">
        <v>54.1</v>
      </c>
      <c r="AA60" s="72">
        <v>58.4</v>
      </c>
      <c r="AB60" s="72">
        <v>51.7</v>
      </c>
      <c r="AC60" s="72">
        <v>54.8</v>
      </c>
      <c r="AD60" s="72">
        <v>53.9</v>
      </c>
      <c r="AE60" s="72">
        <v>0</v>
      </c>
      <c r="AF60" s="57">
        <v>0</v>
      </c>
      <c r="AG60" s="84"/>
      <c r="AH60" s="53">
        <f t="shared" si="2"/>
        <v>58.4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0</v>
      </c>
      <c r="N61" s="50">
        <v>0</v>
      </c>
      <c r="O61" s="50">
        <v>73.3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49.7</v>
      </c>
      <c r="W61" s="50">
        <v>66.400000000000006</v>
      </c>
      <c r="X61" s="50">
        <v>78.8</v>
      </c>
      <c r="Y61" s="50">
        <v>72.8</v>
      </c>
      <c r="Z61" s="50">
        <v>81.7</v>
      </c>
      <c r="AA61" s="50">
        <v>74.3</v>
      </c>
      <c r="AB61" s="50">
        <v>74.900000000000006</v>
      </c>
      <c r="AC61" s="50">
        <v>64.900000000000006</v>
      </c>
      <c r="AD61" s="50">
        <v>67.5</v>
      </c>
      <c r="AE61" s="50">
        <v>0</v>
      </c>
      <c r="AF61" s="50">
        <v>0</v>
      </c>
      <c r="AG61" s="84"/>
      <c r="AH61" s="53">
        <f t="shared" si="2"/>
        <v>81.7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0">
        <v>0</v>
      </c>
      <c r="M63" s="50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72">
        <v>0</v>
      </c>
      <c r="M66" s="7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0">
        <v>0</v>
      </c>
      <c r="M67" s="50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363.2</v>
      </c>
      <c r="C68" s="71">
        <f>SUM(C57:C67)</f>
        <v>353.2</v>
      </c>
      <c r="D68" s="71">
        <f t="shared" ref="D68:AF68" si="9">SUM(D57:D67)</f>
        <v>316</v>
      </c>
      <c r="E68" s="71">
        <f t="shared" si="9"/>
        <v>304</v>
      </c>
      <c r="F68" s="71">
        <f t="shared" si="9"/>
        <v>295</v>
      </c>
      <c r="G68" s="71">
        <f t="shared" si="9"/>
        <v>265</v>
      </c>
      <c r="H68" s="71">
        <f t="shared" si="9"/>
        <v>300</v>
      </c>
      <c r="I68" s="71">
        <f t="shared" si="9"/>
        <v>304</v>
      </c>
      <c r="J68" s="71">
        <f t="shared" si="9"/>
        <v>364.3</v>
      </c>
      <c r="K68" s="71">
        <f t="shared" si="9"/>
        <v>413</v>
      </c>
      <c r="L68" s="71">
        <f t="shared" si="9"/>
        <v>325.5</v>
      </c>
      <c r="M68" s="71">
        <f t="shared" si="9"/>
        <v>196.7</v>
      </c>
      <c r="N68" s="71">
        <f t="shared" si="9"/>
        <v>140.19999999999999</v>
      </c>
      <c r="O68" s="71">
        <f t="shared" si="9"/>
        <v>465.1</v>
      </c>
      <c r="P68" s="71">
        <f t="shared" si="9"/>
        <v>421.59999999999997</v>
      </c>
      <c r="Q68" s="71">
        <f t="shared" si="9"/>
        <v>404.5</v>
      </c>
      <c r="R68" s="71">
        <f t="shared" si="9"/>
        <v>394</v>
      </c>
      <c r="S68" s="71">
        <f t="shared" si="9"/>
        <v>414.5</v>
      </c>
      <c r="T68" s="71">
        <f t="shared" si="9"/>
        <v>418.09999999999997</v>
      </c>
      <c r="U68" s="71">
        <f t="shared" si="9"/>
        <v>468.5</v>
      </c>
      <c r="V68" s="71">
        <f t="shared" si="9"/>
        <v>349.2</v>
      </c>
      <c r="W68" s="71">
        <f t="shared" si="9"/>
        <v>341.20000000000005</v>
      </c>
      <c r="X68" s="71">
        <f t="shared" si="9"/>
        <v>366.1</v>
      </c>
      <c r="Y68" s="71">
        <f t="shared" si="9"/>
        <v>269.5</v>
      </c>
      <c r="Z68" s="71">
        <f t="shared" si="9"/>
        <v>208.7</v>
      </c>
      <c r="AA68" s="71">
        <f t="shared" si="9"/>
        <v>364.2</v>
      </c>
      <c r="AB68" s="71">
        <f t="shared" si="9"/>
        <v>380.6</v>
      </c>
      <c r="AC68" s="71">
        <f t="shared" si="9"/>
        <v>391.70000000000005</v>
      </c>
      <c r="AD68" s="71">
        <f t="shared" si="9"/>
        <v>445.4</v>
      </c>
      <c r="AE68" s="71">
        <f t="shared" si="9"/>
        <v>296</v>
      </c>
      <c r="AF68" s="71">
        <f t="shared" si="9"/>
        <v>274</v>
      </c>
      <c r="AG68" s="76">
        <f>SUM(AG57:AG67)</f>
        <v>0</v>
      </c>
      <c r="AH68" s="53">
        <f t="shared" si="2"/>
        <v>468.5</v>
      </c>
      <c r="AI68" s="54">
        <f t="shared" si="3"/>
        <v>140.19999999999999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953.73999999999978</v>
      </c>
      <c r="C73" s="88">
        <f>C68+C56+C52+C38+C72</f>
        <v>913.83999999999992</v>
      </c>
      <c r="D73" s="88">
        <f t="shared" ref="D73:AG73" si="11">D68+D56+D52+D38+D72</f>
        <v>870.54</v>
      </c>
      <c r="E73" s="88">
        <f t="shared" si="11"/>
        <v>869.54</v>
      </c>
      <c r="F73" s="88">
        <f t="shared" si="11"/>
        <v>895.54</v>
      </c>
      <c r="G73" s="88">
        <f t="shared" si="11"/>
        <v>911.83999999999992</v>
      </c>
      <c r="H73" s="88">
        <f t="shared" si="11"/>
        <v>988.93999999999994</v>
      </c>
      <c r="I73" s="88">
        <f t="shared" si="11"/>
        <v>1032.6400000000001</v>
      </c>
      <c r="J73" s="88">
        <f t="shared" si="11"/>
        <v>1201.0400000000002</v>
      </c>
      <c r="K73" s="88">
        <f t="shared" si="11"/>
        <v>1313.14</v>
      </c>
      <c r="L73" s="88">
        <f t="shared" si="11"/>
        <v>1337.24</v>
      </c>
      <c r="M73" s="88">
        <f t="shared" si="11"/>
        <v>1431.3400000000001</v>
      </c>
      <c r="N73" s="88">
        <f t="shared" si="11"/>
        <v>1390.3400000000001</v>
      </c>
      <c r="O73" s="88">
        <f t="shared" si="11"/>
        <v>1402.04</v>
      </c>
      <c r="P73" s="88">
        <f t="shared" si="11"/>
        <v>1241.4399999999998</v>
      </c>
      <c r="Q73" s="88">
        <f t="shared" si="11"/>
        <v>1156.6399999999999</v>
      </c>
      <c r="R73" s="88">
        <f t="shared" si="11"/>
        <v>1117.1399999999999</v>
      </c>
      <c r="S73" s="88">
        <f t="shared" si="11"/>
        <v>1126.1399999999999</v>
      </c>
      <c r="T73" s="88">
        <f t="shared" si="11"/>
        <v>1133.94</v>
      </c>
      <c r="U73" s="88">
        <f t="shared" si="11"/>
        <v>1178.04</v>
      </c>
      <c r="V73" s="88">
        <f t="shared" si="11"/>
        <v>1296.8400000000001</v>
      </c>
      <c r="W73" s="88">
        <f t="shared" si="11"/>
        <v>1354.7400000000002</v>
      </c>
      <c r="X73" s="88">
        <f t="shared" si="11"/>
        <v>1502.04</v>
      </c>
      <c r="Y73" s="88">
        <f t="shared" si="11"/>
        <v>1571.3400000000001</v>
      </c>
      <c r="Z73" s="88">
        <f t="shared" si="11"/>
        <v>1547.74</v>
      </c>
      <c r="AA73" s="88">
        <f t="shared" si="11"/>
        <v>1496.04</v>
      </c>
      <c r="AB73" s="88">
        <f t="shared" si="11"/>
        <v>1393.44</v>
      </c>
      <c r="AC73" s="88">
        <f t="shared" si="11"/>
        <v>1339.94</v>
      </c>
      <c r="AD73" s="88">
        <f t="shared" si="11"/>
        <v>1272.54</v>
      </c>
      <c r="AE73" s="88">
        <f t="shared" si="11"/>
        <v>1053.44</v>
      </c>
      <c r="AF73" s="88">
        <f t="shared" si="11"/>
        <v>945.43999999999994</v>
      </c>
      <c r="AG73" s="88">
        <f t="shared" si="11"/>
        <v>2144.14</v>
      </c>
      <c r="AH73" s="53">
        <f t="shared" si="2"/>
        <v>1571.3400000000001</v>
      </c>
      <c r="AI73" s="54">
        <f t="shared" si="3"/>
        <v>869.54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>
        <v>30</v>
      </c>
      <c r="Q74" s="90">
        <v>30</v>
      </c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30</v>
      </c>
      <c r="AI74" s="54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953.73999999999978</v>
      </c>
      <c r="C75" s="88">
        <f>C73+C74</f>
        <v>913.83999999999992</v>
      </c>
      <c r="D75" s="88">
        <f t="shared" ref="D75:AF75" si="12">D72+D68+D56+D52+D38+D74</f>
        <v>870.54</v>
      </c>
      <c r="E75" s="88">
        <f t="shared" si="12"/>
        <v>869.54</v>
      </c>
      <c r="F75" s="88">
        <f t="shared" si="12"/>
        <v>895.54</v>
      </c>
      <c r="G75" s="88">
        <f t="shared" si="12"/>
        <v>911.83999999999992</v>
      </c>
      <c r="H75" s="88">
        <f t="shared" si="12"/>
        <v>988.93999999999994</v>
      </c>
      <c r="I75" s="88">
        <f t="shared" si="12"/>
        <v>1032.6400000000001</v>
      </c>
      <c r="J75" s="88">
        <f t="shared" si="12"/>
        <v>1201.0400000000002</v>
      </c>
      <c r="K75" s="88">
        <f t="shared" si="12"/>
        <v>1313.14</v>
      </c>
      <c r="L75" s="88">
        <f t="shared" si="12"/>
        <v>1337.24</v>
      </c>
      <c r="M75" s="88">
        <f t="shared" si="12"/>
        <v>1431.3400000000001</v>
      </c>
      <c r="N75" s="88">
        <f t="shared" si="12"/>
        <v>1390.3400000000001</v>
      </c>
      <c r="O75" s="88">
        <f t="shared" si="12"/>
        <v>1402.04</v>
      </c>
      <c r="P75" s="88">
        <f t="shared" si="12"/>
        <v>1271.4399999999998</v>
      </c>
      <c r="Q75" s="88">
        <f t="shared" si="12"/>
        <v>1186.6399999999999</v>
      </c>
      <c r="R75" s="88">
        <f t="shared" si="12"/>
        <v>1117.1399999999999</v>
      </c>
      <c r="S75" s="88">
        <f t="shared" si="12"/>
        <v>1126.1399999999999</v>
      </c>
      <c r="T75" s="88">
        <f t="shared" si="12"/>
        <v>1133.94</v>
      </c>
      <c r="U75" s="88">
        <f t="shared" si="12"/>
        <v>1178.04</v>
      </c>
      <c r="V75" s="88">
        <f t="shared" si="12"/>
        <v>1296.8400000000001</v>
      </c>
      <c r="W75" s="88">
        <f t="shared" si="12"/>
        <v>1354.7400000000002</v>
      </c>
      <c r="X75" s="88">
        <f t="shared" si="12"/>
        <v>1502.04</v>
      </c>
      <c r="Y75" s="88">
        <f t="shared" si="12"/>
        <v>1571.3400000000001</v>
      </c>
      <c r="Z75" s="88">
        <f t="shared" si="12"/>
        <v>1547.74</v>
      </c>
      <c r="AA75" s="88">
        <f t="shared" si="12"/>
        <v>1496.04</v>
      </c>
      <c r="AB75" s="88">
        <f t="shared" si="12"/>
        <v>1393.44</v>
      </c>
      <c r="AC75" s="88">
        <f t="shared" si="12"/>
        <v>1339.94</v>
      </c>
      <c r="AD75" s="88">
        <f t="shared" si="12"/>
        <v>1272.54</v>
      </c>
      <c r="AE75" s="88">
        <f t="shared" si="12"/>
        <v>1053.44</v>
      </c>
      <c r="AF75" s="88">
        <f t="shared" si="12"/>
        <v>945.43999999999994</v>
      </c>
      <c r="AG75" s="76">
        <f>AG72+AG68+AG56+AG52+AG38+AG74</f>
        <v>2144.14</v>
      </c>
      <c r="AH75" s="53">
        <f t="shared" si="2"/>
        <v>1571.3400000000001</v>
      </c>
      <c r="AI75" s="54">
        <f t="shared" si="3"/>
        <v>869.54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1907.4799999999996</v>
      </c>
      <c r="C83" s="71">
        <f>SUM(C70:C82)</f>
        <v>1827.6799999999998</v>
      </c>
      <c r="D83" s="71">
        <f t="shared" ref="D83:AG83" si="21">SUM(D70:D82)</f>
        <v>1741.08</v>
      </c>
      <c r="E83" s="71">
        <f t="shared" si="21"/>
        <v>1739.08</v>
      </c>
      <c r="F83" s="71">
        <f t="shared" si="21"/>
        <v>1791.08</v>
      </c>
      <c r="G83" s="71">
        <f t="shared" si="21"/>
        <v>1823.6799999999998</v>
      </c>
      <c r="H83" s="71">
        <f t="shared" si="21"/>
        <v>1977.8799999999999</v>
      </c>
      <c r="I83" s="71">
        <f t="shared" si="21"/>
        <v>2065.2800000000002</v>
      </c>
      <c r="J83" s="71">
        <f t="shared" si="21"/>
        <v>2402.0800000000004</v>
      </c>
      <c r="K83" s="71">
        <f t="shared" si="21"/>
        <v>2626.28</v>
      </c>
      <c r="L83" s="71">
        <f t="shared" si="21"/>
        <v>2674.48</v>
      </c>
      <c r="M83" s="71">
        <f t="shared" si="21"/>
        <v>2862.6800000000003</v>
      </c>
      <c r="N83" s="71">
        <f t="shared" si="21"/>
        <v>2780.6800000000003</v>
      </c>
      <c r="O83" s="71">
        <f t="shared" si="21"/>
        <v>2804.08</v>
      </c>
      <c r="P83" s="71">
        <f t="shared" si="21"/>
        <v>2542.8799999999997</v>
      </c>
      <c r="Q83" s="71">
        <f t="shared" si="21"/>
        <v>2373.2799999999997</v>
      </c>
      <c r="R83" s="71">
        <f t="shared" si="21"/>
        <v>2234.2799999999997</v>
      </c>
      <c r="S83" s="71">
        <f t="shared" si="21"/>
        <v>2252.2799999999997</v>
      </c>
      <c r="T83" s="71">
        <f t="shared" si="21"/>
        <v>2267.88</v>
      </c>
      <c r="U83" s="71">
        <f t="shared" si="21"/>
        <v>2356.08</v>
      </c>
      <c r="V83" s="71">
        <f t="shared" si="21"/>
        <v>2593.6800000000003</v>
      </c>
      <c r="W83" s="71">
        <f t="shared" si="21"/>
        <v>2709.4800000000005</v>
      </c>
      <c r="X83" s="71">
        <f t="shared" si="21"/>
        <v>3004.08</v>
      </c>
      <c r="Y83" s="71">
        <f t="shared" si="21"/>
        <v>3142.6800000000003</v>
      </c>
      <c r="Z83" s="71">
        <f t="shared" si="21"/>
        <v>3095.48</v>
      </c>
      <c r="AA83" s="71">
        <f t="shared" si="21"/>
        <v>2992.08</v>
      </c>
      <c r="AB83" s="71">
        <f t="shared" si="21"/>
        <v>2786.88</v>
      </c>
      <c r="AC83" s="71">
        <f t="shared" si="21"/>
        <v>2679.88</v>
      </c>
      <c r="AD83" s="71">
        <f t="shared" si="21"/>
        <v>2545.08</v>
      </c>
      <c r="AE83" s="71">
        <f t="shared" si="21"/>
        <v>2106.88</v>
      </c>
      <c r="AF83" s="71">
        <f t="shared" si="21"/>
        <v>1890.8799999999999</v>
      </c>
      <c r="AG83" s="76">
        <f t="shared" si="21"/>
        <v>4360.08</v>
      </c>
      <c r="AH83" s="53">
        <f t="shared" si="14"/>
        <v>3142.6800000000003</v>
      </c>
      <c r="AI83" s="54">
        <f t="shared" si="15"/>
        <v>1739.08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50.113</v>
      </c>
      <c r="C84" s="95">
        <v>50.07</v>
      </c>
      <c r="D84" s="95">
        <v>50.045000000000002</v>
      </c>
      <c r="E84" s="95">
        <v>50.045000000000002</v>
      </c>
      <c r="F84" s="95">
        <v>50.01</v>
      </c>
      <c r="G84" s="95">
        <v>49.966000000000001</v>
      </c>
      <c r="H84" s="95">
        <v>50.009</v>
      </c>
      <c r="I84" s="95">
        <v>50.009</v>
      </c>
      <c r="J84" s="95">
        <v>50.021000000000001</v>
      </c>
      <c r="K84" s="95">
        <v>49.993000000000002</v>
      </c>
      <c r="L84" s="95">
        <v>49.963999999999999</v>
      </c>
      <c r="M84" s="95">
        <v>49.94</v>
      </c>
      <c r="N84" s="95">
        <v>49.991</v>
      </c>
      <c r="O84" s="95">
        <v>49.966000000000001</v>
      </c>
      <c r="P84" s="95">
        <v>50.021000000000001</v>
      </c>
      <c r="Q84" s="95">
        <v>49.838000000000001</v>
      </c>
      <c r="R84" s="95">
        <v>50.078000000000003</v>
      </c>
      <c r="S84" s="95">
        <v>49.981999999999999</v>
      </c>
      <c r="T84" s="95">
        <v>50.02</v>
      </c>
      <c r="U84" s="95">
        <v>49.939</v>
      </c>
      <c r="V84" s="95">
        <v>49.976999999999997</v>
      </c>
      <c r="W84" s="95">
        <v>50.018999999999998</v>
      </c>
      <c r="X84" s="95">
        <v>50.024000000000001</v>
      </c>
      <c r="Y84" s="95">
        <v>50.021000000000001</v>
      </c>
      <c r="Z84" s="95">
        <v>50.033000000000001</v>
      </c>
      <c r="AA84" s="95">
        <v>49.908999999999999</v>
      </c>
      <c r="AB84" s="95">
        <v>50.034999999999997</v>
      </c>
      <c r="AC84" s="95">
        <v>49.987000000000002</v>
      </c>
      <c r="AD84" s="95">
        <v>50</v>
      </c>
      <c r="AE84" s="95">
        <v>49.976999999999997</v>
      </c>
      <c r="AF84" s="95">
        <v>49.908000000000001</v>
      </c>
      <c r="AG84" s="96"/>
      <c r="AH84" s="53">
        <f t="shared" si="14"/>
        <v>50.113</v>
      </c>
      <c r="AI84" s="54">
        <f t="shared" si="15"/>
        <v>49.838000000000001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125.3</v>
      </c>
      <c r="C85" s="72">
        <v>125</v>
      </c>
      <c r="D85" s="72">
        <v>125</v>
      </c>
      <c r="E85" s="72">
        <v>125</v>
      </c>
      <c r="F85" s="72">
        <v>125.6</v>
      </c>
      <c r="G85" s="72">
        <v>125.6</v>
      </c>
      <c r="H85" s="72">
        <v>125.6</v>
      </c>
      <c r="I85" s="72">
        <v>125.6</v>
      </c>
      <c r="J85" s="72">
        <v>125.4</v>
      </c>
      <c r="K85" s="72">
        <v>126.5</v>
      </c>
      <c r="L85" s="72">
        <v>121.8</v>
      </c>
      <c r="M85" s="72">
        <v>122.2</v>
      </c>
      <c r="N85" s="72">
        <v>120.1</v>
      </c>
      <c r="O85" s="72">
        <v>124.9</v>
      </c>
      <c r="P85" s="72">
        <v>123.9</v>
      </c>
      <c r="Q85" s="72">
        <v>123.5</v>
      </c>
      <c r="R85" s="72">
        <v>124.9</v>
      </c>
      <c r="S85" s="72">
        <v>122.5</v>
      </c>
      <c r="T85" s="72">
        <v>123.3</v>
      </c>
      <c r="U85" s="72">
        <v>122.9</v>
      </c>
      <c r="V85" s="72">
        <v>124.2</v>
      </c>
      <c r="W85" s="99">
        <v>125</v>
      </c>
      <c r="X85" s="99">
        <v>124</v>
      </c>
      <c r="Y85" s="99">
        <v>123.7</v>
      </c>
      <c r="Z85" s="99">
        <v>125.3</v>
      </c>
      <c r="AA85" s="99">
        <v>124.9</v>
      </c>
      <c r="AB85" s="72">
        <v>126.4</v>
      </c>
      <c r="AC85" s="72">
        <v>125</v>
      </c>
      <c r="AD85" s="72">
        <v>126</v>
      </c>
      <c r="AE85" s="72">
        <v>126</v>
      </c>
      <c r="AF85" s="72">
        <v>126.5</v>
      </c>
      <c r="AG85" s="100"/>
      <c r="AH85" s="53">
        <f t="shared" si="14"/>
        <v>126.5</v>
      </c>
      <c r="AI85" s="54">
        <f t="shared" si="15"/>
        <v>120.1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129.69999999999999</v>
      </c>
      <c r="C86" s="72">
        <v>129.69999999999999</v>
      </c>
      <c r="D86" s="72">
        <v>129.69999999999999</v>
      </c>
      <c r="E86" s="72">
        <v>129.69999999999999</v>
      </c>
      <c r="F86" s="72">
        <v>130.4</v>
      </c>
      <c r="G86" s="72">
        <v>130.4</v>
      </c>
      <c r="H86" s="72">
        <v>130.4</v>
      </c>
      <c r="I86" s="72">
        <v>130.4</v>
      </c>
      <c r="J86" s="72">
        <v>129.5</v>
      </c>
      <c r="K86" s="72">
        <v>130.1</v>
      </c>
      <c r="L86" s="72">
        <v>125.7</v>
      </c>
      <c r="M86" s="72">
        <v>125.8</v>
      </c>
      <c r="N86" s="72">
        <v>123.8</v>
      </c>
      <c r="O86" s="72">
        <v>127.8</v>
      </c>
      <c r="P86" s="72">
        <v>127.3</v>
      </c>
      <c r="Q86" s="72">
        <v>126.6</v>
      </c>
      <c r="R86" s="72">
        <v>127.8</v>
      </c>
      <c r="S86" s="72">
        <v>126.4</v>
      </c>
      <c r="T86" s="72">
        <v>126.7</v>
      </c>
      <c r="U86" s="72">
        <v>126.3</v>
      </c>
      <c r="V86" s="72">
        <v>127.3</v>
      </c>
      <c r="W86" s="99">
        <v>127.8</v>
      </c>
      <c r="X86" s="99">
        <v>126.3</v>
      </c>
      <c r="Y86" s="99">
        <v>125.4</v>
      </c>
      <c r="Z86" s="99">
        <v>127</v>
      </c>
      <c r="AA86" s="99">
        <v>127.1</v>
      </c>
      <c r="AB86" s="72">
        <v>128.1</v>
      </c>
      <c r="AC86" s="72">
        <v>127.5</v>
      </c>
      <c r="AD86" s="72">
        <v>129</v>
      </c>
      <c r="AE86" s="72">
        <v>129.5</v>
      </c>
      <c r="AF86" s="72">
        <v>130.69999999999999</v>
      </c>
      <c r="AG86" s="100"/>
      <c r="AH86" s="53">
        <f t="shared" si="14"/>
        <v>130.69999999999999</v>
      </c>
      <c r="AI86" s="54">
        <f t="shared" si="15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131.69999999999999</v>
      </c>
      <c r="C87" s="72">
        <v>132.19999999999999</v>
      </c>
      <c r="D87" s="72">
        <v>132.19999999999999</v>
      </c>
      <c r="E87" s="72">
        <v>132.19999999999999</v>
      </c>
      <c r="F87" s="72">
        <v>132.4</v>
      </c>
      <c r="G87" s="72">
        <v>132.4</v>
      </c>
      <c r="H87" s="72">
        <v>132.4</v>
      </c>
      <c r="I87" s="72">
        <v>132.4</v>
      </c>
      <c r="J87" s="72">
        <v>129.4</v>
      </c>
      <c r="K87" s="72">
        <v>127.8</v>
      </c>
      <c r="L87" s="72">
        <v>128.19999999999999</v>
      </c>
      <c r="M87" s="72">
        <v>128.19999999999999</v>
      </c>
      <c r="N87" s="72">
        <v>130.19999999999999</v>
      </c>
      <c r="O87" s="72">
        <v>131.19999999999999</v>
      </c>
      <c r="P87" s="72">
        <v>131.4</v>
      </c>
      <c r="Q87" s="72">
        <v>131.1</v>
      </c>
      <c r="R87" s="72">
        <v>133.4</v>
      </c>
      <c r="S87" s="72">
        <v>129.6</v>
      </c>
      <c r="T87" s="72">
        <v>129</v>
      </c>
      <c r="U87" s="72">
        <v>130.19999999999999</v>
      </c>
      <c r="V87" s="72">
        <v>128.19999999999999</v>
      </c>
      <c r="W87" s="72">
        <v>127.8</v>
      </c>
      <c r="X87" s="99">
        <v>129</v>
      </c>
      <c r="Y87" s="99">
        <v>129.69999999999999</v>
      </c>
      <c r="Z87" s="99">
        <v>129.1</v>
      </c>
      <c r="AA87" s="99">
        <v>129.69999999999999</v>
      </c>
      <c r="AB87" s="72">
        <v>130</v>
      </c>
      <c r="AC87" s="72">
        <v>129.69999999999999</v>
      </c>
      <c r="AD87" s="72">
        <v>130</v>
      </c>
      <c r="AE87" s="72">
        <v>131</v>
      </c>
      <c r="AF87" s="72">
        <v>130</v>
      </c>
      <c r="AG87" s="100"/>
      <c r="AH87" s="53">
        <f t="shared" si="14"/>
        <v>133.4</v>
      </c>
      <c r="AI87" s="54">
        <f t="shared" si="15"/>
        <v>127.8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135.4</v>
      </c>
      <c r="C88" s="72">
        <v>135.69999999999999</v>
      </c>
      <c r="D88" s="72">
        <v>135.69999999999999</v>
      </c>
      <c r="E88" s="72">
        <v>135.69999999999999</v>
      </c>
      <c r="F88" s="72">
        <v>136.19999999999999</v>
      </c>
      <c r="G88" s="72">
        <v>136.19999999999999</v>
      </c>
      <c r="H88" s="72">
        <v>136.19999999999999</v>
      </c>
      <c r="I88" s="72">
        <v>136.19999999999999</v>
      </c>
      <c r="J88" s="72">
        <v>131.9</v>
      </c>
      <c r="K88" s="72">
        <v>131.69999999999999</v>
      </c>
      <c r="L88" s="72">
        <v>131.4</v>
      </c>
      <c r="M88" s="72">
        <v>130.19999999999999</v>
      </c>
      <c r="N88" s="72">
        <v>133.69999999999999</v>
      </c>
      <c r="O88" s="72">
        <v>134</v>
      </c>
      <c r="P88" s="72">
        <v>134.5</v>
      </c>
      <c r="Q88" s="72">
        <v>134</v>
      </c>
      <c r="R88" s="72">
        <v>135.4</v>
      </c>
      <c r="S88" s="72">
        <v>132.30000000000001</v>
      </c>
      <c r="T88" s="72">
        <v>131.30000000000001</v>
      </c>
      <c r="U88" s="72">
        <v>132.19999999999999</v>
      </c>
      <c r="V88" s="72">
        <v>130.19999999999999</v>
      </c>
      <c r="W88" s="72">
        <v>129.6</v>
      </c>
      <c r="X88" s="99">
        <v>131.80000000000001</v>
      </c>
      <c r="Y88" s="99">
        <v>132.80000000000001</v>
      </c>
      <c r="Z88" s="99">
        <v>133.9</v>
      </c>
      <c r="AA88" s="99">
        <v>134.30000000000001</v>
      </c>
      <c r="AB88" s="72">
        <v>133.19999999999999</v>
      </c>
      <c r="AC88" s="72">
        <v>133.19999999999999</v>
      </c>
      <c r="AD88" s="72">
        <v>133.80000000000001</v>
      </c>
      <c r="AE88" s="72">
        <v>133</v>
      </c>
      <c r="AF88" s="72">
        <v>132.5</v>
      </c>
      <c r="AG88" s="100"/>
      <c r="AH88" s="53">
        <f t="shared" si="14"/>
        <v>136.19999999999999</v>
      </c>
      <c r="AI88" s="54">
        <f t="shared" si="15"/>
        <v>129.6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130.30000000000001</v>
      </c>
      <c r="C89" s="103">
        <v>128</v>
      </c>
      <c r="D89" s="103">
        <v>128</v>
      </c>
      <c r="E89" s="103">
        <v>128</v>
      </c>
      <c r="F89" s="103">
        <v>128.5</v>
      </c>
      <c r="G89" s="103">
        <v>129</v>
      </c>
      <c r="H89" s="103">
        <v>129</v>
      </c>
      <c r="I89" s="103">
        <v>129</v>
      </c>
      <c r="J89" s="103">
        <v>134.30000000000001</v>
      </c>
      <c r="K89" s="103">
        <v>136</v>
      </c>
      <c r="L89" s="103">
        <v>133.5</v>
      </c>
      <c r="M89" s="103">
        <v>132.80000000000001</v>
      </c>
      <c r="N89" s="103">
        <v>132.30000000000001</v>
      </c>
      <c r="O89" s="103">
        <v>135</v>
      </c>
      <c r="P89" s="103">
        <v>135.80000000000001</v>
      </c>
      <c r="Q89" s="103">
        <v>134</v>
      </c>
      <c r="R89" s="103">
        <v>132.6</v>
      </c>
      <c r="S89" s="103">
        <v>131.4</v>
      </c>
      <c r="T89" s="103">
        <v>132.9</v>
      </c>
      <c r="U89" s="103">
        <v>134.5</v>
      </c>
      <c r="V89" s="103">
        <v>134.5</v>
      </c>
      <c r="W89" s="103">
        <v>134.30000000000001</v>
      </c>
      <c r="X89" s="99">
        <v>133.80000000000001</v>
      </c>
      <c r="Y89" s="99">
        <v>131.69999999999999</v>
      </c>
      <c r="Z89" s="99">
        <v>133.6</v>
      </c>
      <c r="AA89" s="99">
        <v>132.80000000000001</v>
      </c>
      <c r="AB89" s="103">
        <v>135.30000000000001</v>
      </c>
      <c r="AC89" s="103">
        <v>133.30000000000001</v>
      </c>
      <c r="AD89" s="103">
        <v>133</v>
      </c>
      <c r="AE89" s="103">
        <v>131</v>
      </c>
      <c r="AF89" s="103">
        <v>132</v>
      </c>
      <c r="AG89" s="104"/>
      <c r="AH89" s="53">
        <f t="shared" si="14"/>
        <v>136</v>
      </c>
      <c r="AI89" s="54">
        <f t="shared" si="15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137.6</v>
      </c>
      <c r="C90" s="72">
        <v>137.69999999999999</v>
      </c>
      <c r="D90" s="72">
        <v>137.69999999999999</v>
      </c>
      <c r="E90" s="72">
        <v>137.69999999999999</v>
      </c>
      <c r="F90" s="72">
        <v>137</v>
      </c>
      <c r="G90" s="72">
        <v>137</v>
      </c>
      <c r="H90" s="72">
        <v>137</v>
      </c>
      <c r="I90" s="72">
        <v>137</v>
      </c>
      <c r="J90" s="72">
        <v>133.4</v>
      </c>
      <c r="K90" s="72">
        <v>128.30000000000001</v>
      </c>
      <c r="L90" s="72">
        <v>128.5</v>
      </c>
      <c r="M90" s="72">
        <v>134.19999999999999</v>
      </c>
      <c r="N90" s="72">
        <v>132.19999999999999</v>
      </c>
      <c r="O90" s="72">
        <v>128.5</v>
      </c>
      <c r="P90" s="72">
        <v>129.9</v>
      </c>
      <c r="Q90" s="72">
        <v>131.5</v>
      </c>
      <c r="R90" s="72">
        <v>137.19999999999999</v>
      </c>
      <c r="S90" s="72">
        <v>132</v>
      </c>
      <c r="T90" s="72">
        <v>129.5</v>
      </c>
      <c r="U90" s="72">
        <v>132</v>
      </c>
      <c r="V90" s="72">
        <v>130.9</v>
      </c>
      <c r="W90" s="72">
        <v>130.6</v>
      </c>
      <c r="X90" s="99">
        <v>133</v>
      </c>
      <c r="Y90" s="99">
        <v>133.80000000000001</v>
      </c>
      <c r="Z90" s="99">
        <v>137.19999999999999</v>
      </c>
      <c r="AA90" s="99">
        <v>133</v>
      </c>
      <c r="AB90" s="72">
        <v>132.1</v>
      </c>
      <c r="AC90" s="72">
        <v>132.19999999999999</v>
      </c>
      <c r="AD90" s="72">
        <v>135</v>
      </c>
      <c r="AE90" s="72">
        <v>134.69999999999999</v>
      </c>
      <c r="AF90" s="72">
        <v>134.69999999999999</v>
      </c>
      <c r="AG90" s="100"/>
      <c r="AH90" s="53">
        <f t="shared" si="14"/>
        <v>137.69999999999999</v>
      </c>
      <c r="AI90" s="54">
        <f t="shared" si="15"/>
        <v>128.30000000000001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4"/>
        <v>0</v>
      </c>
      <c r="AI91" s="54">
        <f t="shared" si="15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210.83999999999997</v>
      </c>
      <c r="C93" s="113">
        <f>SUM(C15,C18,C21:C22,C42,C44:C45,C47,C49,C94:C97,C102,C108,C114,C123,C125,C137,C144,C147:C148,C155,C157,C159,C163:C165,C167:C169,C174,C180:C181,C183:C185,C193,C198)</f>
        <v>195.03999999999996</v>
      </c>
      <c r="D93" s="113">
        <f t="shared" ref="D93:AF93" si="22">SUM(D15,D18,D21:D22,D42,D44:D45,D47,D49,D94:D97,D102,D108,D114,D123,D125,D137,D144,D147:D148,D155,D157,D159,D163:D165,D167:D169,D174,D180:D181,D183:D185,D193,D198)</f>
        <v>185.43999999999997</v>
      </c>
      <c r="E93" s="113">
        <f t="shared" si="22"/>
        <v>183.43999999999997</v>
      </c>
      <c r="F93" s="113">
        <f t="shared" si="22"/>
        <v>185.43999999999997</v>
      </c>
      <c r="G93" s="112">
        <f t="shared" si="22"/>
        <v>202.64</v>
      </c>
      <c r="H93" s="112">
        <f t="shared" si="22"/>
        <v>219.43999999999997</v>
      </c>
      <c r="I93" s="112">
        <f t="shared" si="22"/>
        <v>248.14</v>
      </c>
      <c r="J93" s="112">
        <f t="shared" si="22"/>
        <v>302.54000000000002</v>
      </c>
      <c r="K93" s="112">
        <f t="shared" si="22"/>
        <v>351.54000000000008</v>
      </c>
      <c r="L93" s="112">
        <f t="shared" si="22"/>
        <v>381.54000000000008</v>
      </c>
      <c r="M93" s="112">
        <f t="shared" si="22"/>
        <v>421.04</v>
      </c>
      <c r="N93" s="112">
        <f t="shared" si="22"/>
        <v>431.44000000000005</v>
      </c>
      <c r="O93" s="112">
        <f t="shared" si="22"/>
        <v>417.64000000000004</v>
      </c>
      <c r="P93" s="112">
        <f t="shared" si="22"/>
        <v>400.04</v>
      </c>
      <c r="Q93" s="112">
        <f t="shared" si="22"/>
        <v>366.84000000000003</v>
      </c>
      <c r="R93" s="112">
        <f t="shared" si="22"/>
        <v>358.34000000000003</v>
      </c>
      <c r="S93" s="112">
        <f t="shared" si="22"/>
        <v>339.14000000000004</v>
      </c>
      <c r="T93" s="112">
        <f t="shared" si="22"/>
        <v>349.6400000000001</v>
      </c>
      <c r="U93" s="112">
        <f t="shared" si="22"/>
        <v>366.04</v>
      </c>
      <c r="V93" s="112">
        <f t="shared" si="22"/>
        <v>408.64</v>
      </c>
      <c r="W93" s="112">
        <f t="shared" si="22"/>
        <v>423.74</v>
      </c>
      <c r="X93" s="112">
        <f t="shared" si="22"/>
        <v>474.14000000000004</v>
      </c>
      <c r="Y93" s="112">
        <f t="shared" si="22"/>
        <v>502.14000000000004</v>
      </c>
      <c r="Z93" s="112">
        <f t="shared" si="22"/>
        <v>509.24000000000007</v>
      </c>
      <c r="AA93" s="112">
        <f t="shared" si="22"/>
        <v>480.54000000000008</v>
      </c>
      <c r="AB93" s="112">
        <f t="shared" si="22"/>
        <v>454.44000000000005</v>
      </c>
      <c r="AC93" s="112">
        <f t="shared" si="22"/>
        <v>442.04000000000008</v>
      </c>
      <c r="AD93" s="112">
        <f t="shared" si="22"/>
        <v>408.74</v>
      </c>
      <c r="AE93" s="112">
        <f t="shared" si="22"/>
        <v>320.14000000000004</v>
      </c>
      <c r="AF93" s="112">
        <f t="shared" si="22"/>
        <v>247.04</v>
      </c>
      <c r="AG93" s="114"/>
      <c r="AH93" s="53">
        <f>MAX(C93:AF93)</f>
        <v>509.24000000000007</v>
      </c>
      <c r="AI93" s="54">
        <f>MIN(C93:AF93)</f>
        <v>183.43999999999997</v>
      </c>
    </row>
    <row r="94" spans="1:88" x14ac:dyDescent="0.25">
      <c r="A94" s="115" t="s">
        <v>98</v>
      </c>
      <c r="B94" s="116">
        <v>-13</v>
      </c>
      <c r="C94" s="57">
        <v>-19.600000000000001</v>
      </c>
      <c r="D94" s="57">
        <v>-19</v>
      </c>
      <c r="E94" s="57">
        <v>-15</v>
      </c>
      <c r="F94" s="57">
        <v>-19</v>
      </c>
      <c r="G94" s="117">
        <v>3.1</v>
      </c>
      <c r="H94" s="117">
        <v>2.9</v>
      </c>
      <c r="I94" s="117">
        <v>4.5</v>
      </c>
      <c r="J94" s="117">
        <v>23.5</v>
      </c>
      <c r="K94" s="117">
        <v>35.5</v>
      </c>
      <c r="L94" s="117">
        <v>55.2</v>
      </c>
      <c r="M94" s="118">
        <v>68.5</v>
      </c>
      <c r="N94" s="117">
        <v>70.7</v>
      </c>
      <c r="O94" s="117">
        <v>61.2</v>
      </c>
      <c r="P94" s="117">
        <v>62</v>
      </c>
      <c r="Q94" s="117">
        <v>52.7</v>
      </c>
      <c r="R94" s="117">
        <v>31.6</v>
      </c>
      <c r="S94" s="117">
        <v>38</v>
      </c>
      <c r="T94" s="117">
        <v>39.200000000000003</v>
      </c>
      <c r="U94" s="118">
        <v>47.4</v>
      </c>
      <c r="V94" s="118">
        <v>33.700000000000003</v>
      </c>
      <c r="W94" s="118">
        <v>44.1</v>
      </c>
      <c r="X94" s="117">
        <v>53</v>
      </c>
      <c r="Y94" s="117">
        <v>61.9</v>
      </c>
      <c r="Z94" s="117">
        <v>73.7</v>
      </c>
      <c r="AA94" s="117">
        <v>62.9</v>
      </c>
      <c r="AB94" s="118">
        <v>61.4</v>
      </c>
      <c r="AC94" s="118">
        <v>59.6</v>
      </c>
      <c r="AD94" s="118">
        <v>48.4</v>
      </c>
      <c r="AE94" s="118">
        <v>39.6</v>
      </c>
      <c r="AF94" s="118">
        <v>17.8</v>
      </c>
      <c r="AG94" s="119">
        <v>75</v>
      </c>
      <c r="AH94" s="53">
        <f t="shared" ref="AH94:AH99" si="23">IF(ABS(MAX(C94:AF94))&gt;ABS(MIN(C94:AF94)),MAX(C94:AF94),MIN(C94:AF94))</f>
        <v>73.7</v>
      </c>
      <c r="AI94" s="120">
        <f t="shared" ref="AI94:AI99" si="24">INDEX($C$9:$AF$9,1,MATCH(AH94,C94:AF94,0))</f>
        <v>0.79166666666666663</v>
      </c>
    </row>
    <row r="95" spans="1:88" x14ac:dyDescent="0.25">
      <c r="A95" s="121" t="s">
        <v>99</v>
      </c>
      <c r="B95" s="122">
        <v>-32.4</v>
      </c>
      <c r="C95" s="59">
        <v>-37</v>
      </c>
      <c r="D95" s="59">
        <v>-38</v>
      </c>
      <c r="E95" s="59">
        <v>-44</v>
      </c>
      <c r="F95" s="59">
        <v>-43</v>
      </c>
      <c r="G95" s="59">
        <v>-38.6</v>
      </c>
      <c r="H95" s="59">
        <v>-33</v>
      </c>
      <c r="I95" s="59">
        <v>-25</v>
      </c>
      <c r="J95" s="59">
        <v>-24</v>
      </c>
      <c r="K95" s="59">
        <v>32.5</v>
      </c>
      <c r="L95" s="59">
        <v>26.6</v>
      </c>
      <c r="M95" s="59">
        <v>25.6</v>
      </c>
      <c r="N95" s="59">
        <v>31.2</v>
      </c>
      <c r="O95" s="59">
        <v>36.6</v>
      </c>
      <c r="P95" s="59">
        <v>22</v>
      </c>
      <c r="Q95" s="59">
        <v>25</v>
      </c>
      <c r="R95" s="59">
        <v>33.6</v>
      </c>
      <c r="S95" s="59">
        <v>11.6</v>
      </c>
      <c r="T95" s="59">
        <v>16.8</v>
      </c>
      <c r="U95" s="59">
        <v>22.7</v>
      </c>
      <c r="V95" s="59">
        <v>85</v>
      </c>
      <c r="W95" s="59">
        <v>78.8</v>
      </c>
      <c r="X95" s="59">
        <v>92.3</v>
      </c>
      <c r="Y95" s="59">
        <v>88.5</v>
      </c>
      <c r="Z95" s="59">
        <v>88.3</v>
      </c>
      <c r="AA95" s="59">
        <v>81.900000000000006</v>
      </c>
      <c r="AB95" s="72">
        <v>57.6</v>
      </c>
      <c r="AC95" s="72">
        <v>55.6</v>
      </c>
      <c r="AD95" s="72">
        <v>47.2</v>
      </c>
      <c r="AE95" s="72">
        <v>-2.6</v>
      </c>
      <c r="AF95" s="72">
        <v>-27</v>
      </c>
      <c r="AG95" s="119">
        <v>240</v>
      </c>
      <c r="AH95" s="53">
        <f t="shared" si="23"/>
        <v>92.3</v>
      </c>
      <c r="AI95" s="120">
        <f t="shared" si="24"/>
        <v>0.75</v>
      </c>
    </row>
    <row r="96" spans="1:88" x14ac:dyDescent="0.25">
      <c r="A96" s="121" t="s">
        <v>100</v>
      </c>
      <c r="B96" s="122">
        <v>-5.4</v>
      </c>
      <c r="C96" s="59">
        <v>-5.0999999999999996</v>
      </c>
      <c r="D96" s="59">
        <v>-6</v>
      </c>
      <c r="E96" s="59">
        <v>-8</v>
      </c>
      <c r="F96" s="59">
        <v>-7</v>
      </c>
      <c r="G96" s="59">
        <v>-6.3</v>
      </c>
      <c r="H96" s="59">
        <v>-4.9000000000000004</v>
      </c>
      <c r="I96" s="59">
        <v>1.8</v>
      </c>
      <c r="J96" s="59">
        <v>27.5</v>
      </c>
      <c r="K96" s="59">
        <v>27.8</v>
      </c>
      <c r="L96" s="59">
        <v>21</v>
      </c>
      <c r="M96" s="59">
        <v>29.8</v>
      </c>
      <c r="N96" s="59">
        <v>27.5</v>
      </c>
      <c r="O96" s="59">
        <v>27.4</v>
      </c>
      <c r="P96" s="59">
        <v>16.3</v>
      </c>
      <c r="Q96" s="59">
        <v>11.7</v>
      </c>
      <c r="R96" s="59">
        <v>10.3</v>
      </c>
      <c r="S96" s="59">
        <v>10.8</v>
      </c>
      <c r="T96" s="59">
        <v>11.5</v>
      </c>
      <c r="U96" s="59">
        <v>10.3</v>
      </c>
      <c r="V96" s="59">
        <v>45</v>
      </c>
      <c r="W96" s="59">
        <v>49</v>
      </c>
      <c r="X96" s="59">
        <v>56.7</v>
      </c>
      <c r="Y96" s="59">
        <v>59.2</v>
      </c>
      <c r="Z96" s="59">
        <v>56.3</v>
      </c>
      <c r="AA96" s="59">
        <v>49.2</v>
      </c>
      <c r="AB96" s="72">
        <v>39.1</v>
      </c>
      <c r="AC96" s="72">
        <v>33.6</v>
      </c>
      <c r="AD96" s="72">
        <v>27.7</v>
      </c>
      <c r="AE96" s="72">
        <v>9.9</v>
      </c>
      <c r="AF96" s="72">
        <v>-0.6</v>
      </c>
      <c r="AG96" s="119">
        <v>60</v>
      </c>
      <c r="AH96" s="53">
        <f t="shared" si="23"/>
        <v>59.2</v>
      </c>
      <c r="AI96" s="120">
        <f t="shared" si="24"/>
        <v>0.77083333333333337</v>
      </c>
    </row>
    <row r="97" spans="1:37" x14ac:dyDescent="0.25">
      <c r="A97" s="123" t="s">
        <v>101</v>
      </c>
      <c r="B97" s="124">
        <v>80.900000000000006</v>
      </c>
      <c r="C97" s="62">
        <v>78.2</v>
      </c>
      <c r="D97" s="62">
        <v>73</v>
      </c>
      <c r="E97" s="62">
        <v>75</v>
      </c>
      <c r="F97" s="62">
        <v>79</v>
      </c>
      <c r="G97" s="62">
        <v>69</v>
      </c>
      <c r="H97" s="62">
        <v>79</v>
      </c>
      <c r="I97" s="62">
        <v>91.4</v>
      </c>
      <c r="J97" s="62">
        <v>99.3</v>
      </c>
      <c r="K97" s="62">
        <v>79.5</v>
      </c>
      <c r="L97" s="62">
        <v>100</v>
      </c>
      <c r="M97" s="62">
        <v>118</v>
      </c>
      <c r="N97" s="62">
        <v>123.6</v>
      </c>
      <c r="O97" s="62">
        <v>114</v>
      </c>
      <c r="P97" s="62">
        <v>122.2</v>
      </c>
      <c r="Q97" s="62">
        <v>99.9</v>
      </c>
      <c r="R97" s="62">
        <v>105.3</v>
      </c>
      <c r="S97" s="62">
        <v>103.7</v>
      </c>
      <c r="T97" s="62">
        <v>106.4</v>
      </c>
      <c r="U97" s="62">
        <v>110.1</v>
      </c>
      <c r="V97" s="62">
        <v>71.599999999999994</v>
      </c>
      <c r="W97" s="62">
        <v>78.5</v>
      </c>
      <c r="X97" s="62">
        <v>98.8</v>
      </c>
      <c r="Y97" s="62">
        <v>110</v>
      </c>
      <c r="Z97" s="62">
        <v>107.8</v>
      </c>
      <c r="AA97" s="62">
        <v>103.8</v>
      </c>
      <c r="AB97" s="125">
        <v>111.9</v>
      </c>
      <c r="AC97" s="125">
        <v>108.8</v>
      </c>
      <c r="AD97" s="125">
        <v>101</v>
      </c>
      <c r="AE97" s="125">
        <v>88.8</v>
      </c>
      <c r="AF97" s="125">
        <v>72.400000000000006</v>
      </c>
      <c r="AG97" s="126">
        <v>120</v>
      </c>
      <c r="AH97" s="53">
        <f t="shared" si="23"/>
        <v>123.6</v>
      </c>
      <c r="AI97" s="120">
        <f t="shared" si="24"/>
        <v>0.375</v>
      </c>
    </row>
    <row r="98" spans="1:37" x14ac:dyDescent="0.25">
      <c r="A98" s="123" t="s">
        <v>102</v>
      </c>
      <c r="B98" s="124">
        <v>86.6</v>
      </c>
      <c r="C98" s="62">
        <v>85.4</v>
      </c>
      <c r="D98" s="62">
        <v>80</v>
      </c>
      <c r="E98" s="62">
        <v>84</v>
      </c>
      <c r="F98" s="62">
        <v>81</v>
      </c>
      <c r="G98" s="62">
        <v>72</v>
      </c>
      <c r="H98" s="62">
        <v>80</v>
      </c>
      <c r="I98" s="62">
        <v>89</v>
      </c>
      <c r="J98" s="62">
        <v>95</v>
      </c>
      <c r="K98" s="62">
        <v>64.5</v>
      </c>
      <c r="L98" s="62">
        <v>100.1</v>
      </c>
      <c r="M98" s="62">
        <v>86.6</v>
      </c>
      <c r="N98" s="62">
        <v>99.5</v>
      </c>
      <c r="O98" s="62">
        <v>63.3</v>
      </c>
      <c r="P98" s="62">
        <v>80.5</v>
      </c>
      <c r="Q98" s="62">
        <v>93.6</v>
      </c>
      <c r="R98" s="62">
        <v>100</v>
      </c>
      <c r="S98" s="62">
        <v>97.5</v>
      </c>
      <c r="T98" s="62">
        <v>98.5</v>
      </c>
      <c r="U98" s="62">
        <v>101.4</v>
      </c>
      <c r="V98" s="62">
        <v>107.4</v>
      </c>
      <c r="W98" s="62">
        <v>90.8</v>
      </c>
      <c r="X98" s="62">
        <v>104.3</v>
      </c>
      <c r="Y98" s="62">
        <v>93.2</v>
      </c>
      <c r="Z98" s="62">
        <v>72.7</v>
      </c>
      <c r="AA98" s="62">
        <v>88.3</v>
      </c>
      <c r="AB98" s="125">
        <v>73.599999999999994</v>
      </c>
      <c r="AC98" s="125">
        <v>79</v>
      </c>
      <c r="AD98" s="125">
        <v>77</v>
      </c>
      <c r="AE98" s="125">
        <v>83.9</v>
      </c>
      <c r="AF98" s="125">
        <v>72.3</v>
      </c>
      <c r="AG98" s="126"/>
      <c r="AH98" s="53">
        <f t="shared" si="23"/>
        <v>107.4</v>
      </c>
      <c r="AI98" s="120">
        <f t="shared" si="24"/>
        <v>0.70833333333333304</v>
      </c>
    </row>
    <row r="99" spans="1:37" ht="15.75" thickBot="1" x14ac:dyDescent="0.3">
      <c r="A99" s="123" t="s">
        <v>103</v>
      </c>
      <c r="B99" s="124">
        <v>56.6</v>
      </c>
      <c r="C99" s="62">
        <v>65.3</v>
      </c>
      <c r="D99" s="62">
        <v>67</v>
      </c>
      <c r="E99" s="62">
        <v>60</v>
      </c>
      <c r="F99" s="62">
        <v>66</v>
      </c>
      <c r="G99" s="62">
        <v>66.5</v>
      </c>
      <c r="H99" s="62">
        <v>60</v>
      </c>
      <c r="I99" s="62">
        <v>66</v>
      </c>
      <c r="J99" s="62">
        <v>30.4</v>
      </c>
      <c r="K99" s="62">
        <v>24.3</v>
      </c>
      <c r="L99" s="62">
        <v>16.3</v>
      </c>
      <c r="M99" s="62">
        <v>10.7</v>
      </c>
      <c r="N99" s="62">
        <v>7.6</v>
      </c>
      <c r="O99" s="62">
        <v>16.399999999999999</v>
      </c>
      <c r="P99" s="62">
        <v>7.4</v>
      </c>
      <c r="Q99" s="62">
        <v>21.6</v>
      </c>
      <c r="R99" s="62">
        <v>30.7</v>
      </c>
      <c r="S99" s="62">
        <v>32.6</v>
      </c>
      <c r="T99" s="62">
        <v>28.5</v>
      </c>
      <c r="U99" s="62">
        <v>14.4</v>
      </c>
      <c r="V99" s="62">
        <v>26.5</v>
      </c>
      <c r="W99" s="62">
        <v>24.5</v>
      </c>
      <c r="X99" s="62">
        <v>17.600000000000001</v>
      </c>
      <c r="Y99" s="62">
        <v>21.4</v>
      </c>
      <c r="Z99" s="62">
        <v>6.1</v>
      </c>
      <c r="AA99" s="62">
        <v>15.3</v>
      </c>
      <c r="AB99" s="125">
        <v>17.899999999999999</v>
      </c>
      <c r="AC99" s="125">
        <v>16.600000000000001</v>
      </c>
      <c r="AD99" s="125">
        <v>20.2</v>
      </c>
      <c r="AE99" s="125">
        <v>30.1</v>
      </c>
      <c r="AF99" s="125">
        <v>44.6</v>
      </c>
      <c r="AG99" s="127"/>
      <c r="AH99" s="53">
        <f t="shared" si="23"/>
        <v>67</v>
      </c>
      <c r="AI99" s="120">
        <f t="shared" si="24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1431.3400000000001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2078/09/8)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953.73999999999978</v>
      </c>
      <c r="U213" s="173">
        <f t="shared" si="61"/>
        <v>913.83999999999992</v>
      </c>
      <c r="V213" s="173">
        <f t="shared" si="61"/>
        <v>870.54</v>
      </c>
      <c r="W213" s="173">
        <f t="shared" si="61"/>
        <v>869.54</v>
      </c>
      <c r="X213" s="173">
        <f t="shared" si="61"/>
        <v>895.54</v>
      </c>
      <c r="Y213" s="173">
        <f t="shared" si="61"/>
        <v>911.83999999999992</v>
      </c>
      <c r="Z213" s="173">
        <f t="shared" si="61"/>
        <v>988.93999999999994</v>
      </c>
      <c r="AA213" s="173">
        <f t="shared" si="61"/>
        <v>1032.6400000000001</v>
      </c>
      <c r="AB213" s="173">
        <f t="shared" si="61"/>
        <v>1201.0400000000002</v>
      </c>
      <c r="AC213" s="173">
        <f t="shared" si="61"/>
        <v>1313.14</v>
      </c>
      <c r="AD213" s="173">
        <f t="shared" si="61"/>
        <v>1337.24</v>
      </c>
      <c r="AE213" s="173">
        <f t="shared" si="61"/>
        <v>1431.3400000000001</v>
      </c>
      <c r="AF213" s="173">
        <f t="shared" si="61"/>
        <v>1390.3400000000001</v>
      </c>
      <c r="AG213" s="173">
        <f t="shared" si="61"/>
        <v>1402.04</v>
      </c>
      <c r="AH213" s="173">
        <f t="shared" si="61"/>
        <v>1271.4399999999998</v>
      </c>
      <c r="AI213" s="173">
        <f t="shared" si="61"/>
        <v>1186.6399999999999</v>
      </c>
      <c r="AJ213" s="173">
        <f t="shared" si="61"/>
        <v>1117.1399999999999</v>
      </c>
      <c r="AK213" s="173">
        <f t="shared" si="61"/>
        <v>1126.1399999999999</v>
      </c>
      <c r="AL213" s="173">
        <f t="shared" si="61"/>
        <v>1133.94</v>
      </c>
      <c r="AM213" s="173">
        <f t="shared" si="61"/>
        <v>1178.04</v>
      </c>
      <c r="AN213" s="173">
        <f t="shared" si="61"/>
        <v>1296.8400000000001</v>
      </c>
      <c r="AO213" s="173">
        <f t="shared" si="61"/>
        <v>1354.7400000000002</v>
      </c>
      <c r="AP213" s="173">
        <f t="shared" si="61"/>
        <v>1502.04</v>
      </c>
      <c r="AQ213" s="173">
        <f t="shared" si="61"/>
        <v>1571.3400000000001</v>
      </c>
      <c r="AR213" s="173">
        <f t="shared" si="61"/>
        <v>1547.74</v>
      </c>
      <c r="AS213" s="173">
        <f t="shared" si="61"/>
        <v>1496.04</v>
      </c>
      <c r="AT213" s="173">
        <f t="shared" si="61"/>
        <v>1393.44</v>
      </c>
      <c r="AU213" s="173">
        <f t="shared" si="61"/>
        <v>1339.94</v>
      </c>
      <c r="AV213" s="173">
        <f t="shared" si="61"/>
        <v>1272.54</v>
      </c>
      <c r="AW213" s="173">
        <f t="shared" si="61"/>
        <v>1053.44</v>
      </c>
      <c r="AX213" s="173">
        <f t="shared" si="61"/>
        <v>945.43999999999994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C57:L59 N62:N67 P39:R39 O61:O67 P40:Q42 P60:R67 M58:W59 X85:AA91 M11:AE11 Z16:Z17 AB81:AF81 B81:R81 C56:AF56 B82:AF83 D193:AF199 B193:B199 AB84:AF91 B84:B91 M53:AF55 B9:AF10 B191:AF191 AF57:AF61 B53:B56 AG73 AB94:AF99 B94:B99 U212:AF212 B68:AF80 L61:N61 L60:O60 C63:K67 C60:K61 M39:O42 Q42:R42 P45:R48 P36:R37 M16:R16 M12:R14 R40:T41 U40:Y42 S18:Z30 Z40:AE43 S36:AF36 AA16:AF30 Z12:AF14 AE42:AF43">
    <cfRule type="expression" dxfId="9916" priority="326">
      <formula>B$9&gt;=20/24</formula>
    </cfRule>
    <cfRule type="expression" dxfId="9915" priority="327">
      <formula>AND(B$9&gt;=14/24,B$9&lt;20/24)</formula>
    </cfRule>
    <cfRule type="expression" dxfId="9914" priority="328">
      <formula>AND(B$9&gt;=8/24,B$9&lt;14/24)</formula>
    </cfRule>
    <cfRule type="expression" dxfId="9913" priority="329">
      <formula>B$9&lt;8/24</formula>
    </cfRule>
  </conditionalFormatting>
  <conditionalFormatting sqref="AL4:AL6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9912" priority="321">
      <formula>M$9&gt;=20/24</formula>
    </cfRule>
    <cfRule type="expression" dxfId="9911" priority="322">
      <formula>AND(M$9&gt;=14/24,M$9&lt;20/24)</formula>
    </cfRule>
    <cfRule type="expression" dxfId="9910" priority="323">
      <formula>AND(M$9&gt;=8/24,M$9&lt;14/24)</formula>
    </cfRule>
    <cfRule type="expression" dxfId="9909" priority="324">
      <formula>M$9&lt;8/24</formula>
    </cfRule>
  </conditionalFormatting>
  <conditionalFormatting sqref="M43:R43">
    <cfRule type="expression" dxfId="9908" priority="317">
      <formula>M$9&gt;=20/24</formula>
    </cfRule>
    <cfRule type="expression" dxfId="9907" priority="318">
      <formula>AND(M$9&gt;=14/24,M$9&lt;20/24)</formula>
    </cfRule>
    <cfRule type="expression" dxfId="9906" priority="319">
      <formula>AND(M$9&gt;=8/24,M$9&lt;14/24)</formula>
    </cfRule>
    <cfRule type="expression" dxfId="9905" priority="320">
      <formula>M$9&lt;8/24</formula>
    </cfRule>
  </conditionalFormatting>
  <conditionalFormatting sqref="S39:AE39">
    <cfRule type="expression" dxfId="9904" priority="309">
      <formula>S$9&gt;=20/24</formula>
    </cfRule>
    <cfRule type="expression" dxfId="9903" priority="310">
      <formula>AND(S$9&gt;=14/24,S$9&lt;20/24)</formula>
    </cfRule>
    <cfRule type="expression" dxfId="9902" priority="311">
      <formula>AND(S$9&gt;=8/24,S$9&lt;14/24)</formula>
    </cfRule>
    <cfRule type="expression" dxfId="9901" priority="312">
      <formula>S$9&lt;8/24</formula>
    </cfRule>
  </conditionalFormatting>
  <conditionalFormatting sqref="S57:AE57">
    <cfRule type="expression" dxfId="9900" priority="305">
      <formula>S$9&gt;=20/24</formula>
    </cfRule>
    <cfRule type="expression" dxfId="9899" priority="306">
      <formula>AND(S$9&gt;=14/24,S$9&lt;20/24)</formula>
    </cfRule>
    <cfRule type="expression" dxfId="9898" priority="307">
      <formula>AND(S$9&gt;=8/24,S$9&lt;14/24)</formula>
    </cfRule>
    <cfRule type="expression" dxfId="9897" priority="308">
      <formula>S$9&lt;8/24</formula>
    </cfRule>
  </conditionalFormatting>
  <conditionalFormatting sqref="S81:AA81">
    <cfRule type="expression" dxfId="9896" priority="301">
      <formula>S$9&gt;=20/24</formula>
    </cfRule>
    <cfRule type="expression" dxfId="9895" priority="302">
      <formula>AND(S$9&gt;=14/24,S$9&lt;20/24)</formula>
    </cfRule>
    <cfRule type="expression" dxfId="9894" priority="303">
      <formula>AND(S$9&gt;=8/24,S$9&lt;14/24)</formula>
    </cfRule>
    <cfRule type="expression" dxfId="9893" priority="304">
      <formula>S$9&lt;8/24</formula>
    </cfRule>
  </conditionalFormatting>
  <conditionalFormatting sqref="W84:AA84">
    <cfRule type="expression" dxfId="9892" priority="297">
      <formula>W$9&gt;=20/24</formula>
    </cfRule>
    <cfRule type="expression" dxfId="9891" priority="298">
      <formula>AND(W$9&gt;=14/24,W$9&lt;20/24)</formula>
    </cfRule>
    <cfRule type="expression" dxfId="9890" priority="299">
      <formula>AND(W$9&gt;=8/24,W$9&lt;14/24)</formula>
    </cfRule>
    <cfRule type="expression" dxfId="9889" priority="300">
      <formula>W$9&lt;8/24</formula>
    </cfRule>
  </conditionalFormatting>
  <conditionalFormatting sqref="M49:X49">
    <cfRule type="expression" dxfId="9888" priority="289">
      <formula>M$9&gt;=20/24</formula>
    </cfRule>
    <cfRule type="expression" dxfId="9887" priority="290">
      <formula>AND(M$9&gt;=14/24,M$9&lt;20/24)</formula>
    </cfRule>
    <cfRule type="expression" dxfId="9886" priority="291">
      <formula>AND(M$9&gt;=8/24,M$9&lt;14/24)</formula>
    </cfRule>
    <cfRule type="expression" dxfId="9885" priority="292">
      <formula>M$9&lt;8/24</formula>
    </cfRule>
  </conditionalFormatting>
  <conditionalFormatting sqref="M50:R50">
    <cfRule type="expression" dxfId="9884" priority="285">
      <formula>M$9&gt;=20/24</formula>
    </cfRule>
    <cfRule type="expression" dxfId="9883" priority="286">
      <formula>AND(M$9&gt;=14/24,M$9&lt;20/24)</formula>
    </cfRule>
    <cfRule type="expression" dxfId="9882" priority="287">
      <formula>AND(M$9&gt;=8/24,M$9&lt;14/24)</formula>
    </cfRule>
    <cfRule type="expression" dxfId="9881" priority="288">
      <formula>M$9&lt;8/24</formula>
    </cfRule>
  </conditionalFormatting>
  <conditionalFormatting sqref="M45:R48">
    <cfRule type="expression" dxfId="9880" priority="281">
      <formula>M$9&gt;=20/24</formula>
    </cfRule>
    <cfRule type="expression" dxfId="9879" priority="282">
      <formula>AND(M$9&gt;=14/24,M$9&lt;20/24)</formula>
    </cfRule>
    <cfRule type="expression" dxfId="9878" priority="283">
      <formula>AND(M$9&gt;=8/24,M$9&lt;14/24)</formula>
    </cfRule>
    <cfRule type="expression" dxfId="9877" priority="284">
      <formula>M$9&lt;8/24</formula>
    </cfRule>
  </conditionalFormatting>
  <conditionalFormatting sqref="S37:AF37">
    <cfRule type="expression" dxfId="9876" priority="277">
      <formula>S$9&gt;=20/24</formula>
    </cfRule>
    <cfRule type="expression" dxfId="9875" priority="278">
      <formula>AND(S$9&gt;=14/24,S$9&lt;20/24)</formula>
    </cfRule>
    <cfRule type="expression" dxfId="9874" priority="279">
      <formula>AND(S$9&gt;=8/24,S$9&lt;14/24)</formula>
    </cfRule>
    <cfRule type="expression" dxfId="9873" priority="280">
      <formula>S$9&lt;8/24</formula>
    </cfRule>
  </conditionalFormatting>
  <conditionalFormatting sqref="S31:AF32 S35:AF35">
    <cfRule type="expression" dxfId="9872" priority="273">
      <formula>S$9&gt;=20/24</formula>
    </cfRule>
    <cfRule type="expression" dxfId="9871" priority="274">
      <formula>AND(S$9&gt;=14/24,S$9&lt;20/24)</formula>
    </cfRule>
    <cfRule type="expression" dxfId="9870" priority="275">
      <formula>AND(S$9&gt;=8/24,S$9&lt;14/24)</formula>
    </cfRule>
    <cfRule type="expression" dxfId="9869" priority="276">
      <formula>S$9&lt;8/24</formula>
    </cfRule>
  </conditionalFormatting>
  <conditionalFormatting sqref="S42:T43 U43:Y43 S45:AF48">
    <cfRule type="expression" dxfId="9868" priority="269">
      <formula>S$9&gt;=20/24</formula>
    </cfRule>
    <cfRule type="expression" dxfId="9867" priority="270">
      <formula>AND(S$9&gt;=14/24,S$9&lt;20/24)</formula>
    </cfRule>
    <cfRule type="expression" dxfId="9866" priority="271">
      <formula>AND(S$9&gt;=8/24,S$9&lt;14/24)</formula>
    </cfRule>
    <cfRule type="expression" dxfId="9865" priority="272">
      <formula>S$9&lt;8/24</formula>
    </cfRule>
  </conditionalFormatting>
  <conditionalFormatting sqref="S49:AF49">
    <cfRule type="expression" dxfId="9864" priority="265">
      <formula>S$9&gt;=20/24</formula>
    </cfRule>
    <cfRule type="expression" dxfId="9863" priority="266">
      <formula>AND(S$9&gt;=14/24,S$9&lt;20/24)</formula>
    </cfRule>
    <cfRule type="expression" dxfId="9862" priority="267">
      <formula>AND(S$9&gt;=8/24,S$9&lt;14/24)</formula>
    </cfRule>
    <cfRule type="expression" dxfId="9861" priority="268">
      <formula>S$9&lt;8/24</formula>
    </cfRule>
  </conditionalFormatting>
  <conditionalFormatting sqref="S50:AF50">
    <cfRule type="expression" dxfId="9860" priority="261">
      <formula>S$9&gt;=20/24</formula>
    </cfRule>
    <cfRule type="expression" dxfId="9859" priority="262">
      <formula>AND(S$9&gt;=14/24,S$9&lt;20/24)</formula>
    </cfRule>
    <cfRule type="expression" dxfId="9858" priority="263">
      <formula>AND(S$9&gt;=8/24,S$9&lt;14/24)</formula>
    </cfRule>
    <cfRule type="expression" dxfId="9857" priority="264">
      <formula>S$9&lt;8/24</formula>
    </cfRule>
  </conditionalFormatting>
  <conditionalFormatting sqref="S60:T67 X60:AE61 X62:AF67">
    <cfRule type="expression" dxfId="9856" priority="257">
      <formula>S$9&gt;=20/24</formula>
    </cfRule>
    <cfRule type="expression" dxfId="9855" priority="258">
      <formula>AND(S$9&gt;=14/24,S$9&lt;20/24)</formula>
    </cfRule>
    <cfRule type="expression" dxfId="9854" priority="259">
      <formula>AND(S$9&gt;=8/24,S$9&lt;14/24)</formula>
    </cfRule>
    <cfRule type="expression" dxfId="9853" priority="260">
      <formula>S$9&lt;8/24</formula>
    </cfRule>
  </conditionalFormatting>
  <conditionalFormatting sqref="L62:L67 C62:K62">
    <cfRule type="expression" dxfId="9852" priority="253">
      <formula>C$9&gt;=20/24</formula>
    </cfRule>
    <cfRule type="expression" dxfId="9851" priority="254">
      <formula>AND(C$9&gt;=14/24,C$9&lt;20/24)</formula>
    </cfRule>
    <cfRule type="expression" dxfId="9850" priority="255">
      <formula>AND(C$9&gt;=8/24,C$9&lt;14/24)</formula>
    </cfRule>
    <cfRule type="expression" dxfId="9849" priority="256">
      <formula>C$9&lt;8/24</formula>
    </cfRule>
  </conditionalFormatting>
  <conditionalFormatting sqref="U94:AA97">
    <cfRule type="expression" dxfId="9848" priority="249">
      <formula>U$9&gt;=20/24</formula>
    </cfRule>
    <cfRule type="expression" dxfId="9847" priority="250">
      <formula>AND(U$9&gt;=14/24,U$9&lt;20/24)</formula>
    </cfRule>
    <cfRule type="expression" dxfId="9846" priority="251">
      <formula>AND(U$9&gt;=8/24,U$9&lt;14/24)</formula>
    </cfRule>
    <cfRule type="expression" dxfId="9845" priority="252">
      <formula>U$9&lt;8/24</formula>
    </cfRule>
  </conditionalFormatting>
  <conditionalFormatting sqref="B38:AF38 Z12:Z17 C51:AG51 L39:W39 C39:K44 B52:AF56 D11:AF11 M44:M50 L44 L43:M43 N43:N50 C37:O37 L42:N42 N48:P48 O42:S50 P36:R37 M16:R16 M12:R14 L40:S41 T40:W50 S18:Z32 S34:AF37 AA12:AF32 X39:AF50">
    <cfRule type="expression" dxfId="9844" priority="248">
      <formula>B11&gt;$AG11</formula>
    </cfRule>
  </conditionalFormatting>
  <conditionalFormatting sqref="A100:A156 A84:A97 A11:A14 A16:A32 A45:A72 A80:A82 A74:A78 A35:A43 A169:A199">
    <cfRule type="expression" dxfId="9843" priority="247">
      <formula>$AH11=0</formula>
    </cfRule>
  </conditionalFormatting>
  <conditionalFormatting sqref="U98:AA98">
    <cfRule type="expression" dxfId="9842" priority="243">
      <formula>U$9&gt;=20/24</formula>
    </cfRule>
    <cfRule type="expression" dxfId="9841" priority="244">
      <formula>AND(U$9&gt;=14/24,U$9&lt;20/24)</formula>
    </cfRule>
    <cfRule type="expression" dxfId="9840" priority="245">
      <formula>AND(U$9&gt;=8/24,U$9&lt;14/24)</formula>
    </cfRule>
    <cfRule type="expression" dxfId="9839" priority="246">
      <formula>U$9&lt;8/24</formula>
    </cfRule>
  </conditionalFormatting>
  <conditionalFormatting sqref="A98">
    <cfRule type="expression" dxfId="9838" priority="242">
      <formula>$AH98=0</formula>
    </cfRule>
  </conditionalFormatting>
  <conditionalFormatting sqref="M62:M67">
    <cfRule type="expression" dxfId="9837" priority="230">
      <formula>M$9&gt;=20/24</formula>
    </cfRule>
    <cfRule type="expression" dxfId="9836" priority="231">
      <formula>AND(M$9&gt;=14/24,M$9&lt;20/24)</formula>
    </cfRule>
    <cfRule type="expression" dxfId="9835" priority="232">
      <formula>AND(M$9&gt;=8/24,M$9&lt;14/24)</formula>
    </cfRule>
    <cfRule type="expression" dxfId="9834" priority="233">
      <formula>M$9&lt;8/24</formula>
    </cfRule>
  </conditionalFormatting>
  <conditionalFormatting sqref="AL32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9833" priority="217">
      <formula>S$9&gt;=20/24</formula>
    </cfRule>
    <cfRule type="expression" dxfId="9832" priority="218">
      <formula>AND(S$9&gt;=14/24,S$9&lt;20/24)</formula>
    </cfRule>
    <cfRule type="expression" dxfId="9831" priority="219">
      <formula>AND(S$9&gt;=8/24,S$9&lt;14/24)</formula>
    </cfRule>
    <cfRule type="expression" dxfId="9830" priority="220">
      <formula>S$9&lt;8/24</formula>
    </cfRule>
  </conditionalFormatting>
  <conditionalFormatting sqref="A34">
    <cfRule type="expression" dxfId="9829" priority="216">
      <formula>$AH34=0</formula>
    </cfRule>
  </conditionalFormatting>
  <conditionalFormatting sqref="A83">
    <cfRule type="expression" dxfId="9828" priority="215">
      <formula>$AH83=0</formula>
    </cfRule>
  </conditionalFormatting>
  <conditionalFormatting sqref="Z15:AF15">
    <cfRule type="expression" dxfId="9827" priority="211">
      <formula>Z$9&gt;=20/24</formula>
    </cfRule>
    <cfRule type="expression" dxfId="9826" priority="212">
      <formula>AND(Z$9&gt;=14/24,Z$9&lt;20/24)</formula>
    </cfRule>
    <cfRule type="expression" dxfId="9825" priority="213">
      <formula>AND(Z$9&gt;=8/24,Z$9&lt;14/24)</formula>
    </cfRule>
    <cfRule type="expression" dxfId="9824" priority="214">
      <formula>Z$9&lt;8/24</formula>
    </cfRule>
  </conditionalFormatting>
  <conditionalFormatting sqref="M15:R15">
    <cfRule type="expression" dxfId="9823" priority="207">
      <formula>M$9&gt;=20/24</formula>
    </cfRule>
    <cfRule type="expression" dxfId="9822" priority="208">
      <formula>AND(M$9&gt;=14/24,M$9&lt;20/24)</formula>
    </cfRule>
    <cfRule type="expression" dxfId="9821" priority="209">
      <formula>AND(M$9&gt;=8/24,M$9&lt;14/24)</formula>
    </cfRule>
    <cfRule type="expression" dxfId="9820" priority="210">
      <formula>M$9&lt;8/24</formula>
    </cfRule>
  </conditionalFormatting>
  <conditionalFormatting sqref="M15:R15">
    <cfRule type="expression" dxfId="9819" priority="206">
      <formula>M15&gt;$AG15</formula>
    </cfRule>
  </conditionalFormatting>
  <conditionalFormatting sqref="A15">
    <cfRule type="expression" dxfId="9818" priority="205">
      <formula>$AH15=0</formula>
    </cfRule>
  </conditionalFormatting>
  <conditionalFormatting sqref="A163:A168">
    <cfRule type="expression" dxfId="9817" priority="204">
      <formula>$AH163=0</formula>
    </cfRule>
  </conditionalFormatting>
  <conditionalFormatting sqref="A157:A162">
    <cfRule type="expression" dxfId="9816" priority="203">
      <formula>$AH157=0</formula>
    </cfRule>
  </conditionalFormatting>
  <conditionalFormatting sqref="Z44:AF44">
    <cfRule type="expression" dxfId="9815" priority="199">
      <formula>Z$9&gt;=20/24</formula>
    </cfRule>
    <cfRule type="expression" dxfId="9814" priority="200">
      <formula>AND(Z$9&gt;=14/24,Z$9&lt;20/24)</formula>
    </cfRule>
    <cfRule type="expression" dxfId="9813" priority="201">
      <formula>AND(Z$9&gt;=8/24,Z$9&lt;14/24)</formula>
    </cfRule>
    <cfRule type="expression" dxfId="9812" priority="202">
      <formula>Z$9&lt;8/24</formula>
    </cfRule>
  </conditionalFormatting>
  <conditionalFormatting sqref="M44:R44">
    <cfRule type="expression" dxfId="9811" priority="195">
      <formula>M$9&gt;=20/24</formula>
    </cfRule>
    <cfRule type="expression" dxfId="9810" priority="196">
      <formula>AND(M$9&gt;=14/24,M$9&lt;20/24)</formula>
    </cfRule>
    <cfRule type="expression" dxfId="9809" priority="197">
      <formula>AND(M$9&gt;=8/24,M$9&lt;14/24)</formula>
    </cfRule>
    <cfRule type="expression" dxfId="9808" priority="198">
      <formula>M$9&lt;8/24</formula>
    </cfRule>
  </conditionalFormatting>
  <conditionalFormatting sqref="S44:Y44">
    <cfRule type="expression" dxfId="9807" priority="191">
      <formula>S$9&gt;=20/24</formula>
    </cfRule>
    <cfRule type="expression" dxfId="9806" priority="192">
      <formula>AND(S$9&gt;=14/24,S$9&lt;20/24)</formula>
    </cfRule>
    <cfRule type="expression" dxfId="9805" priority="193">
      <formula>AND(S$9&gt;=8/24,S$9&lt;14/24)</formula>
    </cfRule>
    <cfRule type="expression" dxfId="9804" priority="194">
      <formula>S$9&lt;8/24</formula>
    </cfRule>
  </conditionalFormatting>
  <conditionalFormatting sqref="A44">
    <cfRule type="expression" dxfId="9803" priority="190">
      <formula>$AH44=0</formula>
    </cfRule>
  </conditionalFormatting>
  <conditionalFormatting sqref="A79">
    <cfRule type="expression" dxfId="9802" priority="189">
      <formula>$AH79=0</formula>
    </cfRule>
  </conditionalFormatting>
  <conditionalFormatting sqref="A73">
    <cfRule type="expression" dxfId="9801" priority="188">
      <formula>$AH73=0</formula>
    </cfRule>
  </conditionalFormatting>
  <conditionalFormatting sqref="AL34:AL35 AL7:AL31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9800" priority="184">
      <formula>U$9&gt;=20/24</formula>
    </cfRule>
    <cfRule type="expression" dxfId="9799" priority="185">
      <formula>AND(U$9&gt;=14/24,U$9&lt;20/24)</formula>
    </cfRule>
    <cfRule type="expression" dxfId="9798" priority="186">
      <formula>AND(U$9&gt;=8/24,U$9&lt;14/24)</formula>
    </cfRule>
    <cfRule type="expression" dxfId="9797" priority="187">
      <formula>U$9&lt;8/24</formula>
    </cfRule>
  </conditionalFormatting>
  <conditionalFormatting sqref="U91:W91 W85:W90">
    <cfRule type="expression" dxfId="9796" priority="180">
      <formula>U$9&gt;=20/24</formula>
    </cfRule>
    <cfRule type="expression" dxfId="9795" priority="181">
      <formula>AND(U$9&gt;=14/24,U$9&lt;20/24)</formula>
    </cfRule>
    <cfRule type="expression" dxfId="9794" priority="182">
      <formula>AND(U$9&gt;=8/24,U$9&lt;14/24)</formula>
    </cfRule>
    <cfRule type="expression" dxfId="9793" priority="183">
      <formula>U$9&lt;8/24</formula>
    </cfRule>
  </conditionalFormatting>
  <conditionalFormatting sqref="S85:T91 C91:R91 C84:J90 L84:R90 U85:V90">
    <cfRule type="expression" dxfId="9792" priority="176">
      <formula>C$9&gt;=20/24</formula>
    </cfRule>
    <cfRule type="expression" dxfId="9791" priority="177">
      <formula>AND(C$9&gt;=14/24,C$9&lt;20/24)</formula>
    </cfRule>
    <cfRule type="expression" dxfId="9790" priority="178">
      <formula>AND(C$9&gt;=8/24,C$9&lt;14/24)</formula>
    </cfRule>
    <cfRule type="expression" dxfId="9789" priority="179">
      <formula>C$9&lt;8/24</formula>
    </cfRule>
  </conditionalFormatting>
  <conditionalFormatting sqref="S84:V84">
    <cfRule type="expression" dxfId="9788" priority="172">
      <formula>S$9&gt;=20/24</formula>
    </cfRule>
    <cfRule type="expression" dxfId="9787" priority="173">
      <formula>AND(S$9&gt;=14/24,S$9&lt;20/24)</formula>
    </cfRule>
    <cfRule type="expression" dxfId="9786" priority="174">
      <formula>AND(S$9&gt;=8/24,S$9&lt;14/24)</formula>
    </cfRule>
    <cfRule type="expression" dxfId="9785" priority="175">
      <formula>S$9&lt;8/24</formula>
    </cfRule>
  </conditionalFormatting>
  <conditionalFormatting sqref="C95:J97 C94:F94 L95:M97">
    <cfRule type="expression" dxfId="9784" priority="168">
      <formula>C$9&gt;=20/24</formula>
    </cfRule>
    <cfRule type="expression" dxfId="9783" priority="169">
      <formula>AND(C$9&gt;=14/24,C$9&lt;20/24)</formula>
    </cfRule>
    <cfRule type="expression" dxfId="9782" priority="170">
      <formula>AND(C$9&gt;=8/24,C$9&lt;14/24)</formula>
    </cfRule>
    <cfRule type="expression" dxfId="9781" priority="171">
      <formula>C$9&lt;8/24</formula>
    </cfRule>
  </conditionalFormatting>
  <conditionalFormatting sqref="N95:R97 O94:R94">
    <cfRule type="expression" dxfId="9780" priority="164">
      <formula>N$9&gt;=20/24</formula>
    </cfRule>
    <cfRule type="expression" dxfId="9779" priority="165">
      <formula>AND(N$9&gt;=14/24,N$9&lt;20/24)</formula>
    </cfRule>
    <cfRule type="expression" dxfId="9778" priority="166">
      <formula>AND(N$9&gt;=8/24,N$9&lt;14/24)</formula>
    </cfRule>
    <cfRule type="expression" dxfId="9777" priority="167">
      <formula>N$9&lt;8/24</formula>
    </cfRule>
  </conditionalFormatting>
  <conditionalFormatting sqref="S94:T97">
    <cfRule type="expression" dxfId="9776" priority="160">
      <formula>S$9&gt;=20/24</formula>
    </cfRule>
    <cfRule type="expression" dxfId="9775" priority="161">
      <formula>AND(S$9&gt;=14/24,S$9&lt;20/24)</formula>
    </cfRule>
    <cfRule type="expression" dxfId="9774" priority="162">
      <formula>AND(S$9&gt;=8/24,S$9&lt;14/24)</formula>
    </cfRule>
    <cfRule type="expression" dxfId="9773" priority="163">
      <formula>S$9&lt;8/24</formula>
    </cfRule>
  </conditionalFormatting>
  <conditionalFormatting sqref="C98:J98 L98:M98">
    <cfRule type="expression" dxfId="9772" priority="156">
      <formula>C$9&gt;=20/24</formula>
    </cfRule>
    <cfRule type="expression" dxfId="9771" priority="157">
      <formula>AND(C$9&gt;=14/24,C$9&lt;20/24)</formula>
    </cfRule>
    <cfRule type="expression" dxfId="9770" priority="158">
      <formula>AND(C$9&gt;=8/24,C$9&lt;14/24)</formula>
    </cfRule>
    <cfRule type="expression" dxfId="9769" priority="159">
      <formula>C$9&lt;8/24</formula>
    </cfRule>
  </conditionalFormatting>
  <conditionalFormatting sqref="N98:R98">
    <cfRule type="expression" dxfId="9768" priority="152">
      <formula>N$9&gt;=20/24</formula>
    </cfRule>
    <cfRule type="expression" dxfId="9767" priority="153">
      <formula>AND(N$9&gt;=14/24,N$9&lt;20/24)</formula>
    </cfRule>
    <cfRule type="expression" dxfId="9766" priority="154">
      <formula>AND(N$9&gt;=8/24,N$9&lt;14/24)</formula>
    </cfRule>
    <cfRule type="expression" dxfId="9765" priority="155">
      <formula>N$9&lt;8/24</formula>
    </cfRule>
  </conditionalFormatting>
  <conditionalFormatting sqref="S98:T98">
    <cfRule type="expression" dxfId="9764" priority="148">
      <formula>S$9&gt;=20/24</formula>
    </cfRule>
    <cfRule type="expression" dxfId="9763" priority="149">
      <formula>AND(S$9&gt;=14/24,S$9&lt;20/24)</formula>
    </cfRule>
    <cfRule type="expression" dxfId="9762" priority="150">
      <formula>AND(S$9&gt;=8/24,S$9&lt;14/24)</formula>
    </cfRule>
    <cfRule type="expression" dxfId="9761" priority="151">
      <formula>S$9&lt;8/24</formula>
    </cfRule>
  </conditionalFormatting>
  <conditionalFormatting sqref="M94:N94">
    <cfRule type="expression" dxfId="9760" priority="144">
      <formula>M$9&gt;=20/24</formula>
    </cfRule>
    <cfRule type="expression" dxfId="9759" priority="145">
      <formula>AND(M$9&gt;=14/24,M$9&lt;20/24)</formula>
    </cfRule>
    <cfRule type="expression" dxfId="9758" priority="146">
      <formula>AND(M$9&gt;=8/24,M$9&lt;14/24)</formula>
    </cfRule>
    <cfRule type="expression" dxfId="9757" priority="147">
      <formula>M$9&lt;8/24</formula>
    </cfRule>
  </conditionalFormatting>
  <conditionalFormatting sqref="G94:J94 L94">
    <cfRule type="expression" dxfId="9756" priority="140">
      <formula>G$9&gt;=20/24</formula>
    </cfRule>
    <cfRule type="expression" dxfId="9755" priority="141">
      <formula>AND(G$9&gt;=14/24,G$9&lt;20/24)</formula>
    </cfRule>
    <cfRule type="expression" dxfId="9754" priority="142">
      <formula>AND(G$9&gt;=8/24,G$9&lt;14/24)</formula>
    </cfRule>
    <cfRule type="expression" dxfId="9753" priority="143">
      <formula>G$9&lt;8/24</formula>
    </cfRule>
  </conditionalFormatting>
  <conditionalFormatting sqref="U94:W94">
    <cfRule type="expression" dxfId="9752" priority="136">
      <formula>U$9&gt;=20/24</formula>
    </cfRule>
    <cfRule type="expression" dxfId="9751" priority="137">
      <formula>AND(U$9&gt;=14/24,U$9&lt;20/24)</formula>
    </cfRule>
    <cfRule type="expression" dxfId="9750" priority="138">
      <formula>AND(U$9&gt;=8/24,U$9&lt;14/24)</formula>
    </cfRule>
    <cfRule type="expression" dxfId="9749" priority="139">
      <formula>U$9&lt;8/24</formula>
    </cfRule>
  </conditionalFormatting>
  <conditionalFormatting sqref="N94:T94">
    <cfRule type="expression" dxfId="9748" priority="132">
      <formula>N$9&gt;=20/24</formula>
    </cfRule>
    <cfRule type="expression" dxfId="9747" priority="133">
      <formula>AND(N$9&gt;=14/24,N$9&lt;20/24)</formula>
    </cfRule>
    <cfRule type="expression" dxfId="9746" priority="134">
      <formula>AND(N$9&gt;=8/24,N$9&lt;14/24)</formula>
    </cfRule>
    <cfRule type="expression" dxfId="9745" priority="135">
      <formula>N$9&lt;8/24</formula>
    </cfRule>
  </conditionalFormatting>
  <conditionalFormatting sqref="U99:AA99">
    <cfRule type="expression" dxfId="9744" priority="128">
      <formula>U$9&gt;=20/24</formula>
    </cfRule>
    <cfRule type="expression" dxfId="9743" priority="129">
      <formula>AND(U$9&gt;=14/24,U$9&lt;20/24)</formula>
    </cfRule>
    <cfRule type="expression" dxfId="9742" priority="130">
      <formula>AND(U$9&gt;=8/24,U$9&lt;14/24)</formula>
    </cfRule>
    <cfRule type="expression" dxfId="9741" priority="131">
      <formula>U$9&lt;8/24</formula>
    </cfRule>
  </conditionalFormatting>
  <conditionalFormatting sqref="C99:J99 L99:M99">
    <cfRule type="expression" dxfId="9740" priority="124">
      <formula>C$9&gt;=20/24</formula>
    </cfRule>
    <cfRule type="expression" dxfId="9739" priority="125">
      <formula>AND(C$9&gt;=14/24,C$9&lt;20/24)</formula>
    </cfRule>
    <cfRule type="expression" dxfId="9738" priority="126">
      <formula>AND(C$9&gt;=8/24,C$9&lt;14/24)</formula>
    </cfRule>
    <cfRule type="expression" dxfId="9737" priority="127">
      <formula>C$9&lt;8/24</formula>
    </cfRule>
  </conditionalFormatting>
  <conditionalFormatting sqref="N99:R99">
    <cfRule type="expression" dxfId="9736" priority="120">
      <formula>N$9&gt;=20/24</formula>
    </cfRule>
    <cfRule type="expression" dxfId="9735" priority="121">
      <formula>AND(N$9&gt;=14/24,N$9&lt;20/24)</formula>
    </cfRule>
    <cfRule type="expression" dxfId="9734" priority="122">
      <formula>AND(N$9&gt;=8/24,N$9&lt;14/24)</formula>
    </cfRule>
    <cfRule type="expression" dxfId="9733" priority="123">
      <formula>N$9&lt;8/24</formula>
    </cfRule>
  </conditionalFormatting>
  <conditionalFormatting sqref="S99:T99">
    <cfRule type="expression" dxfId="9732" priority="116">
      <formula>S$9&gt;=20/24</formula>
    </cfRule>
    <cfRule type="expression" dxfId="9731" priority="117">
      <formula>AND(S$9&gt;=14/24,S$9&lt;20/24)</formula>
    </cfRule>
    <cfRule type="expression" dxfId="9730" priority="118">
      <formula>AND(S$9&gt;=8/24,S$9&lt;14/24)</formula>
    </cfRule>
    <cfRule type="expression" dxfId="9729" priority="119">
      <formula>S$9&lt;8/24</formula>
    </cfRule>
  </conditionalFormatting>
  <conditionalFormatting sqref="S12:Y16">
    <cfRule type="expression" dxfId="9728" priority="112">
      <formula>S$9&gt;=20/24</formula>
    </cfRule>
    <cfRule type="expression" dxfId="9727" priority="113">
      <formula>AND(S$9&gt;=14/24,S$9&lt;20/24)</formula>
    </cfRule>
    <cfRule type="expression" dxfId="9726" priority="114">
      <formula>AND(S$9&gt;=8/24,S$9&lt;14/24)</formula>
    </cfRule>
    <cfRule type="expression" dxfId="9725" priority="115">
      <formula>S$9&lt;8/24</formula>
    </cfRule>
  </conditionalFormatting>
  <conditionalFormatting sqref="S17:Y17">
    <cfRule type="expression" dxfId="9724" priority="108">
      <formula>S$9&gt;=20/24</formula>
    </cfRule>
    <cfRule type="expression" dxfId="9723" priority="109">
      <formula>AND(S$9&gt;=14/24,S$9&lt;20/24)</formula>
    </cfRule>
    <cfRule type="expression" dxfId="9722" priority="110">
      <formula>AND(S$9&gt;=8/24,S$9&lt;14/24)</formula>
    </cfRule>
    <cfRule type="expression" dxfId="9721" priority="111">
      <formula>S$9&lt;8/24</formula>
    </cfRule>
  </conditionalFormatting>
  <conditionalFormatting sqref="S12:Y13">
    <cfRule type="expression" dxfId="9720" priority="104">
      <formula>S$9&gt;=20/24</formula>
    </cfRule>
    <cfRule type="expression" dxfId="9719" priority="105">
      <formula>AND(S$9&gt;=14/24,S$9&lt;20/24)</formula>
    </cfRule>
    <cfRule type="expression" dxfId="9718" priority="106">
      <formula>AND(S$9&gt;=8/24,S$9&lt;14/24)</formula>
    </cfRule>
    <cfRule type="expression" dxfId="9717" priority="107">
      <formula>S$9&lt;8/24</formula>
    </cfRule>
  </conditionalFormatting>
  <conditionalFormatting sqref="AB58:AE59">
    <cfRule type="expression" dxfId="9716" priority="100">
      <formula>AB$9&gt;=20/24</formula>
    </cfRule>
    <cfRule type="expression" dxfId="9715" priority="101">
      <formula>AND(AB$9&gt;=14/24,AB$9&lt;20/24)</formula>
    </cfRule>
    <cfRule type="expression" dxfId="9714" priority="102">
      <formula>AND(AB$9&gt;=8/24,AB$9&lt;14/24)</formula>
    </cfRule>
    <cfRule type="expression" dxfId="9713" priority="103">
      <formula>AB$9&lt;8/24</formula>
    </cfRule>
  </conditionalFormatting>
  <conditionalFormatting sqref="AL33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712" priority="333">
      <formula>C$9&gt;=20/24</formula>
    </cfRule>
    <cfRule type="expression" dxfId="9711" priority="334">
      <formula>AND(C$9&gt;=14/24,C$9&lt;20/24)</formula>
    </cfRule>
    <cfRule type="expression" dxfId="9710" priority="335">
      <formula>AND(C$9&gt;=8/24,C$9&lt;14/24)</formula>
    </cfRule>
    <cfRule type="expression" dxfId="9709" priority="336">
      <formula>C$9&lt;8/24</formula>
    </cfRule>
  </conditionalFormatting>
  <conditionalFormatting sqref="A200">
    <cfRule type="expression" dxfId="9708" priority="337">
      <formula>$AH200=0</formula>
    </cfRule>
  </conditionalFormatting>
  <conditionalFormatting sqref="AG212">
    <cfRule type="expression" dxfId="9707" priority="338">
      <formula>B$9&gt;=20/24</formula>
    </cfRule>
    <cfRule type="expression" dxfId="9706" priority="339">
      <formula>AND(B$9&gt;=14/24,B$9&lt;20/24)</formula>
    </cfRule>
    <cfRule type="expression" dxfId="9705" priority="340">
      <formula>AND(B$9&gt;=8/24,B$9&lt;14/24)</formula>
    </cfRule>
    <cfRule type="expression" dxfId="9704" priority="341">
      <formula>B$9&lt;8/24</formula>
    </cfRule>
  </conditionalFormatting>
  <conditionalFormatting sqref="S8">
    <cfRule type="expression" dxfId="9703" priority="94">
      <formula>U$9&gt;=20/24</formula>
    </cfRule>
    <cfRule type="expression" dxfId="9702" priority="95">
      <formula>AND(U$9&gt;=14/24,U$9&lt;20/24)</formula>
    </cfRule>
    <cfRule type="expression" dxfId="9701" priority="96">
      <formula>AND(U$9&gt;=8/24,U$9&lt;14/24)</formula>
    </cfRule>
    <cfRule type="expression" dxfId="9700" priority="97">
      <formula>U$9&lt;8/24</formula>
    </cfRule>
  </conditionalFormatting>
  <conditionalFormatting sqref="AB8">
    <cfRule type="expression" dxfId="9699" priority="90">
      <formula>AD$9&gt;=20/24</formula>
    </cfRule>
    <cfRule type="expression" dxfId="9698" priority="91">
      <formula>AND(AD$9&gt;=14/24,AD$9&lt;20/24)</formula>
    </cfRule>
    <cfRule type="expression" dxfId="9697" priority="92">
      <formula>AND(AD$9&gt;=8/24,AD$9&lt;14/24)</formula>
    </cfRule>
    <cfRule type="expression" dxfId="9696" priority="93">
      <formula>AD$9&lt;8/24</formula>
    </cfRule>
  </conditionalFormatting>
  <conditionalFormatting sqref="AH212:AX212">
    <cfRule type="expression" dxfId="9695" priority="342">
      <formula>AG$9&gt;=20/24</formula>
    </cfRule>
    <cfRule type="expression" dxfId="9694" priority="343">
      <formula>AND(AG$9&gt;=14/24,AG$9&lt;20/24)</formula>
    </cfRule>
    <cfRule type="expression" dxfId="9693" priority="344">
      <formula>AND(AG$9&gt;=8/24,AG$9&lt;14/24)</formula>
    </cfRule>
    <cfRule type="expression" dxfId="9692" priority="345">
      <formula>AG$9&lt;8/24</formula>
    </cfRule>
  </conditionalFormatting>
  <conditionalFormatting sqref="T212">
    <cfRule type="expression" dxfId="9691" priority="346">
      <formula>AX$9&gt;=20/24</formula>
    </cfRule>
    <cfRule type="expression" dxfId="9690" priority="347">
      <formula>AND(AX$9&gt;=14/24,AX$9&lt;20/24)</formula>
    </cfRule>
    <cfRule type="expression" dxfId="9689" priority="348">
      <formula>AND(AX$9&gt;=8/24,AX$9&lt;14/24)</formula>
    </cfRule>
    <cfRule type="expression" dxfId="9688" priority="349">
      <formula>AX$9&lt;8/24</formula>
    </cfRule>
  </conditionalFormatting>
  <conditionalFormatting sqref="A99">
    <cfRule type="expression" dxfId="9687" priority="89">
      <formula>$AH99=0</formula>
    </cfRule>
  </conditionalFormatting>
  <conditionalFormatting sqref="S33:AF33">
    <cfRule type="expression" dxfId="9686" priority="77">
      <formula>S$9&gt;=20/24</formula>
    </cfRule>
    <cfRule type="expression" dxfId="9685" priority="78">
      <formula>AND(S$9&gt;=14/24,S$9&lt;20/24)</formula>
    </cfRule>
    <cfRule type="expression" dxfId="9684" priority="79">
      <formula>AND(S$9&gt;=8/24,S$9&lt;14/24)</formula>
    </cfRule>
    <cfRule type="expression" dxfId="9683" priority="80">
      <formula>S$9&lt;8/24</formula>
    </cfRule>
  </conditionalFormatting>
  <conditionalFormatting sqref="S33:AF33">
    <cfRule type="expression" dxfId="9682" priority="76">
      <formula>S33&gt;$AG33</formula>
    </cfRule>
  </conditionalFormatting>
  <conditionalFormatting sqref="B11:C11 B36:O36 B18:R30">
    <cfRule type="expression" dxfId="9681" priority="72">
      <formula>B$9&gt;=20/24</formula>
    </cfRule>
    <cfRule type="expression" dxfId="9680" priority="73">
      <formula>AND(B$9&gt;=14/24,B$9&lt;20/24)</formula>
    </cfRule>
    <cfRule type="expression" dxfId="9679" priority="74">
      <formula>AND(B$9&gt;=8/24,B$9&lt;14/24)</formula>
    </cfRule>
    <cfRule type="expression" dxfId="9678" priority="75">
      <formula>B$9&lt;8/24</formula>
    </cfRule>
  </conditionalFormatting>
  <conditionalFormatting sqref="B31:R32 B35:R35">
    <cfRule type="expression" dxfId="9677" priority="68">
      <formula>B$9&gt;=20/24</formula>
    </cfRule>
    <cfRule type="expression" dxfId="9676" priority="69">
      <formula>AND(B$9&gt;=14/24,B$9&lt;20/24)</formula>
    </cfRule>
    <cfRule type="expression" dxfId="9675" priority="70">
      <formula>AND(B$9&gt;=8/24,B$9&lt;14/24)</formula>
    </cfRule>
    <cfRule type="expression" dxfId="9674" priority="71">
      <formula>B$9&lt;8/24</formula>
    </cfRule>
  </conditionalFormatting>
  <conditionalFormatting sqref="B34:B37 B11:C11 C34:O36 P34:R35 B18:R32">
    <cfRule type="expression" dxfId="9673" priority="67">
      <formula>B11&gt;$AG11</formula>
    </cfRule>
  </conditionalFormatting>
  <conditionalFormatting sqref="B34:R34">
    <cfRule type="expression" dxfId="9672" priority="63">
      <formula>B$9&gt;=20/24</formula>
    </cfRule>
    <cfRule type="expression" dxfId="9671" priority="64">
      <formula>AND(B$9&gt;=14/24,B$9&lt;20/24)</formula>
    </cfRule>
    <cfRule type="expression" dxfId="9670" priority="65">
      <formula>AND(B$9&gt;=8/24,B$9&lt;14/24)</formula>
    </cfRule>
    <cfRule type="expression" dxfId="9669" priority="66">
      <formula>B$9&lt;8/24</formula>
    </cfRule>
  </conditionalFormatting>
  <conditionalFormatting sqref="B12:L16">
    <cfRule type="expression" dxfId="9668" priority="59">
      <formula>B$9&gt;=20/24</formula>
    </cfRule>
    <cfRule type="expression" dxfId="9667" priority="60">
      <formula>AND(B$9&gt;=14/24,B$9&lt;20/24)</formula>
    </cfRule>
    <cfRule type="expression" dxfId="9666" priority="61">
      <formula>AND(B$9&gt;=8/24,B$9&lt;14/24)</formula>
    </cfRule>
    <cfRule type="expression" dxfId="9665" priority="62">
      <formula>B$9&lt;8/24</formula>
    </cfRule>
  </conditionalFormatting>
  <conditionalFormatting sqref="B17:R17">
    <cfRule type="expression" dxfId="9664" priority="55">
      <formula>B$9&gt;=20/24</formula>
    </cfRule>
    <cfRule type="expression" dxfId="9663" priority="56">
      <formula>AND(B$9&gt;=14/24,B$9&lt;20/24)</formula>
    </cfRule>
    <cfRule type="expression" dxfId="9662" priority="57">
      <formula>AND(B$9&gt;=8/24,B$9&lt;14/24)</formula>
    </cfRule>
    <cfRule type="expression" dxfId="9661" priority="58">
      <formula>B$9&lt;8/24</formula>
    </cfRule>
  </conditionalFormatting>
  <conditionalFormatting sqref="B12:L13">
    <cfRule type="expression" dxfId="9660" priority="51">
      <formula>B$9&gt;=20/24</formula>
    </cfRule>
    <cfRule type="expression" dxfId="9659" priority="52">
      <formula>AND(B$9&gt;=14/24,B$9&lt;20/24)</formula>
    </cfRule>
    <cfRule type="expression" dxfId="9658" priority="53">
      <formula>AND(B$9&gt;=8/24,B$9&lt;14/24)</formula>
    </cfRule>
    <cfRule type="expression" dxfId="9657" priority="54">
      <formula>B$9&lt;8/24</formula>
    </cfRule>
  </conditionalFormatting>
  <conditionalFormatting sqref="B33:R33">
    <cfRule type="expression" dxfId="9656" priority="47">
      <formula>B$9&gt;=20/24</formula>
    </cfRule>
    <cfRule type="expression" dxfId="9655" priority="48">
      <formula>AND(B$9&gt;=14/24,B$9&lt;20/24)</formula>
    </cfRule>
    <cfRule type="expression" dxfId="9654" priority="49">
      <formula>AND(B$9&gt;=8/24,B$9&lt;14/24)</formula>
    </cfRule>
    <cfRule type="expression" dxfId="9653" priority="50">
      <formula>B$9&lt;8/24</formula>
    </cfRule>
  </conditionalFormatting>
  <conditionalFormatting sqref="B33:R33">
    <cfRule type="expression" dxfId="9652" priority="46">
      <formula>B33&gt;$AG33</formula>
    </cfRule>
  </conditionalFormatting>
  <conditionalFormatting sqref="B45:L47">
    <cfRule type="expression" dxfId="9651" priority="42">
      <formula>B$9&gt;=20/24</formula>
    </cfRule>
    <cfRule type="expression" dxfId="9650" priority="43">
      <formula>AND(B$9&gt;=14/24,B$9&lt;20/24)</formula>
    </cfRule>
    <cfRule type="expression" dxfId="9649" priority="44">
      <formula>AND(B$9&gt;=8/24,B$9&lt;14/24)</formula>
    </cfRule>
    <cfRule type="expression" dxfId="9648" priority="45">
      <formula>B$9&lt;8/24</formula>
    </cfRule>
  </conditionalFormatting>
  <conditionalFormatting sqref="B49:L49">
    <cfRule type="expression" dxfId="9647" priority="38">
      <formula>B$9&gt;=20/24</formula>
    </cfRule>
    <cfRule type="expression" dxfId="9646" priority="39">
      <formula>AND(B$9&gt;=14/24,B$9&lt;20/24)</formula>
    </cfRule>
    <cfRule type="expression" dxfId="9645" priority="40">
      <formula>AND(B$9&gt;=8/24,B$9&lt;14/24)</formula>
    </cfRule>
    <cfRule type="expression" dxfId="9644" priority="41">
      <formula>B$9&lt;8/24</formula>
    </cfRule>
  </conditionalFormatting>
  <conditionalFormatting sqref="B50:L50">
    <cfRule type="expression" dxfId="9643" priority="34">
      <formula>B$9&gt;=20/24</formula>
    </cfRule>
    <cfRule type="expression" dxfId="9642" priority="35">
      <formula>AND(B$9&gt;=14/24,B$9&lt;20/24)</formula>
    </cfRule>
    <cfRule type="expression" dxfId="9641" priority="36">
      <formula>AND(B$9&gt;=8/24,B$9&lt;14/24)</formula>
    </cfRule>
    <cfRule type="expression" dxfId="9640" priority="37">
      <formula>B$9&lt;8/24</formula>
    </cfRule>
  </conditionalFormatting>
  <conditionalFormatting sqref="B39:B51 C45:L50">
    <cfRule type="expression" dxfId="9639" priority="33">
      <formula>B39&gt;$AG39</formula>
    </cfRule>
  </conditionalFormatting>
  <conditionalFormatting sqref="B44">
    <cfRule type="expression" dxfId="9638" priority="29">
      <formula>B$9&gt;=20/24</formula>
    </cfRule>
    <cfRule type="expression" dxfId="9637" priority="30">
      <formula>AND(B$9&gt;=14/24,B$9&lt;20/24)</formula>
    </cfRule>
    <cfRule type="expression" dxfId="9636" priority="31">
      <formula>AND(B$9&gt;=8/24,B$9&lt;14/24)</formula>
    </cfRule>
    <cfRule type="expression" dxfId="9635" priority="32">
      <formula>B$9&lt;8/24</formula>
    </cfRule>
  </conditionalFormatting>
  <conditionalFormatting sqref="B44">
    <cfRule type="expression" dxfId="9634" priority="25">
      <formula>B$9&gt;=20/24</formula>
    </cfRule>
    <cfRule type="expression" dxfId="9633" priority="26">
      <formula>AND(B$9&gt;=14/24,B$9&lt;20/24)</formula>
    </cfRule>
    <cfRule type="expression" dxfId="9632" priority="27">
      <formula>AND(B$9&gt;=8/24,B$9&lt;14/24)</formula>
    </cfRule>
    <cfRule type="expression" dxfId="9631" priority="28">
      <formula>B$9&lt;8/24</formula>
    </cfRule>
  </conditionalFormatting>
  <conditionalFormatting sqref="B57:B67">
    <cfRule type="expression" dxfId="9630" priority="21">
      <formula>B$9&gt;=20/24</formula>
    </cfRule>
    <cfRule type="expression" dxfId="9629" priority="22">
      <formula>AND(B$9&gt;=14/24,B$9&lt;20/24)</formula>
    </cfRule>
    <cfRule type="expression" dxfId="9628" priority="23">
      <formula>AND(B$9&gt;=8/24,B$9&lt;14/24)</formula>
    </cfRule>
    <cfRule type="expression" dxfId="9627" priority="24">
      <formula>B$9&lt;8/24</formula>
    </cfRule>
  </conditionalFormatting>
  <conditionalFormatting sqref="K95:K97">
    <cfRule type="expression" dxfId="9626" priority="17">
      <formula>K$9&gt;=20/24</formula>
    </cfRule>
    <cfRule type="expression" dxfId="9625" priority="18">
      <formula>AND(K$9&gt;=14/24,K$9&lt;20/24)</formula>
    </cfRule>
    <cfRule type="expression" dxfId="9624" priority="19">
      <formula>AND(K$9&gt;=8/24,K$9&lt;14/24)</formula>
    </cfRule>
    <cfRule type="expression" dxfId="9623" priority="20">
      <formula>K$9&lt;8/24</formula>
    </cfRule>
  </conditionalFormatting>
  <conditionalFormatting sqref="K98">
    <cfRule type="expression" dxfId="9622" priority="13">
      <formula>K$9&gt;=20/24</formula>
    </cfRule>
    <cfRule type="expression" dxfId="9621" priority="14">
      <formula>AND(K$9&gt;=14/24,K$9&lt;20/24)</formula>
    </cfRule>
    <cfRule type="expression" dxfId="9620" priority="15">
      <formula>AND(K$9&gt;=8/24,K$9&lt;14/24)</formula>
    </cfRule>
    <cfRule type="expression" dxfId="9619" priority="16">
      <formula>K$9&lt;8/24</formula>
    </cfRule>
  </conditionalFormatting>
  <conditionalFormatting sqref="K94">
    <cfRule type="expression" dxfId="9618" priority="9">
      <formula>K$9&gt;=20/24</formula>
    </cfRule>
    <cfRule type="expression" dxfId="9617" priority="10">
      <formula>AND(K$9&gt;=14/24,K$9&lt;20/24)</formula>
    </cfRule>
    <cfRule type="expression" dxfId="9616" priority="11">
      <formula>AND(K$9&gt;=8/24,K$9&lt;14/24)</formula>
    </cfRule>
    <cfRule type="expression" dxfId="9615" priority="12">
      <formula>K$9&lt;8/24</formula>
    </cfRule>
  </conditionalFormatting>
  <conditionalFormatting sqref="K99">
    <cfRule type="expression" dxfId="9614" priority="5">
      <formula>K$9&gt;=20/24</formula>
    </cfRule>
    <cfRule type="expression" dxfId="9613" priority="6">
      <formula>AND(K$9&gt;=14/24,K$9&lt;20/24)</formula>
    </cfRule>
    <cfRule type="expression" dxfId="9612" priority="7">
      <formula>AND(K$9&gt;=8/24,K$9&lt;14/24)</formula>
    </cfRule>
    <cfRule type="expression" dxfId="9611" priority="8">
      <formula>K$9&lt;8/24</formula>
    </cfRule>
  </conditionalFormatting>
  <conditionalFormatting sqref="K84:K90">
    <cfRule type="expression" dxfId="9610" priority="1">
      <formula>K$9&gt;=20/24</formula>
    </cfRule>
    <cfRule type="expression" dxfId="9609" priority="2">
      <formula>AND(K$9&gt;=14/24,K$9&lt;20/24)</formula>
    </cfRule>
    <cfRule type="expression" dxfId="9608" priority="3">
      <formula>AND(K$9&gt;=8/24,K$9&lt;14/24)</formula>
    </cfRule>
    <cfRule type="expression" dxfId="9607" priority="4">
      <formula>K$9&lt;8/24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6C870587-26C5-4AEB-8D1F-3F78AE45E04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C32" activePane="bottomRight" state="frozen"/>
      <selection activeCell="AF88" sqref="AF88"/>
      <selection pane="topRight" activeCell="AF88" sqref="AF88"/>
      <selection pane="bottomLeft" activeCell="AF88" sqref="AF88"/>
      <selection pane="bottomRight" activeCell="U39" sqref="U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"2078/"&amp;"09/"&amp;INT(MID(CELL("filename",D6),FIND("]",CELL("filename",D6))+1,200))</f>
        <v>2078/09/9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278</v>
      </c>
      <c r="C5" s="32">
        <f t="shared" si="0"/>
        <v>276</v>
      </c>
      <c r="D5" s="32">
        <f t="shared" si="0"/>
        <v>255</v>
      </c>
      <c r="E5" s="32">
        <f t="shared" si="0"/>
        <v>236</v>
      </c>
      <c r="F5" s="32">
        <f t="shared" si="0"/>
        <v>254.6</v>
      </c>
      <c r="G5" s="32">
        <f t="shared" si="0"/>
        <v>262</v>
      </c>
      <c r="H5" s="32">
        <f t="shared" si="0"/>
        <v>398</v>
      </c>
      <c r="I5" s="32">
        <f t="shared" si="0"/>
        <v>413.1</v>
      </c>
      <c r="J5" s="32">
        <f t="shared" si="0"/>
        <v>546.9</v>
      </c>
      <c r="K5" s="32">
        <f t="shared" si="0"/>
        <v>519.4</v>
      </c>
      <c r="L5" s="32">
        <f t="shared" si="0"/>
        <v>257.89999999999998</v>
      </c>
      <c r="M5" s="32">
        <f t="shared" si="0"/>
        <v>457.6</v>
      </c>
      <c r="N5" s="32">
        <f t="shared" si="0"/>
        <v>623</v>
      </c>
      <c r="O5" s="32">
        <f t="shared" si="0"/>
        <v>597.5</v>
      </c>
      <c r="P5" s="32">
        <f t="shared" si="0"/>
        <v>534</v>
      </c>
      <c r="Q5" s="32">
        <f t="shared" si="0"/>
        <v>543.79999999999995</v>
      </c>
      <c r="R5" s="32">
        <f t="shared" si="0"/>
        <v>501.4</v>
      </c>
      <c r="S5" s="32">
        <f t="shared" si="0"/>
        <v>511.70000000000005</v>
      </c>
      <c r="T5" s="32">
        <f t="shared" si="0"/>
        <v>512.69999999999993</v>
      </c>
      <c r="U5" s="32">
        <f t="shared" si="0"/>
        <v>497.69999999999993</v>
      </c>
      <c r="V5" s="32">
        <f t="shared" si="0"/>
        <v>333.4</v>
      </c>
      <c r="W5" s="32">
        <f t="shared" si="0"/>
        <v>322.7</v>
      </c>
      <c r="X5" s="32">
        <f t="shared" si="0"/>
        <v>363.3</v>
      </c>
      <c r="Y5" s="32">
        <f t="shared" si="0"/>
        <v>366.9</v>
      </c>
      <c r="Z5" s="32">
        <f t="shared" si="0"/>
        <v>369.79999999999995</v>
      </c>
      <c r="AA5" s="32">
        <f t="shared" si="0"/>
        <v>452.2</v>
      </c>
      <c r="AB5" s="32">
        <f t="shared" si="0"/>
        <v>423.9</v>
      </c>
      <c r="AC5" s="32">
        <f t="shared" si="0"/>
        <v>407.6</v>
      </c>
      <c r="AD5" s="32">
        <f t="shared" si="0"/>
        <v>479</v>
      </c>
      <c r="AE5" s="32">
        <f t="shared" si="0"/>
        <v>405</v>
      </c>
      <c r="AF5" s="32">
        <f>B68</f>
        <v>290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1524MW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Load=855</v>
      </c>
      <c r="B7" s="37">
        <f>B75</f>
        <v>908.04</v>
      </c>
      <c r="C7" s="37">
        <f t="shared" ref="C7:AF7" si="1">C75</f>
        <v>870.83999999999992</v>
      </c>
      <c r="D7" s="37">
        <f t="shared" si="1"/>
        <v>871.7399999999999</v>
      </c>
      <c r="E7" s="37">
        <f t="shared" si="1"/>
        <v>860.24</v>
      </c>
      <c r="F7" s="37">
        <f t="shared" si="1"/>
        <v>855.04</v>
      </c>
      <c r="G7" s="37">
        <f t="shared" si="1"/>
        <v>908.24</v>
      </c>
      <c r="H7" s="37">
        <f t="shared" si="1"/>
        <v>962.84000000000015</v>
      </c>
      <c r="I7" s="37">
        <f t="shared" si="1"/>
        <v>1077.6399999999999</v>
      </c>
      <c r="J7" s="37">
        <f t="shared" si="1"/>
        <v>1139.8399999999999</v>
      </c>
      <c r="K7" s="37">
        <f t="shared" si="1"/>
        <v>1329.64</v>
      </c>
      <c r="L7" s="37">
        <f t="shared" si="1"/>
        <v>1445.14</v>
      </c>
      <c r="M7" s="37">
        <f t="shared" si="1"/>
        <v>1514.7400000000002</v>
      </c>
      <c r="N7" s="37">
        <f t="shared" si="1"/>
        <v>1523.54</v>
      </c>
      <c r="O7" s="37">
        <f t="shared" si="1"/>
        <v>1519.24</v>
      </c>
      <c r="P7" s="37">
        <f t="shared" si="1"/>
        <v>1455.34</v>
      </c>
      <c r="Q7" s="37">
        <f t="shared" si="1"/>
        <v>1359.54</v>
      </c>
      <c r="R7" s="37">
        <f t="shared" si="1"/>
        <v>1351.44</v>
      </c>
      <c r="S7" s="37">
        <f t="shared" si="1"/>
        <v>1335.24</v>
      </c>
      <c r="T7" s="37">
        <f t="shared" si="1"/>
        <v>1307.54</v>
      </c>
      <c r="U7" s="37">
        <f t="shared" si="1"/>
        <v>1336.9399999999996</v>
      </c>
      <c r="V7" s="37">
        <f t="shared" si="1"/>
        <v>1326.9399999999996</v>
      </c>
      <c r="W7" s="37">
        <f t="shared" si="1"/>
        <v>1447.14</v>
      </c>
      <c r="X7" s="37">
        <f t="shared" si="1"/>
        <v>1634.7400000000002</v>
      </c>
      <c r="Y7" s="37">
        <f t="shared" si="1"/>
        <v>1668.94</v>
      </c>
      <c r="Z7" s="37">
        <f t="shared" si="1"/>
        <v>1605.24</v>
      </c>
      <c r="AA7" s="37">
        <f t="shared" si="1"/>
        <v>1560.94</v>
      </c>
      <c r="AB7" s="37">
        <f t="shared" si="1"/>
        <v>1542.54</v>
      </c>
      <c r="AC7" s="37">
        <f t="shared" si="1"/>
        <v>1415.1399999999999</v>
      </c>
      <c r="AD7" s="37">
        <f t="shared" si="1"/>
        <v>1315.6399999999999</v>
      </c>
      <c r="AE7" s="37">
        <f t="shared" si="1"/>
        <v>1145.3399999999999</v>
      </c>
      <c r="AF7" s="37">
        <f t="shared" si="1"/>
        <v>970.04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30</v>
      </c>
      <c r="D11" s="49">
        <v>30</v>
      </c>
      <c r="E11" s="49">
        <v>30</v>
      </c>
      <c r="F11" s="49">
        <v>30</v>
      </c>
      <c r="G11" s="49">
        <v>30</v>
      </c>
      <c r="H11" s="49">
        <v>16</v>
      </c>
      <c r="I11" s="49">
        <v>15</v>
      </c>
      <c r="J11" s="49">
        <v>20</v>
      </c>
      <c r="K11" s="49">
        <v>20</v>
      </c>
      <c r="L11" s="49">
        <v>60</v>
      </c>
      <c r="M11" s="50">
        <v>350</v>
      </c>
      <c r="N11" s="50">
        <v>200</v>
      </c>
      <c r="O11" s="50">
        <v>30</v>
      </c>
      <c r="P11" s="50">
        <v>30</v>
      </c>
      <c r="Q11" s="50">
        <v>30</v>
      </c>
      <c r="R11" s="177">
        <v>30</v>
      </c>
      <c r="S11" s="50">
        <v>30</v>
      </c>
      <c r="T11" s="50">
        <v>90</v>
      </c>
      <c r="U11" s="50">
        <v>90</v>
      </c>
      <c r="V11" s="50">
        <v>90</v>
      </c>
      <c r="W11" s="50">
        <v>285</v>
      </c>
      <c r="X11" s="50">
        <v>380</v>
      </c>
      <c r="Y11" s="50">
        <v>380</v>
      </c>
      <c r="Z11" s="51">
        <v>300</v>
      </c>
      <c r="AA11" s="50">
        <v>280</v>
      </c>
      <c r="AB11" s="50">
        <v>200</v>
      </c>
      <c r="AC11" s="50">
        <v>160</v>
      </c>
      <c r="AD11" s="50">
        <v>140</v>
      </c>
      <c r="AE11" s="50">
        <v>20</v>
      </c>
      <c r="AF11" s="49">
        <v>16</v>
      </c>
      <c r="AG11" s="52">
        <v>456</v>
      </c>
      <c r="AH11" s="53">
        <f>MAX(B11:AF11)</f>
        <v>380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38</v>
      </c>
      <c r="O12" s="49">
        <v>38</v>
      </c>
      <c r="P12" s="49">
        <v>38</v>
      </c>
      <c r="Q12" s="49">
        <v>38</v>
      </c>
      <c r="R12" s="49">
        <v>38</v>
      </c>
      <c r="S12" s="57">
        <v>38</v>
      </c>
      <c r="T12" s="57">
        <v>38</v>
      </c>
      <c r="U12" s="57">
        <v>38</v>
      </c>
      <c r="V12" s="57">
        <v>38</v>
      </c>
      <c r="W12" s="57">
        <v>38</v>
      </c>
      <c r="X12" s="57">
        <v>38</v>
      </c>
      <c r="Y12" s="57">
        <v>38</v>
      </c>
      <c r="Z12" s="50">
        <v>38</v>
      </c>
      <c r="AA12" s="50">
        <v>38</v>
      </c>
      <c r="AB12" s="50">
        <v>38</v>
      </c>
      <c r="AC12" s="50">
        <v>38</v>
      </c>
      <c r="AD12" s="50">
        <v>38</v>
      </c>
      <c r="AE12" s="50">
        <v>38</v>
      </c>
      <c r="AF12" s="49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38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15.5</v>
      </c>
      <c r="C13" s="49">
        <v>15.5</v>
      </c>
      <c r="D13" s="49">
        <v>15.5</v>
      </c>
      <c r="E13" s="49">
        <v>22.4</v>
      </c>
      <c r="F13" s="49">
        <v>22.4</v>
      </c>
      <c r="G13" s="49">
        <v>22.2</v>
      </c>
      <c r="H13" s="49">
        <v>22.4</v>
      </c>
      <c r="I13" s="49">
        <v>22.6</v>
      </c>
      <c r="J13" s="49">
        <v>22.6</v>
      </c>
      <c r="K13" s="49">
        <v>22.6</v>
      </c>
      <c r="L13" s="49">
        <v>22.6</v>
      </c>
      <c r="M13" s="49">
        <v>22.6</v>
      </c>
      <c r="N13" s="49">
        <v>22.6</v>
      </c>
      <c r="O13" s="49">
        <v>22.6</v>
      </c>
      <c r="P13" s="49">
        <v>22.6</v>
      </c>
      <c r="Q13" s="49">
        <v>22.6</v>
      </c>
      <c r="R13" s="49">
        <v>21.6</v>
      </c>
      <c r="S13" s="57">
        <v>21.6</v>
      </c>
      <c r="T13" s="57">
        <v>21.6</v>
      </c>
      <c r="U13" s="57">
        <v>22.5</v>
      </c>
      <c r="V13" s="57">
        <v>22.5</v>
      </c>
      <c r="W13" s="57">
        <v>22.5</v>
      </c>
      <c r="X13" s="57">
        <v>15.2</v>
      </c>
      <c r="Y13" s="57">
        <v>11.3</v>
      </c>
      <c r="Z13" s="50">
        <v>22.4</v>
      </c>
      <c r="AA13" s="50">
        <v>27.1</v>
      </c>
      <c r="AB13" s="50">
        <v>27</v>
      </c>
      <c r="AC13" s="50">
        <v>27</v>
      </c>
      <c r="AD13" s="50">
        <v>27</v>
      </c>
      <c r="AE13" s="50">
        <v>27</v>
      </c>
      <c r="AF13" s="49">
        <v>22.2</v>
      </c>
      <c r="AG13" s="58">
        <v>52.4</v>
      </c>
      <c r="AH13" s="53">
        <f t="shared" si="2"/>
        <v>27.1</v>
      </c>
      <c r="AI13" s="54">
        <f t="shared" si="3"/>
        <v>11.3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39.9</v>
      </c>
      <c r="C14" s="49">
        <v>39.9</v>
      </c>
      <c r="D14" s="49">
        <v>39.9</v>
      </c>
      <c r="E14" s="49">
        <v>39.9</v>
      </c>
      <c r="F14" s="49">
        <v>39.9</v>
      </c>
      <c r="G14" s="49">
        <v>39.9</v>
      </c>
      <c r="H14" s="49">
        <v>39.9</v>
      </c>
      <c r="I14" s="49">
        <v>39.9</v>
      </c>
      <c r="J14" s="49">
        <v>40.1</v>
      </c>
      <c r="K14" s="49">
        <v>40</v>
      </c>
      <c r="L14" s="49">
        <v>40</v>
      </c>
      <c r="M14" s="50">
        <v>40</v>
      </c>
      <c r="N14" s="50">
        <v>40</v>
      </c>
      <c r="O14" s="50">
        <v>40</v>
      </c>
      <c r="P14" s="50">
        <v>40</v>
      </c>
      <c r="Q14" s="50">
        <v>40</v>
      </c>
      <c r="R14" s="50">
        <v>40</v>
      </c>
      <c r="S14" s="59">
        <v>40</v>
      </c>
      <c r="T14" s="59">
        <v>40</v>
      </c>
      <c r="U14" s="59">
        <v>39.1</v>
      </c>
      <c r="V14" s="59">
        <v>39.1</v>
      </c>
      <c r="W14" s="59">
        <v>39.1</v>
      </c>
      <c r="X14" s="59">
        <v>39.1</v>
      </c>
      <c r="Y14" s="59">
        <v>39.1</v>
      </c>
      <c r="Z14" s="50">
        <v>39.1</v>
      </c>
      <c r="AA14" s="50">
        <v>39.4</v>
      </c>
      <c r="AB14" s="50">
        <v>39.4</v>
      </c>
      <c r="AC14" s="50">
        <v>39.4</v>
      </c>
      <c r="AD14" s="50">
        <v>39.4</v>
      </c>
      <c r="AE14" s="50">
        <v>39.4</v>
      </c>
      <c r="AF14" s="49">
        <v>39.6</v>
      </c>
      <c r="AG14" s="58">
        <v>50</v>
      </c>
      <c r="AH14" s="53">
        <f t="shared" si="2"/>
        <v>40.1</v>
      </c>
      <c r="AI14" s="54">
        <f t="shared" si="3"/>
        <v>39.1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22.7</v>
      </c>
      <c r="C15" s="60">
        <v>22.7</v>
      </c>
      <c r="D15" s="60">
        <v>22.7</v>
      </c>
      <c r="E15" s="60">
        <v>22.9</v>
      </c>
      <c r="F15" s="60">
        <v>22.9</v>
      </c>
      <c r="G15" s="60">
        <v>22.9</v>
      </c>
      <c r="H15" s="60">
        <v>22.9</v>
      </c>
      <c r="I15" s="60">
        <v>22.9</v>
      </c>
      <c r="J15" s="60">
        <v>22.9</v>
      </c>
      <c r="K15" s="60">
        <v>22.9</v>
      </c>
      <c r="L15" s="60">
        <v>22.9</v>
      </c>
      <c r="M15" s="50">
        <v>22.9</v>
      </c>
      <c r="N15" s="50">
        <v>22.9</v>
      </c>
      <c r="O15" s="50">
        <v>22.9</v>
      </c>
      <c r="P15" s="50">
        <v>22.9</v>
      </c>
      <c r="Q15" s="50">
        <v>22.9</v>
      </c>
      <c r="R15" s="50">
        <v>22.9</v>
      </c>
      <c r="S15" s="59">
        <v>22.9</v>
      </c>
      <c r="T15" s="59">
        <v>22.9</v>
      </c>
      <c r="U15" s="59">
        <v>22.8</v>
      </c>
      <c r="V15" s="59">
        <v>22.8</v>
      </c>
      <c r="W15" s="59">
        <v>22.8</v>
      </c>
      <c r="X15" s="59">
        <v>23.1</v>
      </c>
      <c r="Y15" s="59">
        <v>23.1</v>
      </c>
      <c r="Z15" s="50">
        <v>22.8</v>
      </c>
      <c r="AA15" s="50">
        <v>22.8</v>
      </c>
      <c r="AB15" s="50">
        <v>22.8</v>
      </c>
      <c r="AC15" s="50">
        <v>22.8</v>
      </c>
      <c r="AD15" s="50">
        <v>22.8</v>
      </c>
      <c r="AE15" s="50">
        <v>22.8</v>
      </c>
      <c r="AF15" s="50">
        <v>22.8</v>
      </c>
      <c r="AG15" s="61">
        <v>45</v>
      </c>
      <c r="AH15" s="53">
        <f t="shared" si="2"/>
        <v>23.1</v>
      </c>
      <c r="AI15" s="54">
        <f t="shared" si="3"/>
        <v>22.7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</v>
      </c>
      <c r="C19" s="49">
        <v>10</v>
      </c>
      <c r="D19" s="49">
        <v>9.6</v>
      </c>
      <c r="E19" s="49">
        <v>9.6</v>
      </c>
      <c r="F19" s="49">
        <v>9.6</v>
      </c>
      <c r="G19" s="49">
        <v>9.6</v>
      </c>
      <c r="H19" s="49">
        <v>9.6</v>
      </c>
      <c r="I19" s="49">
        <v>9.6</v>
      </c>
      <c r="J19" s="49">
        <v>9.6</v>
      </c>
      <c r="K19" s="49">
        <v>9.6</v>
      </c>
      <c r="L19" s="49">
        <v>9.6</v>
      </c>
      <c r="M19" s="50">
        <v>9.6</v>
      </c>
      <c r="N19" s="50">
        <v>9.6</v>
      </c>
      <c r="O19" s="50">
        <v>9.6</v>
      </c>
      <c r="P19" s="50">
        <v>9.6</v>
      </c>
      <c r="Q19" s="50">
        <v>9.6</v>
      </c>
      <c r="R19" s="50">
        <v>9.6</v>
      </c>
      <c r="S19" s="50">
        <v>9.6</v>
      </c>
      <c r="T19" s="50">
        <v>9.6</v>
      </c>
      <c r="U19" s="50">
        <v>9.6</v>
      </c>
      <c r="V19" s="50">
        <v>9.6</v>
      </c>
      <c r="W19" s="50">
        <v>9.6</v>
      </c>
      <c r="X19" s="50">
        <v>9.6</v>
      </c>
      <c r="Y19" s="50">
        <v>9.6</v>
      </c>
      <c r="Z19" s="50">
        <v>9.6</v>
      </c>
      <c r="AA19" s="50">
        <v>9.6</v>
      </c>
      <c r="AB19" s="50">
        <v>9.6</v>
      </c>
      <c r="AC19" s="50">
        <v>9.6</v>
      </c>
      <c r="AD19" s="50">
        <v>9.6</v>
      </c>
      <c r="AE19" s="50">
        <v>9.6</v>
      </c>
      <c r="AF19" s="50">
        <v>9.6</v>
      </c>
      <c r="AG19" s="58">
        <v>30</v>
      </c>
      <c r="AH19" s="53">
        <f t="shared" si="2"/>
        <v>10</v>
      </c>
      <c r="AI19" s="54">
        <f t="shared" si="3"/>
        <v>9.6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18.600000000000001</v>
      </c>
      <c r="C22" s="49">
        <v>18.600000000000001</v>
      </c>
      <c r="D22" s="49">
        <v>18.600000000000001</v>
      </c>
      <c r="E22" s="49">
        <v>18.600000000000001</v>
      </c>
      <c r="F22" s="49">
        <v>18.600000000000001</v>
      </c>
      <c r="G22" s="49">
        <v>18.600000000000001</v>
      </c>
      <c r="H22" s="49">
        <v>18.600000000000001</v>
      </c>
      <c r="I22" s="49">
        <v>18.600000000000001</v>
      </c>
      <c r="J22" s="49">
        <v>18.600000000000001</v>
      </c>
      <c r="K22" s="49">
        <v>18.600000000000001</v>
      </c>
      <c r="L22" s="49">
        <v>18.600000000000001</v>
      </c>
      <c r="M22" s="50">
        <v>18.600000000000001</v>
      </c>
      <c r="N22" s="50">
        <v>18.600000000000001</v>
      </c>
      <c r="O22" s="50">
        <v>18.600000000000001</v>
      </c>
      <c r="P22" s="50">
        <v>18.600000000000001</v>
      </c>
      <c r="Q22" s="50">
        <v>18.600000000000001</v>
      </c>
      <c r="R22" s="50">
        <v>18.600000000000001</v>
      </c>
      <c r="S22" s="50">
        <v>18.600000000000001</v>
      </c>
      <c r="T22" s="50">
        <v>18.600000000000001</v>
      </c>
      <c r="U22" s="50">
        <v>18.600000000000001</v>
      </c>
      <c r="V22" s="50">
        <v>18.600000000000001</v>
      </c>
      <c r="W22" s="50">
        <v>18.600000000000001</v>
      </c>
      <c r="X22" s="50">
        <v>19.100000000000001</v>
      </c>
      <c r="Y22" s="50">
        <v>16.899999999999999</v>
      </c>
      <c r="Z22" s="50">
        <v>16.5</v>
      </c>
      <c r="AA22" s="50">
        <v>18.5</v>
      </c>
      <c r="AB22" s="50">
        <v>18.5</v>
      </c>
      <c r="AC22" s="50">
        <v>18.5</v>
      </c>
      <c r="AD22" s="50">
        <v>11.3</v>
      </c>
      <c r="AE22" s="50">
        <v>11.3</v>
      </c>
      <c r="AF22" s="50">
        <v>11.3</v>
      </c>
      <c r="AG22" s="58">
        <v>25</v>
      </c>
      <c r="AH22" s="53">
        <f t="shared" si="2"/>
        <v>19.100000000000001</v>
      </c>
      <c r="AI22" s="54">
        <f t="shared" si="3"/>
        <v>11.3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13</v>
      </c>
      <c r="C24" s="49">
        <v>13</v>
      </c>
      <c r="D24" s="49">
        <v>11</v>
      </c>
      <c r="E24" s="49">
        <v>13</v>
      </c>
      <c r="F24" s="49">
        <v>13.3</v>
      </c>
      <c r="G24" s="49">
        <v>13.3</v>
      </c>
      <c r="H24" s="49">
        <v>13.3</v>
      </c>
      <c r="I24" s="49">
        <v>13.3</v>
      </c>
      <c r="J24" s="49">
        <v>13.5</v>
      </c>
      <c r="K24" s="49">
        <v>13.5</v>
      </c>
      <c r="L24" s="49">
        <v>13.5</v>
      </c>
      <c r="M24" s="50">
        <v>13.5</v>
      </c>
      <c r="N24" s="50">
        <v>13.5</v>
      </c>
      <c r="O24" s="50">
        <v>13.5</v>
      </c>
      <c r="P24" s="50">
        <v>13.5</v>
      </c>
      <c r="Q24" s="50">
        <v>13.5</v>
      </c>
      <c r="R24" s="50">
        <v>13.5</v>
      </c>
      <c r="S24" s="50">
        <v>13.5</v>
      </c>
      <c r="T24" s="50">
        <v>13.5</v>
      </c>
      <c r="U24" s="50">
        <v>13.5</v>
      </c>
      <c r="V24" s="50">
        <v>13.5</v>
      </c>
      <c r="W24" s="50">
        <v>13.5</v>
      </c>
      <c r="X24" s="50">
        <v>13.5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13.5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55</v>
      </c>
      <c r="C37" s="60">
        <v>55</v>
      </c>
      <c r="D37" s="60">
        <v>55</v>
      </c>
      <c r="E37" s="60">
        <v>54.5</v>
      </c>
      <c r="F37" s="60">
        <v>54.5</v>
      </c>
      <c r="G37" s="60">
        <v>53.8</v>
      </c>
      <c r="H37" s="60">
        <v>53.6</v>
      </c>
      <c r="I37" s="60">
        <v>53.3</v>
      </c>
      <c r="J37" s="60">
        <v>53</v>
      </c>
      <c r="K37" s="60">
        <v>50.2</v>
      </c>
      <c r="L37" s="60">
        <v>50.4</v>
      </c>
      <c r="M37" s="69">
        <v>50.4</v>
      </c>
      <c r="N37" s="69">
        <v>50.4</v>
      </c>
      <c r="O37" s="69">
        <v>50</v>
      </c>
      <c r="P37" s="69">
        <v>50</v>
      </c>
      <c r="Q37" s="69">
        <v>50</v>
      </c>
      <c r="R37" s="69">
        <v>48</v>
      </c>
      <c r="S37" s="69">
        <f>18+33.8</f>
        <v>51.8</v>
      </c>
      <c r="T37" s="69">
        <f>17.2+31</f>
        <v>48.2</v>
      </c>
      <c r="U37" s="69">
        <f>17.2+31</f>
        <v>48.2</v>
      </c>
      <c r="V37" s="69">
        <f t="shared" ref="V37" si="4">17.2+31</f>
        <v>48.2</v>
      </c>
      <c r="W37" s="69">
        <v>48.3</v>
      </c>
      <c r="X37" s="69">
        <f>16.6+29.8</f>
        <v>46.400000000000006</v>
      </c>
      <c r="Y37" s="69">
        <v>48.8</v>
      </c>
      <c r="Z37" s="69">
        <f>16.2+28.2</f>
        <v>44.4</v>
      </c>
      <c r="AA37" s="69">
        <f>16.3+28.5</f>
        <v>44.8</v>
      </c>
      <c r="AB37" s="69">
        <f>30.3+17</f>
        <v>47.3</v>
      </c>
      <c r="AC37" s="69">
        <f>31.2+17.3</f>
        <v>48.5</v>
      </c>
      <c r="AD37" s="69">
        <f>32+17.4</f>
        <v>49.4</v>
      </c>
      <c r="AE37" s="69">
        <f>33.3+18.2</f>
        <v>51.5</v>
      </c>
      <c r="AF37" s="60">
        <f>34.6+18.9</f>
        <v>53.5</v>
      </c>
      <c r="AG37" s="66">
        <v>240</v>
      </c>
      <c r="AH37" s="53">
        <f t="shared" si="2"/>
        <v>55</v>
      </c>
      <c r="AI37" s="54">
        <f t="shared" si="3"/>
        <v>44.4</v>
      </c>
      <c r="AK37" s="55"/>
    </row>
    <row r="38" spans="1:88" ht="15.75" thickBot="1" x14ac:dyDescent="0.3">
      <c r="A38" s="70" t="s">
        <v>46</v>
      </c>
      <c r="B38" s="71">
        <f>SUM(B11:B36)</f>
        <v>447.7</v>
      </c>
      <c r="C38" s="71">
        <f t="shared" ref="C38:AF38" si="5">SUM(C11:C36)</f>
        <v>447.7</v>
      </c>
      <c r="D38" s="71">
        <f t="shared" si="5"/>
        <v>445.29999999999995</v>
      </c>
      <c r="E38" s="71">
        <f t="shared" si="5"/>
        <v>454.4</v>
      </c>
      <c r="F38" s="71">
        <f t="shared" si="5"/>
        <v>454.7</v>
      </c>
      <c r="G38" s="71">
        <f t="shared" si="5"/>
        <v>454.49999999999994</v>
      </c>
      <c r="H38" s="71">
        <f t="shared" si="5"/>
        <v>440.7</v>
      </c>
      <c r="I38" s="71">
        <f t="shared" si="5"/>
        <v>439.9</v>
      </c>
      <c r="J38" s="71">
        <f t="shared" si="5"/>
        <v>445.29999999999995</v>
      </c>
      <c r="K38" s="71">
        <f t="shared" si="5"/>
        <v>445.2</v>
      </c>
      <c r="L38" s="71">
        <f t="shared" si="5"/>
        <v>485.2</v>
      </c>
      <c r="M38" s="71">
        <f t="shared" si="5"/>
        <v>775.20000000000016</v>
      </c>
      <c r="N38" s="71">
        <f t="shared" si="5"/>
        <v>625.20000000000005</v>
      </c>
      <c r="O38" s="71">
        <f t="shared" si="5"/>
        <v>455.2</v>
      </c>
      <c r="P38" s="71">
        <f t="shared" si="5"/>
        <v>455.2</v>
      </c>
      <c r="Q38" s="71">
        <f t="shared" si="5"/>
        <v>455.2</v>
      </c>
      <c r="R38" s="71">
        <f t="shared" si="5"/>
        <v>454.2</v>
      </c>
      <c r="S38" s="71">
        <f t="shared" si="5"/>
        <v>454.2</v>
      </c>
      <c r="T38" s="71">
        <f t="shared" si="5"/>
        <v>514.20000000000005</v>
      </c>
      <c r="U38" s="71">
        <f t="shared" si="5"/>
        <v>514.09999999999991</v>
      </c>
      <c r="V38" s="71">
        <f t="shared" si="5"/>
        <v>514.09999999999991</v>
      </c>
      <c r="W38" s="71">
        <f t="shared" si="5"/>
        <v>709.10000000000014</v>
      </c>
      <c r="X38" s="71">
        <f t="shared" si="5"/>
        <v>797.60000000000025</v>
      </c>
      <c r="Y38" s="71">
        <f t="shared" si="5"/>
        <v>789.00000000000011</v>
      </c>
      <c r="Z38" s="71">
        <f t="shared" si="5"/>
        <v>719.40000000000009</v>
      </c>
      <c r="AA38" s="71">
        <f t="shared" si="5"/>
        <v>706.40000000000009</v>
      </c>
      <c r="AB38" s="71">
        <f t="shared" si="5"/>
        <v>626.29999999999995</v>
      </c>
      <c r="AC38" s="71">
        <f t="shared" si="5"/>
        <v>586.29999999999995</v>
      </c>
      <c r="AD38" s="71">
        <f t="shared" si="5"/>
        <v>559.1</v>
      </c>
      <c r="AE38" s="71">
        <f t="shared" si="5"/>
        <v>439.09999999999997</v>
      </c>
      <c r="AF38" s="71">
        <f t="shared" si="5"/>
        <v>430.5</v>
      </c>
      <c r="AG38" s="66">
        <f>SUM(AG11:AG37)</f>
        <v>1492.8299999999997</v>
      </c>
      <c r="AH38" s="53">
        <f t="shared" si="2"/>
        <v>797.60000000000025</v>
      </c>
      <c r="AI38" s="54">
        <f t="shared" si="3"/>
        <v>430.5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36</v>
      </c>
      <c r="H39" s="60">
        <v>48</v>
      </c>
      <c r="I39" s="60">
        <v>60</v>
      </c>
      <c r="J39" s="60">
        <v>86</v>
      </c>
      <c r="K39" s="60">
        <v>110</v>
      </c>
      <c r="L39" s="60">
        <v>145</v>
      </c>
      <c r="M39" s="50">
        <v>145.9</v>
      </c>
      <c r="N39" s="50">
        <v>131</v>
      </c>
      <c r="O39" s="50">
        <v>131.6</v>
      </c>
      <c r="P39" s="50">
        <v>131.6</v>
      </c>
      <c r="Q39" s="50">
        <v>100</v>
      </c>
      <c r="R39" s="50">
        <v>101</v>
      </c>
      <c r="S39" s="50">
        <v>111.4</v>
      </c>
      <c r="T39" s="50">
        <v>60</v>
      </c>
      <c r="U39" s="50">
        <v>48.7</v>
      </c>
      <c r="V39" s="50">
        <v>48.7</v>
      </c>
      <c r="W39" s="50">
        <v>97.5</v>
      </c>
      <c r="X39" s="50">
        <v>145.4</v>
      </c>
      <c r="Y39" s="50">
        <v>145.4</v>
      </c>
      <c r="Z39" s="50">
        <v>144.69999999999999</v>
      </c>
      <c r="AA39" s="50">
        <v>133.5</v>
      </c>
      <c r="AB39" s="50">
        <v>130</v>
      </c>
      <c r="AC39" s="50">
        <v>72</v>
      </c>
      <c r="AD39" s="50">
        <v>71</v>
      </c>
      <c r="AE39" s="50">
        <v>30.4</v>
      </c>
      <c r="AF39" s="49">
        <v>0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25.4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50</v>
      </c>
      <c r="I40" s="60">
        <v>45</v>
      </c>
      <c r="J40" s="60">
        <v>60</v>
      </c>
      <c r="K40" s="60">
        <v>50</v>
      </c>
      <c r="L40" s="60">
        <v>60.1</v>
      </c>
      <c r="M40" s="72">
        <v>70.099999999999994</v>
      </c>
      <c r="N40" s="72">
        <v>58.9</v>
      </c>
      <c r="O40" s="72">
        <v>60.6</v>
      </c>
      <c r="P40" s="72">
        <v>60.6</v>
      </c>
      <c r="Q40" s="72">
        <v>35</v>
      </c>
      <c r="R40" s="72">
        <v>29</v>
      </c>
      <c r="S40" s="72">
        <v>34.799999999999997</v>
      </c>
      <c r="T40" s="72">
        <v>25</v>
      </c>
      <c r="U40" s="72">
        <v>24.8</v>
      </c>
      <c r="V40" s="72">
        <v>24.8</v>
      </c>
      <c r="W40" s="72">
        <v>34.6</v>
      </c>
      <c r="X40" s="72">
        <v>70.599999999999994</v>
      </c>
      <c r="Y40" s="72">
        <v>70</v>
      </c>
      <c r="Z40" s="72">
        <v>71.099999999999994</v>
      </c>
      <c r="AA40" s="72">
        <v>60.5</v>
      </c>
      <c r="AB40" s="72">
        <v>49</v>
      </c>
      <c r="AC40" s="72">
        <v>49.5</v>
      </c>
      <c r="AD40" s="72">
        <v>44.6</v>
      </c>
      <c r="AE40" s="72">
        <v>34.799999999999997</v>
      </c>
      <c r="AF40" s="60">
        <v>21.8</v>
      </c>
      <c r="AG40" s="66">
        <v>70</v>
      </c>
      <c r="AH40" s="53">
        <f t="shared" si="2"/>
        <v>71.099999999999994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34.799999999999997</v>
      </c>
      <c r="C41" s="60">
        <v>35</v>
      </c>
      <c r="D41" s="60">
        <v>32</v>
      </c>
      <c r="E41" s="60">
        <v>32.4</v>
      </c>
      <c r="F41" s="60">
        <v>46</v>
      </c>
      <c r="G41" s="60">
        <v>44.8</v>
      </c>
      <c r="H41" s="60">
        <v>43.5</v>
      </c>
      <c r="I41" s="60">
        <v>16.100000000000001</v>
      </c>
      <c r="J41" s="60">
        <v>17</v>
      </c>
      <c r="K41" s="60">
        <v>32</v>
      </c>
      <c r="L41" s="60">
        <v>35.799999999999997</v>
      </c>
      <c r="M41" s="72">
        <v>46</v>
      </c>
      <c r="N41" s="72">
        <v>40</v>
      </c>
      <c r="O41" s="72">
        <v>40</v>
      </c>
      <c r="P41" s="72">
        <v>45</v>
      </c>
      <c r="Q41" s="72">
        <v>34</v>
      </c>
      <c r="R41" s="72">
        <v>35</v>
      </c>
      <c r="S41" s="72">
        <v>33.9</v>
      </c>
      <c r="T41" s="72">
        <v>34.700000000000003</v>
      </c>
      <c r="U41" s="72">
        <v>41.5</v>
      </c>
      <c r="V41" s="72">
        <v>41.5</v>
      </c>
      <c r="W41" s="72">
        <v>70</v>
      </c>
      <c r="X41" s="72">
        <v>68.2</v>
      </c>
      <c r="Y41" s="72">
        <v>68.2</v>
      </c>
      <c r="Z41" s="72">
        <v>68</v>
      </c>
      <c r="AA41" s="72">
        <v>60.9</v>
      </c>
      <c r="AB41" s="72">
        <v>60.8</v>
      </c>
      <c r="AC41" s="72">
        <v>60.8</v>
      </c>
      <c r="AD41" s="72">
        <v>60.7</v>
      </c>
      <c r="AE41" s="72">
        <v>37.200000000000003</v>
      </c>
      <c r="AF41" s="60">
        <v>0</v>
      </c>
      <c r="AG41" s="66">
        <v>69</v>
      </c>
      <c r="AH41" s="53">
        <f t="shared" si="2"/>
        <v>70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55.4</v>
      </c>
      <c r="C42" s="60">
        <v>55.4</v>
      </c>
      <c r="D42" s="60">
        <v>53.7</v>
      </c>
      <c r="E42" s="60">
        <v>53.7</v>
      </c>
      <c r="F42" s="60">
        <v>53.6</v>
      </c>
      <c r="G42" s="60">
        <v>53.6</v>
      </c>
      <c r="H42" s="60">
        <v>53.9</v>
      </c>
      <c r="I42" s="60">
        <v>54.4</v>
      </c>
      <c r="J42" s="60">
        <v>54.2</v>
      </c>
      <c r="K42" s="60">
        <v>54.2</v>
      </c>
      <c r="L42" s="60">
        <v>54.6</v>
      </c>
      <c r="M42" s="72">
        <v>54.6</v>
      </c>
      <c r="N42" s="72">
        <v>54.6</v>
      </c>
      <c r="O42" s="72">
        <v>55.2</v>
      </c>
      <c r="P42" s="72">
        <v>0</v>
      </c>
      <c r="Q42" s="72">
        <v>57</v>
      </c>
      <c r="R42" s="72">
        <v>54</v>
      </c>
      <c r="S42" s="72">
        <v>55.2</v>
      </c>
      <c r="T42" s="72">
        <v>55.2</v>
      </c>
      <c r="U42" s="72">
        <v>55.2</v>
      </c>
      <c r="V42" s="72">
        <v>55.2</v>
      </c>
      <c r="W42" s="72">
        <v>52.4</v>
      </c>
      <c r="X42" s="72">
        <v>50.4</v>
      </c>
      <c r="Y42" s="72">
        <v>50.4</v>
      </c>
      <c r="Z42" s="72">
        <v>52.1</v>
      </c>
      <c r="AA42" s="72">
        <v>54.2</v>
      </c>
      <c r="AB42" s="72">
        <v>55.2</v>
      </c>
      <c r="AC42" s="72">
        <v>57</v>
      </c>
      <c r="AD42" s="72">
        <v>58</v>
      </c>
      <c r="AE42" s="72">
        <v>59</v>
      </c>
      <c r="AF42" s="60">
        <v>57.4</v>
      </c>
      <c r="AG42" s="66">
        <v>60</v>
      </c>
      <c r="AH42" s="53">
        <f t="shared" si="2"/>
        <v>59</v>
      </c>
      <c r="AI42" s="54">
        <f t="shared" si="3"/>
        <v>0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10</v>
      </c>
      <c r="E43" s="60">
        <v>10</v>
      </c>
      <c r="F43" s="60">
        <v>10</v>
      </c>
      <c r="G43" s="60">
        <v>10</v>
      </c>
      <c r="H43" s="60">
        <v>10</v>
      </c>
      <c r="I43" s="60">
        <v>10</v>
      </c>
      <c r="J43" s="60">
        <v>10</v>
      </c>
      <c r="K43" s="60">
        <v>15</v>
      </c>
      <c r="L43" s="60">
        <v>22.6</v>
      </c>
      <c r="M43" s="50">
        <v>24</v>
      </c>
      <c r="N43" s="50">
        <v>22</v>
      </c>
      <c r="O43" s="50">
        <v>22.4</v>
      </c>
      <c r="P43" s="50">
        <v>22.4</v>
      </c>
      <c r="Q43" s="50">
        <v>10</v>
      </c>
      <c r="R43" s="50">
        <v>10</v>
      </c>
      <c r="S43" s="50">
        <v>10.8</v>
      </c>
      <c r="T43" s="50">
        <v>10</v>
      </c>
      <c r="U43" s="50">
        <v>0</v>
      </c>
      <c r="V43" s="50">
        <v>0</v>
      </c>
      <c r="W43" s="50">
        <v>0</v>
      </c>
      <c r="X43" s="50">
        <v>22.7</v>
      </c>
      <c r="Y43" s="50">
        <v>28.5</v>
      </c>
      <c r="Z43" s="72">
        <v>28</v>
      </c>
      <c r="AA43" s="72">
        <v>22.2</v>
      </c>
      <c r="AB43" s="72">
        <v>15</v>
      </c>
      <c r="AC43" s="72">
        <v>10</v>
      </c>
      <c r="AD43" s="72">
        <v>9.5</v>
      </c>
      <c r="AE43" s="72">
        <v>10.1</v>
      </c>
      <c r="AF43" s="60">
        <v>0</v>
      </c>
      <c r="AG43" s="66">
        <v>30</v>
      </c>
      <c r="AH43" s="53">
        <f t="shared" si="2"/>
        <v>28.5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17</v>
      </c>
      <c r="C45" s="60">
        <v>17</v>
      </c>
      <c r="D45" s="60">
        <v>17</v>
      </c>
      <c r="E45" s="79">
        <v>17</v>
      </c>
      <c r="F45" s="79">
        <v>17</v>
      </c>
      <c r="G45" s="79">
        <v>17</v>
      </c>
      <c r="H45" s="79">
        <v>17</v>
      </c>
      <c r="I45" s="79">
        <v>17</v>
      </c>
      <c r="J45" s="79">
        <v>17</v>
      </c>
      <c r="K45" s="79">
        <v>17</v>
      </c>
      <c r="L45" s="79">
        <v>17</v>
      </c>
      <c r="M45" s="79">
        <v>17</v>
      </c>
      <c r="N45" s="79">
        <v>17</v>
      </c>
      <c r="O45" s="79">
        <v>17</v>
      </c>
      <c r="P45" s="79">
        <v>17</v>
      </c>
      <c r="Q45" s="79">
        <v>17</v>
      </c>
      <c r="R45" s="50">
        <v>10</v>
      </c>
      <c r="S45" s="50">
        <v>10</v>
      </c>
      <c r="T45" s="50">
        <v>10</v>
      </c>
      <c r="U45" s="50">
        <v>18</v>
      </c>
      <c r="V45" s="50">
        <v>18</v>
      </c>
      <c r="W45" s="50">
        <v>18</v>
      </c>
      <c r="X45" s="50">
        <v>18</v>
      </c>
      <c r="Y45" s="50">
        <v>18</v>
      </c>
      <c r="Z45" s="50">
        <v>18</v>
      </c>
      <c r="AA45" s="50">
        <v>18</v>
      </c>
      <c r="AB45" s="50">
        <v>18</v>
      </c>
      <c r="AC45" s="50">
        <v>18</v>
      </c>
      <c r="AD45" s="50">
        <v>18</v>
      </c>
      <c r="AE45" s="50">
        <v>18</v>
      </c>
      <c r="AF45" s="60">
        <v>18</v>
      </c>
      <c r="AG45" s="66">
        <v>24</v>
      </c>
      <c r="AH45" s="53">
        <f t="shared" si="2"/>
        <v>18</v>
      </c>
      <c r="AI45" s="54">
        <f t="shared" si="3"/>
        <v>10</v>
      </c>
      <c r="AK45" s="55"/>
    </row>
    <row r="46" spans="1:88" x14ac:dyDescent="0.25">
      <c r="A46" s="65" t="s">
        <v>54</v>
      </c>
      <c r="B46" s="60">
        <v>5</v>
      </c>
      <c r="C46" s="60">
        <v>5</v>
      </c>
      <c r="D46" s="6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4.5</v>
      </c>
      <c r="J46" s="60">
        <v>4.5</v>
      </c>
      <c r="K46" s="60">
        <v>4.5</v>
      </c>
      <c r="L46" s="60">
        <v>4.5</v>
      </c>
      <c r="M46" s="60">
        <v>4.5</v>
      </c>
      <c r="N46" s="60">
        <v>4.5</v>
      </c>
      <c r="O46" s="60">
        <v>4.5</v>
      </c>
      <c r="P46" s="60">
        <v>4.5</v>
      </c>
      <c r="Q46" s="6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60">
        <v>4.0999999999999996</v>
      </c>
      <c r="AG46" s="66">
        <v>15</v>
      </c>
      <c r="AH46" s="53">
        <f t="shared" si="2"/>
        <v>5</v>
      </c>
      <c r="AI46" s="54">
        <f t="shared" si="3"/>
        <v>4.0999999999999996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13.5</v>
      </c>
      <c r="Y47" s="50">
        <v>13.5</v>
      </c>
      <c r="Z47" s="50">
        <v>13.5</v>
      </c>
      <c r="AA47" s="50">
        <v>13.5</v>
      </c>
      <c r="AB47" s="50">
        <v>13.5</v>
      </c>
      <c r="AC47" s="50">
        <v>13.5</v>
      </c>
      <c r="AD47" s="50">
        <v>13.5</v>
      </c>
      <c r="AE47" s="50">
        <v>13.5</v>
      </c>
      <c r="AF47" s="60">
        <v>13.5</v>
      </c>
      <c r="AG47" s="66">
        <v>14.1</v>
      </c>
      <c r="AH47" s="53">
        <f t="shared" si="2"/>
        <v>13.5</v>
      </c>
      <c r="AI47" s="54">
        <f t="shared" si="3"/>
        <v>10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5.2</v>
      </c>
      <c r="C48" s="60">
        <v>5.2</v>
      </c>
      <c r="D48" s="60">
        <v>5.2</v>
      </c>
      <c r="E48" s="60">
        <v>5.2</v>
      </c>
      <c r="F48" s="60">
        <v>5.2</v>
      </c>
      <c r="G48" s="60">
        <v>5.2</v>
      </c>
      <c r="H48" s="60">
        <v>5.2</v>
      </c>
      <c r="I48" s="60">
        <v>5.2</v>
      </c>
      <c r="J48" s="60">
        <v>5.2</v>
      </c>
      <c r="K48" s="60">
        <v>5.2</v>
      </c>
      <c r="L48" s="60">
        <v>5.2</v>
      </c>
      <c r="M48" s="60">
        <v>5.2</v>
      </c>
      <c r="N48" s="60">
        <v>5.2</v>
      </c>
      <c r="O48" s="60">
        <v>5.2</v>
      </c>
      <c r="P48" s="60">
        <v>5.2</v>
      </c>
      <c r="Q48" s="60">
        <v>5.2</v>
      </c>
      <c r="R48" s="60">
        <v>5.2</v>
      </c>
      <c r="S48" s="50">
        <v>5.2</v>
      </c>
      <c r="T48" s="50">
        <v>5.2</v>
      </c>
      <c r="U48" s="50">
        <v>5.2</v>
      </c>
      <c r="V48" s="50">
        <v>5.2</v>
      </c>
      <c r="W48" s="50">
        <v>5.2</v>
      </c>
      <c r="X48" s="50">
        <v>5.2</v>
      </c>
      <c r="Y48" s="50">
        <v>5.2</v>
      </c>
      <c r="Z48" s="50">
        <v>5.2</v>
      </c>
      <c r="AA48" s="50">
        <v>5.2</v>
      </c>
      <c r="AB48" s="50">
        <v>5.2</v>
      </c>
      <c r="AC48" s="50">
        <v>5.2</v>
      </c>
      <c r="AD48" s="50">
        <v>5.2</v>
      </c>
      <c r="AE48" s="50">
        <v>5.2</v>
      </c>
      <c r="AF48" s="60">
        <v>5.2</v>
      </c>
      <c r="AG48" s="66">
        <v>14</v>
      </c>
      <c r="AH48" s="53">
        <f t="shared" si="2"/>
        <v>5.2</v>
      </c>
      <c r="AI48" s="54">
        <f t="shared" si="3"/>
        <v>5.2</v>
      </c>
      <c r="AK48" s="55"/>
    </row>
    <row r="49" spans="1:37" x14ac:dyDescent="0.25">
      <c r="A49" s="65" t="s">
        <v>57</v>
      </c>
      <c r="B49" s="60">
        <v>7</v>
      </c>
      <c r="C49" s="60">
        <v>7</v>
      </c>
      <c r="D49" s="60">
        <v>7</v>
      </c>
      <c r="E49" s="60">
        <v>7</v>
      </c>
      <c r="F49" s="60">
        <v>7</v>
      </c>
      <c r="G49" s="60">
        <v>7</v>
      </c>
      <c r="H49" s="60">
        <v>7</v>
      </c>
      <c r="I49" s="60">
        <v>7</v>
      </c>
      <c r="J49" s="60">
        <v>7</v>
      </c>
      <c r="K49" s="60">
        <v>7</v>
      </c>
      <c r="L49" s="60">
        <v>7</v>
      </c>
      <c r="M49" s="60">
        <v>7</v>
      </c>
      <c r="N49" s="60">
        <v>7</v>
      </c>
      <c r="O49" s="60">
        <v>7</v>
      </c>
      <c r="P49" s="60">
        <v>7</v>
      </c>
      <c r="Q49" s="60">
        <v>7</v>
      </c>
      <c r="R49" s="60">
        <v>7</v>
      </c>
      <c r="S49" s="50">
        <v>7</v>
      </c>
      <c r="T49" s="50">
        <v>7</v>
      </c>
      <c r="U49" s="50">
        <v>7</v>
      </c>
      <c r="V49" s="50">
        <v>7</v>
      </c>
      <c r="W49" s="50">
        <v>7</v>
      </c>
      <c r="X49" s="50">
        <v>7</v>
      </c>
      <c r="Y49" s="50">
        <v>7</v>
      </c>
      <c r="Z49" s="50">
        <v>7</v>
      </c>
      <c r="AA49" s="50">
        <v>7</v>
      </c>
      <c r="AB49" s="50">
        <v>7</v>
      </c>
      <c r="AC49" s="50">
        <v>7</v>
      </c>
      <c r="AD49" s="50">
        <v>7</v>
      </c>
      <c r="AE49" s="50">
        <v>7</v>
      </c>
      <c r="AF49" s="60">
        <v>7</v>
      </c>
      <c r="AG49" s="66">
        <v>10.050000000000001</v>
      </c>
      <c r="AH49" s="53">
        <f t="shared" si="2"/>
        <v>7</v>
      </c>
      <c r="AI49" s="54">
        <f t="shared" si="3"/>
        <v>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6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170.33999999999997</v>
      </c>
      <c r="C52" s="71">
        <f t="shared" ref="C52:AF52" si="7">SUM(C39:C51)</f>
        <v>145.13999999999999</v>
      </c>
      <c r="D52" s="71">
        <f t="shared" si="7"/>
        <v>150.43999999999997</v>
      </c>
      <c r="E52" s="71">
        <f t="shared" si="7"/>
        <v>150.83999999999997</v>
      </c>
      <c r="F52" s="71">
        <f t="shared" si="7"/>
        <v>164.33999999999997</v>
      </c>
      <c r="G52" s="71">
        <f t="shared" si="7"/>
        <v>199.14</v>
      </c>
      <c r="H52" s="71">
        <f t="shared" si="7"/>
        <v>260.14000000000004</v>
      </c>
      <c r="I52" s="71">
        <f t="shared" si="7"/>
        <v>239.73999999999998</v>
      </c>
      <c r="J52" s="71">
        <f t="shared" si="7"/>
        <v>281.44</v>
      </c>
      <c r="K52" s="71">
        <f t="shared" si="7"/>
        <v>315.44</v>
      </c>
      <c r="L52" s="71">
        <f t="shared" si="7"/>
        <v>372.34000000000003</v>
      </c>
      <c r="M52" s="71">
        <f t="shared" si="7"/>
        <v>394.84000000000003</v>
      </c>
      <c r="N52" s="71">
        <f t="shared" si="7"/>
        <v>360.74</v>
      </c>
      <c r="O52" s="71">
        <f t="shared" si="7"/>
        <v>364.03999999999996</v>
      </c>
      <c r="P52" s="71">
        <f t="shared" si="7"/>
        <v>313.83999999999997</v>
      </c>
      <c r="Q52" s="71">
        <f t="shared" si="7"/>
        <v>290.24</v>
      </c>
      <c r="R52" s="71">
        <f t="shared" si="7"/>
        <v>273.24</v>
      </c>
      <c r="S52" s="71">
        <f t="shared" si="7"/>
        <v>290.34000000000003</v>
      </c>
      <c r="T52" s="71">
        <f t="shared" si="7"/>
        <v>229.14</v>
      </c>
      <c r="U52" s="71">
        <f t="shared" si="7"/>
        <v>222.43999999999997</v>
      </c>
      <c r="V52" s="71">
        <f t="shared" si="7"/>
        <v>222.43999999999997</v>
      </c>
      <c r="W52" s="71">
        <f t="shared" si="7"/>
        <v>306.74</v>
      </c>
      <c r="X52" s="71">
        <f t="shared" si="7"/>
        <v>413.03999999999996</v>
      </c>
      <c r="Y52" s="71">
        <f t="shared" si="7"/>
        <v>418.24</v>
      </c>
      <c r="Z52" s="71">
        <f t="shared" si="7"/>
        <v>419.64</v>
      </c>
      <c r="AA52" s="71">
        <f t="shared" si="7"/>
        <v>387.04</v>
      </c>
      <c r="AB52" s="71">
        <f t="shared" si="7"/>
        <v>365.74</v>
      </c>
      <c r="AC52" s="71">
        <f t="shared" si="7"/>
        <v>305.04000000000002</v>
      </c>
      <c r="AD52" s="71">
        <f t="shared" si="7"/>
        <v>299.54000000000002</v>
      </c>
      <c r="AE52" s="71">
        <f t="shared" si="7"/>
        <v>227.23999999999995</v>
      </c>
      <c r="AF52" s="71">
        <f t="shared" si="7"/>
        <v>134.54</v>
      </c>
      <c r="AG52" s="76">
        <f>SUM(AG39:AG51)</f>
        <v>489.91</v>
      </c>
      <c r="AH52" s="53">
        <f t="shared" si="2"/>
        <v>419.64</v>
      </c>
      <c r="AI52" s="54">
        <f t="shared" si="3"/>
        <v>134.54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60">
        <v>14.4</v>
      </c>
      <c r="L53" s="60">
        <v>40</v>
      </c>
      <c r="M53" s="77">
        <v>60</v>
      </c>
      <c r="N53" s="77">
        <v>50</v>
      </c>
      <c r="O53" s="77">
        <v>50</v>
      </c>
      <c r="P53" s="77">
        <v>53</v>
      </c>
      <c r="Q53" s="50">
        <v>49</v>
      </c>
      <c r="R53" s="50">
        <v>49</v>
      </c>
      <c r="S53" s="50">
        <v>54.5</v>
      </c>
      <c r="T53" s="50">
        <v>30</v>
      </c>
      <c r="U53" s="50">
        <v>50</v>
      </c>
      <c r="V53" s="50">
        <v>55</v>
      </c>
      <c r="W53" s="50">
        <v>59.2</v>
      </c>
      <c r="X53" s="50">
        <v>60.2</v>
      </c>
      <c r="Y53" s="50">
        <v>59.8</v>
      </c>
      <c r="Z53" s="50">
        <v>59.2</v>
      </c>
      <c r="AA53" s="50">
        <v>59.7</v>
      </c>
      <c r="AB53" s="50">
        <v>59.8</v>
      </c>
      <c r="AC53" s="50">
        <v>59.8</v>
      </c>
      <c r="AD53" s="50">
        <v>28.8</v>
      </c>
      <c r="AE53" s="50">
        <v>0</v>
      </c>
      <c r="AF53" s="50">
        <v>0</v>
      </c>
      <c r="AG53" s="61">
        <v>60</v>
      </c>
      <c r="AH53" s="53">
        <f t="shared" si="2"/>
        <v>60.2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60">
        <v>5.6</v>
      </c>
      <c r="L54" s="60">
        <v>19.899999999999999</v>
      </c>
      <c r="M54" s="77">
        <v>19</v>
      </c>
      <c r="N54" s="77">
        <v>22</v>
      </c>
      <c r="O54" s="77">
        <v>21</v>
      </c>
      <c r="P54" s="77">
        <v>26</v>
      </c>
      <c r="Q54" s="72">
        <v>22.8</v>
      </c>
      <c r="R54" s="72">
        <v>22.9</v>
      </c>
      <c r="S54" s="50">
        <v>25.5</v>
      </c>
      <c r="T54" s="50">
        <v>15</v>
      </c>
      <c r="U54" s="50">
        <v>27.6</v>
      </c>
      <c r="V54" s="50">
        <v>27.6</v>
      </c>
      <c r="W54" s="50">
        <v>28.6</v>
      </c>
      <c r="X54" s="72">
        <v>30.2</v>
      </c>
      <c r="Y54" s="72">
        <v>28.3</v>
      </c>
      <c r="Z54" s="72">
        <v>29.4</v>
      </c>
      <c r="AA54" s="72">
        <v>27.8</v>
      </c>
      <c r="AB54" s="72">
        <v>28.2</v>
      </c>
      <c r="AC54" s="72">
        <v>29.4</v>
      </c>
      <c r="AD54" s="72">
        <v>15</v>
      </c>
      <c r="AE54" s="72">
        <v>0</v>
      </c>
      <c r="AF54" s="72">
        <v>0</v>
      </c>
      <c r="AG54" s="66">
        <v>32</v>
      </c>
      <c r="AH54" s="53">
        <f t="shared" si="2"/>
        <v>30.2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9">
        <v>2.1</v>
      </c>
      <c r="L55" s="79">
        <v>8.3000000000000007</v>
      </c>
      <c r="M55" s="80">
        <v>7.8</v>
      </c>
      <c r="N55" s="80">
        <v>8</v>
      </c>
      <c r="O55" s="80">
        <v>6</v>
      </c>
      <c r="P55" s="80">
        <v>9.8000000000000007</v>
      </c>
      <c r="Q55" s="78">
        <v>8.3000000000000007</v>
      </c>
      <c r="R55" s="78">
        <v>8.3000000000000007</v>
      </c>
      <c r="S55" s="50">
        <v>9.3000000000000007</v>
      </c>
      <c r="T55" s="50">
        <v>7.5</v>
      </c>
      <c r="U55" s="50">
        <v>10.1</v>
      </c>
      <c r="V55" s="50">
        <v>10.1</v>
      </c>
      <c r="W55" s="50">
        <v>10.1</v>
      </c>
      <c r="X55" s="78">
        <v>11</v>
      </c>
      <c r="Y55" s="78">
        <v>10.3</v>
      </c>
      <c r="Z55" s="78">
        <v>10.7</v>
      </c>
      <c r="AA55" s="78">
        <v>10.199999999999999</v>
      </c>
      <c r="AB55" s="78">
        <v>10.3</v>
      </c>
      <c r="AC55" s="78">
        <v>10.7</v>
      </c>
      <c r="AD55" s="78">
        <v>5.6</v>
      </c>
      <c r="AE55" s="78">
        <v>0</v>
      </c>
      <c r="AF55" s="78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>SUM(D53:D55)</f>
        <v>0</v>
      </c>
      <c r="E56" s="71">
        <f>SUM(E53:E55)</f>
        <v>0</v>
      </c>
      <c r="F56" s="71">
        <f t="shared" ref="F56:AF56" si="8">SUM(F53:F55)</f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ref="J56" si="9">SUM(J53:J55)</f>
        <v>0</v>
      </c>
      <c r="K56" s="71">
        <f t="shared" si="8"/>
        <v>22.1</v>
      </c>
      <c r="L56" s="71">
        <f t="shared" si="8"/>
        <v>68.2</v>
      </c>
      <c r="M56" s="71">
        <f t="shared" si="8"/>
        <v>86.8</v>
      </c>
      <c r="N56" s="71">
        <f t="shared" si="8"/>
        <v>80</v>
      </c>
      <c r="O56" s="71">
        <f t="shared" si="8"/>
        <v>77</v>
      </c>
      <c r="P56" s="71">
        <f t="shared" si="8"/>
        <v>88.8</v>
      </c>
      <c r="Q56" s="71">
        <f t="shared" si="8"/>
        <v>80.099999999999994</v>
      </c>
      <c r="R56" s="71">
        <f t="shared" si="8"/>
        <v>80.2</v>
      </c>
      <c r="S56" s="71">
        <f t="shared" si="8"/>
        <v>89.3</v>
      </c>
      <c r="T56" s="71">
        <f t="shared" si="8"/>
        <v>52.5</v>
      </c>
      <c r="U56" s="71">
        <f t="shared" si="8"/>
        <v>87.699999999999989</v>
      </c>
      <c r="V56" s="71">
        <f t="shared" si="8"/>
        <v>92.699999999999989</v>
      </c>
      <c r="W56" s="71">
        <f t="shared" si="8"/>
        <v>97.9</v>
      </c>
      <c r="X56" s="71">
        <f t="shared" si="8"/>
        <v>101.4</v>
      </c>
      <c r="Y56" s="71">
        <f t="shared" si="8"/>
        <v>98.399999999999991</v>
      </c>
      <c r="Z56" s="71">
        <f t="shared" si="8"/>
        <v>99.3</v>
      </c>
      <c r="AA56" s="71">
        <f t="shared" si="8"/>
        <v>97.7</v>
      </c>
      <c r="AB56" s="71">
        <f t="shared" si="8"/>
        <v>98.3</v>
      </c>
      <c r="AC56" s="71">
        <f t="shared" si="8"/>
        <v>99.899999999999991</v>
      </c>
      <c r="AD56" s="71">
        <f t="shared" si="8"/>
        <v>49.4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101.4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68</v>
      </c>
      <c r="C57" s="50">
        <v>65</v>
      </c>
      <c r="D57" s="50">
        <v>58</v>
      </c>
      <c r="E57" s="50">
        <v>56</v>
      </c>
      <c r="F57" s="50">
        <v>55</v>
      </c>
      <c r="G57" s="50">
        <v>58.6</v>
      </c>
      <c r="H57" s="50">
        <v>63</v>
      </c>
      <c r="I57" s="50">
        <v>70</v>
      </c>
      <c r="J57" s="50">
        <v>68.099999999999994</v>
      </c>
      <c r="K57" s="50">
        <v>76</v>
      </c>
      <c r="L57" s="50">
        <v>69</v>
      </c>
      <c r="M57" s="50">
        <v>69</v>
      </c>
      <c r="N57" s="50">
        <v>66.599999999999994</v>
      </c>
      <c r="O57" s="50">
        <v>67</v>
      </c>
      <c r="P57" s="50">
        <v>62.5</v>
      </c>
      <c r="Q57" s="50">
        <v>67</v>
      </c>
      <c r="R57" s="50">
        <v>66.8</v>
      </c>
      <c r="S57" s="50">
        <v>62.5</v>
      </c>
      <c r="T57" s="50">
        <v>68</v>
      </c>
      <c r="U57" s="50">
        <v>70.900000000000006</v>
      </c>
      <c r="V57" s="50">
        <v>70.900000000000006</v>
      </c>
      <c r="W57" s="50">
        <v>65</v>
      </c>
      <c r="X57" s="50">
        <v>69.900000000000006</v>
      </c>
      <c r="Y57" s="50">
        <v>74</v>
      </c>
      <c r="Z57" s="50">
        <v>79.400000000000006</v>
      </c>
      <c r="AA57" s="50">
        <v>73.599999999999994</v>
      </c>
      <c r="AB57" s="50">
        <v>70.5</v>
      </c>
      <c r="AC57" s="50">
        <v>61.9</v>
      </c>
      <c r="AD57" s="50">
        <v>61.4</v>
      </c>
      <c r="AE57" s="50">
        <v>61.7</v>
      </c>
      <c r="AF57" s="50">
        <v>63</v>
      </c>
      <c r="AG57" s="61"/>
      <c r="AH57" s="53">
        <f t="shared" si="2"/>
        <v>79.400000000000006</v>
      </c>
      <c r="AI57" s="54">
        <f t="shared" si="3"/>
        <v>55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80</v>
      </c>
      <c r="O58" s="50">
        <v>103</v>
      </c>
      <c r="P58" s="50">
        <v>57</v>
      </c>
      <c r="Q58" s="50">
        <v>43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59.2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103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222</v>
      </c>
      <c r="C59" s="72">
        <v>213</v>
      </c>
      <c r="D59" s="72">
        <v>218</v>
      </c>
      <c r="E59" s="72">
        <v>199</v>
      </c>
      <c r="F59" s="72">
        <v>181</v>
      </c>
      <c r="G59" s="72">
        <v>196</v>
      </c>
      <c r="H59" s="50">
        <v>199</v>
      </c>
      <c r="I59" s="50">
        <v>328</v>
      </c>
      <c r="J59" s="50">
        <v>345</v>
      </c>
      <c r="K59" s="50">
        <v>342</v>
      </c>
      <c r="L59" s="50">
        <v>330</v>
      </c>
      <c r="M59" s="72">
        <v>52.8</v>
      </c>
      <c r="N59" s="72">
        <v>161</v>
      </c>
      <c r="O59" s="72">
        <v>310</v>
      </c>
      <c r="P59" s="72">
        <v>337</v>
      </c>
      <c r="Q59" s="72">
        <v>314</v>
      </c>
      <c r="R59" s="72">
        <v>350</v>
      </c>
      <c r="S59" s="72">
        <v>315</v>
      </c>
      <c r="T59" s="72">
        <v>321</v>
      </c>
      <c r="U59" s="72">
        <v>325</v>
      </c>
      <c r="V59" s="72">
        <v>310</v>
      </c>
      <c r="W59" s="72">
        <v>140</v>
      </c>
      <c r="X59" s="83">
        <v>116</v>
      </c>
      <c r="Y59" s="83">
        <v>85.8</v>
      </c>
      <c r="Z59" s="83">
        <v>152.1</v>
      </c>
      <c r="AA59" s="83">
        <v>160.9</v>
      </c>
      <c r="AB59" s="72">
        <v>261.2</v>
      </c>
      <c r="AC59" s="72">
        <v>238.1</v>
      </c>
      <c r="AD59" s="72">
        <v>229</v>
      </c>
      <c r="AE59" s="72">
        <v>308</v>
      </c>
      <c r="AF59" s="72">
        <v>300</v>
      </c>
      <c r="AG59" s="84"/>
      <c r="AH59" s="53">
        <f t="shared" si="2"/>
        <v>350</v>
      </c>
      <c r="AI59" s="54">
        <f t="shared" si="3"/>
        <v>52.8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55.6</v>
      </c>
      <c r="L60" s="57">
        <v>50.5</v>
      </c>
      <c r="M60" s="72">
        <v>54.5</v>
      </c>
      <c r="N60" s="72">
        <v>59</v>
      </c>
      <c r="O60" s="72">
        <v>58</v>
      </c>
      <c r="P60" s="72">
        <v>54</v>
      </c>
      <c r="Q60" s="72">
        <v>33</v>
      </c>
      <c r="R60" s="72">
        <v>54</v>
      </c>
      <c r="S60" s="72">
        <v>53.3</v>
      </c>
      <c r="T60" s="72">
        <v>50.3</v>
      </c>
      <c r="U60" s="72">
        <v>49.9</v>
      </c>
      <c r="V60" s="72">
        <v>49.9</v>
      </c>
      <c r="W60" s="72">
        <v>51.8</v>
      </c>
      <c r="X60" s="72">
        <v>55.6</v>
      </c>
      <c r="Y60" s="72">
        <v>59.3</v>
      </c>
      <c r="Z60" s="72">
        <v>57</v>
      </c>
      <c r="AA60" s="72">
        <v>54.9</v>
      </c>
      <c r="AB60" s="72">
        <v>49.7</v>
      </c>
      <c r="AC60" s="72">
        <v>52.3</v>
      </c>
      <c r="AD60" s="72">
        <v>48.3</v>
      </c>
      <c r="AE60" s="72">
        <v>40.5</v>
      </c>
      <c r="AF60" s="57">
        <v>0</v>
      </c>
      <c r="AG60" s="84"/>
      <c r="AH60" s="53">
        <f t="shared" si="2"/>
        <v>59.3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73.3</v>
      </c>
      <c r="L61" s="57">
        <v>69.900000000000006</v>
      </c>
      <c r="M61" s="50">
        <v>81.599999999999994</v>
      </c>
      <c r="N61" s="50">
        <v>91</v>
      </c>
      <c r="O61" s="50">
        <v>85</v>
      </c>
      <c r="P61" s="50">
        <v>87</v>
      </c>
      <c r="Q61" s="50">
        <v>77</v>
      </c>
      <c r="R61" s="50">
        <v>73</v>
      </c>
      <c r="S61" s="50">
        <v>70.599999999999994</v>
      </c>
      <c r="T61" s="50">
        <v>72.400000000000006</v>
      </c>
      <c r="U61" s="50">
        <v>66.900000000000006</v>
      </c>
      <c r="V61" s="50">
        <v>66.900000000000006</v>
      </c>
      <c r="W61" s="50">
        <v>76.599999999999994</v>
      </c>
      <c r="X61" s="50">
        <v>81.2</v>
      </c>
      <c r="Y61" s="50">
        <v>85</v>
      </c>
      <c r="Z61" s="50">
        <v>78.400000000000006</v>
      </c>
      <c r="AA61" s="50">
        <v>80.400000000000006</v>
      </c>
      <c r="AB61" s="50">
        <v>70.8</v>
      </c>
      <c r="AC61" s="50">
        <v>71.599999999999994</v>
      </c>
      <c r="AD61" s="50">
        <v>68.900000000000006</v>
      </c>
      <c r="AE61" s="50">
        <v>68.8</v>
      </c>
      <c r="AF61" s="50">
        <v>42</v>
      </c>
      <c r="AG61" s="84"/>
      <c r="AH61" s="53">
        <f t="shared" si="2"/>
        <v>91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59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9">
        <v>0</v>
      </c>
      <c r="C64" s="59">
        <v>0</v>
      </c>
      <c r="D64" s="59">
        <v>0</v>
      </c>
      <c r="E64" s="59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9">
        <v>0</v>
      </c>
      <c r="AC64" s="59">
        <v>0</v>
      </c>
      <c r="AD64" s="59">
        <v>0</v>
      </c>
      <c r="AE64" s="59">
        <v>0</v>
      </c>
      <c r="AF64" s="59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9">
        <v>0</v>
      </c>
      <c r="C65" s="59">
        <v>0</v>
      </c>
      <c r="D65" s="59">
        <v>0</v>
      </c>
      <c r="E65" s="59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9">
        <v>0</v>
      </c>
      <c r="AC65" s="59">
        <v>0</v>
      </c>
      <c r="AD65" s="59">
        <v>0</v>
      </c>
      <c r="AE65" s="59">
        <v>0</v>
      </c>
      <c r="AF65" s="59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9">
        <v>0</v>
      </c>
      <c r="C66" s="59">
        <v>0</v>
      </c>
      <c r="D66" s="59">
        <v>0</v>
      </c>
      <c r="E66" s="59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9">
        <v>0</v>
      </c>
      <c r="C67" s="59">
        <v>0</v>
      </c>
      <c r="D67" s="59">
        <v>0</v>
      </c>
      <c r="E67" s="59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290</v>
      </c>
      <c r="C68" s="71">
        <f>SUM(C57:C67)</f>
        <v>278</v>
      </c>
      <c r="D68" s="71">
        <f t="shared" ref="D68:AF68" si="10">SUM(D57:D67)</f>
        <v>276</v>
      </c>
      <c r="E68" s="71">
        <f t="shared" si="10"/>
        <v>255</v>
      </c>
      <c r="F68" s="71">
        <f t="shared" si="10"/>
        <v>236</v>
      </c>
      <c r="G68" s="71">
        <f t="shared" si="10"/>
        <v>254.6</v>
      </c>
      <c r="H68" s="71">
        <f t="shared" si="10"/>
        <v>262</v>
      </c>
      <c r="I68" s="71">
        <f t="shared" si="10"/>
        <v>398</v>
      </c>
      <c r="J68" s="71">
        <f t="shared" si="10"/>
        <v>413.1</v>
      </c>
      <c r="K68" s="71">
        <f t="shared" si="10"/>
        <v>546.9</v>
      </c>
      <c r="L68" s="71">
        <f t="shared" si="10"/>
        <v>519.4</v>
      </c>
      <c r="M68" s="71">
        <f t="shared" si="10"/>
        <v>257.89999999999998</v>
      </c>
      <c r="N68" s="71">
        <f t="shared" si="10"/>
        <v>457.6</v>
      </c>
      <c r="O68" s="71">
        <f t="shared" si="10"/>
        <v>623</v>
      </c>
      <c r="P68" s="71">
        <f t="shared" si="10"/>
        <v>597.5</v>
      </c>
      <c r="Q68" s="71">
        <f t="shared" si="10"/>
        <v>534</v>
      </c>
      <c r="R68" s="71">
        <f t="shared" si="10"/>
        <v>543.79999999999995</v>
      </c>
      <c r="S68" s="71">
        <f t="shared" si="10"/>
        <v>501.4</v>
      </c>
      <c r="T68" s="71">
        <f t="shared" si="10"/>
        <v>511.70000000000005</v>
      </c>
      <c r="U68" s="71">
        <f t="shared" si="10"/>
        <v>512.69999999999993</v>
      </c>
      <c r="V68" s="71">
        <f t="shared" si="10"/>
        <v>497.69999999999993</v>
      </c>
      <c r="W68" s="71">
        <f t="shared" si="10"/>
        <v>333.4</v>
      </c>
      <c r="X68" s="71">
        <f t="shared" si="10"/>
        <v>322.7</v>
      </c>
      <c r="Y68" s="71">
        <f t="shared" si="10"/>
        <v>363.3</v>
      </c>
      <c r="Z68" s="71">
        <f t="shared" si="10"/>
        <v>366.9</v>
      </c>
      <c r="AA68" s="71">
        <f t="shared" si="10"/>
        <v>369.79999999999995</v>
      </c>
      <c r="AB68" s="71">
        <f t="shared" si="10"/>
        <v>452.2</v>
      </c>
      <c r="AC68" s="71">
        <f t="shared" si="10"/>
        <v>423.9</v>
      </c>
      <c r="AD68" s="71">
        <f t="shared" si="10"/>
        <v>407.6</v>
      </c>
      <c r="AE68" s="71">
        <f t="shared" si="10"/>
        <v>479</v>
      </c>
      <c r="AF68" s="71">
        <f t="shared" si="10"/>
        <v>405</v>
      </c>
      <c r="AG68" s="76">
        <f>SUM(AG57:AG67)</f>
        <v>0</v>
      </c>
      <c r="AH68" s="53">
        <f t="shared" si="2"/>
        <v>623</v>
      </c>
      <c r="AI68" s="54">
        <f t="shared" si="3"/>
        <v>236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1">SUM(D69:D71)</f>
        <v>0</v>
      </c>
      <c r="E72" s="71">
        <f t="shared" si="11"/>
        <v>0</v>
      </c>
      <c r="F72" s="71">
        <f t="shared" si="11"/>
        <v>0</v>
      </c>
      <c r="G72" s="71">
        <f t="shared" si="11"/>
        <v>0</v>
      </c>
      <c r="H72" s="71">
        <f t="shared" si="11"/>
        <v>0</v>
      </c>
      <c r="I72" s="71">
        <f t="shared" si="11"/>
        <v>0</v>
      </c>
      <c r="J72" s="71">
        <f t="shared" si="11"/>
        <v>0</v>
      </c>
      <c r="K72" s="71">
        <f t="shared" si="11"/>
        <v>0</v>
      </c>
      <c r="L72" s="71">
        <f t="shared" si="11"/>
        <v>0</v>
      </c>
      <c r="M72" s="71">
        <f t="shared" si="11"/>
        <v>0</v>
      </c>
      <c r="N72" s="71">
        <f t="shared" si="11"/>
        <v>0</v>
      </c>
      <c r="O72" s="71">
        <f t="shared" si="11"/>
        <v>0</v>
      </c>
      <c r="P72" s="71">
        <f t="shared" si="11"/>
        <v>0</v>
      </c>
      <c r="Q72" s="71">
        <f t="shared" si="11"/>
        <v>0</v>
      </c>
      <c r="R72" s="71">
        <f t="shared" si="11"/>
        <v>0</v>
      </c>
      <c r="S72" s="71">
        <f t="shared" si="11"/>
        <v>0</v>
      </c>
      <c r="T72" s="71">
        <f t="shared" si="11"/>
        <v>0</v>
      </c>
      <c r="U72" s="71">
        <f t="shared" si="11"/>
        <v>0</v>
      </c>
      <c r="V72" s="71">
        <f t="shared" si="11"/>
        <v>0</v>
      </c>
      <c r="W72" s="71">
        <f t="shared" si="11"/>
        <v>0</v>
      </c>
      <c r="X72" s="71">
        <f t="shared" si="11"/>
        <v>0</v>
      </c>
      <c r="Y72" s="71">
        <f t="shared" si="11"/>
        <v>0</v>
      </c>
      <c r="Z72" s="71">
        <f t="shared" si="11"/>
        <v>0</v>
      </c>
      <c r="AA72" s="71">
        <f t="shared" si="11"/>
        <v>0</v>
      </c>
      <c r="AB72" s="71">
        <f t="shared" si="11"/>
        <v>0</v>
      </c>
      <c r="AC72" s="71">
        <f t="shared" si="11"/>
        <v>0</v>
      </c>
      <c r="AD72" s="71">
        <f t="shared" si="11"/>
        <v>0</v>
      </c>
      <c r="AE72" s="71">
        <f t="shared" si="11"/>
        <v>0</v>
      </c>
      <c r="AF72" s="71">
        <f t="shared" si="11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908.04</v>
      </c>
      <c r="C73" s="88">
        <f>C68+C56+C52+C38+C72</f>
        <v>870.83999999999992</v>
      </c>
      <c r="D73" s="88">
        <f t="shared" ref="D73:AG73" si="12">D68+D56+D52+D38+D72</f>
        <v>871.7399999999999</v>
      </c>
      <c r="E73" s="88">
        <f t="shared" si="12"/>
        <v>860.24</v>
      </c>
      <c r="F73" s="88">
        <f t="shared" si="12"/>
        <v>855.04</v>
      </c>
      <c r="G73" s="88">
        <f t="shared" si="12"/>
        <v>908.24</v>
      </c>
      <c r="H73" s="88">
        <f t="shared" si="12"/>
        <v>962.84000000000015</v>
      </c>
      <c r="I73" s="88">
        <f t="shared" si="12"/>
        <v>1077.6399999999999</v>
      </c>
      <c r="J73" s="88">
        <f t="shared" si="12"/>
        <v>1139.8399999999999</v>
      </c>
      <c r="K73" s="88">
        <f t="shared" si="12"/>
        <v>1329.64</v>
      </c>
      <c r="L73" s="88">
        <f t="shared" si="12"/>
        <v>1445.14</v>
      </c>
      <c r="M73" s="88">
        <f t="shared" si="12"/>
        <v>1514.7400000000002</v>
      </c>
      <c r="N73" s="88">
        <f t="shared" si="12"/>
        <v>1523.54</v>
      </c>
      <c r="O73" s="88">
        <f t="shared" si="12"/>
        <v>1519.24</v>
      </c>
      <c r="P73" s="88">
        <f t="shared" si="12"/>
        <v>1455.34</v>
      </c>
      <c r="Q73" s="88">
        <f t="shared" si="12"/>
        <v>1359.54</v>
      </c>
      <c r="R73" s="88">
        <f t="shared" si="12"/>
        <v>1351.44</v>
      </c>
      <c r="S73" s="88">
        <f t="shared" si="12"/>
        <v>1335.24</v>
      </c>
      <c r="T73" s="88">
        <f t="shared" si="12"/>
        <v>1307.54</v>
      </c>
      <c r="U73" s="88">
        <f t="shared" si="12"/>
        <v>1336.9399999999996</v>
      </c>
      <c r="V73" s="88">
        <f t="shared" si="12"/>
        <v>1326.9399999999996</v>
      </c>
      <c r="W73" s="88">
        <f t="shared" si="12"/>
        <v>1447.14</v>
      </c>
      <c r="X73" s="88">
        <f t="shared" si="12"/>
        <v>1634.7400000000002</v>
      </c>
      <c r="Y73" s="88">
        <f t="shared" si="12"/>
        <v>1668.94</v>
      </c>
      <c r="Z73" s="88">
        <f t="shared" si="12"/>
        <v>1605.24</v>
      </c>
      <c r="AA73" s="88">
        <f t="shared" si="12"/>
        <v>1560.94</v>
      </c>
      <c r="AB73" s="88">
        <f t="shared" si="12"/>
        <v>1542.54</v>
      </c>
      <c r="AC73" s="88">
        <f t="shared" si="12"/>
        <v>1415.1399999999999</v>
      </c>
      <c r="AD73" s="88">
        <f t="shared" si="12"/>
        <v>1315.6399999999999</v>
      </c>
      <c r="AE73" s="88">
        <f t="shared" si="12"/>
        <v>1145.3399999999999</v>
      </c>
      <c r="AF73" s="88">
        <f t="shared" si="12"/>
        <v>970.04</v>
      </c>
      <c r="AG73" s="88">
        <f t="shared" si="12"/>
        <v>2144.14</v>
      </c>
      <c r="AH73" s="53">
        <f t="shared" si="2"/>
        <v>1668.94</v>
      </c>
      <c r="AI73" s="54">
        <f t="shared" si="3"/>
        <v>855.04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908.04</v>
      </c>
      <c r="C75" s="88">
        <f>C73+C74</f>
        <v>870.83999999999992</v>
      </c>
      <c r="D75" s="88">
        <f t="shared" ref="D75:AF75" si="13">D72+D68+D56+D52+D38+D74</f>
        <v>871.7399999999999</v>
      </c>
      <c r="E75" s="88">
        <f t="shared" si="13"/>
        <v>860.24</v>
      </c>
      <c r="F75" s="88">
        <f t="shared" si="13"/>
        <v>855.04</v>
      </c>
      <c r="G75" s="88">
        <f t="shared" si="13"/>
        <v>908.24</v>
      </c>
      <c r="H75" s="88">
        <f t="shared" si="13"/>
        <v>962.84000000000015</v>
      </c>
      <c r="I75" s="88">
        <f t="shared" si="13"/>
        <v>1077.6399999999999</v>
      </c>
      <c r="J75" s="88">
        <f t="shared" si="13"/>
        <v>1139.8399999999999</v>
      </c>
      <c r="K75" s="88">
        <f t="shared" si="13"/>
        <v>1329.64</v>
      </c>
      <c r="L75" s="88">
        <f t="shared" si="13"/>
        <v>1445.14</v>
      </c>
      <c r="M75" s="88">
        <f t="shared" si="13"/>
        <v>1514.7400000000002</v>
      </c>
      <c r="N75" s="88">
        <f t="shared" si="13"/>
        <v>1523.54</v>
      </c>
      <c r="O75" s="88">
        <f t="shared" si="13"/>
        <v>1519.24</v>
      </c>
      <c r="P75" s="88">
        <f t="shared" si="13"/>
        <v>1455.34</v>
      </c>
      <c r="Q75" s="88">
        <f t="shared" si="13"/>
        <v>1359.54</v>
      </c>
      <c r="R75" s="88">
        <f t="shared" si="13"/>
        <v>1351.44</v>
      </c>
      <c r="S75" s="88">
        <f t="shared" si="13"/>
        <v>1335.24</v>
      </c>
      <c r="T75" s="88">
        <f t="shared" si="13"/>
        <v>1307.54</v>
      </c>
      <c r="U75" s="88">
        <f t="shared" si="13"/>
        <v>1336.9399999999996</v>
      </c>
      <c r="V75" s="88">
        <f t="shared" si="13"/>
        <v>1326.9399999999996</v>
      </c>
      <c r="W75" s="88">
        <f t="shared" si="13"/>
        <v>1447.14</v>
      </c>
      <c r="X75" s="88">
        <f t="shared" si="13"/>
        <v>1634.7400000000002</v>
      </c>
      <c r="Y75" s="88">
        <f t="shared" si="13"/>
        <v>1668.94</v>
      </c>
      <c r="Z75" s="88">
        <f t="shared" si="13"/>
        <v>1605.24</v>
      </c>
      <c r="AA75" s="88">
        <f t="shared" si="13"/>
        <v>1560.94</v>
      </c>
      <c r="AB75" s="88">
        <f t="shared" si="13"/>
        <v>1542.54</v>
      </c>
      <c r="AC75" s="88">
        <f t="shared" si="13"/>
        <v>1415.1399999999999</v>
      </c>
      <c r="AD75" s="88">
        <f t="shared" si="13"/>
        <v>1315.6399999999999</v>
      </c>
      <c r="AE75" s="88">
        <f t="shared" si="13"/>
        <v>1145.3399999999999</v>
      </c>
      <c r="AF75" s="88">
        <f t="shared" si="13"/>
        <v>970.04</v>
      </c>
      <c r="AG75" s="76">
        <f>AG72+AG68+AG56+AG52+AG38+AG74</f>
        <v>2144.14</v>
      </c>
      <c r="AH75" s="53">
        <f t="shared" si="2"/>
        <v>1668.94</v>
      </c>
      <c r="AI75" s="54">
        <f t="shared" si="3"/>
        <v>855.04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4">IF(D60&lt;0,D60*-1,0)</f>
        <v>0</v>
      </c>
      <c r="E76" s="57">
        <f t="shared" si="14"/>
        <v>0</v>
      </c>
      <c r="F76" s="57">
        <f t="shared" si="14"/>
        <v>0</v>
      </c>
      <c r="G76" s="57">
        <f t="shared" si="14"/>
        <v>0</v>
      </c>
      <c r="H76" s="57">
        <f t="shared" si="14"/>
        <v>0</v>
      </c>
      <c r="I76" s="57">
        <f t="shared" si="14"/>
        <v>0</v>
      </c>
      <c r="J76" s="57">
        <f t="shared" si="14"/>
        <v>0</v>
      </c>
      <c r="K76" s="57">
        <f t="shared" si="14"/>
        <v>0</v>
      </c>
      <c r="L76" s="57">
        <f t="shared" si="14"/>
        <v>0</v>
      </c>
      <c r="M76" s="57">
        <f t="shared" si="14"/>
        <v>0</v>
      </c>
      <c r="N76" s="57">
        <f t="shared" si="14"/>
        <v>0</v>
      </c>
      <c r="O76" s="57">
        <f t="shared" si="14"/>
        <v>0</v>
      </c>
      <c r="P76" s="57">
        <f t="shared" si="14"/>
        <v>0</v>
      </c>
      <c r="Q76" s="57">
        <f t="shared" si="14"/>
        <v>0</v>
      </c>
      <c r="R76" s="57">
        <f t="shared" si="14"/>
        <v>0</v>
      </c>
      <c r="S76" s="57">
        <f t="shared" si="14"/>
        <v>0</v>
      </c>
      <c r="T76" s="57">
        <f t="shared" si="14"/>
        <v>0</v>
      </c>
      <c r="U76" s="57">
        <f t="shared" si="14"/>
        <v>0</v>
      </c>
      <c r="V76" s="57">
        <f t="shared" si="14"/>
        <v>0</v>
      </c>
      <c r="W76" s="57">
        <f t="shared" si="14"/>
        <v>0</v>
      </c>
      <c r="X76" s="57">
        <f t="shared" si="14"/>
        <v>0</v>
      </c>
      <c r="Y76" s="57">
        <f t="shared" si="14"/>
        <v>0</v>
      </c>
      <c r="Z76" s="57">
        <f t="shared" si="14"/>
        <v>0</v>
      </c>
      <c r="AA76" s="57">
        <f t="shared" si="14"/>
        <v>0</v>
      </c>
      <c r="AB76" s="57">
        <f t="shared" si="14"/>
        <v>0</v>
      </c>
      <c r="AC76" s="57">
        <f t="shared" si="14"/>
        <v>0</v>
      </c>
      <c r="AD76" s="57">
        <f t="shared" si="14"/>
        <v>0</v>
      </c>
      <c r="AE76" s="57">
        <f t="shared" si="14"/>
        <v>0</v>
      </c>
      <c r="AF76" s="57">
        <f t="shared" si="14"/>
        <v>0</v>
      </c>
      <c r="AG76" s="61"/>
      <c r="AH76" s="53">
        <f t="shared" ref="AH76:AH91" si="15">MAX(B76:AF76)</f>
        <v>0</v>
      </c>
      <c r="AI76" s="54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7">IF(D58&lt;0,D58*-1,0)</f>
        <v>0</v>
      </c>
      <c r="E77" s="57">
        <f t="shared" si="17"/>
        <v>0</v>
      </c>
      <c r="F77" s="57">
        <f t="shared" si="17"/>
        <v>0</v>
      </c>
      <c r="G77" s="57">
        <f t="shared" si="17"/>
        <v>0</v>
      </c>
      <c r="H77" s="57">
        <f t="shared" si="17"/>
        <v>0</v>
      </c>
      <c r="I77" s="57">
        <f t="shared" si="17"/>
        <v>0</v>
      </c>
      <c r="J77" s="57">
        <f t="shared" si="17"/>
        <v>0</v>
      </c>
      <c r="K77" s="57">
        <f t="shared" si="17"/>
        <v>0</v>
      </c>
      <c r="L77" s="57">
        <f t="shared" si="17"/>
        <v>0</v>
      </c>
      <c r="M77" s="57">
        <f t="shared" si="17"/>
        <v>0</v>
      </c>
      <c r="N77" s="57">
        <f t="shared" si="17"/>
        <v>0</v>
      </c>
      <c r="O77" s="57">
        <f t="shared" si="17"/>
        <v>0</v>
      </c>
      <c r="P77" s="57">
        <f t="shared" si="17"/>
        <v>0</v>
      </c>
      <c r="Q77" s="57">
        <f t="shared" si="17"/>
        <v>0</v>
      </c>
      <c r="R77" s="57">
        <f t="shared" si="17"/>
        <v>0</v>
      </c>
      <c r="S77" s="57">
        <f t="shared" si="17"/>
        <v>0</v>
      </c>
      <c r="T77" s="57">
        <f t="shared" si="17"/>
        <v>0</v>
      </c>
      <c r="U77" s="57">
        <f t="shared" si="17"/>
        <v>0</v>
      </c>
      <c r="V77" s="57">
        <f t="shared" si="17"/>
        <v>0</v>
      </c>
      <c r="W77" s="57">
        <f t="shared" si="17"/>
        <v>0</v>
      </c>
      <c r="X77" s="57">
        <f t="shared" si="17"/>
        <v>0</v>
      </c>
      <c r="Y77" s="57">
        <f t="shared" si="17"/>
        <v>0</v>
      </c>
      <c r="Z77" s="57">
        <f t="shared" si="17"/>
        <v>0</v>
      </c>
      <c r="AA77" s="57">
        <f t="shared" si="17"/>
        <v>0</v>
      </c>
      <c r="AB77" s="57">
        <f t="shared" si="17"/>
        <v>0</v>
      </c>
      <c r="AC77" s="57">
        <f t="shared" si="17"/>
        <v>0</v>
      </c>
      <c r="AD77" s="57">
        <f t="shared" si="17"/>
        <v>0</v>
      </c>
      <c r="AE77" s="57">
        <f t="shared" si="17"/>
        <v>0</v>
      </c>
      <c r="AF77" s="57">
        <f t="shared" si="17"/>
        <v>0</v>
      </c>
      <c r="AG77" s="66"/>
      <c r="AH77" s="53">
        <f t="shared" si="15"/>
        <v>0</v>
      </c>
      <c r="AI77" s="54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8">IF(D61&lt;0,D61*-1,0)</f>
        <v>0</v>
      </c>
      <c r="E78" s="57">
        <f t="shared" si="18"/>
        <v>0</v>
      </c>
      <c r="F78" s="57">
        <f t="shared" si="18"/>
        <v>0</v>
      </c>
      <c r="G78" s="57">
        <f t="shared" si="18"/>
        <v>0</v>
      </c>
      <c r="H78" s="57">
        <f t="shared" si="18"/>
        <v>0</v>
      </c>
      <c r="I78" s="57">
        <f t="shared" si="18"/>
        <v>0</v>
      </c>
      <c r="J78" s="57">
        <f t="shared" si="18"/>
        <v>0</v>
      </c>
      <c r="K78" s="57">
        <f t="shared" si="18"/>
        <v>0</v>
      </c>
      <c r="L78" s="57">
        <f t="shared" si="18"/>
        <v>0</v>
      </c>
      <c r="M78" s="57">
        <f t="shared" si="18"/>
        <v>0</v>
      </c>
      <c r="N78" s="57">
        <f t="shared" si="18"/>
        <v>0</v>
      </c>
      <c r="O78" s="57">
        <f t="shared" si="18"/>
        <v>0</v>
      </c>
      <c r="P78" s="57">
        <f t="shared" si="18"/>
        <v>0</v>
      </c>
      <c r="Q78" s="57">
        <f t="shared" si="18"/>
        <v>0</v>
      </c>
      <c r="R78" s="57">
        <f t="shared" si="18"/>
        <v>0</v>
      </c>
      <c r="S78" s="57">
        <f t="shared" si="18"/>
        <v>0</v>
      </c>
      <c r="T78" s="57">
        <f t="shared" si="18"/>
        <v>0</v>
      </c>
      <c r="U78" s="57">
        <f t="shared" si="18"/>
        <v>0</v>
      </c>
      <c r="V78" s="57">
        <f t="shared" si="18"/>
        <v>0</v>
      </c>
      <c r="W78" s="57">
        <f t="shared" si="18"/>
        <v>0</v>
      </c>
      <c r="X78" s="57">
        <f t="shared" si="18"/>
        <v>0</v>
      </c>
      <c r="Y78" s="57">
        <f t="shared" si="18"/>
        <v>0</v>
      </c>
      <c r="Z78" s="57">
        <f t="shared" si="18"/>
        <v>0</v>
      </c>
      <c r="AA78" s="57">
        <f t="shared" si="18"/>
        <v>0</v>
      </c>
      <c r="AB78" s="57">
        <f t="shared" si="18"/>
        <v>0</v>
      </c>
      <c r="AC78" s="57">
        <f t="shared" si="18"/>
        <v>0</v>
      </c>
      <c r="AD78" s="57">
        <f t="shared" si="18"/>
        <v>0</v>
      </c>
      <c r="AE78" s="57">
        <f t="shared" si="18"/>
        <v>0</v>
      </c>
      <c r="AF78" s="57">
        <f t="shared" si="18"/>
        <v>0</v>
      </c>
      <c r="AG78" s="91"/>
      <c r="AH78" s="53">
        <f t="shared" si="15"/>
        <v>0</v>
      </c>
      <c r="AI78" s="54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9">IF(D59&lt;0,D59*-1,0)</f>
        <v>0</v>
      </c>
      <c r="E79" s="57">
        <f t="shared" si="19"/>
        <v>0</v>
      </c>
      <c r="F79" s="57">
        <f t="shared" si="19"/>
        <v>0</v>
      </c>
      <c r="G79" s="57">
        <f t="shared" si="19"/>
        <v>0</v>
      </c>
      <c r="H79" s="57">
        <f t="shared" si="19"/>
        <v>0</v>
      </c>
      <c r="I79" s="57">
        <f t="shared" si="19"/>
        <v>0</v>
      </c>
      <c r="J79" s="57">
        <f t="shared" si="19"/>
        <v>0</v>
      </c>
      <c r="K79" s="57">
        <f t="shared" si="19"/>
        <v>0</v>
      </c>
      <c r="L79" s="57">
        <f t="shared" si="19"/>
        <v>0</v>
      </c>
      <c r="M79" s="57">
        <f t="shared" si="19"/>
        <v>0</v>
      </c>
      <c r="N79" s="57">
        <f t="shared" si="19"/>
        <v>0</v>
      </c>
      <c r="O79" s="57">
        <f t="shared" si="19"/>
        <v>0</v>
      </c>
      <c r="P79" s="57">
        <f t="shared" si="19"/>
        <v>0</v>
      </c>
      <c r="Q79" s="57">
        <f t="shared" si="19"/>
        <v>0</v>
      </c>
      <c r="R79" s="57">
        <f t="shared" si="19"/>
        <v>0</v>
      </c>
      <c r="S79" s="57">
        <f t="shared" si="19"/>
        <v>0</v>
      </c>
      <c r="T79" s="57">
        <f t="shared" si="19"/>
        <v>0</v>
      </c>
      <c r="U79" s="57">
        <f t="shared" si="19"/>
        <v>0</v>
      </c>
      <c r="V79" s="57">
        <f t="shared" si="19"/>
        <v>0</v>
      </c>
      <c r="W79" s="57">
        <f t="shared" si="19"/>
        <v>0</v>
      </c>
      <c r="X79" s="57">
        <f t="shared" si="19"/>
        <v>0</v>
      </c>
      <c r="Y79" s="57">
        <f t="shared" si="19"/>
        <v>0</v>
      </c>
      <c r="Z79" s="57">
        <f t="shared" si="19"/>
        <v>0</v>
      </c>
      <c r="AA79" s="57">
        <f t="shared" si="19"/>
        <v>0</v>
      </c>
      <c r="AB79" s="57">
        <f t="shared" si="19"/>
        <v>0</v>
      </c>
      <c r="AC79" s="57">
        <f t="shared" si="19"/>
        <v>0</v>
      </c>
      <c r="AD79" s="57">
        <f t="shared" si="19"/>
        <v>0</v>
      </c>
      <c r="AE79" s="57">
        <f t="shared" si="19"/>
        <v>0</v>
      </c>
      <c r="AF79" s="57">
        <f t="shared" si="19"/>
        <v>0</v>
      </c>
      <c r="AG79" s="91"/>
      <c r="AH79" s="53">
        <f t="shared" si="15"/>
        <v>0</v>
      </c>
      <c r="AI79" s="54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0">IF(D57&lt;0,D57*-1,0)</f>
        <v>0</v>
      </c>
      <c r="E80" s="57">
        <f t="shared" si="20"/>
        <v>0</v>
      </c>
      <c r="F80" s="57">
        <f t="shared" si="20"/>
        <v>0</v>
      </c>
      <c r="G80" s="57">
        <f t="shared" si="20"/>
        <v>0</v>
      </c>
      <c r="H80" s="57">
        <f t="shared" si="20"/>
        <v>0</v>
      </c>
      <c r="I80" s="57">
        <f t="shared" si="20"/>
        <v>0</v>
      </c>
      <c r="J80" s="57">
        <f t="shared" si="20"/>
        <v>0</v>
      </c>
      <c r="K80" s="57">
        <f t="shared" si="20"/>
        <v>0</v>
      </c>
      <c r="L80" s="57">
        <f t="shared" si="20"/>
        <v>0</v>
      </c>
      <c r="M80" s="57">
        <f t="shared" si="20"/>
        <v>0</v>
      </c>
      <c r="N80" s="57">
        <f t="shared" si="20"/>
        <v>0</v>
      </c>
      <c r="O80" s="57">
        <f t="shared" si="20"/>
        <v>0</v>
      </c>
      <c r="P80" s="57">
        <f t="shared" si="20"/>
        <v>0</v>
      </c>
      <c r="Q80" s="57">
        <f t="shared" si="20"/>
        <v>0</v>
      </c>
      <c r="R80" s="57">
        <f t="shared" si="20"/>
        <v>0</v>
      </c>
      <c r="S80" s="57">
        <f t="shared" si="20"/>
        <v>0</v>
      </c>
      <c r="T80" s="57">
        <f t="shared" si="20"/>
        <v>0</v>
      </c>
      <c r="U80" s="57">
        <f t="shared" si="20"/>
        <v>0</v>
      </c>
      <c r="V80" s="57">
        <f t="shared" si="20"/>
        <v>0</v>
      </c>
      <c r="W80" s="57">
        <f t="shared" si="20"/>
        <v>0</v>
      </c>
      <c r="X80" s="57">
        <f t="shared" si="20"/>
        <v>0</v>
      </c>
      <c r="Y80" s="57">
        <f t="shared" si="20"/>
        <v>0</v>
      </c>
      <c r="Z80" s="57">
        <f t="shared" si="20"/>
        <v>0</v>
      </c>
      <c r="AA80" s="57">
        <f t="shared" si="20"/>
        <v>0</v>
      </c>
      <c r="AB80" s="57">
        <f t="shared" si="20"/>
        <v>0</v>
      </c>
      <c r="AC80" s="57">
        <f t="shared" si="20"/>
        <v>0</v>
      </c>
      <c r="AD80" s="57">
        <f t="shared" si="20"/>
        <v>0</v>
      </c>
      <c r="AE80" s="57">
        <f t="shared" si="20"/>
        <v>0</v>
      </c>
      <c r="AF80" s="57">
        <f t="shared" si="20"/>
        <v>0</v>
      </c>
      <c r="AG80" s="91"/>
      <c r="AH80" s="53">
        <f t="shared" si="15"/>
        <v>0</v>
      </c>
      <c r="AI80" s="54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5"/>
        <v>0</v>
      </c>
      <c r="AI81" s="54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1">SUM(C76:C81)</f>
        <v>0</v>
      </c>
      <c r="D82" s="71">
        <f t="shared" si="21"/>
        <v>0</v>
      </c>
      <c r="E82" s="71">
        <f t="shared" si="21"/>
        <v>0</v>
      </c>
      <c r="F82" s="71">
        <f t="shared" si="21"/>
        <v>0</v>
      </c>
      <c r="G82" s="71">
        <f t="shared" si="21"/>
        <v>0</v>
      </c>
      <c r="H82" s="71">
        <f t="shared" si="21"/>
        <v>0</v>
      </c>
      <c r="I82" s="71">
        <f t="shared" si="21"/>
        <v>0</v>
      </c>
      <c r="J82" s="71">
        <f t="shared" si="21"/>
        <v>0</v>
      </c>
      <c r="K82" s="71">
        <f t="shared" si="21"/>
        <v>0</v>
      </c>
      <c r="L82" s="71">
        <f t="shared" si="21"/>
        <v>0</v>
      </c>
      <c r="M82" s="71">
        <f t="shared" si="21"/>
        <v>0</v>
      </c>
      <c r="N82" s="71">
        <f t="shared" si="21"/>
        <v>0</v>
      </c>
      <c r="O82" s="71">
        <f t="shared" si="21"/>
        <v>0</v>
      </c>
      <c r="P82" s="71">
        <f t="shared" si="21"/>
        <v>0</v>
      </c>
      <c r="Q82" s="71">
        <f t="shared" si="21"/>
        <v>0</v>
      </c>
      <c r="R82" s="71">
        <f t="shared" si="21"/>
        <v>0</v>
      </c>
      <c r="S82" s="71">
        <f t="shared" si="21"/>
        <v>0</v>
      </c>
      <c r="T82" s="71">
        <f t="shared" si="21"/>
        <v>0</v>
      </c>
      <c r="U82" s="71">
        <f t="shared" si="21"/>
        <v>0</v>
      </c>
      <c r="V82" s="71">
        <f t="shared" si="21"/>
        <v>0</v>
      </c>
      <c r="W82" s="71">
        <f t="shared" si="21"/>
        <v>0</v>
      </c>
      <c r="X82" s="71">
        <f t="shared" si="21"/>
        <v>0</v>
      </c>
      <c r="Y82" s="71">
        <f t="shared" si="21"/>
        <v>0</v>
      </c>
      <c r="Z82" s="71">
        <f t="shared" si="21"/>
        <v>0</v>
      </c>
      <c r="AA82" s="71">
        <f t="shared" si="21"/>
        <v>0</v>
      </c>
      <c r="AB82" s="71">
        <f t="shared" si="21"/>
        <v>0</v>
      </c>
      <c r="AC82" s="71">
        <f t="shared" si="21"/>
        <v>0</v>
      </c>
      <c r="AD82" s="71">
        <f t="shared" si="21"/>
        <v>0</v>
      </c>
      <c r="AE82" s="71">
        <f t="shared" si="21"/>
        <v>0</v>
      </c>
      <c r="AF82" s="71">
        <f t="shared" si="21"/>
        <v>0</v>
      </c>
      <c r="AG82" s="76">
        <f t="shared" si="21"/>
        <v>0</v>
      </c>
      <c r="AH82" s="53">
        <f t="shared" si="15"/>
        <v>0</v>
      </c>
      <c r="AI82" s="54">
        <f t="shared" si="16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1816.08</v>
      </c>
      <c r="C83" s="71">
        <f>SUM(C70:C82)</f>
        <v>1741.6799999999998</v>
      </c>
      <c r="D83" s="71">
        <f t="shared" ref="D83:AG83" si="22">SUM(D70:D82)</f>
        <v>1743.4799999999998</v>
      </c>
      <c r="E83" s="71">
        <f t="shared" si="22"/>
        <v>1720.48</v>
      </c>
      <c r="F83" s="71">
        <f t="shared" si="22"/>
        <v>1710.08</v>
      </c>
      <c r="G83" s="71">
        <f t="shared" si="22"/>
        <v>1816.48</v>
      </c>
      <c r="H83" s="71">
        <f t="shared" si="22"/>
        <v>1925.6800000000003</v>
      </c>
      <c r="I83" s="71">
        <f t="shared" si="22"/>
        <v>2155.2799999999997</v>
      </c>
      <c r="J83" s="71">
        <f t="shared" si="22"/>
        <v>2279.6799999999998</v>
      </c>
      <c r="K83" s="71">
        <f t="shared" si="22"/>
        <v>2659.28</v>
      </c>
      <c r="L83" s="71">
        <f t="shared" si="22"/>
        <v>2890.28</v>
      </c>
      <c r="M83" s="71">
        <f t="shared" si="22"/>
        <v>3029.4800000000005</v>
      </c>
      <c r="N83" s="71">
        <f t="shared" si="22"/>
        <v>3047.08</v>
      </c>
      <c r="O83" s="71">
        <f t="shared" si="22"/>
        <v>3038.48</v>
      </c>
      <c r="P83" s="71">
        <f t="shared" si="22"/>
        <v>2910.68</v>
      </c>
      <c r="Q83" s="71">
        <f t="shared" si="22"/>
        <v>2719.08</v>
      </c>
      <c r="R83" s="71">
        <f t="shared" si="22"/>
        <v>2702.88</v>
      </c>
      <c r="S83" s="71">
        <f t="shared" si="22"/>
        <v>2670.48</v>
      </c>
      <c r="T83" s="71">
        <f t="shared" si="22"/>
        <v>2615.08</v>
      </c>
      <c r="U83" s="71">
        <f t="shared" si="22"/>
        <v>2673.8799999999992</v>
      </c>
      <c r="V83" s="71">
        <f t="shared" si="22"/>
        <v>2653.8799999999992</v>
      </c>
      <c r="W83" s="71">
        <f t="shared" si="22"/>
        <v>2894.28</v>
      </c>
      <c r="X83" s="71">
        <f t="shared" si="22"/>
        <v>3269.4800000000005</v>
      </c>
      <c r="Y83" s="71">
        <f t="shared" si="22"/>
        <v>3337.88</v>
      </c>
      <c r="Z83" s="71">
        <f t="shared" si="22"/>
        <v>3210.48</v>
      </c>
      <c r="AA83" s="71">
        <f t="shared" si="22"/>
        <v>3121.88</v>
      </c>
      <c r="AB83" s="71">
        <f t="shared" si="22"/>
        <v>3085.08</v>
      </c>
      <c r="AC83" s="71">
        <f t="shared" si="22"/>
        <v>2830.2799999999997</v>
      </c>
      <c r="AD83" s="71">
        <f t="shared" si="22"/>
        <v>2631.2799999999997</v>
      </c>
      <c r="AE83" s="71">
        <f t="shared" si="22"/>
        <v>2290.6799999999998</v>
      </c>
      <c r="AF83" s="71">
        <f t="shared" si="22"/>
        <v>1940.08</v>
      </c>
      <c r="AG83" s="76">
        <f t="shared" si="22"/>
        <v>4360.08</v>
      </c>
      <c r="AH83" s="53">
        <f t="shared" si="15"/>
        <v>3337.88</v>
      </c>
      <c r="AI83" s="54">
        <f t="shared" si="16"/>
        <v>1710.08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49.969000000000001</v>
      </c>
      <c r="C84" s="94">
        <v>49.969000000000001</v>
      </c>
      <c r="D84" s="95">
        <v>50.3</v>
      </c>
      <c r="E84" s="95">
        <v>50.030999999999999</v>
      </c>
      <c r="F84" s="95">
        <v>49.99</v>
      </c>
      <c r="G84" s="95">
        <v>50.002000000000002</v>
      </c>
      <c r="H84" s="95">
        <v>50.04</v>
      </c>
      <c r="I84" s="95">
        <v>50.024000000000001</v>
      </c>
      <c r="J84" s="95">
        <v>50.15</v>
      </c>
      <c r="K84" s="95">
        <v>50.15</v>
      </c>
      <c r="L84" s="95">
        <v>49.959000000000003</v>
      </c>
      <c r="M84" s="95">
        <v>50.003999999999998</v>
      </c>
      <c r="N84" s="95">
        <v>50.003999999999998</v>
      </c>
      <c r="O84" s="95">
        <v>50.033000000000001</v>
      </c>
      <c r="P84" s="95">
        <v>50.046999999999997</v>
      </c>
      <c r="Q84" s="95">
        <v>50.067999999999998</v>
      </c>
      <c r="R84" s="95">
        <v>50.115000000000002</v>
      </c>
      <c r="S84" s="95">
        <v>50.0334</v>
      </c>
      <c r="T84" s="95">
        <v>50.005000000000003</v>
      </c>
      <c r="U84" s="95">
        <v>50.039000000000001</v>
      </c>
      <c r="V84" s="95">
        <v>50.039000000000001</v>
      </c>
      <c r="W84" s="95">
        <v>49.962000000000003</v>
      </c>
      <c r="X84" s="95">
        <v>49.957000000000001</v>
      </c>
      <c r="Y84" s="95">
        <v>50.036000000000001</v>
      </c>
      <c r="Z84" s="95">
        <v>50.045999999999999</v>
      </c>
      <c r="AA84" s="95">
        <v>49.901000000000003</v>
      </c>
      <c r="AB84" s="95">
        <v>50.036999999999999</v>
      </c>
      <c r="AC84" s="95">
        <v>49.996000000000002</v>
      </c>
      <c r="AD84" s="95">
        <v>50.009</v>
      </c>
      <c r="AE84" s="95">
        <v>50.02</v>
      </c>
      <c r="AF84" s="95">
        <v>49.969000000000001</v>
      </c>
      <c r="AG84" s="96"/>
      <c r="AH84" s="53">
        <f t="shared" si="15"/>
        <v>50.3</v>
      </c>
      <c r="AI84" s="54">
        <f t="shared" si="16"/>
        <v>49.901000000000003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127</v>
      </c>
      <c r="C85" s="98">
        <v>127</v>
      </c>
      <c r="D85" s="98">
        <v>127</v>
      </c>
      <c r="E85" s="72">
        <v>127</v>
      </c>
      <c r="F85" s="72">
        <v>126.1</v>
      </c>
      <c r="G85" s="72">
        <v>127.7</v>
      </c>
      <c r="H85" s="72">
        <v>126.5</v>
      </c>
      <c r="I85" s="72">
        <v>124.4</v>
      </c>
      <c r="J85" s="72">
        <v>124</v>
      </c>
      <c r="K85" s="72">
        <v>124</v>
      </c>
      <c r="L85" s="72">
        <v>124.8</v>
      </c>
      <c r="M85" s="72">
        <v>124.1</v>
      </c>
      <c r="N85" s="72">
        <v>124.1</v>
      </c>
      <c r="O85" s="72">
        <v>122.9</v>
      </c>
      <c r="P85" s="72">
        <v>119</v>
      </c>
      <c r="Q85" s="72">
        <v>123</v>
      </c>
      <c r="R85" s="72">
        <v>123</v>
      </c>
      <c r="S85" s="72">
        <v>124.1</v>
      </c>
      <c r="T85" s="72">
        <v>124.1</v>
      </c>
      <c r="U85" s="99">
        <v>125.4</v>
      </c>
      <c r="V85" s="99">
        <v>125.4</v>
      </c>
      <c r="W85" s="99">
        <v>125.3</v>
      </c>
      <c r="X85" s="99">
        <v>125.3</v>
      </c>
      <c r="Y85" s="99">
        <v>122.4</v>
      </c>
      <c r="Z85" s="99">
        <v>124.9</v>
      </c>
      <c r="AA85" s="99">
        <v>122.4</v>
      </c>
      <c r="AB85" s="72">
        <v>126.1</v>
      </c>
      <c r="AC85" s="72">
        <v>126.2</v>
      </c>
      <c r="AD85" s="72">
        <v>127.5</v>
      </c>
      <c r="AE85" s="72">
        <v>127</v>
      </c>
      <c r="AF85" s="72">
        <v>125.5</v>
      </c>
      <c r="AG85" s="100"/>
      <c r="AH85" s="53">
        <f t="shared" si="15"/>
        <v>127.7</v>
      </c>
      <c r="AI85" s="54">
        <f t="shared" si="16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131</v>
      </c>
      <c r="C86" s="98">
        <v>131</v>
      </c>
      <c r="D86" s="98">
        <v>131</v>
      </c>
      <c r="E86" s="72">
        <v>131.80000000000001</v>
      </c>
      <c r="F86" s="72">
        <v>130.9</v>
      </c>
      <c r="G86" s="72">
        <v>131.80000000000001</v>
      </c>
      <c r="H86" s="72">
        <v>131</v>
      </c>
      <c r="I86" s="72">
        <v>128.69999999999999</v>
      </c>
      <c r="J86" s="72">
        <v>128.19999999999999</v>
      </c>
      <c r="K86" s="72">
        <v>128.19999999999999</v>
      </c>
      <c r="L86" s="72">
        <v>127.3</v>
      </c>
      <c r="M86" s="72">
        <v>126.5</v>
      </c>
      <c r="N86" s="72">
        <v>126.5</v>
      </c>
      <c r="O86" s="72">
        <v>125</v>
      </c>
      <c r="P86" s="72">
        <v>120</v>
      </c>
      <c r="Q86" s="72">
        <v>125</v>
      </c>
      <c r="R86" s="72">
        <v>125</v>
      </c>
      <c r="S86" s="72">
        <v>126.1</v>
      </c>
      <c r="T86" s="72">
        <v>126.5</v>
      </c>
      <c r="U86" s="99">
        <v>128</v>
      </c>
      <c r="V86" s="99">
        <v>128</v>
      </c>
      <c r="W86" s="99">
        <v>127</v>
      </c>
      <c r="X86" s="99">
        <v>127</v>
      </c>
      <c r="Y86" s="99">
        <v>124.3</v>
      </c>
      <c r="Z86" s="99">
        <v>126.5</v>
      </c>
      <c r="AA86" s="99">
        <v>124.3</v>
      </c>
      <c r="AB86" s="72">
        <v>128.30000000000001</v>
      </c>
      <c r="AC86" s="72">
        <v>128.4</v>
      </c>
      <c r="AD86" s="72">
        <v>129.6</v>
      </c>
      <c r="AE86" s="72">
        <v>130.1</v>
      </c>
      <c r="AF86" s="72">
        <v>129.4</v>
      </c>
      <c r="AG86" s="100"/>
      <c r="AH86" s="53">
        <f t="shared" si="15"/>
        <v>131.80000000000001</v>
      </c>
      <c r="AI86" s="54">
        <f t="shared" si="16"/>
        <v>120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130</v>
      </c>
      <c r="C87" s="98">
        <v>130</v>
      </c>
      <c r="D87" s="98">
        <v>130</v>
      </c>
      <c r="E87" s="72">
        <v>131.19999999999999</v>
      </c>
      <c r="F87" s="72">
        <v>130.4</v>
      </c>
      <c r="G87" s="72">
        <v>130.19999999999999</v>
      </c>
      <c r="H87" s="72">
        <v>132.19999999999999</v>
      </c>
      <c r="I87" s="72">
        <v>128.80000000000001</v>
      </c>
      <c r="J87" s="72">
        <v>128.30000000000001</v>
      </c>
      <c r="K87" s="72">
        <v>128.30000000000001</v>
      </c>
      <c r="L87" s="72">
        <v>127.7</v>
      </c>
      <c r="M87" s="72">
        <v>127.6</v>
      </c>
      <c r="N87" s="72">
        <v>127.6</v>
      </c>
      <c r="O87" s="72">
        <v>129.30000000000001</v>
      </c>
      <c r="P87" s="72">
        <v>131</v>
      </c>
      <c r="Q87" s="72">
        <v>132</v>
      </c>
      <c r="R87" s="72">
        <v>127</v>
      </c>
      <c r="S87" s="72">
        <v>128.30000000000001</v>
      </c>
      <c r="T87" s="72">
        <v>128.9</v>
      </c>
      <c r="U87" s="72">
        <v>129.30000000000001</v>
      </c>
      <c r="V87" s="72">
        <v>129.30000000000001</v>
      </c>
      <c r="W87" s="72">
        <v>128.6</v>
      </c>
      <c r="X87" s="72">
        <v>128.6</v>
      </c>
      <c r="Y87" s="99">
        <v>126.8</v>
      </c>
      <c r="Z87" s="99">
        <v>1269</v>
      </c>
      <c r="AA87" s="99">
        <v>126.8</v>
      </c>
      <c r="AB87" s="72">
        <v>131.80000000000001</v>
      </c>
      <c r="AC87" s="72">
        <v>132.19999999999999</v>
      </c>
      <c r="AD87" s="72">
        <v>131.9</v>
      </c>
      <c r="AE87" s="72">
        <v>131</v>
      </c>
      <c r="AF87" s="72">
        <v>128.80000000000001</v>
      </c>
      <c r="AG87" s="100"/>
      <c r="AH87" s="53">
        <f t="shared" si="15"/>
        <v>1269</v>
      </c>
      <c r="AI87" s="54">
        <f t="shared" si="16"/>
        <v>126.8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133</v>
      </c>
      <c r="C88" s="98">
        <v>133</v>
      </c>
      <c r="D88" s="98">
        <v>133</v>
      </c>
      <c r="E88" s="72">
        <v>133.80000000000001</v>
      </c>
      <c r="F88" s="72">
        <v>133.30000000000001</v>
      </c>
      <c r="G88" s="72">
        <v>132.80000000000001</v>
      </c>
      <c r="H88" s="72">
        <v>132.1</v>
      </c>
      <c r="I88" s="72">
        <v>130.9</v>
      </c>
      <c r="J88" s="72">
        <v>130.6</v>
      </c>
      <c r="K88" s="72">
        <v>130.6</v>
      </c>
      <c r="L88" s="72">
        <v>130.80000000000001</v>
      </c>
      <c r="M88" s="72">
        <v>130.6</v>
      </c>
      <c r="N88" s="72">
        <v>130.6</v>
      </c>
      <c r="O88" s="72">
        <v>131.19999999999999</v>
      </c>
      <c r="P88" s="72">
        <v>132</v>
      </c>
      <c r="Q88" s="72">
        <v>135</v>
      </c>
      <c r="R88" s="72">
        <v>130</v>
      </c>
      <c r="S88" s="72">
        <v>131.19999999999999</v>
      </c>
      <c r="T88" s="72">
        <v>131.4</v>
      </c>
      <c r="U88" s="72">
        <v>131.69999999999999</v>
      </c>
      <c r="V88" s="72">
        <v>131.69999999999999</v>
      </c>
      <c r="W88" s="72">
        <v>131.1</v>
      </c>
      <c r="X88" s="72">
        <v>131.1</v>
      </c>
      <c r="Y88" s="99">
        <v>131.1</v>
      </c>
      <c r="Z88" s="99">
        <v>130.69999999999999</v>
      </c>
      <c r="AA88" s="99">
        <v>131.1</v>
      </c>
      <c r="AB88" s="72">
        <v>135.6</v>
      </c>
      <c r="AC88" s="72">
        <v>134.1</v>
      </c>
      <c r="AD88" s="72">
        <v>134.19999999999999</v>
      </c>
      <c r="AE88" s="72">
        <v>133.6</v>
      </c>
      <c r="AF88" s="72">
        <v>132.1</v>
      </c>
      <c r="AG88" s="100"/>
      <c r="AH88" s="53">
        <f t="shared" si="15"/>
        <v>135.6</v>
      </c>
      <c r="AI88" s="54">
        <f t="shared" si="16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128</v>
      </c>
      <c r="C89" s="102">
        <v>128</v>
      </c>
      <c r="D89" s="102">
        <v>128</v>
      </c>
      <c r="E89" s="103">
        <v>130</v>
      </c>
      <c r="F89" s="103">
        <v>129</v>
      </c>
      <c r="G89" s="103">
        <v>132.69999999999999</v>
      </c>
      <c r="H89" s="103">
        <v>132</v>
      </c>
      <c r="I89" s="103">
        <v>133.9</v>
      </c>
      <c r="J89" s="103">
        <v>133.9</v>
      </c>
      <c r="K89" s="103">
        <v>133.9</v>
      </c>
      <c r="L89" s="103">
        <v>132.9</v>
      </c>
      <c r="M89" s="103">
        <v>131.9</v>
      </c>
      <c r="N89" s="103">
        <v>131.9</v>
      </c>
      <c r="O89" s="103">
        <v>134.6</v>
      </c>
      <c r="P89" s="103">
        <v>133</v>
      </c>
      <c r="Q89" s="103">
        <v>134</v>
      </c>
      <c r="R89" s="103">
        <v>131</v>
      </c>
      <c r="S89" s="103">
        <v>132.69999999999999</v>
      </c>
      <c r="T89" s="103">
        <v>132</v>
      </c>
      <c r="U89" s="103">
        <v>131.69999999999999</v>
      </c>
      <c r="V89" s="103">
        <v>131.69999999999999</v>
      </c>
      <c r="W89" s="103">
        <v>131.6</v>
      </c>
      <c r="X89" s="103">
        <v>131.6</v>
      </c>
      <c r="Y89" s="99">
        <v>132</v>
      </c>
      <c r="Z89" s="99">
        <v>135.5</v>
      </c>
      <c r="AA89" s="99">
        <v>132</v>
      </c>
      <c r="AB89" s="103">
        <v>133.4</v>
      </c>
      <c r="AC89" s="103">
        <v>133.30000000000001</v>
      </c>
      <c r="AD89" s="103">
        <v>133.6</v>
      </c>
      <c r="AE89" s="103">
        <v>132.1</v>
      </c>
      <c r="AF89" s="103">
        <v>127.5</v>
      </c>
      <c r="AG89" s="104"/>
      <c r="AH89" s="53">
        <f t="shared" si="15"/>
        <v>135.5</v>
      </c>
      <c r="AI89" s="54">
        <f t="shared" si="16"/>
        <v>127.5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135</v>
      </c>
      <c r="C90" s="98">
        <v>135</v>
      </c>
      <c r="D90" s="98">
        <v>135</v>
      </c>
      <c r="E90" s="72">
        <v>135.9</v>
      </c>
      <c r="F90" s="72">
        <v>136.80000000000001</v>
      </c>
      <c r="G90" s="72">
        <v>135.6</v>
      </c>
      <c r="H90" s="72">
        <v>133.80000000000001</v>
      </c>
      <c r="I90" s="72">
        <v>128.69999999999999</v>
      </c>
      <c r="J90" s="72">
        <v>125.7</v>
      </c>
      <c r="K90" s="72">
        <v>125.7</v>
      </c>
      <c r="L90" s="72">
        <v>133.9</v>
      </c>
      <c r="M90" s="72">
        <v>132.19999999999999</v>
      </c>
      <c r="N90" s="72">
        <v>132.19999999999999</v>
      </c>
      <c r="O90" s="72">
        <v>130.5</v>
      </c>
      <c r="P90" s="72">
        <v>131</v>
      </c>
      <c r="Q90" s="72">
        <v>133</v>
      </c>
      <c r="R90" s="72">
        <v>131</v>
      </c>
      <c r="S90" s="72">
        <v>132</v>
      </c>
      <c r="T90" s="72">
        <v>131.5</v>
      </c>
      <c r="U90" s="72">
        <v>131.4</v>
      </c>
      <c r="V90" s="72">
        <v>131.4</v>
      </c>
      <c r="W90" s="72">
        <v>137.4</v>
      </c>
      <c r="X90" s="72">
        <v>137.4</v>
      </c>
      <c r="Y90" s="99">
        <v>128.1</v>
      </c>
      <c r="Z90" s="99">
        <v>130.4</v>
      </c>
      <c r="AA90" s="99">
        <v>128.1</v>
      </c>
      <c r="AB90" s="72">
        <v>133.9</v>
      </c>
      <c r="AC90" s="72">
        <v>137.4</v>
      </c>
      <c r="AD90" s="72">
        <v>135</v>
      </c>
      <c r="AE90" s="72">
        <v>135.4</v>
      </c>
      <c r="AF90" s="72">
        <v>139</v>
      </c>
      <c r="AG90" s="100"/>
      <c r="AH90" s="53">
        <f t="shared" si="15"/>
        <v>139</v>
      </c>
      <c r="AI90" s="54">
        <f t="shared" si="16"/>
        <v>125.7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5"/>
        <v>0</v>
      </c>
      <c r="AI91" s="54">
        <f t="shared" si="16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212.33999999999997</v>
      </c>
      <c r="C93" s="113">
        <f>SUM(C15,C18,C21:C22,C42,C44:C45,C47,C49,C94:C97,C102,C108,C114,C123,C125,C137,C144,C147:C148,C155,C157,C159,C163:C165,C167:C169,C174,C180:C181,C183:C185,C193,C198)</f>
        <v>197.43999999999997</v>
      </c>
      <c r="D93" s="113">
        <f t="shared" ref="D93:AF93" si="23">SUM(D15,D18,D21:D22,D42,D44:D45,D47,D49,D94:D97,D102,D108,D114,D123,D125,D137,D144,D147:D148,D155,D157,D159,D163:D165,D167:D169,D174,D180:D181,D183:D185,D193,D198)</f>
        <v>188.14</v>
      </c>
      <c r="E93" s="113">
        <f t="shared" si="23"/>
        <v>188.73999999999998</v>
      </c>
      <c r="F93" s="113">
        <f t="shared" si="23"/>
        <v>189.43999999999997</v>
      </c>
      <c r="G93" s="112">
        <f t="shared" si="23"/>
        <v>211.03999999999996</v>
      </c>
      <c r="H93" s="112">
        <f t="shared" si="23"/>
        <v>224.73999999999998</v>
      </c>
      <c r="I93" s="112">
        <f t="shared" si="23"/>
        <v>268.54000000000002</v>
      </c>
      <c r="J93" s="112">
        <f t="shared" si="23"/>
        <v>291.24</v>
      </c>
      <c r="K93" s="112">
        <f t="shared" si="23"/>
        <v>396.14000000000004</v>
      </c>
      <c r="L93" s="112">
        <f t="shared" si="23"/>
        <v>431.94000000000005</v>
      </c>
      <c r="M93" s="112">
        <f t="shared" si="23"/>
        <v>431.34000000000003</v>
      </c>
      <c r="N93" s="112">
        <f t="shared" si="23"/>
        <v>450.34000000000003</v>
      </c>
      <c r="O93" s="112">
        <f t="shared" si="23"/>
        <v>452.34000000000003</v>
      </c>
      <c r="P93" s="112">
        <f t="shared" si="23"/>
        <v>471.94000000000005</v>
      </c>
      <c r="Q93" s="112">
        <f t="shared" si="23"/>
        <v>476.94000000000005</v>
      </c>
      <c r="R93" s="112">
        <f t="shared" si="23"/>
        <v>459.94000000000005</v>
      </c>
      <c r="S93" s="112">
        <f t="shared" si="23"/>
        <v>425.24</v>
      </c>
      <c r="T93" s="112">
        <f t="shared" si="23"/>
        <v>422.94000000000005</v>
      </c>
      <c r="U93" s="112">
        <f t="shared" si="23"/>
        <v>423.94</v>
      </c>
      <c r="V93" s="112">
        <f t="shared" si="23"/>
        <v>423.94</v>
      </c>
      <c r="W93" s="112">
        <f t="shared" si="23"/>
        <v>466.64</v>
      </c>
      <c r="X93" s="112">
        <f t="shared" si="23"/>
        <v>518.63999999999987</v>
      </c>
      <c r="Y93" s="112">
        <f t="shared" si="23"/>
        <v>528.84</v>
      </c>
      <c r="Z93" s="112">
        <f t="shared" si="23"/>
        <v>521.93999999999994</v>
      </c>
      <c r="AA93" s="112">
        <f t="shared" si="23"/>
        <v>510.94000000000005</v>
      </c>
      <c r="AB93" s="112">
        <f t="shared" si="23"/>
        <v>489.04</v>
      </c>
      <c r="AC93" s="112">
        <f t="shared" si="23"/>
        <v>474.24000000000007</v>
      </c>
      <c r="AD93" s="112">
        <f t="shared" si="23"/>
        <v>427.14000000000004</v>
      </c>
      <c r="AE93" s="112">
        <f t="shared" si="23"/>
        <v>332.74</v>
      </c>
      <c r="AF93" s="112">
        <f t="shared" si="23"/>
        <v>274.54000000000002</v>
      </c>
      <c r="AG93" s="114"/>
      <c r="AH93" s="53">
        <f>MAX(C93:AF93)</f>
        <v>528.84</v>
      </c>
      <c r="AI93" s="54">
        <f>MIN(C93:AF93)</f>
        <v>188.14</v>
      </c>
    </row>
    <row r="94" spans="1:88" x14ac:dyDescent="0.25">
      <c r="A94" s="115" t="s">
        <v>98</v>
      </c>
      <c r="B94" s="116">
        <v>-1.8</v>
      </c>
      <c r="C94" s="57">
        <v>-10.8</v>
      </c>
      <c r="D94" s="57">
        <v>-12.6</v>
      </c>
      <c r="E94" s="57">
        <v>-12</v>
      </c>
      <c r="F94" s="57">
        <v>-6.6</v>
      </c>
      <c r="G94" s="117">
        <v>8.1</v>
      </c>
      <c r="H94" s="117">
        <v>33</v>
      </c>
      <c r="I94" s="117">
        <v>8.8000000000000007</v>
      </c>
      <c r="J94" s="117">
        <v>17.7</v>
      </c>
      <c r="K94" s="117">
        <v>36</v>
      </c>
      <c r="L94" s="117">
        <v>41.3</v>
      </c>
      <c r="M94" s="118">
        <v>49.7</v>
      </c>
      <c r="N94" s="117">
        <v>41.8</v>
      </c>
      <c r="O94" s="117">
        <v>41.8</v>
      </c>
      <c r="P94" s="117">
        <v>64</v>
      </c>
      <c r="Q94" s="117">
        <v>43</v>
      </c>
      <c r="R94" s="117">
        <v>45</v>
      </c>
      <c r="S94" s="117">
        <v>45.7</v>
      </c>
      <c r="T94" s="117">
        <v>10.4</v>
      </c>
      <c r="U94" s="118">
        <v>13.6</v>
      </c>
      <c r="V94" s="118">
        <v>13.6</v>
      </c>
      <c r="W94" s="118">
        <v>52.2</v>
      </c>
      <c r="X94" s="117">
        <v>72.400000000000006</v>
      </c>
      <c r="Y94" s="117">
        <v>64.5</v>
      </c>
      <c r="Z94" s="117">
        <v>73.2</v>
      </c>
      <c r="AA94" s="117">
        <v>68.900000000000006</v>
      </c>
      <c r="AB94" s="118">
        <v>51.9</v>
      </c>
      <c r="AC94" s="118">
        <v>53.5</v>
      </c>
      <c r="AD94" s="118">
        <v>52.3</v>
      </c>
      <c r="AE94" s="118">
        <v>35.9</v>
      </c>
      <c r="AF94" s="118">
        <v>13.6</v>
      </c>
      <c r="AG94" s="119">
        <v>75</v>
      </c>
      <c r="AH94" s="53">
        <f t="shared" ref="AH94:AH99" si="24">IF(ABS(MAX(C94:AF94))&gt;ABS(MIN(C94:AF94)),MAX(C94:AF94),MIN(C94:AF94))</f>
        <v>73.2</v>
      </c>
      <c r="AI94" s="120">
        <f t="shared" ref="AI94:AI99" si="25">INDEX($C$9:$AF$9,1,MATCH(AH94,C94:AF94,0))</f>
        <v>0.79166666666666663</v>
      </c>
    </row>
    <row r="95" spans="1:88" x14ac:dyDescent="0.25">
      <c r="A95" s="121" t="s">
        <v>99</v>
      </c>
      <c r="B95" s="122">
        <v>-37</v>
      </c>
      <c r="C95" s="59">
        <v>-38.5</v>
      </c>
      <c r="D95" s="59">
        <v>-42.3</v>
      </c>
      <c r="E95" s="59">
        <v>-43.6</v>
      </c>
      <c r="F95" s="59">
        <v>-46.9</v>
      </c>
      <c r="G95" s="59">
        <v>-37.9</v>
      </c>
      <c r="H95" s="59">
        <v>-38.799999999999997</v>
      </c>
      <c r="I95" s="59">
        <v>-18</v>
      </c>
      <c r="J95" s="59">
        <v>-10.199999999999999</v>
      </c>
      <c r="K95" s="59">
        <v>26</v>
      </c>
      <c r="L95" s="59">
        <v>45</v>
      </c>
      <c r="M95" s="59">
        <v>56.6</v>
      </c>
      <c r="N95" s="59">
        <v>68</v>
      </c>
      <c r="O95" s="59">
        <v>68</v>
      </c>
      <c r="P95" s="59">
        <v>102</v>
      </c>
      <c r="Q95" s="59">
        <v>76</v>
      </c>
      <c r="R95" s="59">
        <v>76</v>
      </c>
      <c r="S95" s="59">
        <v>46</v>
      </c>
      <c r="T95" s="59">
        <v>65.599999999999994</v>
      </c>
      <c r="U95" s="59">
        <v>63.7</v>
      </c>
      <c r="V95" s="59">
        <v>63.7</v>
      </c>
      <c r="W95" s="59">
        <v>83.9</v>
      </c>
      <c r="X95" s="59">
        <v>88.4</v>
      </c>
      <c r="Y95" s="59">
        <v>105</v>
      </c>
      <c r="Z95" s="59">
        <v>91.2</v>
      </c>
      <c r="AA95" s="59">
        <v>86.8</v>
      </c>
      <c r="AB95" s="72">
        <v>88.5</v>
      </c>
      <c r="AC95" s="72">
        <v>81.400000000000006</v>
      </c>
      <c r="AD95" s="72">
        <v>47.8</v>
      </c>
      <c r="AE95" s="72">
        <v>20.3</v>
      </c>
      <c r="AF95" s="72">
        <v>-3.7</v>
      </c>
      <c r="AG95" s="119">
        <v>240</v>
      </c>
      <c r="AH95" s="53">
        <f t="shared" si="24"/>
        <v>105</v>
      </c>
      <c r="AI95" s="120">
        <f t="shared" si="25"/>
        <v>0.77083333333333337</v>
      </c>
    </row>
    <row r="96" spans="1:88" x14ac:dyDescent="0.25">
      <c r="A96" s="121" t="s">
        <v>100</v>
      </c>
      <c r="B96" s="122">
        <v>-5</v>
      </c>
      <c r="C96" s="59">
        <v>-2</v>
      </c>
      <c r="D96" s="59">
        <v>-6.8</v>
      </c>
      <c r="E96" s="59">
        <v>-10.9</v>
      </c>
      <c r="F96" s="59">
        <v>-12.1</v>
      </c>
      <c r="G96" s="59">
        <v>-5.8</v>
      </c>
      <c r="H96" s="59">
        <v>-7.7</v>
      </c>
      <c r="I96" s="59">
        <v>-1</v>
      </c>
      <c r="J96" s="59">
        <v>2.2000000000000002</v>
      </c>
      <c r="K96" s="59">
        <v>39</v>
      </c>
      <c r="L96" s="59">
        <v>50.6</v>
      </c>
      <c r="M96" s="59">
        <v>51.6</v>
      </c>
      <c r="N96" s="59">
        <v>48</v>
      </c>
      <c r="O96" s="59">
        <v>50</v>
      </c>
      <c r="P96" s="59">
        <v>64</v>
      </c>
      <c r="Q96" s="59">
        <v>59</v>
      </c>
      <c r="R96" s="59">
        <v>58</v>
      </c>
      <c r="S96" s="59">
        <v>64.5</v>
      </c>
      <c r="T96" s="59">
        <v>63.5</v>
      </c>
      <c r="U96" s="59">
        <v>59.4</v>
      </c>
      <c r="V96" s="59">
        <v>59.4</v>
      </c>
      <c r="W96" s="59">
        <v>62.7</v>
      </c>
      <c r="X96" s="59">
        <v>63.4</v>
      </c>
      <c r="Y96" s="59">
        <v>64.5</v>
      </c>
      <c r="Z96" s="59">
        <v>64.400000000000006</v>
      </c>
      <c r="AA96" s="59">
        <v>61</v>
      </c>
      <c r="AB96" s="72">
        <v>61.5</v>
      </c>
      <c r="AC96" s="72">
        <v>56.6</v>
      </c>
      <c r="AD96" s="72">
        <v>38.799999999999997</v>
      </c>
      <c r="AE96" s="72">
        <v>10.9</v>
      </c>
      <c r="AF96" s="72">
        <v>-3.4</v>
      </c>
      <c r="AG96" s="119">
        <v>60</v>
      </c>
      <c r="AH96" s="53">
        <f t="shared" si="24"/>
        <v>64.5</v>
      </c>
      <c r="AI96" s="120">
        <f t="shared" si="25"/>
        <v>0.58333333333333304</v>
      </c>
    </row>
    <row r="97" spans="1:37" x14ac:dyDescent="0.25">
      <c r="A97" s="123" t="s">
        <v>101</v>
      </c>
      <c r="B97" s="124">
        <v>71</v>
      </c>
      <c r="C97" s="62">
        <v>63.6</v>
      </c>
      <c r="D97" s="62">
        <v>66.400000000000006</v>
      </c>
      <c r="E97" s="62">
        <v>71.599999999999994</v>
      </c>
      <c r="F97" s="62">
        <v>71.5</v>
      </c>
      <c r="G97" s="62">
        <v>63.1</v>
      </c>
      <c r="H97" s="62">
        <v>54.4</v>
      </c>
      <c r="I97" s="62">
        <v>94.4</v>
      </c>
      <c r="J97" s="62">
        <v>97.4</v>
      </c>
      <c r="K97" s="62">
        <v>111</v>
      </c>
      <c r="L97" s="62">
        <v>110.5</v>
      </c>
      <c r="M97" s="62">
        <v>88.9</v>
      </c>
      <c r="N97" s="62">
        <v>108</v>
      </c>
      <c r="O97" s="62">
        <v>107.4</v>
      </c>
      <c r="P97" s="62">
        <v>112</v>
      </c>
      <c r="Q97" s="62">
        <v>112</v>
      </c>
      <c r="R97" s="62">
        <v>107</v>
      </c>
      <c r="S97" s="62">
        <v>93.9</v>
      </c>
      <c r="T97" s="62">
        <v>108.3</v>
      </c>
      <c r="U97" s="62">
        <v>104.2</v>
      </c>
      <c r="V97" s="62">
        <v>104.2</v>
      </c>
      <c r="W97" s="62">
        <v>87.6</v>
      </c>
      <c r="X97" s="62">
        <v>111.9</v>
      </c>
      <c r="Y97" s="62">
        <v>114.5</v>
      </c>
      <c r="Z97" s="62">
        <v>111.8</v>
      </c>
      <c r="AA97" s="62">
        <v>108.8</v>
      </c>
      <c r="AB97" s="125">
        <v>100.7</v>
      </c>
      <c r="AC97" s="125">
        <v>94.5</v>
      </c>
      <c r="AD97" s="125">
        <v>106.2</v>
      </c>
      <c r="AE97" s="125">
        <v>82.6</v>
      </c>
      <c r="AF97" s="125">
        <v>86.6</v>
      </c>
      <c r="AG97" s="126">
        <v>120</v>
      </c>
      <c r="AH97" s="53">
        <f t="shared" si="24"/>
        <v>114.5</v>
      </c>
      <c r="AI97" s="120">
        <f t="shared" si="25"/>
        <v>0.77083333333333337</v>
      </c>
    </row>
    <row r="98" spans="1:37" x14ac:dyDescent="0.25">
      <c r="A98" s="123" t="s">
        <v>102</v>
      </c>
      <c r="B98" s="124">
        <v>78</v>
      </c>
      <c r="C98" s="62">
        <v>71.8</v>
      </c>
      <c r="D98" s="62">
        <v>75.2</v>
      </c>
      <c r="E98" s="62">
        <v>79.3</v>
      </c>
      <c r="F98" s="62">
        <v>73.2</v>
      </c>
      <c r="G98" s="62">
        <v>68.900000000000006</v>
      </c>
      <c r="H98" s="62">
        <v>60.1</v>
      </c>
      <c r="I98" s="62">
        <v>98.9</v>
      </c>
      <c r="J98" s="62">
        <v>67.3</v>
      </c>
      <c r="K98" s="62">
        <v>82</v>
      </c>
      <c r="L98" s="62">
        <v>87</v>
      </c>
      <c r="M98" s="62">
        <v>80</v>
      </c>
      <c r="N98" s="62">
        <v>104</v>
      </c>
      <c r="O98" s="62">
        <v>100</v>
      </c>
      <c r="P98" s="62">
        <v>103</v>
      </c>
      <c r="Q98" s="62">
        <v>97</v>
      </c>
      <c r="R98" s="62">
        <v>90</v>
      </c>
      <c r="S98" s="62">
        <v>72.8</v>
      </c>
      <c r="T98" s="62">
        <v>110</v>
      </c>
      <c r="U98" s="62">
        <v>102.4</v>
      </c>
      <c r="V98" s="62">
        <v>102.4</v>
      </c>
      <c r="W98" s="62">
        <v>86.1</v>
      </c>
      <c r="X98" s="62">
        <v>86.8</v>
      </c>
      <c r="Y98" s="62">
        <v>110</v>
      </c>
      <c r="Z98" s="62">
        <v>87.6</v>
      </c>
      <c r="AA98" s="62">
        <v>87.7</v>
      </c>
      <c r="AB98" s="125">
        <v>93.1</v>
      </c>
      <c r="AC98" s="125">
        <v>93.6</v>
      </c>
      <c r="AD98" s="125">
        <v>75.599999999999994</v>
      </c>
      <c r="AE98" s="125">
        <v>69.2</v>
      </c>
      <c r="AF98" s="125">
        <v>82.9</v>
      </c>
      <c r="AG98" s="126"/>
      <c r="AH98" s="53">
        <f t="shared" si="24"/>
        <v>110</v>
      </c>
      <c r="AI98" s="120">
        <f t="shared" si="25"/>
        <v>0.625</v>
      </c>
    </row>
    <row r="99" spans="1:37" ht="15.75" thickBot="1" x14ac:dyDescent="0.3">
      <c r="A99" s="123" t="s">
        <v>103</v>
      </c>
      <c r="B99" s="124">
        <v>66.599999999999994</v>
      </c>
      <c r="C99" s="62">
        <v>63.9</v>
      </c>
      <c r="D99" s="62">
        <v>63.6</v>
      </c>
      <c r="E99" s="62">
        <v>62.4</v>
      </c>
      <c r="F99" s="62">
        <v>60.8</v>
      </c>
      <c r="G99" s="62">
        <v>40.700000000000003</v>
      </c>
      <c r="H99" s="62">
        <v>43.4</v>
      </c>
      <c r="I99" s="62">
        <v>48.9</v>
      </c>
      <c r="J99" s="62">
        <v>47.2</v>
      </c>
      <c r="K99" s="62">
        <v>19</v>
      </c>
      <c r="L99" s="62">
        <v>18</v>
      </c>
      <c r="M99" s="62">
        <v>18.5</v>
      </c>
      <c r="N99" s="62">
        <v>23</v>
      </c>
      <c r="O99" s="62">
        <v>23</v>
      </c>
      <c r="P99" s="62">
        <v>11.7</v>
      </c>
      <c r="Q99" s="62">
        <v>19.399999999999999</v>
      </c>
      <c r="R99" s="62">
        <v>22</v>
      </c>
      <c r="S99" s="62">
        <v>14.8</v>
      </c>
      <c r="T99" s="62">
        <v>52.2</v>
      </c>
      <c r="U99" s="62">
        <v>49.9</v>
      </c>
      <c r="V99" s="62">
        <v>49.9</v>
      </c>
      <c r="W99" s="62">
        <v>23.3</v>
      </c>
      <c r="X99" s="62">
        <v>7.8</v>
      </c>
      <c r="Y99" s="62">
        <v>17.7</v>
      </c>
      <c r="Z99" s="62">
        <v>11.2</v>
      </c>
      <c r="AA99" s="62">
        <v>11.6</v>
      </c>
      <c r="AB99" s="125">
        <v>27.3</v>
      </c>
      <c r="AC99" s="125">
        <v>26.6</v>
      </c>
      <c r="AD99" s="125">
        <v>26.5</v>
      </c>
      <c r="AE99" s="125">
        <v>26.5</v>
      </c>
      <c r="AF99" s="125">
        <v>60.6</v>
      </c>
      <c r="AG99" s="127"/>
      <c r="AH99" s="53">
        <f t="shared" si="24"/>
        <v>63.9</v>
      </c>
      <c r="AI99" s="120">
        <f t="shared" si="25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6">AF101</f>
        <v>9.9</v>
      </c>
      <c r="C101" s="52">
        <v>9.9</v>
      </c>
      <c r="D101" s="133">
        <f t="shared" ref="D101:S106" si="27">C101</f>
        <v>9.9</v>
      </c>
      <c r="E101" s="133">
        <f t="shared" si="27"/>
        <v>9.9</v>
      </c>
      <c r="F101" s="133">
        <f t="shared" si="27"/>
        <v>9.9</v>
      </c>
      <c r="G101" s="133">
        <f t="shared" si="27"/>
        <v>9.9</v>
      </c>
      <c r="H101" s="133">
        <f t="shared" si="27"/>
        <v>9.9</v>
      </c>
      <c r="I101" s="133">
        <f t="shared" si="27"/>
        <v>9.9</v>
      </c>
      <c r="J101" s="133">
        <f t="shared" si="27"/>
        <v>9.9</v>
      </c>
      <c r="K101" s="133">
        <f t="shared" si="27"/>
        <v>9.9</v>
      </c>
      <c r="L101" s="133">
        <f t="shared" si="27"/>
        <v>9.9</v>
      </c>
      <c r="M101" s="133">
        <f t="shared" si="27"/>
        <v>9.9</v>
      </c>
      <c r="N101" s="133">
        <f t="shared" si="27"/>
        <v>9.9</v>
      </c>
      <c r="O101" s="133">
        <f t="shared" si="27"/>
        <v>9.9</v>
      </c>
      <c r="P101" s="133">
        <f t="shared" si="27"/>
        <v>9.9</v>
      </c>
      <c r="Q101" s="133">
        <f t="shared" si="27"/>
        <v>9.9</v>
      </c>
      <c r="R101" s="133">
        <f t="shared" si="27"/>
        <v>9.9</v>
      </c>
      <c r="S101" s="133">
        <f t="shared" si="27"/>
        <v>9.9</v>
      </c>
      <c r="T101" s="133">
        <f t="shared" ref="T101:AF106" si="28">S101</f>
        <v>9.9</v>
      </c>
      <c r="U101" s="133">
        <f t="shared" si="28"/>
        <v>9.9</v>
      </c>
      <c r="V101" s="133">
        <f t="shared" si="28"/>
        <v>9.9</v>
      </c>
      <c r="W101" s="133">
        <f t="shared" si="28"/>
        <v>9.9</v>
      </c>
      <c r="X101" s="133">
        <f t="shared" si="28"/>
        <v>9.9</v>
      </c>
      <c r="Y101" s="133">
        <f t="shared" si="28"/>
        <v>9.9</v>
      </c>
      <c r="Z101" s="133">
        <f t="shared" si="28"/>
        <v>9.9</v>
      </c>
      <c r="AA101" s="133">
        <f t="shared" si="28"/>
        <v>9.9</v>
      </c>
      <c r="AB101" s="133">
        <f t="shared" si="28"/>
        <v>9.9</v>
      </c>
      <c r="AC101" s="133">
        <f t="shared" si="28"/>
        <v>9.9</v>
      </c>
      <c r="AD101" s="133">
        <f t="shared" si="28"/>
        <v>9.9</v>
      </c>
      <c r="AE101" s="133">
        <f t="shared" si="28"/>
        <v>9.9</v>
      </c>
      <c r="AF101" s="133">
        <f t="shared" si="28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6"/>
        <v>9.6</v>
      </c>
      <c r="C102" s="136">
        <v>9.6</v>
      </c>
      <c r="D102" s="135">
        <f t="shared" si="27"/>
        <v>9.6</v>
      </c>
      <c r="E102" s="135">
        <f t="shared" si="27"/>
        <v>9.6</v>
      </c>
      <c r="F102" s="135">
        <f t="shared" si="27"/>
        <v>9.6</v>
      </c>
      <c r="G102" s="135">
        <f t="shared" si="27"/>
        <v>9.6</v>
      </c>
      <c r="H102" s="135">
        <f t="shared" si="27"/>
        <v>9.6</v>
      </c>
      <c r="I102" s="135">
        <f t="shared" si="27"/>
        <v>9.6</v>
      </c>
      <c r="J102" s="135">
        <f t="shared" si="27"/>
        <v>9.6</v>
      </c>
      <c r="K102" s="135">
        <f t="shared" si="27"/>
        <v>9.6</v>
      </c>
      <c r="L102" s="135">
        <f t="shared" si="27"/>
        <v>9.6</v>
      </c>
      <c r="M102" s="135">
        <f t="shared" si="27"/>
        <v>9.6</v>
      </c>
      <c r="N102" s="135">
        <f t="shared" si="27"/>
        <v>9.6</v>
      </c>
      <c r="O102" s="135">
        <f t="shared" si="27"/>
        <v>9.6</v>
      </c>
      <c r="P102" s="135">
        <f t="shared" si="27"/>
        <v>9.6</v>
      </c>
      <c r="Q102" s="135">
        <f t="shared" si="27"/>
        <v>9.6</v>
      </c>
      <c r="R102" s="135">
        <f t="shared" si="27"/>
        <v>9.6</v>
      </c>
      <c r="S102" s="135">
        <f t="shared" si="27"/>
        <v>9.6</v>
      </c>
      <c r="T102" s="135">
        <f t="shared" si="28"/>
        <v>9.6</v>
      </c>
      <c r="U102" s="135">
        <f t="shared" si="28"/>
        <v>9.6</v>
      </c>
      <c r="V102" s="135">
        <f t="shared" si="28"/>
        <v>9.6</v>
      </c>
      <c r="W102" s="135">
        <f t="shared" si="28"/>
        <v>9.6</v>
      </c>
      <c r="X102" s="135">
        <f t="shared" si="28"/>
        <v>9.6</v>
      </c>
      <c r="Y102" s="135">
        <f t="shared" si="28"/>
        <v>9.6</v>
      </c>
      <c r="Z102" s="135">
        <f t="shared" si="28"/>
        <v>9.6</v>
      </c>
      <c r="AA102" s="135">
        <f t="shared" si="28"/>
        <v>9.6</v>
      </c>
      <c r="AB102" s="135">
        <f t="shared" si="28"/>
        <v>9.6</v>
      </c>
      <c r="AC102" s="135">
        <f t="shared" si="28"/>
        <v>9.6</v>
      </c>
      <c r="AD102" s="135">
        <f t="shared" si="28"/>
        <v>9.6</v>
      </c>
      <c r="AE102" s="135">
        <f t="shared" si="28"/>
        <v>9.6</v>
      </c>
      <c r="AF102" s="135">
        <f t="shared" si="28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6"/>
        <v>9.98</v>
      </c>
      <c r="C103" s="136">
        <v>9.98</v>
      </c>
      <c r="D103" s="135">
        <f t="shared" si="27"/>
        <v>9.98</v>
      </c>
      <c r="E103" s="135">
        <f t="shared" si="27"/>
        <v>9.98</v>
      </c>
      <c r="F103" s="135">
        <f t="shared" si="27"/>
        <v>9.98</v>
      </c>
      <c r="G103" s="135">
        <f t="shared" si="27"/>
        <v>9.98</v>
      </c>
      <c r="H103" s="135">
        <f t="shared" si="27"/>
        <v>9.98</v>
      </c>
      <c r="I103" s="135">
        <f t="shared" si="27"/>
        <v>9.98</v>
      </c>
      <c r="J103" s="135">
        <f t="shared" si="27"/>
        <v>9.98</v>
      </c>
      <c r="K103" s="135">
        <f t="shared" si="27"/>
        <v>9.98</v>
      </c>
      <c r="L103" s="135">
        <f t="shared" si="27"/>
        <v>9.98</v>
      </c>
      <c r="M103" s="135">
        <f t="shared" si="27"/>
        <v>9.98</v>
      </c>
      <c r="N103" s="135">
        <f t="shared" si="27"/>
        <v>9.98</v>
      </c>
      <c r="O103" s="135">
        <f t="shared" si="27"/>
        <v>9.98</v>
      </c>
      <c r="P103" s="135">
        <f t="shared" si="27"/>
        <v>9.98</v>
      </c>
      <c r="Q103" s="135">
        <f t="shared" si="27"/>
        <v>9.98</v>
      </c>
      <c r="R103" s="135">
        <f t="shared" si="27"/>
        <v>9.98</v>
      </c>
      <c r="S103" s="135">
        <f t="shared" si="27"/>
        <v>9.98</v>
      </c>
      <c r="T103" s="135">
        <f t="shared" si="28"/>
        <v>9.98</v>
      </c>
      <c r="U103" s="135">
        <f t="shared" si="28"/>
        <v>9.98</v>
      </c>
      <c r="V103" s="135">
        <f t="shared" si="28"/>
        <v>9.98</v>
      </c>
      <c r="W103" s="135">
        <f t="shared" si="28"/>
        <v>9.98</v>
      </c>
      <c r="X103" s="135">
        <f t="shared" si="28"/>
        <v>9.98</v>
      </c>
      <c r="Y103" s="135">
        <f t="shared" si="28"/>
        <v>9.98</v>
      </c>
      <c r="Z103" s="135">
        <f t="shared" si="28"/>
        <v>9.98</v>
      </c>
      <c r="AA103" s="135">
        <f t="shared" si="28"/>
        <v>9.98</v>
      </c>
      <c r="AB103" s="135">
        <f t="shared" si="28"/>
        <v>9.98</v>
      </c>
      <c r="AC103" s="135">
        <f t="shared" si="28"/>
        <v>9.98</v>
      </c>
      <c r="AD103" s="135">
        <f t="shared" si="28"/>
        <v>9.98</v>
      </c>
      <c r="AE103" s="135">
        <f t="shared" si="28"/>
        <v>9.98</v>
      </c>
      <c r="AF103" s="135">
        <f t="shared" si="28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6"/>
        <v>9.1</v>
      </c>
      <c r="C104" s="136">
        <v>9.1</v>
      </c>
      <c r="D104" s="135">
        <f t="shared" si="27"/>
        <v>9.1</v>
      </c>
      <c r="E104" s="135">
        <f t="shared" si="27"/>
        <v>9.1</v>
      </c>
      <c r="F104" s="135">
        <f t="shared" si="27"/>
        <v>9.1</v>
      </c>
      <c r="G104" s="135">
        <f t="shared" si="27"/>
        <v>9.1</v>
      </c>
      <c r="H104" s="135">
        <f t="shared" si="27"/>
        <v>9.1</v>
      </c>
      <c r="I104" s="135">
        <f t="shared" si="27"/>
        <v>9.1</v>
      </c>
      <c r="J104" s="135">
        <f t="shared" si="27"/>
        <v>9.1</v>
      </c>
      <c r="K104" s="135">
        <f t="shared" si="27"/>
        <v>9.1</v>
      </c>
      <c r="L104" s="135">
        <f t="shared" si="27"/>
        <v>9.1</v>
      </c>
      <c r="M104" s="135">
        <f t="shared" si="27"/>
        <v>9.1</v>
      </c>
      <c r="N104" s="135">
        <f t="shared" si="27"/>
        <v>9.1</v>
      </c>
      <c r="O104" s="135">
        <f t="shared" si="27"/>
        <v>9.1</v>
      </c>
      <c r="P104" s="135">
        <f t="shared" si="27"/>
        <v>9.1</v>
      </c>
      <c r="Q104" s="135">
        <f t="shared" si="27"/>
        <v>9.1</v>
      </c>
      <c r="R104" s="135">
        <f t="shared" si="27"/>
        <v>9.1</v>
      </c>
      <c r="S104" s="135">
        <f t="shared" si="27"/>
        <v>9.1</v>
      </c>
      <c r="T104" s="135">
        <f t="shared" si="28"/>
        <v>9.1</v>
      </c>
      <c r="U104" s="135">
        <f t="shared" si="28"/>
        <v>9.1</v>
      </c>
      <c r="V104" s="135">
        <f t="shared" si="28"/>
        <v>9.1</v>
      </c>
      <c r="W104" s="135">
        <f t="shared" si="28"/>
        <v>9.1</v>
      </c>
      <c r="X104" s="135">
        <f t="shared" si="28"/>
        <v>9.1</v>
      </c>
      <c r="Y104" s="135">
        <f t="shared" si="28"/>
        <v>9.1</v>
      </c>
      <c r="Z104" s="135">
        <f t="shared" si="28"/>
        <v>9.1</v>
      </c>
      <c r="AA104" s="135">
        <f t="shared" si="28"/>
        <v>9.1</v>
      </c>
      <c r="AB104" s="135">
        <f t="shared" si="28"/>
        <v>9.1</v>
      </c>
      <c r="AC104" s="135">
        <f t="shared" si="28"/>
        <v>9.1</v>
      </c>
      <c r="AD104" s="135">
        <f t="shared" si="28"/>
        <v>9.1</v>
      </c>
      <c r="AE104" s="135">
        <f t="shared" si="28"/>
        <v>9.1</v>
      </c>
      <c r="AF104" s="135">
        <f t="shared" si="28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6"/>
        <v>9.18</v>
      </c>
      <c r="C105" s="136">
        <v>9.18</v>
      </c>
      <c r="D105" s="135">
        <f t="shared" si="27"/>
        <v>9.18</v>
      </c>
      <c r="E105" s="135">
        <f t="shared" si="27"/>
        <v>9.18</v>
      </c>
      <c r="F105" s="135">
        <f t="shared" si="27"/>
        <v>9.18</v>
      </c>
      <c r="G105" s="135">
        <f t="shared" si="27"/>
        <v>9.18</v>
      </c>
      <c r="H105" s="135">
        <f t="shared" si="27"/>
        <v>9.18</v>
      </c>
      <c r="I105" s="135">
        <f t="shared" si="27"/>
        <v>9.18</v>
      </c>
      <c r="J105" s="135">
        <f t="shared" si="27"/>
        <v>9.18</v>
      </c>
      <c r="K105" s="135">
        <f t="shared" si="27"/>
        <v>9.18</v>
      </c>
      <c r="L105" s="135">
        <f t="shared" si="27"/>
        <v>9.18</v>
      </c>
      <c r="M105" s="135">
        <f t="shared" si="27"/>
        <v>9.18</v>
      </c>
      <c r="N105" s="135">
        <f t="shared" si="27"/>
        <v>9.18</v>
      </c>
      <c r="O105" s="135">
        <f t="shared" si="27"/>
        <v>9.18</v>
      </c>
      <c r="P105" s="135">
        <f t="shared" si="27"/>
        <v>9.18</v>
      </c>
      <c r="Q105" s="135">
        <f t="shared" si="27"/>
        <v>9.18</v>
      </c>
      <c r="R105" s="135">
        <f t="shared" si="27"/>
        <v>9.18</v>
      </c>
      <c r="S105" s="135">
        <f t="shared" si="27"/>
        <v>9.18</v>
      </c>
      <c r="T105" s="135">
        <f t="shared" si="28"/>
        <v>9.18</v>
      </c>
      <c r="U105" s="135">
        <f t="shared" si="28"/>
        <v>9.18</v>
      </c>
      <c r="V105" s="135">
        <f t="shared" si="28"/>
        <v>9.18</v>
      </c>
      <c r="W105" s="135">
        <f t="shared" si="28"/>
        <v>9.18</v>
      </c>
      <c r="X105" s="135">
        <f t="shared" si="28"/>
        <v>9.18</v>
      </c>
      <c r="Y105" s="135">
        <f t="shared" si="28"/>
        <v>9.18</v>
      </c>
      <c r="Z105" s="135">
        <f t="shared" si="28"/>
        <v>9.18</v>
      </c>
      <c r="AA105" s="135">
        <f t="shared" si="28"/>
        <v>9.18</v>
      </c>
      <c r="AB105" s="135">
        <f t="shared" si="28"/>
        <v>9.18</v>
      </c>
      <c r="AC105" s="135">
        <f t="shared" si="28"/>
        <v>9.18</v>
      </c>
      <c r="AD105" s="135">
        <f t="shared" si="28"/>
        <v>9.18</v>
      </c>
      <c r="AE105" s="135">
        <f t="shared" si="28"/>
        <v>9.18</v>
      </c>
      <c r="AF105" s="135">
        <f t="shared" si="28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6"/>
        <v>7</v>
      </c>
      <c r="C106" s="136">
        <v>7</v>
      </c>
      <c r="D106" s="135">
        <f t="shared" si="27"/>
        <v>7</v>
      </c>
      <c r="E106" s="135">
        <f t="shared" si="27"/>
        <v>7</v>
      </c>
      <c r="F106" s="135">
        <f t="shared" si="27"/>
        <v>7</v>
      </c>
      <c r="G106" s="135">
        <f t="shared" si="27"/>
        <v>7</v>
      </c>
      <c r="H106" s="135">
        <f t="shared" si="27"/>
        <v>7</v>
      </c>
      <c r="I106" s="135">
        <f t="shared" si="27"/>
        <v>7</v>
      </c>
      <c r="J106" s="135">
        <f t="shared" si="27"/>
        <v>7</v>
      </c>
      <c r="K106" s="135">
        <f t="shared" si="27"/>
        <v>7</v>
      </c>
      <c r="L106" s="135">
        <f t="shared" si="27"/>
        <v>7</v>
      </c>
      <c r="M106" s="135">
        <f t="shared" si="27"/>
        <v>7</v>
      </c>
      <c r="N106" s="135">
        <f t="shared" si="27"/>
        <v>7</v>
      </c>
      <c r="O106" s="135">
        <f t="shared" si="27"/>
        <v>7</v>
      </c>
      <c r="P106" s="135">
        <f t="shared" si="27"/>
        <v>7</v>
      </c>
      <c r="Q106" s="135">
        <f t="shared" si="27"/>
        <v>7</v>
      </c>
      <c r="R106" s="135">
        <f t="shared" si="27"/>
        <v>7</v>
      </c>
      <c r="S106" s="135">
        <f t="shared" si="27"/>
        <v>7</v>
      </c>
      <c r="T106" s="135">
        <f t="shared" si="28"/>
        <v>7</v>
      </c>
      <c r="U106" s="135">
        <f t="shared" si="28"/>
        <v>7</v>
      </c>
      <c r="V106" s="135">
        <f t="shared" si="28"/>
        <v>7</v>
      </c>
      <c r="W106" s="135">
        <f t="shared" si="28"/>
        <v>7</v>
      </c>
      <c r="X106" s="135">
        <f t="shared" si="28"/>
        <v>7</v>
      </c>
      <c r="Y106" s="135">
        <f t="shared" si="28"/>
        <v>7</v>
      </c>
      <c r="Z106" s="135">
        <f t="shared" si="28"/>
        <v>7</v>
      </c>
      <c r="AA106" s="135">
        <f t="shared" si="28"/>
        <v>7</v>
      </c>
      <c r="AB106" s="135">
        <f t="shared" si="28"/>
        <v>7</v>
      </c>
      <c r="AC106" s="135">
        <f t="shared" si="28"/>
        <v>7</v>
      </c>
      <c r="AD106" s="135">
        <f t="shared" si="28"/>
        <v>7</v>
      </c>
      <c r="AE106" s="135">
        <f t="shared" si="28"/>
        <v>7</v>
      </c>
      <c r="AF106" s="135">
        <f t="shared" si="28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9">C108</f>
        <v>2.25</v>
      </c>
      <c r="E108" s="135">
        <f t="shared" si="29"/>
        <v>2.25</v>
      </c>
      <c r="F108" s="135">
        <f t="shared" si="29"/>
        <v>2.25</v>
      </c>
      <c r="G108" s="135">
        <f t="shared" si="29"/>
        <v>2.25</v>
      </c>
      <c r="H108" s="135">
        <f t="shared" si="29"/>
        <v>2.25</v>
      </c>
      <c r="I108" s="135">
        <f t="shared" si="29"/>
        <v>2.25</v>
      </c>
      <c r="J108" s="135">
        <f t="shared" si="29"/>
        <v>2.25</v>
      </c>
      <c r="K108" s="135">
        <f t="shared" si="29"/>
        <v>2.25</v>
      </c>
      <c r="L108" s="135">
        <f t="shared" si="29"/>
        <v>2.25</v>
      </c>
      <c r="M108" s="135">
        <f t="shared" si="29"/>
        <v>2.25</v>
      </c>
      <c r="N108" s="135">
        <f t="shared" si="29"/>
        <v>2.25</v>
      </c>
      <c r="O108" s="135">
        <f t="shared" si="29"/>
        <v>2.25</v>
      </c>
      <c r="P108" s="135">
        <f t="shared" si="29"/>
        <v>2.25</v>
      </c>
      <c r="Q108" s="135">
        <f t="shared" si="29"/>
        <v>2.25</v>
      </c>
      <c r="R108" s="135">
        <f t="shared" si="29"/>
        <v>2.25</v>
      </c>
      <c r="S108" s="135">
        <f t="shared" si="29"/>
        <v>2.25</v>
      </c>
      <c r="T108" s="135">
        <f t="shared" ref="T108:AF109" si="30">S108</f>
        <v>2.25</v>
      </c>
      <c r="U108" s="135">
        <f t="shared" si="30"/>
        <v>2.25</v>
      </c>
      <c r="V108" s="135">
        <f t="shared" si="30"/>
        <v>2.25</v>
      </c>
      <c r="W108" s="135">
        <f t="shared" si="30"/>
        <v>2.25</v>
      </c>
      <c r="X108" s="135">
        <f t="shared" si="30"/>
        <v>2.25</v>
      </c>
      <c r="Y108" s="135">
        <f t="shared" si="30"/>
        <v>2.25</v>
      </c>
      <c r="Z108" s="135">
        <f t="shared" si="30"/>
        <v>2.25</v>
      </c>
      <c r="AA108" s="135">
        <f t="shared" si="30"/>
        <v>2.25</v>
      </c>
      <c r="AB108" s="135">
        <f t="shared" si="30"/>
        <v>2.25</v>
      </c>
      <c r="AC108" s="135">
        <f t="shared" si="30"/>
        <v>2.25</v>
      </c>
      <c r="AD108" s="135">
        <f t="shared" si="30"/>
        <v>2.25</v>
      </c>
      <c r="AE108" s="135">
        <f t="shared" si="30"/>
        <v>2.25</v>
      </c>
      <c r="AF108" s="135">
        <f t="shared" si="30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9"/>
        <v>1.64</v>
      </c>
      <c r="E109" s="135">
        <f t="shared" si="29"/>
        <v>1.64</v>
      </c>
      <c r="F109" s="135">
        <f t="shared" si="29"/>
        <v>1.64</v>
      </c>
      <c r="G109" s="135">
        <f t="shared" si="29"/>
        <v>1.64</v>
      </c>
      <c r="H109" s="135">
        <f t="shared" si="29"/>
        <v>1.64</v>
      </c>
      <c r="I109" s="135">
        <f t="shared" si="29"/>
        <v>1.64</v>
      </c>
      <c r="J109" s="135">
        <f t="shared" si="29"/>
        <v>1.64</v>
      </c>
      <c r="K109" s="135">
        <f t="shared" si="29"/>
        <v>1.64</v>
      </c>
      <c r="L109" s="135">
        <f t="shared" si="29"/>
        <v>1.64</v>
      </c>
      <c r="M109" s="135">
        <f t="shared" si="29"/>
        <v>1.64</v>
      </c>
      <c r="N109" s="135">
        <f t="shared" si="29"/>
        <v>1.64</v>
      </c>
      <c r="O109" s="135">
        <f t="shared" si="29"/>
        <v>1.64</v>
      </c>
      <c r="P109" s="135">
        <f t="shared" si="29"/>
        <v>1.64</v>
      </c>
      <c r="Q109" s="135">
        <f t="shared" si="29"/>
        <v>1.64</v>
      </c>
      <c r="R109" s="135">
        <f t="shared" si="29"/>
        <v>1.64</v>
      </c>
      <c r="S109" s="135">
        <f t="shared" si="29"/>
        <v>1.64</v>
      </c>
      <c r="T109" s="135">
        <f t="shared" si="30"/>
        <v>1.64</v>
      </c>
      <c r="U109" s="135">
        <f t="shared" si="30"/>
        <v>1.64</v>
      </c>
      <c r="V109" s="135">
        <f t="shared" si="30"/>
        <v>1.64</v>
      </c>
      <c r="W109" s="135">
        <f t="shared" si="30"/>
        <v>1.64</v>
      </c>
      <c r="X109" s="135">
        <f t="shared" si="30"/>
        <v>1.64</v>
      </c>
      <c r="Y109" s="135">
        <f t="shared" si="30"/>
        <v>1.64</v>
      </c>
      <c r="Z109" s="135">
        <f t="shared" si="30"/>
        <v>1.64</v>
      </c>
      <c r="AA109" s="135">
        <f t="shared" si="30"/>
        <v>1.64</v>
      </c>
      <c r="AB109" s="135">
        <f t="shared" si="30"/>
        <v>1.64</v>
      </c>
      <c r="AC109" s="135">
        <f t="shared" si="30"/>
        <v>1.64</v>
      </c>
      <c r="AD109" s="135">
        <f t="shared" si="30"/>
        <v>1.64</v>
      </c>
      <c r="AE109" s="135">
        <f t="shared" si="30"/>
        <v>1.64</v>
      </c>
      <c r="AF109" s="135">
        <f t="shared" si="30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1">AF111</f>
        <v>1.62</v>
      </c>
      <c r="C111" s="136">
        <v>1.62</v>
      </c>
      <c r="D111" s="135">
        <f t="shared" ref="D111:S118" si="32">C111</f>
        <v>1.62</v>
      </c>
      <c r="E111" s="135">
        <f t="shared" si="32"/>
        <v>1.62</v>
      </c>
      <c r="F111" s="135">
        <f t="shared" si="32"/>
        <v>1.62</v>
      </c>
      <c r="G111" s="135">
        <f t="shared" si="32"/>
        <v>1.62</v>
      </c>
      <c r="H111" s="135">
        <f t="shared" si="32"/>
        <v>1.62</v>
      </c>
      <c r="I111" s="135">
        <f t="shared" si="32"/>
        <v>1.62</v>
      </c>
      <c r="J111" s="135">
        <f t="shared" si="32"/>
        <v>1.62</v>
      </c>
      <c r="K111" s="135">
        <f t="shared" si="32"/>
        <v>1.62</v>
      </c>
      <c r="L111" s="135">
        <f t="shared" si="32"/>
        <v>1.62</v>
      </c>
      <c r="M111" s="135">
        <f t="shared" si="32"/>
        <v>1.62</v>
      </c>
      <c r="N111" s="135">
        <f t="shared" si="32"/>
        <v>1.62</v>
      </c>
      <c r="O111" s="135">
        <f t="shared" si="32"/>
        <v>1.62</v>
      </c>
      <c r="P111" s="135">
        <f t="shared" si="32"/>
        <v>1.62</v>
      </c>
      <c r="Q111" s="135">
        <f t="shared" si="32"/>
        <v>1.62</v>
      </c>
      <c r="R111" s="135">
        <f t="shared" si="32"/>
        <v>1.62</v>
      </c>
      <c r="S111" s="135">
        <f t="shared" si="32"/>
        <v>1.62</v>
      </c>
      <c r="T111" s="135">
        <f t="shared" ref="T111:AF126" si="33">S111</f>
        <v>1.62</v>
      </c>
      <c r="U111" s="135">
        <f t="shared" si="33"/>
        <v>1.62</v>
      </c>
      <c r="V111" s="135">
        <f t="shared" si="33"/>
        <v>1.62</v>
      </c>
      <c r="W111" s="135">
        <f t="shared" si="33"/>
        <v>1.62</v>
      </c>
      <c r="X111" s="135">
        <f t="shared" si="33"/>
        <v>1.62</v>
      </c>
      <c r="Y111" s="135">
        <f t="shared" si="33"/>
        <v>1.62</v>
      </c>
      <c r="Z111" s="135">
        <f t="shared" si="33"/>
        <v>1.62</v>
      </c>
      <c r="AA111" s="135">
        <f t="shared" si="33"/>
        <v>1.62</v>
      </c>
      <c r="AB111" s="135">
        <f t="shared" si="33"/>
        <v>1.62</v>
      </c>
      <c r="AC111" s="135">
        <f t="shared" si="33"/>
        <v>1.62</v>
      </c>
      <c r="AD111" s="135">
        <f t="shared" si="33"/>
        <v>1.62</v>
      </c>
      <c r="AE111" s="135">
        <f t="shared" si="33"/>
        <v>1.62</v>
      </c>
      <c r="AF111" s="135">
        <f t="shared" si="33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1"/>
        <v>8.36</v>
      </c>
      <c r="C112" s="136">
        <v>8.36</v>
      </c>
      <c r="D112" s="135">
        <f t="shared" si="32"/>
        <v>8.36</v>
      </c>
      <c r="E112" s="135">
        <f t="shared" si="32"/>
        <v>8.36</v>
      </c>
      <c r="F112" s="135">
        <f t="shared" si="32"/>
        <v>8.36</v>
      </c>
      <c r="G112" s="135">
        <f t="shared" si="32"/>
        <v>8.36</v>
      </c>
      <c r="H112" s="135">
        <f t="shared" si="32"/>
        <v>8.36</v>
      </c>
      <c r="I112" s="135">
        <f t="shared" si="32"/>
        <v>8.36</v>
      </c>
      <c r="J112" s="135">
        <f t="shared" si="32"/>
        <v>8.36</v>
      </c>
      <c r="K112" s="135">
        <f t="shared" si="32"/>
        <v>8.36</v>
      </c>
      <c r="L112" s="135">
        <f t="shared" si="32"/>
        <v>8.36</v>
      </c>
      <c r="M112" s="135">
        <f t="shared" si="32"/>
        <v>8.36</v>
      </c>
      <c r="N112" s="135">
        <f t="shared" si="32"/>
        <v>8.36</v>
      </c>
      <c r="O112" s="135">
        <f t="shared" si="32"/>
        <v>8.36</v>
      </c>
      <c r="P112" s="135">
        <f t="shared" si="32"/>
        <v>8.36</v>
      </c>
      <c r="Q112" s="135">
        <f t="shared" si="32"/>
        <v>8.36</v>
      </c>
      <c r="R112" s="135">
        <f t="shared" si="32"/>
        <v>8.36</v>
      </c>
      <c r="S112" s="135">
        <f t="shared" si="32"/>
        <v>8.36</v>
      </c>
      <c r="T112" s="135">
        <f t="shared" si="33"/>
        <v>8.36</v>
      </c>
      <c r="U112" s="135">
        <f t="shared" si="33"/>
        <v>8.36</v>
      </c>
      <c r="V112" s="135">
        <f t="shared" si="33"/>
        <v>8.36</v>
      </c>
      <c r="W112" s="135">
        <f t="shared" si="33"/>
        <v>8.36</v>
      </c>
      <c r="X112" s="135">
        <f t="shared" si="33"/>
        <v>8.36</v>
      </c>
      <c r="Y112" s="135">
        <f t="shared" si="33"/>
        <v>8.36</v>
      </c>
      <c r="Z112" s="135">
        <f t="shared" si="33"/>
        <v>8.36</v>
      </c>
      <c r="AA112" s="135">
        <f t="shared" si="33"/>
        <v>8.36</v>
      </c>
      <c r="AB112" s="135">
        <f t="shared" si="33"/>
        <v>8.36</v>
      </c>
      <c r="AC112" s="135">
        <f t="shared" si="33"/>
        <v>8.36</v>
      </c>
      <c r="AD112" s="135">
        <f t="shared" si="33"/>
        <v>8.36</v>
      </c>
      <c r="AE112" s="135">
        <f t="shared" si="33"/>
        <v>8.36</v>
      </c>
      <c r="AF112" s="135">
        <f t="shared" si="33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1"/>
        <v>5.4</v>
      </c>
      <c r="C113" s="136">
        <v>8</v>
      </c>
      <c r="D113" s="135">
        <f t="shared" si="32"/>
        <v>8</v>
      </c>
      <c r="E113" s="135">
        <f t="shared" si="32"/>
        <v>8</v>
      </c>
      <c r="F113" s="135">
        <f t="shared" si="32"/>
        <v>8</v>
      </c>
      <c r="G113" s="135">
        <f t="shared" si="32"/>
        <v>8</v>
      </c>
      <c r="H113" s="135">
        <f t="shared" si="32"/>
        <v>8</v>
      </c>
      <c r="I113" s="135">
        <f t="shared" si="32"/>
        <v>8</v>
      </c>
      <c r="J113" s="135">
        <v>5.4</v>
      </c>
      <c r="K113" s="135">
        <f t="shared" si="32"/>
        <v>5.4</v>
      </c>
      <c r="L113" s="135">
        <f t="shared" si="32"/>
        <v>5.4</v>
      </c>
      <c r="M113" s="135">
        <f t="shared" si="32"/>
        <v>5.4</v>
      </c>
      <c r="N113" s="135">
        <f t="shared" si="32"/>
        <v>5.4</v>
      </c>
      <c r="O113" s="135">
        <f t="shared" si="32"/>
        <v>5.4</v>
      </c>
      <c r="P113" s="135">
        <f t="shared" si="32"/>
        <v>5.4</v>
      </c>
      <c r="Q113" s="135">
        <f t="shared" si="32"/>
        <v>5.4</v>
      </c>
      <c r="R113" s="135">
        <f t="shared" si="32"/>
        <v>5.4</v>
      </c>
      <c r="S113" s="135">
        <f t="shared" si="32"/>
        <v>5.4</v>
      </c>
      <c r="T113" s="135">
        <f t="shared" si="33"/>
        <v>5.4</v>
      </c>
      <c r="U113" s="135">
        <f t="shared" si="33"/>
        <v>5.4</v>
      </c>
      <c r="V113" s="135">
        <f t="shared" si="33"/>
        <v>5.4</v>
      </c>
      <c r="W113" s="135">
        <f t="shared" si="33"/>
        <v>5.4</v>
      </c>
      <c r="X113" s="135">
        <f t="shared" si="33"/>
        <v>5.4</v>
      </c>
      <c r="Y113" s="135">
        <f t="shared" si="33"/>
        <v>5.4</v>
      </c>
      <c r="Z113" s="135">
        <f t="shared" si="33"/>
        <v>5.4</v>
      </c>
      <c r="AA113" s="135">
        <f t="shared" si="33"/>
        <v>5.4</v>
      </c>
      <c r="AB113" s="135">
        <f t="shared" si="33"/>
        <v>5.4</v>
      </c>
      <c r="AC113" s="135">
        <f t="shared" si="33"/>
        <v>5.4</v>
      </c>
      <c r="AD113" s="135">
        <f t="shared" si="33"/>
        <v>5.4</v>
      </c>
      <c r="AE113" s="135">
        <f t="shared" si="33"/>
        <v>5.4</v>
      </c>
      <c r="AF113" s="135">
        <f t="shared" si="33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1"/>
        <v>6.57</v>
      </c>
      <c r="C114" s="136">
        <v>6.57</v>
      </c>
      <c r="D114" s="135">
        <f t="shared" si="32"/>
        <v>6.57</v>
      </c>
      <c r="E114" s="135">
        <f t="shared" si="32"/>
        <v>6.57</v>
      </c>
      <c r="F114" s="135">
        <f t="shared" si="32"/>
        <v>6.57</v>
      </c>
      <c r="G114" s="135">
        <f t="shared" si="32"/>
        <v>6.57</v>
      </c>
      <c r="H114" s="135">
        <f t="shared" si="32"/>
        <v>6.57</v>
      </c>
      <c r="I114" s="135">
        <f t="shared" si="32"/>
        <v>6.57</v>
      </c>
      <c r="J114" s="135">
        <f t="shared" si="32"/>
        <v>6.57</v>
      </c>
      <c r="K114" s="135">
        <f t="shared" si="32"/>
        <v>6.57</v>
      </c>
      <c r="L114" s="135">
        <f t="shared" si="32"/>
        <v>6.57</v>
      </c>
      <c r="M114" s="135">
        <f t="shared" si="32"/>
        <v>6.57</v>
      </c>
      <c r="N114" s="135">
        <f t="shared" si="32"/>
        <v>6.57</v>
      </c>
      <c r="O114" s="135">
        <f t="shared" si="32"/>
        <v>6.57</v>
      </c>
      <c r="P114" s="135">
        <f t="shared" si="32"/>
        <v>6.57</v>
      </c>
      <c r="Q114" s="135">
        <f t="shared" si="32"/>
        <v>6.57</v>
      </c>
      <c r="R114" s="135">
        <f t="shared" si="32"/>
        <v>6.57</v>
      </c>
      <c r="S114" s="135">
        <f t="shared" si="32"/>
        <v>6.57</v>
      </c>
      <c r="T114" s="135">
        <f t="shared" si="33"/>
        <v>6.57</v>
      </c>
      <c r="U114" s="135">
        <f t="shared" si="33"/>
        <v>6.57</v>
      </c>
      <c r="V114" s="135">
        <f t="shared" si="33"/>
        <v>6.57</v>
      </c>
      <c r="W114" s="135">
        <f t="shared" si="33"/>
        <v>6.57</v>
      </c>
      <c r="X114" s="135">
        <f t="shared" si="33"/>
        <v>6.57</v>
      </c>
      <c r="Y114" s="135">
        <f t="shared" si="33"/>
        <v>6.57</v>
      </c>
      <c r="Z114" s="135">
        <f t="shared" si="33"/>
        <v>6.57</v>
      </c>
      <c r="AA114" s="135">
        <f t="shared" si="33"/>
        <v>6.57</v>
      </c>
      <c r="AB114" s="135">
        <f t="shared" si="33"/>
        <v>6.57</v>
      </c>
      <c r="AC114" s="135">
        <f t="shared" si="33"/>
        <v>6.57</v>
      </c>
      <c r="AD114" s="135">
        <f t="shared" si="33"/>
        <v>6.57</v>
      </c>
      <c r="AE114" s="135">
        <f t="shared" si="33"/>
        <v>6.57</v>
      </c>
      <c r="AF114" s="135">
        <f t="shared" si="33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1"/>
        <v>3.43</v>
      </c>
      <c r="C115" s="136">
        <v>3.43</v>
      </c>
      <c r="D115" s="135">
        <f t="shared" si="32"/>
        <v>3.43</v>
      </c>
      <c r="E115" s="135">
        <f t="shared" si="32"/>
        <v>3.43</v>
      </c>
      <c r="F115" s="135">
        <f t="shared" si="32"/>
        <v>3.43</v>
      </c>
      <c r="G115" s="135">
        <f t="shared" si="32"/>
        <v>3.43</v>
      </c>
      <c r="H115" s="135">
        <f t="shared" si="32"/>
        <v>3.43</v>
      </c>
      <c r="I115" s="135">
        <f t="shared" si="32"/>
        <v>3.43</v>
      </c>
      <c r="J115" s="135">
        <f t="shared" si="32"/>
        <v>3.43</v>
      </c>
      <c r="K115" s="135">
        <f t="shared" si="32"/>
        <v>3.43</v>
      </c>
      <c r="L115" s="135">
        <f t="shared" si="32"/>
        <v>3.43</v>
      </c>
      <c r="M115" s="135">
        <f t="shared" si="32"/>
        <v>3.43</v>
      </c>
      <c r="N115" s="135">
        <f t="shared" si="32"/>
        <v>3.43</v>
      </c>
      <c r="O115" s="135">
        <f t="shared" si="32"/>
        <v>3.43</v>
      </c>
      <c r="P115" s="135">
        <f t="shared" si="32"/>
        <v>3.43</v>
      </c>
      <c r="Q115" s="135">
        <f t="shared" si="32"/>
        <v>3.43</v>
      </c>
      <c r="R115" s="135">
        <f t="shared" si="32"/>
        <v>3.43</v>
      </c>
      <c r="S115" s="135">
        <f t="shared" si="32"/>
        <v>3.43</v>
      </c>
      <c r="T115" s="135">
        <f t="shared" si="33"/>
        <v>3.43</v>
      </c>
      <c r="U115" s="135">
        <f t="shared" si="33"/>
        <v>3.43</v>
      </c>
      <c r="V115" s="135">
        <f t="shared" si="33"/>
        <v>3.43</v>
      </c>
      <c r="W115" s="135">
        <f t="shared" si="33"/>
        <v>3.43</v>
      </c>
      <c r="X115" s="135">
        <f t="shared" si="33"/>
        <v>3.43</v>
      </c>
      <c r="Y115" s="135">
        <f t="shared" si="33"/>
        <v>3.43</v>
      </c>
      <c r="Z115" s="135">
        <f t="shared" si="33"/>
        <v>3.43</v>
      </c>
      <c r="AA115" s="135">
        <f t="shared" si="33"/>
        <v>3.43</v>
      </c>
      <c r="AB115" s="135">
        <f t="shared" si="33"/>
        <v>3.43</v>
      </c>
      <c r="AC115" s="135">
        <f t="shared" si="33"/>
        <v>3.43</v>
      </c>
      <c r="AD115" s="135">
        <f t="shared" si="33"/>
        <v>3.43</v>
      </c>
      <c r="AE115" s="135">
        <f t="shared" si="33"/>
        <v>3.43</v>
      </c>
      <c r="AF115" s="135">
        <f t="shared" si="33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1"/>
        <v>2.96</v>
      </c>
      <c r="C116" s="136">
        <v>2.96</v>
      </c>
      <c r="D116" s="135">
        <f t="shared" si="32"/>
        <v>2.96</v>
      </c>
      <c r="E116" s="135">
        <f t="shared" si="32"/>
        <v>2.96</v>
      </c>
      <c r="F116" s="135">
        <f t="shared" si="32"/>
        <v>2.96</v>
      </c>
      <c r="G116" s="135">
        <f t="shared" si="32"/>
        <v>2.96</v>
      </c>
      <c r="H116" s="135">
        <f t="shared" si="32"/>
        <v>2.96</v>
      </c>
      <c r="I116" s="135">
        <f t="shared" si="32"/>
        <v>2.96</v>
      </c>
      <c r="J116" s="135">
        <f t="shared" si="32"/>
        <v>2.96</v>
      </c>
      <c r="K116" s="135">
        <f t="shared" si="32"/>
        <v>2.96</v>
      </c>
      <c r="L116" s="135">
        <f t="shared" si="32"/>
        <v>2.96</v>
      </c>
      <c r="M116" s="135">
        <f t="shared" si="32"/>
        <v>2.96</v>
      </c>
      <c r="N116" s="135">
        <f t="shared" si="32"/>
        <v>2.96</v>
      </c>
      <c r="O116" s="135">
        <f t="shared" si="32"/>
        <v>2.96</v>
      </c>
      <c r="P116" s="135">
        <f t="shared" si="32"/>
        <v>2.96</v>
      </c>
      <c r="Q116" s="135">
        <f t="shared" si="32"/>
        <v>2.96</v>
      </c>
      <c r="R116" s="135">
        <f t="shared" si="32"/>
        <v>2.96</v>
      </c>
      <c r="S116" s="135">
        <f t="shared" si="32"/>
        <v>2.96</v>
      </c>
      <c r="T116" s="135">
        <f t="shared" si="33"/>
        <v>2.96</v>
      </c>
      <c r="U116" s="135">
        <f t="shared" si="33"/>
        <v>2.96</v>
      </c>
      <c r="V116" s="135">
        <f t="shared" si="33"/>
        <v>2.96</v>
      </c>
      <c r="W116" s="135">
        <f t="shared" si="33"/>
        <v>2.96</v>
      </c>
      <c r="X116" s="135">
        <f t="shared" si="33"/>
        <v>2.96</v>
      </c>
      <c r="Y116" s="135">
        <f t="shared" si="33"/>
        <v>2.96</v>
      </c>
      <c r="Z116" s="135">
        <f t="shared" si="33"/>
        <v>2.96</v>
      </c>
      <c r="AA116" s="135">
        <f t="shared" si="33"/>
        <v>2.96</v>
      </c>
      <c r="AB116" s="135">
        <f t="shared" si="33"/>
        <v>2.96</v>
      </c>
      <c r="AC116" s="135">
        <f t="shared" si="33"/>
        <v>2.96</v>
      </c>
      <c r="AD116" s="135">
        <f t="shared" si="33"/>
        <v>2.96</v>
      </c>
      <c r="AE116" s="135">
        <f t="shared" si="33"/>
        <v>2.96</v>
      </c>
      <c r="AF116" s="135">
        <f t="shared" si="33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1"/>
        <v>8</v>
      </c>
      <c r="C117" s="136">
        <v>8</v>
      </c>
      <c r="D117" s="135">
        <f t="shared" si="32"/>
        <v>8</v>
      </c>
      <c r="E117" s="135">
        <f t="shared" si="32"/>
        <v>8</v>
      </c>
      <c r="F117" s="135">
        <f t="shared" si="32"/>
        <v>8</v>
      </c>
      <c r="G117" s="135">
        <f t="shared" si="32"/>
        <v>8</v>
      </c>
      <c r="H117" s="135">
        <f t="shared" si="32"/>
        <v>8</v>
      </c>
      <c r="I117" s="135">
        <f t="shared" si="32"/>
        <v>8</v>
      </c>
      <c r="J117" s="135">
        <f t="shared" si="32"/>
        <v>8</v>
      </c>
      <c r="K117" s="135">
        <f t="shared" si="32"/>
        <v>8</v>
      </c>
      <c r="L117" s="135">
        <f t="shared" si="32"/>
        <v>8</v>
      </c>
      <c r="M117" s="135">
        <f t="shared" si="32"/>
        <v>8</v>
      </c>
      <c r="N117" s="135">
        <f t="shared" si="32"/>
        <v>8</v>
      </c>
      <c r="O117" s="135">
        <f t="shared" si="32"/>
        <v>8</v>
      </c>
      <c r="P117" s="135">
        <f t="shared" si="32"/>
        <v>8</v>
      </c>
      <c r="Q117" s="135">
        <f t="shared" si="32"/>
        <v>8</v>
      </c>
      <c r="R117" s="135">
        <f t="shared" si="32"/>
        <v>8</v>
      </c>
      <c r="S117" s="135">
        <f t="shared" si="32"/>
        <v>8</v>
      </c>
      <c r="T117" s="135">
        <f t="shared" si="33"/>
        <v>8</v>
      </c>
      <c r="U117" s="135">
        <f t="shared" si="33"/>
        <v>8</v>
      </c>
      <c r="V117" s="135">
        <f t="shared" si="33"/>
        <v>8</v>
      </c>
      <c r="W117" s="135">
        <f t="shared" si="33"/>
        <v>8</v>
      </c>
      <c r="X117" s="135">
        <f t="shared" si="33"/>
        <v>8</v>
      </c>
      <c r="Y117" s="135">
        <f t="shared" si="33"/>
        <v>8</v>
      </c>
      <c r="Z117" s="135">
        <f t="shared" si="33"/>
        <v>8</v>
      </c>
      <c r="AA117" s="135">
        <f t="shared" si="33"/>
        <v>8</v>
      </c>
      <c r="AB117" s="135">
        <f t="shared" si="33"/>
        <v>8</v>
      </c>
      <c r="AC117" s="135">
        <f t="shared" si="33"/>
        <v>8</v>
      </c>
      <c r="AD117" s="135">
        <f t="shared" si="33"/>
        <v>8</v>
      </c>
      <c r="AE117" s="135">
        <f t="shared" si="33"/>
        <v>8</v>
      </c>
      <c r="AF117" s="135">
        <f t="shared" si="33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1"/>
        <v>7</v>
      </c>
      <c r="C118" s="136">
        <v>7</v>
      </c>
      <c r="D118" s="135">
        <f>C118</f>
        <v>7</v>
      </c>
      <c r="E118" s="135">
        <f t="shared" si="32"/>
        <v>7</v>
      </c>
      <c r="F118" s="135">
        <f t="shared" si="32"/>
        <v>7</v>
      </c>
      <c r="G118" s="135">
        <f t="shared" si="32"/>
        <v>7</v>
      </c>
      <c r="H118" s="135">
        <f t="shared" si="32"/>
        <v>7</v>
      </c>
      <c r="I118" s="135">
        <f t="shared" si="32"/>
        <v>7</v>
      </c>
      <c r="J118" s="135">
        <f t="shared" si="32"/>
        <v>7</v>
      </c>
      <c r="K118" s="135">
        <f t="shared" si="32"/>
        <v>7</v>
      </c>
      <c r="L118" s="135">
        <f t="shared" si="32"/>
        <v>7</v>
      </c>
      <c r="M118" s="135">
        <f t="shared" si="32"/>
        <v>7</v>
      </c>
      <c r="N118" s="135">
        <f t="shared" si="32"/>
        <v>7</v>
      </c>
      <c r="O118" s="135">
        <f t="shared" si="32"/>
        <v>7</v>
      </c>
      <c r="P118" s="135">
        <f t="shared" si="32"/>
        <v>7</v>
      </c>
      <c r="Q118" s="135">
        <f t="shared" si="32"/>
        <v>7</v>
      </c>
      <c r="R118" s="135">
        <f t="shared" si="32"/>
        <v>7</v>
      </c>
      <c r="S118" s="135">
        <f t="shared" si="32"/>
        <v>7</v>
      </c>
      <c r="T118" s="135">
        <f t="shared" si="33"/>
        <v>7</v>
      </c>
      <c r="U118" s="135">
        <f t="shared" si="33"/>
        <v>7</v>
      </c>
      <c r="V118" s="135">
        <f t="shared" si="33"/>
        <v>7</v>
      </c>
      <c r="W118" s="135">
        <f t="shared" si="33"/>
        <v>7</v>
      </c>
      <c r="X118" s="135">
        <f t="shared" si="33"/>
        <v>7</v>
      </c>
      <c r="Y118" s="135">
        <f t="shared" si="33"/>
        <v>7</v>
      </c>
      <c r="Z118" s="135">
        <f t="shared" si="33"/>
        <v>7</v>
      </c>
      <c r="AA118" s="135">
        <f t="shared" si="33"/>
        <v>7</v>
      </c>
      <c r="AB118" s="135">
        <f t="shared" si="33"/>
        <v>7</v>
      </c>
      <c r="AC118" s="135">
        <f t="shared" si="33"/>
        <v>7</v>
      </c>
      <c r="AD118" s="135">
        <f t="shared" si="33"/>
        <v>7</v>
      </c>
      <c r="AE118" s="135">
        <f t="shared" si="33"/>
        <v>7</v>
      </c>
      <c r="AF118" s="135">
        <f t="shared" si="33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1"/>
        <v>3.47</v>
      </c>
      <c r="C119" s="136">
        <v>3.47</v>
      </c>
      <c r="D119" s="135">
        <f t="shared" ref="D119:S128" si="34">C119</f>
        <v>3.47</v>
      </c>
      <c r="E119" s="135">
        <f t="shared" si="34"/>
        <v>3.47</v>
      </c>
      <c r="F119" s="135">
        <f t="shared" si="34"/>
        <v>3.47</v>
      </c>
      <c r="G119" s="135">
        <f t="shared" si="34"/>
        <v>3.47</v>
      </c>
      <c r="H119" s="135">
        <f t="shared" si="34"/>
        <v>3.47</v>
      </c>
      <c r="I119" s="135">
        <f t="shared" si="34"/>
        <v>3.47</v>
      </c>
      <c r="J119" s="135">
        <f t="shared" si="34"/>
        <v>3.47</v>
      </c>
      <c r="K119" s="135">
        <f t="shared" si="34"/>
        <v>3.47</v>
      </c>
      <c r="L119" s="135">
        <f t="shared" si="34"/>
        <v>3.47</v>
      </c>
      <c r="M119" s="135">
        <f t="shared" si="34"/>
        <v>3.47</v>
      </c>
      <c r="N119" s="135">
        <f t="shared" si="34"/>
        <v>3.47</v>
      </c>
      <c r="O119" s="135">
        <f t="shared" si="34"/>
        <v>3.47</v>
      </c>
      <c r="P119" s="135">
        <f t="shared" si="34"/>
        <v>3.47</v>
      </c>
      <c r="Q119" s="135">
        <f t="shared" si="34"/>
        <v>3.47</v>
      </c>
      <c r="R119" s="135">
        <f t="shared" si="34"/>
        <v>3.47</v>
      </c>
      <c r="S119" s="135">
        <f t="shared" si="34"/>
        <v>3.47</v>
      </c>
      <c r="T119" s="135">
        <f t="shared" si="33"/>
        <v>3.47</v>
      </c>
      <c r="U119" s="135">
        <f t="shared" si="33"/>
        <v>3.47</v>
      </c>
      <c r="V119" s="135">
        <f t="shared" si="33"/>
        <v>3.47</v>
      </c>
      <c r="W119" s="135">
        <f t="shared" si="33"/>
        <v>3.47</v>
      </c>
      <c r="X119" s="135">
        <f t="shared" si="33"/>
        <v>3.47</v>
      </c>
      <c r="Y119" s="135">
        <f t="shared" si="33"/>
        <v>3.47</v>
      </c>
      <c r="Z119" s="135">
        <f t="shared" si="33"/>
        <v>3.47</v>
      </c>
      <c r="AA119" s="135">
        <f t="shared" si="33"/>
        <v>3.47</v>
      </c>
      <c r="AB119" s="135">
        <f t="shared" si="33"/>
        <v>3.47</v>
      </c>
      <c r="AC119" s="135">
        <f t="shared" si="33"/>
        <v>3.47</v>
      </c>
      <c r="AD119" s="135">
        <f t="shared" si="33"/>
        <v>3.47</v>
      </c>
      <c r="AE119" s="135">
        <f t="shared" si="33"/>
        <v>3.47</v>
      </c>
      <c r="AF119" s="135">
        <f t="shared" si="33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1"/>
        <v>2.1</v>
      </c>
      <c r="C120" s="136">
        <v>2.1</v>
      </c>
      <c r="D120" s="135">
        <f t="shared" si="34"/>
        <v>2.1</v>
      </c>
      <c r="E120" s="135">
        <f t="shared" si="34"/>
        <v>2.1</v>
      </c>
      <c r="F120" s="135">
        <f t="shared" si="34"/>
        <v>2.1</v>
      </c>
      <c r="G120" s="135">
        <f t="shared" si="34"/>
        <v>2.1</v>
      </c>
      <c r="H120" s="135">
        <f t="shared" si="34"/>
        <v>2.1</v>
      </c>
      <c r="I120" s="135">
        <f t="shared" si="34"/>
        <v>2.1</v>
      </c>
      <c r="J120" s="135">
        <f t="shared" si="34"/>
        <v>2.1</v>
      </c>
      <c r="K120" s="135">
        <f t="shared" si="34"/>
        <v>2.1</v>
      </c>
      <c r="L120" s="135">
        <f t="shared" si="34"/>
        <v>2.1</v>
      </c>
      <c r="M120" s="135">
        <f t="shared" si="34"/>
        <v>2.1</v>
      </c>
      <c r="N120" s="135">
        <f t="shared" si="34"/>
        <v>2.1</v>
      </c>
      <c r="O120" s="135">
        <f t="shared" si="34"/>
        <v>2.1</v>
      </c>
      <c r="P120" s="135">
        <f t="shared" si="34"/>
        <v>2.1</v>
      </c>
      <c r="Q120" s="135">
        <f t="shared" si="34"/>
        <v>2.1</v>
      </c>
      <c r="R120" s="135">
        <f t="shared" si="34"/>
        <v>2.1</v>
      </c>
      <c r="S120" s="135">
        <f t="shared" si="34"/>
        <v>2.1</v>
      </c>
      <c r="T120" s="135">
        <f t="shared" si="33"/>
        <v>2.1</v>
      </c>
      <c r="U120" s="135">
        <f t="shared" si="33"/>
        <v>2.1</v>
      </c>
      <c r="V120" s="135">
        <f t="shared" si="33"/>
        <v>2.1</v>
      </c>
      <c r="W120" s="135">
        <f t="shared" si="33"/>
        <v>2.1</v>
      </c>
      <c r="X120" s="135">
        <f t="shared" si="33"/>
        <v>2.1</v>
      </c>
      <c r="Y120" s="135">
        <f t="shared" si="33"/>
        <v>2.1</v>
      </c>
      <c r="Z120" s="135">
        <f t="shared" si="33"/>
        <v>2.1</v>
      </c>
      <c r="AA120" s="135">
        <f t="shared" si="33"/>
        <v>2.1</v>
      </c>
      <c r="AB120" s="135">
        <f t="shared" si="33"/>
        <v>2.1</v>
      </c>
      <c r="AC120" s="135">
        <f t="shared" si="33"/>
        <v>2.1</v>
      </c>
      <c r="AD120" s="135">
        <f t="shared" si="33"/>
        <v>2.1</v>
      </c>
      <c r="AE120" s="135">
        <f t="shared" si="33"/>
        <v>2.1</v>
      </c>
      <c r="AF120" s="135">
        <f t="shared" si="33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1"/>
        <v>9.3000000000000007</v>
      </c>
      <c r="C121" s="136">
        <v>9.3000000000000007</v>
      </c>
      <c r="D121" s="135">
        <f t="shared" si="34"/>
        <v>9.3000000000000007</v>
      </c>
      <c r="E121" s="135">
        <f t="shared" si="34"/>
        <v>9.3000000000000007</v>
      </c>
      <c r="F121" s="135">
        <f t="shared" si="34"/>
        <v>9.3000000000000007</v>
      </c>
      <c r="G121" s="135">
        <f t="shared" si="34"/>
        <v>9.3000000000000007</v>
      </c>
      <c r="H121" s="135">
        <f t="shared" si="34"/>
        <v>9.3000000000000007</v>
      </c>
      <c r="I121" s="135">
        <f t="shared" si="34"/>
        <v>9.3000000000000007</v>
      </c>
      <c r="J121" s="135">
        <f t="shared" si="34"/>
        <v>9.3000000000000007</v>
      </c>
      <c r="K121" s="135">
        <f t="shared" si="34"/>
        <v>9.3000000000000007</v>
      </c>
      <c r="L121" s="135">
        <f t="shared" si="34"/>
        <v>9.3000000000000007</v>
      </c>
      <c r="M121" s="135">
        <f t="shared" si="34"/>
        <v>9.3000000000000007</v>
      </c>
      <c r="N121" s="135">
        <f t="shared" si="34"/>
        <v>9.3000000000000007</v>
      </c>
      <c r="O121" s="135">
        <f t="shared" si="34"/>
        <v>9.3000000000000007</v>
      </c>
      <c r="P121" s="135">
        <f t="shared" si="34"/>
        <v>9.3000000000000007</v>
      </c>
      <c r="Q121" s="135">
        <f t="shared" si="34"/>
        <v>9.3000000000000007</v>
      </c>
      <c r="R121" s="135">
        <f t="shared" si="34"/>
        <v>9.3000000000000007</v>
      </c>
      <c r="S121" s="135">
        <f t="shared" si="34"/>
        <v>9.3000000000000007</v>
      </c>
      <c r="T121" s="135">
        <f t="shared" si="33"/>
        <v>9.3000000000000007</v>
      </c>
      <c r="U121" s="135">
        <f t="shared" si="33"/>
        <v>9.3000000000000007</v>
      </c>
      <c r="V121" s="135">
        <f t="shared" si="33"/>
        <v>9.3000000000000007</v>
      </c>
      <c r="W121" s="135">
        <f t="shared" si="33"/>
        <v>9.3000000000000007</v>
      </c>
      <c r="X121" s="135">
        <f t="shared" si="33"/>
        <v>9.3000000000000007</v>
      </c>
      <c r="Y121" s="135">
        <f t="shared" si="33"/>
        <v>9.3000000000000007</v>
      </c>
      <c r="Z121" s="135">
        <f t="shared" si="33"/>
        <v>9.3000000000000007</v>
      </c>
      <c r="AA121" s="135">
        <f t="shared" si="33"/>
        <v>9.3000000000000007</v>
      </c>
      <c r="AB121" s="135">
        <f t="shared" si="33"/>
        <v>9.3000000000000007</v>
      </c>
      <c r="AC121" s="135">
        <f t="shared" si="33"/>
        <v>9.3000000000000007</v>
      </c>
      <c r="AD121" s="135">
        <f t="shared" si="33"/>
        <v>9.3000000000000007</v>
      </c>
      <c r="AE121" s="135">
        <f t="shared" si="33"/>
        <v>9.3000000000000007</v>
      </c>
      <c r="AF121" s="135">
        <f t="shared" si="33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1"/>
        <v>0</v>
      </c>
      <c r="C122" s="136">
        <v>0</v>
      </c>
      <c r="D122" s="135">
        <f t="shared" si="34"/>
        <v>0</v>
      </c>
      <c r="E122" s="135">
        <f t="shared" si="34"/>
        <v>0</v>
      </c>
      <c r="F122" s="135">
        <f t="shared" si="34"/>
        <v>0</v>
      </c>
      <c r="G122" s="135">
        <f t="shared" si="34"/>
        <v>0</v>
      </c>
      <c r="H122" s="135">
        <f t="shared" si="34"/>
        <v>0</v>
      </c>
      <c r="I122" s="135">
        <f t="shared" si="34"/>
        <v>0</v>
      </c>
      <c r="J122" s="135">
        <f t="shared" si="34"/>
        <v>0</v>
      </c>
      <c r="K122" s="135">
        <f t="shared" si="34"/>
        <v>0</v>
      </c>
      <c r="L122" s="135">
        <f t="shared" si="34"/>
        <v>0</v>
      </c>
      <c r="M122" s="135">
        <f t="shared" si="34"/>
        <v>0</v>
      </c>
      <c r="N122" s="135">
        <f t="shared" si="34"/>
        <v>0</v>
      </c>
      <c r="O122" s="135">
        <f t="shared" si="34"/>
        <v>0</v>
      </c>
      <c r="P122" s="135">
        <f t="shared" si="34"/>
        <v>0</v>
      </c>
      <c r="Q122" s="135">
        <f t="shared" si="34"/>
        <v>0</v>
      </c>
      <c r="R122" s="135">
        <f t="shared" si="34"/>
        <v>0</v>
      </c>
      <c r="S122" s="135">
        <f t="shared" si="34"/>
        <v>0</v>
      </c>
      <c r="T122" s="135">
        <f t="shared" si="33"/>
        <v>0</v>
      </c>
      <c r="U122" s="135">
        <f t="shared" si="33"/>
        <v>0</v>
      </c>
      <c r="V122" s="135">
        <f t="shared" si="33"/>
        <v>0</v>
      </c>
      <c r="W122" s="135">
        <f t="shared" si="33"/>
        <v>0</v>
      </c>
      <c r="X122" s="135">
        <f t="shared" si="33"/>
        <v>0</v>
      </c>
      <c r="Y122" s="135">
        <f t="shared" si="33"/>
        <v>0</v>
      </c>
      <c r="Z122" s="135">
        <f t="shared" si="33"/>
        <v>0</v>
      </c>
      <c r="AA122" s="135">
        <f t="shared" si="33"/>
        <v>0</v>
      </c>
      <c r="AB122" s="135">
        <f t="shared" si="33"/>
        <v>0</v>
      </c>
      <c r="AC122" s="135">
        <f t="shared" si="33"/>
        <v>0</v>
      </c>
      <c r="AD122" s="135">
        <f t="shared" si="33"/>
        <v>0</v>
      </c>
      <c r="AE122" s="135">
        <f t="shared" si="33"/>
        <v>0</v>
      </c>
      <c r="AF122" s="135">
        <f t="shared" si="33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1"/>
        <v>0</v>
      </c>
      <c r="C123" s="136">
        <v>0</v>
      </c>
      <c r="D123" s="135">
        <f t="shared" si="34"/>
        <v>0</v>
      </c>
      <c r="E123" s="135">
        <f t="shared" si="34"/>
        <v>0</v>
      </c>
      <c r="F123" s="135">
        <f t="shared" si="34"/>
        <v>0</v>
      </c>
      <c r="G123" s="135">
        <f t="shared" si="34"/>
        <v>0</v>
      </c>
      <c r="H123" s="135">
        <f t="shared" si="34"/>
        <v>0</v>
      </c>
      <c r="I123" s="135">
        <f t="shared" si="34"/>
        <v>0</v>
      </c>
      <c r="J123" s="135">
        <f t="shared" si="34"/>
        <v>0</v>
      </c>
      <c r="K123" s="135">
        <f t="shared" si="34"/>
        <v>0</v>
      </c>
      <c r="L123" s="135">
        <f t="shared" si="34"/>
        <v>0</v>
      </c>
      <c r="M123" s="135">
        <f t="shared" si="34"/>
        <v>0</v>
      </c>
      <c r="N123" s="135">
        <f t="shared" si="34"/>
        <v>0</v>
      </c>
      <c r="O123" s="135">
        <f t="shared" si="34"/>
        <v>0</v>
      </c>
      <c r="P123" s="135">
        <f t="shared" si="34"/>
        <v>0</v>
      </c>
      <c r="Q123" s="135">
        <f t="shared" si="34"/>
        <v>0</v>
      </c>
      <c r="R123" s="135">
        <f t="shared" si="34"/>
        <v>0</v>
      </c>
      <c r="S123" s="135">
        <f t="shared" si="34"/>
        <v>0</v>
      </c>
      <c r="T123" s="135">
        <f t="shared" si="33"/>
        <v>0</v>
      </c>
      <c r="U123" s="135">
        <f t="shared" si="33"/>
        <v>0</v>
      </c>
      <c r="V123" s="135">
        <f t="shared" si="33"/>
        <v>0</v>
      </c>
      <c r="W123" s="135">
        <f t="shared" si="33"/>
        <v>0</v>
      </c>
      <c r="X123" s="135">
        <f t="shared" si="33"/>
        <v>0</v>
      </c>
      <c r="Y123" s="135">
        <f t="shared" si="33"/>
        <v>0</v>
      </c>
      <c r="Z123" s="135">
        <f t="shared" si="33"/>
        <v>0</v>
      </c>
      <c r="AA123" s="135">
        <f t="shared" si="33"/>
        <v>0</v>
      </c>
      <c r="AB123" s="135">
        <f t="shared" si="33"/>
        <v>0</v>
      </c>
      <c r="AC123" s="135">
        <f t="shared" si="33"/>
        <v>0</v>
      </c>
      <c r="AD123" s="135">
        <f t="shared" si="33"/>
        <v>0</v>
      </c>
      <c r="AE123" s="135">
        <f t="shared" si="33"/>
        <v>0</v>
      </c>
      <c r="AF123" s="135">
        <f t="shared" si="33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1"/>
        <v>5</v>
      </c>
      <c r="C124" s="136">
        <v>5</v>
      </c>
      <c r="D124" s="135">
        <f t="shared" si="34"/>
        <v>5</v>
      </c>
      <c r="E124" s="135">
        <f t="shared" si="34"/>
        <v>5</v>
      </c>
      <c r="F124" s="135">
        <f t="shared" si="34"/>
        <v>5</v>
      </c>
      <c r="G124" s="135">
        <f t="shared" si="34"/>
        <v>5</v>
      </c>
      <c r="H124" s="135">
        <f t="shared" si="34"/>
        <v>5</v>
      </c>
      <c r="I124" s="135">
        <f t="shared" si="34"/>
        <v>5</v>
      </c>
      <c r="J124" s="135">
        <f t="shared" si="34"/>
        <v>5</v>
      </c>
      <c r="K124" s="135">
        <f t="shared" si="34"/>
        <v>5</v>
      </c>
      <c r="L124" s="135">
        <f t="shared" si="34"/>
        <v>5</v>
      </c>
      <c r="M124" s="135">
        <f t="shared" si="34"/>
        <v>5</v>
      </c>
      <c r="N124" s="135">
        <f t="shared" si="34"/>
        <v>5</v>
      </c>
      <c r="O124" s="135">
        <f t="shared" si="34"/>
        <v>5</v>
      </c>
      <c r="P124" s="135">
        <f t="shared" si="34"/>
        <v>5</v>
      </c>
      <c r="Q124" s="135">
        <f t="shared" si="34"/>
        <v>5</v>
      </c>
      <c r="R124" s="135">
        <f t="shared" si="34"/>
        <v>5</v>
      </c>
      <c r="S124" s="135">
        <f t="shared" si="34"/>
        <v>5</v>
      </c>
      <c r="T124" s="135">
        <f t="shared" si="33"/>
        <v>5</v>
      </c>
      <c r="U124" s="135">
        <f t="shared" si="33"/>
        <v>5</v>
      </c>
      <c r="V124" s="135">
        <f t="shared" si="33"/>
        <v>5</v>
      </c>
      <c r="W124" s="135">
        <f t="shared" si="33"/>
        <v>5</v>
      </c>
      <c r="X124" s="135">
        <f t="shared" si="33"/>
        <v>5</v>
      </c>
      <c r="Y124" s="135">
        <f t="shared" si="33"/>
        <v>5</v>
      </c>
      <c r="Z124" s="135">
        <f t="shared" si="33"/>
        <v>5</v>
      </c>
      <c r="AA124" s="135">
        <f t="shared" si="33"/>
        <v>5</v>
      </c>
      <c r="AB124" s="135">
        <f t="shared" si="33"/>
        <v>5</v>
      </c>
      <c r="AC124" s="135">
        <f t="shared" si="33"/>
        <v>5</v>
      </c>
      <c r="AD124" s="135">
        <f t="shared" si="33"/>
        <v>5</v>
      </c>
      <c r="AE124" s="135">
        <f t="shared" si="33"/>
        <v>5</v>
      </c>
      <c r="AF124" s="135">
        <f t="shared" si="33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1"/>
        <v>1</v>
      </c>
      <c r="C125" s="136">
        <v>1</v>
      </c>
      <c r="D125" s="135">
        <f t="shared" si="34"/>
        <v>1</v>
      </c>
      <c r="E125" s="135">
        <f t="shared" si="34"/>
        <v>1</v>
      </c>
      <c r="F125" s="135">
        <f t="shared" si="34"/>
        <v>1</v>
      </c>
      <c r="G125" s="135">
        <f t="shared" si="34"/>
        <v>1</v>
      </c>
      <c r="H125" s="135">
        <f t="shared" si="34"/>
        <v>1</v>
      </c>
      <c r="I125" s="135">
        <f t="shared" si="34"/>
        <v>1</v>
      </c>
      <c r="J125" s="135">
        <f t="shared" si="34"/>
        <v>1</v>
      </c>
      <c r="K125" s="135">
        <f t="shared" si="34"/>
        <v>1</v>
      </c>
      <c r="L125" s="135">
        <f t="shared" si="34"/>
        <v>1</v>
      </c>
      <c r="M125" s="135">
        <f t="shared" si="34"/>
        <v>1</v>
      </c>
      <c r="N125" s="135">
        <f t="shared" si="34"/>
        <v>1</v>
      </c>
      <c r="O125" s="135">
        <f t="shared" si="34"/>
        <v>1</v>
      </c>
      <c r="P125" s="135">
        <f t="shared" si="34"/>
        <v>1</v>
      </c>
      <c r="Q125" s="135">
        <f t="shared" si="34"/>
        <v>1</v>
      </c>
      <c r="R125" s="135">
        <f t="shared" si="34"/>
        <v>1</v>
      </c>
      <c r="S125" s="135">
        <f t="shared" si="34"/>
        <v>1</v>
      </c>
      <c r="T125" s="135">
        <f t="shared" si="33"/>
        <v>1</v>
      </c>
      <c r="U125" s="135">
        <f t="shared" si="33"/>
        <v>1</v>
      </c>
      <c r="V125" s="135">
        <f t="shared" si="33"/>
        <v>1</v>
      </c>
      <c r="W125" s="135">
        <f t="shared" si="33"/>
        <v>1</v>
      </c>
      <c r="X125" s="135">
        <f t="shared" si="33"/>
        <v>1</v>
      </c>
      <c r="Y125" s="135">
        <f t="shared" si="33"/>
        <v>1</v>
      </c>
      <c r="Z125" s="135">
        <f t="shared" si="33"/>
        <v>1</v>
      </c>
      <c r="AA125" s="135">
        <f t="shared" si="33"/>
        <v>1</v>
      </c>
      <c r="AB125" s="135">
        <f t="shared" si="33"/>
        <v>1</v>
      </c>
      <c r="AC125" s="135">
        <f t="shared" si="33"/>
        <v>1</v>
      </c>
      <c r="AD125" s="135">
        <f t="shared" si="33"/>
        <v>1</v>
      </c>
      <c r="AE125" s="135">
        <f t="shared" si="33"/>
        <v>1</v>
      </c>
      <c r="AF125" s="135">
        <f t="shared" si="33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1"/>
        <v>1.58</v>
      </c>
      <c r="C126" s="136">
        <v>1.58</v>
      </c>
      <c r="D126" s="135">
        <f t="shared" si="34"/>
        <v>1.58</v>
      </c>
      <c r="E126" s="135">
        <f t="shared" si="34"/>
        <v>1.58</v>
      </c>
      <c r="F126" s="135">
        <f t="shared" si="34"/>
        <v>1.58</v>
      </c>
      <c r="G126" s="135">
        <f t="shared" si="34"/>
        <v>1.58</v>
      </c>
      <c r="H126" s="135">
        <f t="shared" si="34"/>
        <v>1.58</v>
      </c>
      <c r="I126" s="135">
        <f t="shared" si="34"/>
        <v>1.58</v>
      </c>
      <c r="J126" s="135">
        <f t="shared" si="34"/>
        <v>1.58</v>
      </c>
      <c r="K126" s="135">
        <f t="shared" si="34"/>
        <v>1.58</v>
      </c>
      <c r="L126" s="135">
        <f t="shared" si="34"/>
        <v>1.58</v>
      </c>
      <c r="M126" s="135">
        <f t="shared" si="34"/>
        <v>1.58</v>
      </c>
      <c r="N126" s="135">
        <f t="shared" si="34"/>
        <v>1.58</v>
      </c>
      <c r="O126" s="135">
        <f t="shared" si="34"/>
        <v>1.58</v>
      </c>
      <c r="P126" s="135">
        <f t="shared" si="34"/>
        <v>1.58</v>
      </c>
      <c r="Q126" s="135">
        <f t="shared" si="34"/>
        <v>1.58</v>
      </c>
      <c r="R126" s="135">
        <f t="shared" si="34"/>
        <v>1.58</v>
      </c>
      <c r="S126" s="135">
        <f t="shared" si="34"/>
        <v>1.58</v>
      </c>
      <c r="T126" s="135">
        <f t="shared" si="33"/>
        <v>1.58</v>
      </c>
      <c r="U126" s="135">
        <f t="shared" si="33"/>
        <v>1.58</v>
      </c>
      <c r="V126" s="135">
        <f t="shared" si="33"/>
        <v>1.58</v>
      </c>
      <c r="W126" s="135">
        <f t="shared" si="33"/>
        <v>1.58</v>
      </c>
      <c r="X126" s="135">
        <f t="shared" si="33"/>
        <v>1.58</v>
      </c>
      <c r="Y126" s="135">
        <f t="shared" si="33"/>
        <v>1.58</v>
      </c>
      <c r="Z126" s="135">
        <f t="shared" si="33"/>
        <v>1.58</v>
      </c>
      <c r="AA126" s="135">
        <f t="shared" si="33"/>
        <v>1.58</v>
      </c>
      <c r="AB126" s="135">
        <f t="shared" si="33"/>
        <v>1.58</v>
      </c>
      <c r="AC126" s="135">
        <f t="shared" si="33"/>
        <v>1.58</v>
      </c>
      <c r="AD126" s="135">
        <f t="shared" si="33"/>
        <v>1.58</v>
      </c>
      <c r="AE126" s="135">
        <f t="shared" si="33"/>
        <v>1.58</v>
      </c>
      <c r="AF126" s="135">
        <f t="shared" si="33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1"/>
        <v>1.46</v>
      </c>
      <c r="C127" s="136">
        <v>1.46</v>
      </c>
      <c r="D127" s="135">
        <f t="shared" si="34"/>
        <v>1.46</v>
      </c>
      <c r="E127" s="135">
        <f t="shared" si="34"/>
        <v>1.46</v>
      </c>
      <c r="F127" s="135">
        <f t="shared" si="34"/>
        <v>1.46</v>
      </c>
      <c r="G127" s="135">
        <f t="shared" si="34"/>
        <v>1.46</v>
      </c>
      <c r="H127" s="135">
        <f t="shared" si="34"/>
        <v>1.46</v>
      </c>
      <c r="I127" s="135">
        <f t="shared" si="34"/>
        <v>1.46</v>
      </c>
      <c r="J127" s="135">
        <f t="shared" si="34"/>
        <v>1.46</v>
      </c>
      <c r="K127" s="135">
        <f t="shared" si="34"/>
        <v>1.46</v>
      </c>
      <c r="L127" s="135">
        <f t="shared" si="34"/>
        <v>1.46</v>
      </c>
      <c r="M127" s="135">
        <f t="shared" si="34"/>
        <v>1.46</v>
      </c>
      <c r="N127" s="135">
        <f t="shared" si="34"/>
        <v>1.46</v>
      </c>
      <c r="O127" s="135">
        <f t="shared" si="34"/>
        <v>1.46</v>
      </c>
      <c r="P127" s="135">
        <f t="shared" si="34"/>
        <v>1.46</v>
      </c>
      <c r="Q127" s="135">
        <f t="shared" si="34"/>
        <v>1.46</v>
      </c>
      <c r="R127" s="135">
        <f t="shared" si="34"/>
        <v>1.46</v>
      </c>
      <c r="S127" s="135">
        <f t="shared" si="34"/>
        <v>1.46</v>
      </c>
      <c r="T127" s="135">
        <f t="shared" ref="T127:AF128" si="35">S127</f>
        <v>1.46</v>
      </c>
      <c r="U127" s="135">
        <f t="shared" si="35"/>
        <v>1.46</v>
      </c>
      <c r="V127" s="135">
        <f t="shared" si="35"/>
        <v>1.46</v>
      </c>
      <c r="W127" s="135">
        <f t="shared" si="35"/>
        <v>1.46</v>
      </c>
      <c r="X127" s="135">
        <f t="shared" si="35"/>
        <v>1.46</v>
      </c>
      <c r="Y127" s="135">
        <f t="shared" si="35"/>
        <v>1.46</v>
      </c>
      <c r="Z127" s="135">
        <f t="shared" si="35"/>
        <v>1.46</v>
      </c>
      <c r="AA127" s="135">
        <f t="shared" si="35"/>
        <v>1.46</v>
      </c>
      <c r="AB127" s="135">
        <f t="shared" si="35"/>
        <v>1.46</v>
      </c>
      <c r="AC127" s="135">
        <f t="shared" si="35"/>
        <v>1.46</v>
      </c>
      <c r="AD127" s="135">
        <f t="shared" si="35"/>
        <v>1.46</v>
      </c>
      <c r="AE127" s="135">
        <f t="shared" si="35"/>
        <v>1.46</v>
      </c>
      <c r="AF127" s="135">
        <f t="shared" si="35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1"/>
        <v>1.48</v>
      </c>
      <c r="C128" s="136">
        <v>1.48</v>
      </c>
      <c r="D128" s="135">
        <f t="shared" si="34"/>
        <v>1.48</v>
      </c>
      <c r="E128" s="135">
        <f t="shared" si="34"/>
        <v>1.48</v>
      </c>
      <c r="F128" s="135">
        <f t="shared" si="34"/>
        <v>1.48</v>
      </c>
      <c r="G128" s="135">
        <f t="shared" si="34"/>
        <v>1.48</v>
      </c>
      <c r="H128" s="135">
        <f t="shared" si="34"/>
        <v>1.48</v>
      </c>
      <c r="I128" s="135">
        <f t="shared" si="34"/>
        <v>1.48</v>
      </c>
      <c r="J128" s="135">
        <f t="shared" si="34"/>
        <v>1.48</v>
      </c>
      <c r="K128" s="135">
        <f t="shared" si="34"/>
        <v>1.48</v>
      </c>
      <c r="L128" s="135">
        <f t="shared" si="34"/>
        <v>1.48</v>
      </c>
      <c r="M128" s="135">
        <f t="shared" si="34"/>
        <v>1.48</v>
      </c>
      <c r="N128" s="135">
        <f t="shared" si="34"/>
        <v>1.48</v>
      </c>
      <c r="O128" s="135">
        <f t="shared" si="34"/>
        <v>1.48</v>
      </c>
      <c r="P128" s="135">
        <f t="shared" si="34"/>
        <v>1.48</v>
      </c>
      <c r="Q128" s="135">
        <f t="shared" si="34"/>
        <v>1.48</v>
      </c>
      <c r="R128" s="135">
        <f t="shared" si="34"/>
        <v>1.48</v>
      </c>
      <c r="S128" s="135">
        <f t="shared" si="34"/>
        <v>1.48</v>
      </c>
      <c r="T128" s="135">
        <f t="shared" si="35"/>
        <v>1.48</v>
      </c>
      <c r="U128" s="135">
        <f t="shared" si="35"/>
        <v>1.48</v>
      </c>
      <c r="V128" s="135">
        <f t="shared" si="35"/>
        <v>1.48</v>
      </c>
      <c r="W128" s="135">
        <f t="shared" si="35"/>
        <v>1.48</v>
      </c>
      <c r="X128" s="135">
        <f t="shared" si="35"/>
        <v>1.48</v>
      </c>
      <c r="Y128" s="135">
        <f t="shared" si="35"/>
        <v>1.48</v>
      </c>
      <c r="Z128" s="135">
        <f t="shared" si="35"/>
        <v>1.48</v>
      </c>
      <c r="AA128" s="135">
        <f t="shared" si="35"/>
        <v>1.48</v>
      </c>
      <c r="AB128" s="135">
        <f t="shared" si="35"/>
        <v>1.48</v>
      </c>
      <c r="AC128" s="135">
        <f t="shared" si="35"/>
        <v>1.48</v>
      </c>
      <c r="AD128" s="135">
        <f t="shared" si="35"/>
        <v>1.48</v>
      </c>
      <c r="AE128" s="135">
        <f t="shared" si="35"/>
        <v>1.48</v>
      </c>
      <c r="AF128" s="135">
        <f t="shared" si="35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6">AF130</f>
        <v>2.2000000000000002</v>
      </c>
      <c r="C130" s="136">
        <v>2.2000000000000002</v>
      </c>
      <c r="D130" s="135">
        <f t="shared" ref="D130:S137" si="37">C130</f>
        <v>2.2000000000000002</v>
      </c>
      <c r="E130" s="135">
        <f t="shared" si="37"/>
        <v>2.2000000000000002</v>
      </c>
      <c r="F130" s="135">
        <f t="shared" si="37"/>
        <v>2.2000000000000002</v>
      </c>
      <c r="G130" s="135">
        <f t="shared" si="37"/>
        <v>2.2000000000000002</v>
      </c>
      <c r="H130" s="135">
        <f t="shared" si="37"/>
        <v>2.2000000000000002</v>
      </c>
      <c r="I130" s="135">
        <f t="shared" si="37"/>
        <v>2.2000000000000002</v>
      </c>
      <c r="J130" s="135">
        <f t="shared" si="37"/>
        <v>2.2000000000000002</v>
      </c>
      <c r="K130" s="135">
        <f t="shared" si="37"/>
        <v>2.2000000000000002</v>
      </c>
      <c r="L130" s="135">
        <f t="shared" si="37"/>
        <v>2.2000000000000002</v>
      </c>
      <c r="M130" s="135">
        <f t="shared" si="37"/>
        <v>2.2000000000000002</v>
      </c>
      <c r="N130" s="135">
        <f t="shared" si="37"/>
        <v>2.2000000000000002</v>
      </c>
      <c r="O130" s="135">
        <f t="shared" si="37"/>
        <v>2.2000000000000002</v>
      </c>
      <c r="P130" s="135">
        <f t="shared" si="37"/>
        <v>2.2000000000000002</v>
      </c>
      <c r="Q130" s="135">
        <f t="shared" si="37"/>
        <v>2.2000000000000002</v>
      </c>
      <c r="R130" s="135">
        <f t="shared" si="37"/>
        <v>2.2000000000000002</v>
      </c>
      <c r="S130" s="135">
        <f t="shared" si="37"/>
        <v>2.2000000000000002</v>
      </c>
      <c r="T130" s="135">
        <f t="shared" ref="T130:AF137" si="38">S130</f>
        <v>2.2000000000000002</v>
      </c>
      <c r="U130" s="135">
        <f t="shared" si="38"/>
        <v>2.2000000000000002</v>
      </c>
      <c r="V130" s="135">
        <f t="shared" si="38"/>
        <v>2.2000000000000002</v>
      </c>
      <c r="W130" s="135">
        <f t="shared" si="38"/>
        <v>2.2000000000000002</v>
      </c>
      <c r="X130" s="135">
        <f t="shared" si="38"/>
        <v>2.2000000000000002</v>
      </c>
      <c r="Y130" s="135">
        <f t="shared" si="38"/>
        <v>2.2000000000000002</v>
      </c>
      <c r="Z130" s="135">
        <f t="shared" si="38"/>
        <v>2.2000000000000002</v>
      </c>
      <c r="AA130" s="135">
        <f t="shared" si="38"/>
        <v>2.2000000000000002</v>
      </c>
      <c r="AB130" s="135">
        <f t="shared" si="38"/>
        <v>2.2000000000000002</v>
      </c>
      <c r="AC130" s="135">
        <f t="shared" si="38"/>
        <v>2.2000000000000002</v>
      </c>
      <c r="AD130" s="135">
        <f t="shared" si="38"/>
        <v>2.2000000000000002</v>
      </c>
      <c r="AE130" s="135">
        <f t="shared" si="38"/>
        <v>2.2000000000000002</v>
      </c>
      <c r="AF130" s="135">
        <f t="shared" si="38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6"/>
        <v>2</v>
      </c>
      <c r="C131" s="136">
        <v>2</v>
      </c>
      <c r="D131" s="135">
        <f t="shared" si="37"/>
        <v>2</v>
      </c>
      <c r="E131" s="135">
        <f t="shared" si="37"/>
        <v>2</v>
      </c>
      <c r="F131" s="135">
        <f t="shared" si="37"/>
        <v>2</v>
      </c>
      <c r="G131" s="135">
        <f t="shared" si="37"/>
        <v>2</v>
      </c>
      <c r="H131" s="135">
        <f t="shared" si="37"/>
        <v>2</v>
      </c>
      <c r="I131" s="135">
        <f t="shared" si="37"/>
        <v>2</v>
      </c>
      <c r="J131" s="135">
        <f t="shared" si="37"/>
        <v>2</v>
      </c>
      <c r="K131" s="135">
        <f t="shared" si="37"/>
        <v>2</v>
      </c>
      <c r="L131" s="135">
        <f t="shared" si="37"/>
        <v>2</v>
      </c>
      <c r="M131" s="135">
        <f t="shared" si="37"/>
        <v>2</v>
      </c>
      <c r="N131" s="135">
        <f t="shared" si="37"/>
        <v>2</v>
      </c>
      <c r="O131" s="135">
        <f t="shared" si="37"/>
        <v>2</v>
      </c>
      <c r="P131" s="135">
        <f t="shared" si="37"/>
        <v>2</v>
      </c>
      <c r="Q131" s="135">
        <f t="shared" si="37"/>
        <v>2</v>
      </c>
      <c r="R131" s="135">
        <f t="shared" si="37"/>
        <v>2</v>
      </c>
      <c r="S131" s="135">
        <f t="shared" si="37"/>
        <v>2</v>
      </c>
      <c r="T131" s="135">
        <f t="shared" si="38"/>
        <v>2</v>
      </c>
      <c r="U131" s="135">
        <f t="shared" si="38"/>
        <v>2</v>
      </c>
      <c r="V131" s="135">
        <f t="shared" si="38"/>
        <v>2</v>
      </c>
      <c r="W131" s="135">
        <f t="shared" si="38"/>
        <v>2</v>
      </c>
      <c r="X131" s="135">
        <f t="shared" si="38"/>
        <v>2</v>
      </c>
      <c r="Y131" s="135">
        <f t="shared" si="38"/>
        <v>2</v>
      </c>
      <c r="Z131" s="135">
        <f t="shared" si="38"/>
        <v>2</v>
      </c>
      <c r="AA131" s="135">
        <f t="shared" si="38"/>
        <v>2</v>
      </c>
      <c r="AB131" s="135">
        <f t="shared" si="38"/>
        <v>2</v>
      </c>
      <c r="AC131" s="135">
        <f t="shared" si="38"/>
        <v>2</v>
      </c>
      <c r="AD131" s="135">
        <f t="shared" si="38"/>
        <v>2</v>
      </c>
      <c r="AE131" s="135">
        <f t="shared" si="38"/>
        <v>2</v>
      </c>
      <c r="AF131" s="135">
        <f t="shared" si="38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6"/>
        <v>1.25</v>
      </c>
      <c r="C132" s="136">
        <v>1.25</v>
      </c>
      <c r="D132" s="135">
        <f t="shared" si="37"/>
        <v>1.25</v>
      </c>
      <c r="E132" s="135">
        <f t="shared" si="37"/>
        <v>1.25</v>
      </c>
      <c r="F132" s="135">
        <f t="shared" si="37"/>
        <v>1.25</v>
      </c>
      <c r="G132" s="135">
        <f t="shared" si="37"/>
        <v>1.25</v>
      </c>
      <c r="H132" s="135">
        <f t="shared" si="37"/>
        <v>1.25</v>
      </c>
      <c r="I132" s="135">
        <f t="shared" si="37"/>
        <v>1.25</v>
      </c>
      <c r="J132" s="135">
        <f t="shared" si="37"/>
        <v>1.25</v>
      </c>
      <c r="K132" s="135">
        <f t="shared" si="37"/>
        <v>1.25</v>
      </c>
      <c r="L132" s="135">
        <f t="shared" si="37"/>
        <v>1.25</v>
      </c>
      <c r="M132" s="135">
        <f t="shared" si="37"/>
        <v>1.25</v>
      </c>
      <c r="N132" s="135">
        <f t="shared" si="37"/>
        <v>1.25</v>
      </c>
      <c r="O132" s="135">
        <f t="shared" si="37"/>
        <v>1.25</v>
      </c>
      <c r="P132" s="135">
        <f t="shared" si="37"/>
        <v>1.25</v>
      </c>
      <c r="Q132" s="135">
        <f t="shared" si="37"/>
        <v>1.25</v>
      </c>
      <c r="R132" s="135">
        <f t="shared" si="37"/>
        <v>1.25</v>
      </c>
      <c r="S132" s="135">
        <f t="shared" si="37"/>
        <v>1.25</v>
      </c>
      <c r="T132" s="135">
        <f t="shared" si="38"/>
        <v>1.25</v>
      </c>
      <c r="U132" s="135">
        <f t="shared" si="38"/>
        <v>1.25</v>
      </c>
      <c r="V132" s="135">
        <f t="shared" si="38"/>
        <v>1.25</v>
      </c>
      <c r="W132" s="135">
        <f t="shared" si="38"/>
        <v>1.25</v>
      </c>
      <c r="X132" s="135">
        <f t="shared" si="38"/>
        <v>1.25</v>
      </c>
      <c r="Y132" s="135">
        <f t="shared" si="38"/>
        <v>1.25</v>
      </c>
      <c r="Z132" s="135">
        <f t="shared" si="38"/>
        <v>1.25</v>
      </c>
      <c r="AA132" s="135">
        <f t="shared" si="38"/>
        <v>1.25</v>
      </c>
      <c r="AB132" s="135">
        <f t="shared" si="38"/>
        <v>1.25</v>
      </c>
      <c r="AC132" s="135">
        <f t="shared" si="38"/>
        <v>1.25</v>
      </c>
      <c r="AD132" s="135">
        <f t="shared" si="38"/>
        <v>1.25</v>
      </c>
      <c r="AE132" s="135">
        <f t="shared" si="38"/>
        <v>1.25</v>
      </c>
      <c r="AF132" s="135">
        <f t="shared" si="38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6"/>
        <v>1.1499999999999999</v>
      </c>
      <c r="C133" s="136">
        <v>1.1499999999999999</v>
      </c>
      <c r="D133" s="135">
        <f t="shared" si="37"/>
        <v>1.1499999999999999</v>
      </c>
      <c r="E133" s="135">
        <f t="shared" si="37"/>
        <v>1.1499999999999999</v>
      </c>
      <c r="F133" s="135">
        <f t="shared" si="37"/>
        <v>1.1499999999999999</v>
      </c>
      <c r="G133" s="135">
        <f t="shared" si="37"/>
        <v>1.1499999999999999</v>
      </c>
      <c r="H133" s="135">
        <f t="shared" si="37"/>
        <v>1.1499999999999999</v>
      </c>
      <c r="I133" s="135">
        <f t="shared" si="37"/>
        <v>1.1499999999999999</v>
      </c>
      <c r="J133" s="135">
        <f t="shared" si="37"/>
        <v>1.1499999999999999</v>
      </c>
      <c r="K133" s="135">
        <f t="shared" si="37"/>
        <v>1.1499999999999999</v>
      </c>
      <c r="L133" s="135">
        <f t="shared" si="37"/>
        <v>1.1499999999999999</v>
      </c>
      <c r="M133" s="135">
        <f t="shared" si="37"/>
        <v>1.1499999999999999</v>
      </c>
      <c r="N133" s="135">
        <f t="shared" si="37"/>
        <v>1.1499999999999999</v>
      </c>
      <c r="O133" s="135">
        <f t="shared" si="37"/>
        <v>1.1499999999999999</v>
      </c>
      <c r="P133" s="135">
        <f t="shared" si="37"/>
        <v>1.1499999999999999</v>
      </c>
      <c r="Q133" s="135">
        <f t="shared" si="37"/>
        <v>1.1499999999999999</v>
      </c>
      <c r="R133" s="135">
        <f t="shared" si="37"/>
        <v>1.1499999999999999</v>
      </c>
      <c r="S133" s="135">
        <f t="shared" si="37"/>
        <v>1.1499999999999999</v>
      </c>
      <c r="T133" s="135">
        <f t="shared" si="38"/>
        <v>1.1499999999999999</v>
      </c>
      <c r="U133" s="135">
        <f t="shared" si="38"/>
        <v>1.1499999999999999</v>
      </c>
      <c r="V133" s="135">
        <f t="shared" si="38"/>
        <v>1.1499999999999999</v>
      </c>
      <c r="W133" s="135">
        <f t="shared" si="38"/>
        <v>1.1499999999999999</v>
      </c>
      <c r="X133" s="135">
        <f t="shared" si="38"/>
        <v>1.1499999999999999</v>
      </c>
      <c r="Y133" s="135">
        <f t="shared" si="38"/>
        <v>1.1499999999999999</v>
      </c>
      <c r="Z133" s="135">
        <f t="shared" si="38"/>
        <v>1.1499999999999999</v>
      </c>
      <c r="AA133" s="135">
        <f t="shared" si="38"/>
        <v>1.1499999999999999</v>
      </c>
      <c r="AB133" s="135">
        <f t="shared" si="38"/>
        <v>1.1499999999999999</v>
      </c>
      <c r="AC133" s="135">
        <f t="shared" si="38"/>
        <v>1.1499999999999999</v>
      </c>
      <c r="AD133" s="135">
        <f t="shared" si="38"/>
        <v>1.1499999999999999</v>
      </c>
      <c r="AE133" s="135">
        <f t="shared" si="38"/>
        <v>1.1499999999999999</v>
      </c>
      <c r="AF133" s="135">
        <f t="shared" si="38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6"/>
        <v>2.133</v>
      </c>
      <c r="C134" s="136">
        <v>2.133</v>
      </c>
      <c r="D134" s="135">
        <f t="shared" si="37"/>
        <v>2.133</v>
      </c>
      <c r="E134" s="135">
        <f t="shared" si="37"/>
        <v>2.133</v>
      </c>
      <c r="F134" s="135">
        <f t="shared" si="37"/>
        <v>2.133</v>
      </c>
      <c r="G134" s="135">
        <f t="shared" si="37"/>
        <v>2.133</v>
      </c>
      <c r="H134" s="135">
        <f t="shared" si="37"/>
        <v>2.133</v>
      </c>
      <c r="I134" s="135">
        <f t="shared" si="37"/>
        <v>2.133</v>
      </c>
      <c r="J134" s="135">
        <f t="shared" si="37"/>
        <v>2.133</v>
      </c>
      <c r="K134" s="135">
        <f t="shared" si="37"/>
        <v>2.133</v>
      </c>
      <c r="L134" s="135">
        <f t="shared" si="37"/>
        <v>2.133</v>
      </c>
      <c r="M134" s="135">
        <f t="shared" si="37"/>
        <v>2.133</v>
      </c>
      <c r="N134" s="135">
        <f t="shared" si="37"/>
        <v>2.133</v>
      </c>
      <c r="O134" s="135">
        <f t="shared" si="37"/>
        <v>2.133</v>
      </c>
      <c r="P134" s="135">
        <f t="shared" si="37"/>
        <v>2.133</v>
      </c>
      <c r="Q134" s="135">
        <f t="shared" si="37"/>
        <v>2.133</v>
      </c>
      <c r="R134" s="135">
        <f t="shared" si="37"/>
        <v>2.133</v>
      </c>
      <c r="S134" s="135">
        <f t="shared" si="37"/>
        <v>2.133</v>
      </c>
      <c r="T134" s="135">
        <f t="shared" si="38"/>
        <v>2.133</v>
      </c>
      <c r="U134" s="135">
        <f t="shared" si="38"/>
        <v>2.133</v>
      </c>
      <c r="V134" s="135">
        <f t="shared" si="38"/>
        <v>2.133</v>
      </c>
      <c r="W134" s="135">
        <f t="shared" si="38"/>
        <v>2.133</v>
      </c>
      <c r="X134" s="135">
        <f t="shared" si="38"/>
        <v>2.133</v>
      </c>
      <c r="Y134" s="135">
        <f t="shared" si="38"/>
        <v>2.133</v>
      </c>
      <c r="Z134" s="135">
        <f t="shared" si="38"/>
        <v>2.133</v>
      </c>
      <c r="AA134" s="135">
        <f t="shared" si="38"/>
        <v>2.133</v>
      </c>
      <c r="AB134" s="135">
        <f t="shared" si="38"/>
        <v>2.133</v>
      </c>
      <c r="AC134" s="135">
        <f t="shared" si="38"/>
        <v>2.133</v>
      </c>
      <c r="AD134" s="135">
        <f t="shared" si="38"/>
        <v>2.133</v>
      </c>
      <c r="AE134" s="135">
        <f t="shared" si="38"/>
        <v>2.133</v>
      </c>
      <c r="AF134" s="135">
        <f t="shared" si="38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6"/>
        <v>2.09</v>
      </c>
      <c r="C135" s="136">
        <v>2.09</v>
      </c>
      <c r="D135" s="135">
        <f t="shared" si="37"/>
        <v>2.09</v>
      </c>
      <c r="E135" s="135">
        <f t="shared" si="37"/>
        <v>2.09</v>
      </c>
      <c r="F135" s="135">
        <f t="shared" si="37"/>
        <v>2.09</v>
      </c>
      <c r="G135" s="135">
        <f t="shared" si="37"/>
        <v>2.09</v>
      </c>
      <c r="H135" s="135">
        <f t="shared" si="37"/>
        <v>2.09</v>
      </c>
      <c r="I135" s="135">
        <f t="shared" si="37"/>
        <v>2.09</v>
      </c>
      <c r="J135" s="135">
        <f t="shared" si="37"/>
        <v>2.09</v>
      </c>
      <c r="K135" s="135">
        <f t="shared" si="37"/>
        <v>2.09</v>
      </c>
      <c r="L135" s="135">
        <f t="shared" si="37"/>
        <v>2.09</v>
      </c>
      <c r="M135" s="135">
        <f t="shared" si="37"/>
        <v>2.09</v>
      </c>
      <c r="N135" s="135">
        <f t="shared" si="37"/>
        <v>2.09</v>
      </c>
      <c r="O135" s="135">
        <f t="shared" si="37"/>
        <v>2.09</v>
      </c>
      <c r="P135" s="135">
        <f t="shared" si="37"/>
        <v>2.09</v>
      </c>
      <c r="Q135" s="135">
        <f t="shared" si="37"/>
        <v>2.09</v>
      </c>
      <c r="R135" s="135">
        <f t="shared" si="37"/>
        <v>2.09</v>
      </c>
      <c r="S135" s="135">
        <f t="shared" si="37"/>
        <v>2.09</v>
      </c>
      <c r="T135" s="135">
        <f t="shared" si="38"/>
        <v>2.09</v>
      </c>
      <c r="U135" s="135">
        <f t="shared" si="38"/>
        <v>2.09</v>
      </c>
      <c r="V135" s="135">
        <f t="shared" si="38"/>
        <v>2.09</v>
      </c>
      <c r="W135" s="135">
        <f t="shared" si="38"/>
        <v>2.09</v>
      </c>
      <c r="X135" s="135">
        <f t="shared" si="38"/>
        <v>2.09</v>
      </c>
      <c r="Y135" s="135">
        <f t="shared" si="38"/>
        <v>2.09</v>
      </c>
      <c r="Z135" s="135">
        <f t="shared" si="38"/>
        <v>2.09</v>
      </c>
      <c r="AA135" s="135">
        <f t="shared" si="38"/>
        <v>2.09</v>
      </c>
      <c r="AB135" s="135">
        <f t="shared" si="38"/>
        <v>2.09</v>
      </c>
      <c r="AC135" s="135">
        <f t="shared" si="38"/>
        <v>2.09</v>
      </c>
      <c r="AD135" s="135">
        <f t="shared" si="38"/>
        <v>2.09</v>
      </c>
      <c r="AE135" s="135">
        <f t="shared" si="38"/>
        <v>2.09</v>
      </c>
      <c r="AF135" s="135">
        <f t="shared" si="38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6"/>
        <v>1.1399999999999999</v>
      </c>
      <c r="C136" s="136">
        <v>1.1399999999999999</v>
      </c>
      <c r="D136" s="135">
        <f t="shared" si="37"/>
        <v>1.1399999999999999</v>
      </c>
      <c r="E136" s="135">
        <f t="shared" si="37"/>
        <v>1.1399999999999999</v>
      </c>
      <c r="F136" s="135">
        <f t="shared" si="37"/>
        <v>1.1399999999999999</v>
      </c>
      <c r="G136" s="135">
        <f t="shared" si="37"/>
        <v>1.1399999999999999</v>
      </c>
      <c r="H136" s="135">
        <f t="shared" si="37"/>
        <v>1.1399999999999999</v>
      </c>
      <c r="I136" s="135">
        <f t="shared" si="37"/>
        <v>1.1399999999999999</v>
      </c>
      <c r="J136" s="135">
        <f t="shared" si="37"/>
        <v>1.1399999999999999</v>
      </c>
      <c r="K136" s="135">
        <f t="shared" si="37"/>
        <v>1.1399999999999999</v>
      </c>
      <c r="L136" s="135">
        <f t="shared" si="37"/>
        <v>1.1399999999999999</v>
      </c>
      <c r="M136" s="135">
        <f t="shared" si="37"/>
        <v>1.1399999999999999</v>
      </c>
      <c r="N136" s="135">
        <f t="shared" si="37"/>
        <v>1.1399999999999999</v>
      </c>
      <c r="O136" s="135">
        <f t="shared" si="37"/>
        <v>1.1399999999999999</v>
      </c>
      <c r="P136" s="135">
        <f t="shared" si="37"/>
        <v>1.1399999999999999</v>
      </c>
      <c r="Q136" s="135">
        <f t="shared" si="37"/>
        <v>1.1399999999999999</v>
      </c>
      <c r="R136" s="135">
        <f t="shared" si="37"/>
        <v>1.1399999999999999</v>
      </c>
      <c r="S136" s="135">
        <f t="shared" si="37"/>
        <v>1.1399999999999999</v>
      </c>
      <c r="T136" s="135">
        <f t="shared" si="38"/>
        <v>1.1399999999999999</v>
      </c>
      <c r="U136" s="135">
        <f t="shared" si="38"/>
        <v>1.1399999999999999</v>
      </c>
      <c r="V136" s="135">
        <f t="shared" si="38"/>
        <v>1.1399999999999999</v>
      </c>
      <c r="W136" s="135">
        <f t="shared" si="38"/>
        <v>1.1399999999999999</v>
      </c>
      <c r="X136" s="135">
        <f t="shared" si="38"/>
        <v>1.1399999999999999</v>
      </c>
      <c r="Y136" s="135">
        <f t="shared" si="38"/>
        <v>1.1399999999999999</v>
      </c>
      <c r="Z136" s="135">
        <f t="shared" si="38"/>
        <v>1.1399999999999999</v>
      </c>
      <c r="AA136" s="135">
        <f t="shared" si="38"/>
        <v>1.1399999999999999</v>
      </c>
      <c r="AB136" s="135">
        <f t="shared" si="38"/>
        <v>1.1399999999999999</v>
      </c>
      <c r="AC136" s="135">
        <f t="shared" si="38"/>
        <v>1.1399999999999999</v>
      </c>
      <c r="AD136" s="135">
        <f t="shared" si="38"/>
        <v>1.1399999999999999</v>
      </c>
      <c r="AE136" s="135">
        <f t="shared" si="38"/>
        <v>1.1399999999999999</v>
      </c>
      <c r="AF136" s="135">
        <f t="shared" si="38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6"/>
        <v>0.82</v>
      </c>
      <c r="C137" s="136">
        <v>0.82</v>
      </c>
      <c r="D137" s="135">
        <f t="shared" si="37"/>
        <v>0.82</v>
      </c>
      <c r="E137" s="135">
        <f t="shared" si="37"/>
        <v>0.82</v>
      </c>
      <c r="F137" s="135">
        <f t="shared" si="37"/>
        <v>0.82</v>
      </c>
      <c r="G137" s="135">
        <f t="shared" si="37"/>
        <v>0.82</v>
      </c>
      <c r="H137" s="135">
        <f t="shared" si="37"/>
        <v>0.82</v>
      </c>
      <c r="I137" s="135">
        <f t="shared" si="37"/>
        <v>0.82</v>
      </c>
      <c r="J137" s="135">
        <f t="shared" si="37"/>
        <v>0.82</v>
      </c>
      <c r="K137" s="135">
        <f t="shared" si="37"/>
        <v>0.82</v>
      </c>
      <c r="L137" s="135">
        <f t="shared" si="37"/>
        <v>0.82</v>
      </c>
      <c r="M137" s="135">
        <f t="shared" si="37"/>
        <v>0.82</v>
      </c>
      <c r="N137" s="135">
        <f t="shared" si="37"/>
        <v>0.82</v>
      </c>
      <c r="O137" s="135">
        <f t="shared" si="37"/>
        <v>0.82</v>
      </c>
      <c r="P137" s="135">
        <f t="shared" si="37"/>
        <v>0.82</v>
      </c>
      <c r="Q137" s="135">
        <f t="shared" si="37"/>
        <v>0.82</v>
      </c>
      <c r="R137" s="135">
        <f t="shared" si="37"/>
        <v>0.82</v>
      </c>
      <c r="S137" s="135">
        <f t="shared" si="37"/>
        <v>0.82</v>
      </c>
      <c r="T137" s="135">
        <f t="shared" si="38"/>
        <v>0.82</v>
      </c>
      <c r="U137" s="135">
        <f t="shared" si="38"/>
        <v>0.82</v>
      </c>
      <c r="V137" s="135">
        <f t="shared" si="38"/>
        <v>0.82</v>
      </c>
      <c r="W137" s="135">
        <f t="shared" si="38"/>
        <v>0.82</v>
      </c>
      <c r="X137" s="135">
        <f t="shared" si="38"/>
        <v>0.82</v>
      </c>
      <c r="Y137" s="135">
        <f t="shared" si="38"/>
        <v>0.82</v>
      </c>
      <c r="Z137" s="135">
        <f t="shared" si="38"/>
        <v>0.82</v>
      </c>
      <c r="AA137" s="135">
        <f t="shared" si="38"/>
        <v>0.82</v>
      </c>
      <c r="AB137" s="135">
        <f t="shared" si="38"/>
        <v>0.82</v>
      </c>
      <c r="AC137" s="135">
        <f t="shared" si="38"/>
        <v>0.82</v>
      </c>
      <c r="AD137" s="135">
        <f t="shared" si="38"/>
        <v>0.82</v>
      </c>
      <c r="AE137" s="135">
        <f t="shared" si="38"/>
        <v>0.82</v>
      </c>
      <c r="AF137" s="135">
        <f t="shared" si="38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9">AF139</f>
        <v>2</v>
      </c>
      <c r="C139" s="136">
        <v>2</v>
      </c>
      <c r="D139" s="135">
        <f t="shared" ref="D139:S145" si="40">C139</f>
        <v>2</v>
      </c>
      <c r="E139" s="135">
        <f t="shared" si="40"/>
        <v>2</v>
      </c>
      <c r="F139" s="135">
        <f t="shared" si="40"/>
        <v>2</v>
      </c>
      <c r="G139" s="135">
        <f t="shared" si="40"/>
        <v>2</v>
      </c>
      <c r="H139" s="135">
        <f t="shared" si="40"/>
        <v>2</v>
      </c>
      <c r="I139" s="135">
        <f t="shared" si="40"/>
        <v>2</v>
      </c>
      <c r="J139" s="135">
        <f t="shared" si="40"/>
        <v>2</v>
      </c>
      <c r="K139" s="135">
        <f t="shared" si="40"/>
        <v>2</v>
      </c>
      <c r="L139" s="135">
        <f t="shared" si="40"/>
        <v>2</v>
      </c>
      <c r="M139" s="135">
        <f t="shared" si="40"/>
        <v>2</v>
      </c>
      <c r="N139" s="135">
        <f t="shared" si="40"/>
        <v>2</v>
      </c>
      <c r="O139" s="135">
        <f t="shared" si="40"/>
        <v>2</v>
      </c>
      <c r="P139" s="135">
        <f t="shared" si="40"/>
        <v>2</v>
      </c>
      <c r="Q139" s="135">
        <f t="shared" si="40"/>
        <v>2</v>
      </c>
      <c r="R139" s="135">
        <f t="shared" si="40"/>
        <v>2</v>
      </c>
      <c r="S139" s="135">
        <f t="shared" si="40"/>
        <v>2</v>
      </c>
      <c r="T139" s="135">
        <f t="shared" ref="T139:AF145" si="41">S139</f>
        <v>2</v>
      </c>
      <c r="U139" s="135">
        <f t="shared" si="41"/>
        <v>2</v>
      </c>
      <c r="V139" s="135">
        <f t="shared" si="41"/>
        <v>2</v>
      </c>
      <c r="W139" s="135">
        <f t="shared" si="41"/>
        <v>2</v>
      </c>
      <c r="X139" s="135">
        <f t="shared" si="41"/>
        <v>2</v>
      </c>
      <c r="Y139" s="135">
        <f t="shared" si="41"/>
        <v>2</v>
      </c>
      <c r="Z139" s="135">
        <f t="shared" si="41"/>
        <v>2</v>
      </c>
      <c r="AA139" s="135">
        <f t="shared" si="41"/>
        <v>2</v>
      </c>
      <c r="AB139" s="135">
        <f t="shared" si="41"/>
        <v>2</v>
      </c>
      <c r="AC139" s="135">
        <f t="shared" si="41"/>
        <v>2</v>
      </c>
      <c r="AD139" s="135">
        <f t="shared" si="41"/>
        <v>2</v>
      </c>
      <c r="AE139" s="135">
        <f t="shared" si="41"/>
        <v>2</v>
      </c>
      <c r="AF139" s="135">
        <f t="shared" si="41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9"/>
        <v>5.61</v>
      </c>
      <c r="C140" s="136">
        <v>5.61</v>
      </c>
      <c r="D140" s="135">
        <f t="shared" si="40"/>
        <v>5.61</v>
      </c>
      <c r="E140" s="135">
        <f t="shared" si="40"/>
        <v>5.61</v>
      </c>
      <c r="F140" s="135">
        <f t="shared" si="40"/>
        <v>5.61</v>
      </c>
      <c r="G140" s="135">
        <f t="shared" si="40"/>
        <v>5.61</v>
      </c>
      <c r="H140" s="135">
        <f t="shared" si="40"/>
        <v>5.61</v>
      </c>
      <c r="I140" s="135">
        <f t="shared" si="40"/>
        <v>5.61</v>
      </c>
      <c r="J140" s="135">
        <f t="shared" si="40"/>
        <v>5.61</v>
      </c>
      <c r="K140" s="135">
        <f t="shared" si="40"/>
        <v>5.61</v>
      </c>
      <c r="L140" s="135">
        <f t="shared" si="40"/>
        <v>5.61</v>
      </c>
      <c r="M140" s="135">
        <f t="shared" si="40"/>
        <v>5.61</v>
      </c>
      <c r="N140" s="135">
        <f t="shared" si="40"/>
        <v>5.61</v>
      </c>
      <c r="O140" s="135">
        <f t="shared" si="40"/>
        <v>5.61</v>
      </c>
      <c r="P140" s="135">
        <f t="shared" si="40"/>
        <v>5.61</v>
      </c>
      <c r="Q140" s="135">
        <f t="shared" si="40"/>
        <v>5.61</v>
      </c>
      <c r="R140" s="135">
        <f t="shared" si="40"/>
        <v>5.61</v>
      </c>
      <c r="S140" s="135">
        <f t="shared" si="40"/>
        <v>5.61</v>
      </c>
      <c r="T140" s="135">
        <f t="shared" si="41"/>
        <v>5.61</v>
      </c>
      <c r="U140" s="135">
        <f t="shared" si="41"/>
        <v>5.61</v>
      </c>
      <c r="V140" s="135">
        <f t="shared" si="41"/>
        <v>5.61</v>
      </c>
      <c r="W140" s="135">
        <f t="shared" si="41"/>
        <v>5.61</v>
      </c>
      <c r="X140" s="135">
        <f t="shared" si="41"/>
        <v>5.61</v>
      </c>
      <c r="Y140" s="135">
        <f t="shared" si="41"/>
        <v>5.61</v>
      </c>
      <c r="Z140" s="135">
        <f t="shared" si="41"/>
        <v>5.61</v>
      </c>
      <c r="AA140" s="135">
        <f t="shared" si="41"/>
        <v>5.61</v>
      </c>
      <c r="AB140" s="135">
        <f t="shared" si="41"/>
        <v>5.61</v>
      </c>
      <c r="AC140" s="135">
        <f t="shared" si="41"/>
        <v>5.61</v>
      </c>
      <c r="AD140" s="135">
        <f t="shared" si="41"/>
        <v>5.61</v>
      </c>
      <c r="AE140" s="135">
        <f t="shared" si="41"/>
        <v>5.61</v>
      </c>
      <c r="AF140" s="135">
        <f t="shared" si="41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9"/>
        <v>1.25</v>
      </c>
      <c r="C141" s="136">
        <v>1.25</v>
      </c>
      <c r="D141" s="135">
        <f t="shared" si="40"/>
        <v>1.25</v>
      </c>
      <c r="E141" s="135">
        <f t="shared" si="40"/>
        <v>1.25</v>
      </c>
      <c r="F141" s="135">
        <f t="shared" si="40"/>
        <v>1.25</v>
      </c>
      <c r="G141" s="135">
        <f t="shared" si="40"/>
        <v>1.25</v>
      </c>
      <c r="H141" s="135">
        <f t="shared" si="40"/>
        <v>1.25</v>
      </c>
      <c r="I141" s="135">
        <f t="shared" si="40"/>
        <v>1.25</v>
      </c>
      <c r="J141" s="135">
        <f t="shared" si="40"/>
        <v>1.25</v>
      </c>
      <c r="K141" s="135">
        <f t="shared" si="40"/>
        <v>1.25</v>
      </c>
      <c r="L141" s="135">
        <f t="shared" si="40"/>
        <v>1.25</v>
      </c>
      <c r="M141" s="135">
        <f t="shared" si="40"/>
        <v>1.25</v>
      </c>
      <c r="N141" s="135">
        <f t="shared" si="40"/>
        <v>1.25</v>
      </c>
      <c r="O141" s="135">
        <f t="shared" si="40"/>
        <v>1.25</v>
      </c>
      <c r="P141" s="135">
        <f t="shared" si="40"/>
        <v>1.25</v>
      </c>
      <c r="Q141" s="135">
        <f t="shared" si="40"/>
        <v>1.25</v>
      </c>
      <c r="R141" s="135">
        <f t="shared" si="40"/>
        <v>1.25</v>
      </c>
      <c r="S141" s="135">
        <f t="shared" si="40"/>
        <v>1.25</v>
      </c>
      <c r="T141" s="135">
        <f t="shared" si="41"/>
        <v>1.25</v>
      </c>
      <c r="U141" s="135">
        <f t="shared" si="41"/>
        <v>1.25</v>
      </c>
      <c r="V141" s="135">
        <f t="shared" si="41"/>
        <v>1.25</v>
      </c>
      <c r="W141" s="135">
        <f t="shared" si="41"/>
        <v>1.25</v>
      </c>
      <c r="X141" s="135">
        <f t="shared" si="41"/>
        <v>1.25</v>
      </c>
      <c r="Y141" s="135">
        <f t="shared" si="41"/>
        <v>1.25</v>
      </c>
      <c r="Z141" s="135">
        <f t="shared" si="41"/>
        <v>1.25</v>
      </c>
      <c r="AA141" s="135">
        <f t="shared" si="41"/>
        <v>1.25</v>
      </c>
      <c r="AB141" s="135">
        <f t="shared" si="41"/>
        <v>1.25</v>
      </c>
      <c r="AC141" s="135">
        <f t="shared" si="41"/>
        <v>1.25</v>
      </c>
      <c r="AD141" s="135">
        <f t="shared" si="41"/>
        <v>1.25</v>
      </c>
      <c r="AE141" s="135">
        <f t="shared" si="41"/>
        <v>1.25</v>
      </c>
      <c r="AF141" s="135">
        <f t="shared" si="41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9"/>
        <v>1.25</v>
      </c>
      <c r="C142" s="136">
        <v>1.25</v>
      </c>
      <c r="D142" s="135">
        <f t="shared" si="40"/>
        <v>1.25</v>
      </c>
      <c r="E142" s="135">
        <f t="shared" si="40"/>
        <v>1.25</v>
      </c>
      <c r="F142" s="135">
        <f t="shared" si="40"/>
        <v>1.25</v>
      </c>
      <c r="G142" s="135">
        <f t="shared" si="40"/>
        <v>1.25</v>
      </c>
      <c r="H142" s="135">
        <f t="shared" si="40"/>
        <v>1.25</v>
      </c>
      <c r="I142" s="135">
        <f t="shared" si="40"/>
        <v>1.25</v>
      </c>
      <c r="J142" s="135">
        <f t="shared" si="40"/>
        <v>1.25</v>
      </c>
      <c r="K142" s="135">
        <f t="shared" si="40"/>
        <v>1.25</v>
      </c>
      <c r="L142" s="135">
        <f t="shared" si="40"/>
        <v>1.25</v>
      </c>
      <c r="M142" s="135">
        <f t="shared" si="40"/>
        <v>1.25</v>
      </c>
      <c r="N142" s="135">
        <f t="shared" si="40"/>
        <v>1.25</v>
      </c>
      <c r="O142" s="135">
        <f t="shared" si="40"/>
        <v>1.25</v>
      </c>
      <c r="P142" s="135">
        <f t="shared" si="40"/>
        <v>1.25</v>
      </c>
      <c r="Q142" s="135">
        <f t="shared" si="40"/>
        <v>1.25</v>
      </c>
      <c r="R142" s="135">
        <f t="shared" si="40"/>
        <v>1.25</v>
      </c>
      <c r="S142" s="135">
        <f t="shared" si="40"/>
        <v>1.25</v>
      </c>
      <c r="T142" s="135">
        <f t="shared" si="41"/>
        <v>1.25</v>
      </c>
      <c r="U142" s="135">
        <f t="shared" si="41"/>
        <v>1.25</v>
      </c>
      <c r="V142" s="135">
        <f t="shared" si="41"/>
        <v>1.25</v>
      </c>
      <c r="W142" s="135">
        <f t="shared" si="41"/>
        <v>1.25</v>
      </c>
      <c r="X142" s="135">
        <f t="shared" si="41"/>
        <v>1.25</v>
      </c>
      <c r="Y142" s="135">
        <f t="shared" si="41"/>
        <v>1.25</v>
      </c>
      <c r="Z142" s="135">
        <f t="shared" si="41"/>
        <v>1.25</v>
      </c>
      <c r="AA142" s="135">
        <f t="shared" si="41"/>
        <v>1.25</v>
      </c>
      <c r="AB142" s="135">
        <f t="shared" si="41"/>
        <v>1.25</v>
      </c>
      <c r="AC142" s="135">
        <f t="shared" si="41"/>
        <v>1.25</v>
      </c>
      <c r="AD142" s="135">
        <f t="shared" si="41"/>
        <v>1.25</v>
      </c>
      <c r="AE142" s="135">
        <f t="shared" si="41"/>
        <v>1.25</v>
      </c>
      <c r="AF142" s="135">
        <f t="shared" si="41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9"/>
        <v>1.46</v>
      </c>
      <c r="C143" s="136">
        <v>1.46</v>
      </c>
      <c r="D143" s="135">
        <f t="shared" si="40"/>
        <v>1.46</v>
      </c>
      <c r="E143" s="135">
        <f t="shared" si="40"/>
        <v>1.46</v>
      </c>
      <c r="F143" s="135">
        <f t="shared" si="40"/>
        <v>1.46</v>
      </c>
      <c r="G143" s="135">
        <f t="shared" si="40"/>
        <v>1.46</v>
      </c>
      <c r="H143" s="135">
        <f t="shared" si="40"/>
        <v>1.46</v>
      </c>
      <c r="I143" s="135">
        <f t="shared" si="40"/>
        <v>1.46</v>
      </c>
      <c r="J143" s="135">
        <f t="shared" si="40"/>
        <v>1.46</v>
      </c>
      <c r="K143" s="135">
        <f t="shared" si="40"/>
        <v>1.46</v>
      </c>
      <c r="L143" s="135">
        <f t="shared" si="40"/>
        <v>1.46</v>
      </c>
      <c r="M143" s="135">
        <f t="shared" si="40"/>
        <v>1.46</v>
      </c>
      <c r="N143" s="135">
        <f t="shared" si="40"/>
        <v>1.46</v>
      </c>
      <c r="O143" s="135">
        <f t="shared" si="40"/>
        <v>1.46</v>
      </c>
      <c r="P143" s="135">
        <f t="shared" si="40"/>
        <v>1.46</v>
      </c>
      <c r="Q143" s="135">
        <f t="shared" si="40"/>
        <v>1.46</v>
      </c>
      <c r="R143" s="135">
        <f t="shared" si="40"/>
        <v>1.46</v>
      </c>
      <c r="S143" s="135">
        <f t="shared" si="40"/>
        <v>1.46</v>
      </c>
      <c r="T143" s="135">
        <f t="shared" si="41"/>
        <v>1.46</v>
      </c>
      <c r="U143" s="135">
        <f t="shared" si="41"/>
        <v>1.46</v>
      </c>
      <c r="V143" s="135">
        <f t="shared" si="41"/>
        <v>1.46</v>
      </c>
      <c r="W143" s="135">
        <f t="shared" si="41"/>
        <v>1.46</v>
      </c>
      <c r="X143" s="135">
        <f t="shared" si="41"/>
        <v>1.46</v>
      </c>
      <c r="Y143" s="135">
        <f t="shared" si="41"/>
        <v>1.46</v>
      </c>
      <c r="Z143" s="135">
        <f t="shared" si="41"/>
        <v>1.46</v>
      </c>
      <c r="AA143" s="135">
        <f t="shared" si="41"/>
        <v>1.46</v>
      </c>
      <c r="AB143" s="135">
        <f t="shared" si="41"/>
        <v>1.46</v>
      </c>
      <c r="AC143" s="135">
        <f t="shared" si="41"/>
        <v>1.46</v>
      </c>
      <c r="AD143" s="135">
        <f t="shared" si="41"/>
        <v>1.46</v>
      </c>
      <c r="AE143" s="135">
        <f t="shared" si="41"/>
        <v>1.46</v>
      </c>
      <c r="AF143" s="135">
        <f t="shared" si="41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9"/>
        <v>3</v>
      </c>
      <c r="C144" s="136">
        <v>3</v>
      </c>
      <c r="D144" s="135">
        <f t="shared" si="40"/>
        <v>3</v>
      </c>
      <c r="E144" s="135">
        <f t="shared" si="40"/>
        <v>3</v>
      </c>
      <c r="F144" s="135">
        <f t="shared" si="40"/>
        <v>3</v>
      </c>
      <c r="G144" s="135">
        <f t="shared" si="40"/>
        <v>3</v>
      </c>
      <c r="H144" s="135">
        <f t="shared" si="40"/>
        <v>3</v>
      </c>
      <c r="I144" s="135">
        <f t="shared" si="40"/>
        <v>3</v>
      </c>
      <c r="J144" s="135">
        <f t="shared" si="40"/>
        <v>3</v>
      </c>
      <c r="K144" s="135">
        <f t="shared" si="40"/>
        <v>3</v>
      </c>
      <c r="L144" s="135">
        <f t="shared" si="40"/>
        <v>3</v>
      </c>
      <c r="M144" s="135">
        <f t="shared" si="40"/>
        <v>3</v>
      </c>
      <c r="N144" s="135">
        <f t="shared" si="40"/>
        <v>3</v>
      </c>
      <c r="O144" s="135">
        <f t="shared" si="40"/>
        <v>3</v>
      </c>
      <c r="P144" s="135">
        <f t="shared" si="40"/>
        <v>3</v>
      </c>
      <c r="Q144" s="135">
        <f t="shared" si="40"/>
        <v>3</v>
      </c>
      <c r="R144" s="135">
        <f t="shared" si="40"/>
        <v>3</v>
      </c>
      <c r="S144" s="135">
        <f t="shared" si="40"/>
        <v>3</v>
      </c>
      <c r="T144" s="135">
        <f t="shared" si="41"/>
        <v>3</v>
      </c>
      <c r="U144" s="135">
        <f t="shared" si="41"/>
        <v>3</v>
      </c>
      <c r="V144" s="135">
        <f t="shared" si="41"/>
        <v>3</v>
      </c>
      <c r="W144" s="135">
        <f t="shared" si="41"/>
        <v>3</v>
      </c>
      <c r="X144" s="135">
        <f t="shared" si="41"/>
        <v>3</v>
      </c>
      <c r="Y144" s="135">
        <f t="shared" si="41"/>
        <v>3</v>
      </c>
      <c r="Z144" s="135">
        <f t="shared" si="41"/>
        <v>3</v>
      </c>
      <c r="AA144" s="135">
        <f t="shared" si="41"/>
        <v>3</v>
      </c>
      <c r="AB144" s="135">
        <f t="shared" si="41"/>
        <v>3</v>
      </c>
      <c r="AC144" s="135">
        <f t="shared" si="41"/>
        <v>3</v>
      </c>
      <c r="AD144" s="135">
        <f t="shared" si="41"/>
        <v>3</v>
      </c>
      <c r="AE144" s="135">
        <f t="shared" si="41"/>
        <v>3</v>
      </c>
      <c r="AF144" s="135">
        <f t="shared" si="41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9"/>
        <v>3.3</v>
      </c>
      <c r="C145" s="136">
        <v>3.3</v>
      </c>
      <c r="D145" s="135">
        <f t="shared" si="40"/>
        <v>3.3</v>
      </c>
      <c r="E145" s="135">
        <f t="shared" si="40"/>
        <v>3.3</v>
      </c>
      <c r="F145" s="135">
        <f t="shared" si="40"/>
        <v>3.3</v>
      </c>
      <c r="G145" s="135">
        <f t="shared" si="40"/>
        <v>3.3</v>
      </c>
      <c r="H145" s="135">
        <f t="shared" si="40"/>
        <v>3.3</v>
      </c>
      <c r="I145" s="135">
        <f t="shared" si="40"/>
        <v>3.3</v>
      </c>
      <c r="J145" s="135">
        <f t="shared" si="40"/>
        <v>3.3</v>
      </c>
      <c r="K145" s="135">
        <f t="shared" si="40"/>
        <v>3.3</v>
      </c>
      <c r="L145" s="135">
        <f t="shared" si="40"/>
        <v>3.3</v>
      </c>
      <c r="M145" s="135">
        <f t="shared" si="40"/>
        <v>3.3</v>
      </c>
      <c r="N145" s="135">
        <f t="shared" si="40"/>
        <v>3.3</v>
      </c>
      <c r="O145" s="135">
        <f t="shared" si="40"/>
        <v>3.3</v>
      </c>
      <c r="P145" s="135">
        <f t="shared" si="40"/>
        <v>3.3</v>
      </c>
      <c r="Q145" s="135">
        <f t="shared" si="40"/>
        <v>3.3</v>
      </c>
      <c r="R145" s="135">
        <f t="shared" si="40"/>
        <v>3.3</v>
      </c>
      <c r="S145" s="135">
        <f t="shared" si="40"/>
        <v>3.3</v>
      </c>
      <c r="T145" s="135">
        <f t="shared" si="41"/>
        <v>3.3</v>
      </c>
      <c r="U145" s="135">
        <f t="shared" si="41"/>
        <v>3.3</v>
      </c>
      <c r="V145" s="135">
        <f t="shared" si="41"/>
        <v>3.3</v>
      </c>
      <c r="W145" s="135">
        <f t="shared" si="41"/>
        <v>3.3</v>
      </c>
      <c r="X145" s="135">
        <f t="shared" si="41"/>
        <v>3.3</v>
      </c>
      <c r="Y145" s="135">
        <f t="shared" si="41"/>
        <v>3.3</v>
      </c>
      <c r="Z145" s="135">
        <f t="shared" si="41"/>
        <v>3.3</v>
      </c>
      <c r="AA145" s="135">
        <f t="shared" si="41"/>
        <v>3.3</v>
      </c>
      <c r="AB145" s="135">
        <f t="shared" si="41"/>
        <v>3.3</v>
      </c>
      <c r="AC145" s="135">
        <f t="shared" si="41"/>
        <v>3.3</v>
      </c>
      <c r="AD145" s="135">
        <f t="shared" si="41"/>
        <v>3.3</v>
      </c>
      <c r="AE145" s="135">
        <f t="shared" si="41"/>
        <v>3.3</v>
      </c>
      <c r="AF145" s="135">
        <f t="shared" si="41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2">C147</f>
        <v>1.76</v>
      </c>
      <c r="E147" s="135">
        <f t="shared" si="42"/>
        <v>1.76</v>
      </c>
      <c r="F147" s="135">
        <f t="shared" si="42"/>
        <v>1.76</v>
      </c>
      <c r="G147" s="135">
        <f t="shared" si="42"/>
        <v>1.76</v>
      </c>
      <c r="H147" s="135">
        <f t="shared" si="42"/>
        <v>1.76</v>
      </c>
      <c r="I147" s="135">
        <f t="shared" si="42"/>
        <v>1.76</v>
      </c>
      <c r="J147" s="135">
        <f t="shared" si="42"/>
        <v>1.76</v>
      </c>
      <c r="K147" s="135">
        <f t="shared" si="42"/>
        <v>1.76</v>
      </c>
      <c r="L147" s="135">
        <f t="shared" si="42"/>
        <v>1.76</v>
      </c>
      <c r="M147" s="135">
        <f t="shared" si="42"/>
        <v>1.76</v>
      </c>
      <c r="N147" s="135">
        <f t="shared" si="42"/>
        <v>1.76</v>
      </c>
      <c r="O147" s="135">
        <f t="shared" si="42"/>
        <v>1.76</v>
      </c>
      <c r="P147" s="135">
        <f t="shared" si="42"/>
        <v>1.76</v>
      </c>
      <c r="Q147" s="135">
        <f t="shared" si="42"/>
        <v>1.76</v>
      </c>
      <c r="R147" s="135">
        <f t="shared" si="42"/>
        <v>1.76</v>
      </c>
      <c r="S147" s="135">
        <f t="shared" si="42"/>
        <v>1.76</v>
      </c>
      <c r="T147" s="135">
        <f t="shared" ref="T147:AF148" si="43">S147</f>
        <v>1.76</v>
      </c>
      <c r="U147" s="135">
        <f t="shared" si="43"/>
        <v>1.76</v>
      </c>
      <c r="V147" s="135">
        <f t="shared" si="43"/>
        <v>1.76</v>
      </c>
      <c r="W147" s="135">
        <f t="shared" si="43"/>
        <v>1.76</v>
      </c>
      <c r="X147" s="135">
        <f t="shared" si="43"/>
        <v>1.76</v>
      </c>
      <c r="Y147" s="135">
        <f t="shared" si="43"/>
        <v>1.76</v>
      </c>
      <c r="Z147" s="135">
        <f t="shared" si="43"/>
        <v>1.76</v>
      </c>
      <c r="AA147" s="135">
        <f t="shared" si="43"/>
        <v>1.76</v>
      </c>
      <c r="AB147" s="135">
        <f t="shared" si="43"/>
        <v>1.76</v>
      </c>
      <c r="AC147" s="135">
        <f t="shared" si="43"/>
        <v>1.76</v>
      </c>
      <c r="AD147" s="135">
        <f t="shared" si="43"/>
        <v>1.76</v>
      </c>
      <c r="AE147" s="135">
        <f t="shared" si="43"/>
        <v>1.76</v>
      </c>
      <c r="AF147" s="135">
        <f t="shared" si="43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2"/>
        <v>0</v>
      </c>
      <c r="E148" s="135">
        <f t="shared" si="42"/>
        <v>0</v>
      </c>
      <c r="F148" s="135">
        <f t="shared" si="42"/>
        <v>0</v>
      </c>
      <c r="G148" s="135">
        <f t="shared" si="42"/>
        <v>0</v>
      </c>
      <c r="H148" s="135">
        <f t="shared" si="42"/>
        <v>0</v>
      </c>
      <c r="I148" s="135">
        <f t="shared" si="42"/>
        <v>0</v>
      </c>
      <c r="J148" s="135">
        <f t="shared" si="42"/>
        <v>0</v>
      </c>
      <c r="K148" s="135">
        <f t="shared" si="42"/>
        <v>0</v>
      </c>
      <c r="L148" s="135">
        <f t="shared" si="42"/>
        <v>0</v>
      </c>
      <c r="M148" s="135">
        <f t="shared" si="42"/>
        <v>0</v>
      </c>
      <c r="N148" s="135">
        <f t="shared" si="42"/>
        <v>0</v>
      </c>
      <c r="O148" s="135">
        <f t="shared" si="42"/>
        <v>0</v>
      </c>
      <c r="P148" s="135">
        <f t="shared" si="42"/>
        <v>0</v>
      </c>
      <c r="Q148" s="135">
        <f t="shared" si="42"/>
        <v>0</v>
      </c>
      <c r="R148" s="135">
        <f t="shared" si="42"/>
        <v>0</v>
      </c>
      <c r="S148" s="135">
        <f t="shared" si="42"/>
        <v>0</v>
      </c>
      <c r="T148" s="135">
        <f t="shared" si="43"/>
        <v>0</v>
      </c>
      <c r="U148" s="135">
        <f t="shared" si="43"/>
        <v>0</v>
      </c>
      <c r="V148" s="135">
        <f t="shared" si="43"/>
        <v>0</v>
      </c>
      <c r="W148" s="135">
        <f t="shared" si="43"/>
        <v>0</v>
      </c>
      <c r="X148" s="135">
        <f t="shared" si="43"/>
        <v>0</v>
      </c>
      <c r="Y148" s="135">
        <f t="shared" si="43"/>
        <v>0</v>
      </c>
      <c r="Z148" s="135">
        <f t="shared" si="43"/>
        <v>0</v>
      </c>
      <c r="AA148" s="135">
        <f t="shared" si="43"/>
        <v>0</v>
      </c>
      <c r="AB148" s="135">
        <f t="shared" si="43"/>
        <v>0</v>
      </c>
      <c r="AC148" s="135">
        <f t="shared" si="43"/>
        <v>0</v>
      </c>
      <c r="AD148" s="135">
        <f t="shared" si="43"/>
        <v>0</v>
      </c>
      <c r="AE148" s="135">
        <f t="shared" si="43"/>
        <v>0</v>
      </c>
      <c r="AF148" s="135">
        <f t="shared" si="43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4">C150</f>
        <v>0.1</v>
      </c>
      <c r="E150" s="135">
        <f t="shared" si="44"/>
        <v>0.1</v>
      </c>
      <c r="F150" s="135">
        <f t="shared" si="44"/>
        <v>0.1</v>
      </c>
      <c r="G150" s="135">
        <f t="shared" si="44"/>
        <v>0.1</v>
      </c>
      <c r="H150" s="135">
        <f t="shared" si="44"/>
        <v>0.1</v>
      </c>
      <c r="I150" s="135">
        <f t="shared" si="44"/>
        <v>0.1</v>
      </c>
      <c r="J150" s="135">
        <f t="shared" si="44"/>
        <v>0.1</v>
      </c>
      <c r="K150" s="135">
        <f t="shared" si="44"/>
        <v>0.1</v>
      </c>
      <c r="L150" s="135">
        <f t="shared" si="44"/>
        <v>0.1</v>
      </c>
      <c r="M150" s="135">
        <f t="shared" si="44"/>
        <v>0.1</v>
      </c>
      <c r="N150" s="135">
        <f t="shared" si="44"/>
        <v>0.1</v>
      </c>
      <c r="O150" s="135">
        <f t="shared" si="44"/>
        <v>0.1</v>
      </c>
      <c r="P150" s="135">
        <f t="shared" si="44"/>
        <v>0.1</v>
      </c>
      <c r="Q150" s="135">
        <f t="shared" si="44"/>
        <v>0.1</v>
      </c>
      <c r="R150" s="135">
        <f t="shared" si="44"/>
        <v>0.1</v>
      </c>
      <c r="S150" s="135">
        <f t="shared" si="44"/>
        <v>0.1</v>
      </c>
      <c r="T150" s="135">
        <f t="shared" ref="T150:AF153" si="45">S150</f>
        <v>0.1</v>
      </c>
      <c r="U150" s="135">
        <f t="shared" si="45"/>
        <v>0.1</v>
      </c>
      <c r="V150" s="135">
        <f t="shared" si="45"/>
        <v>0.1</v>
      </c>
      <c r="W150" s="135">
        <f t="shared" si="45"/>
        <v>0.1</v>
      </c>
      <c r="X150" s="135">
        <f t="shared" si="45"/>
        <v>0.1</v>
      </c>
      <c r="Y150" s="135">
        <f t="shared" si="45"/>
        <v>0.1</v>
      </c>
      <c r="Z150" s="135">
        <f t="shared" si="45"/>
        <v>0.1</v>
      </c>
      <c r="AA150" s="135">
        <f t="shared" si="45"/>
        <v>0.1</v>
      </c>
      <c r="AB150" s="135">
        <f t="shared" si="45"/>
        <v>0.1</v>
      </c>
      <c r="AC150" s="135">
        <f t="shared" si="45"/>
        <v>0.1</v>
      </c>
      <c r="AD150" s="135">
        <f t="shared" si="45"/>
        <v>0.1</v>
      </c>
      <c r="AE150" s="135">
        <f t="shared" si="45"/>
        <v>0.1</v>
      </c>
      <c r="AF150" s="135">
        <f t="shared" si="45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4"/>
        <v>2.0499999999999998</v>
      </c>
      <c r="E151" s="135">
        <f t="shared" si="44"/>
        <v>2.0499999999999998</v>
      </c>
      <c r="F151" s="135">
        <f t="shared" si="44"/>
        <v>2.0499999999999998</v>
      </c>
      <c r="G151" s="135">
        <f t="shared" si="44"/>
        <v>2.0499999999999998</v>
      </c>
      <c r="H151" s="135">
        <f t="shared" si="44"/>
        <v>2.0499999999999998</v>
      </c>
      <c r="I151" s="135">
        <f t="shared" si="44"/>
        <v>2.0499999999999998</v>
      </c>
      <c r="J151" s="135">
        <f t="shared" si="44"/>
        <v>2.0499999999999998</v>
      </c>
      <c r="K151" s="135">
        <f t="shared" si="44"/>
        <v>2.0499999999999998</v>
      </c>
      <c r="L151" s="135">
        <f t="shared" si="44"/>
        <v>2.0499999999999998</v>
      </c>
      <c r="M151" s="135">
        <f t="shared" si="44"/>
        <v>2.0499999999999998</v>
      </c>
      <c r="N151" s="135">
        <f t="shared" si="44"/>
        <v>2.0499999999999998</v>
      </c>
      <c r="O151" s="135">
        <f t="shared" si="44"/>
        <v>2.0499999999999998</v>
      </c>
      <c r="P151" s="135">
        <f t="shared" si="44"/>
        <v>2.0499999999999998</v>
      </c>
      <c r="Q151" s="135">
        <f t="shared" si="44"/>
        <v>2.0499999999999998</v>
      </c>
      <c r="R151" s="135">
        <f t="shared" si="44"/>
        <v>2.0499999999999998</v>
      </c>
      <c r="S151" s="135">
        <f t="shared" si="44"/>
        <v>2.0499999999999998</v>
      </c>
      <c r="T151" s="135">
        <f t="shared" si="45"/>
        <v>2.0499999999999998</v>
      </c>
      <c r="U151" s="135">
        <f t="shared" si="45"/>
        <v>2.0499999999999998</v>
      </c>
      <c r="V151" s="135">
        <f t="shared" si="45"/>
        <v>2.0499999999999998</v>
      </c>
      <c r="W151" s="135">
        <f t="shared" si="45"/>
        <v>2.0499999999999998</v>
      </c>
      <c r="X151" s="135">
        <f t="shared" si="45"/>
        <v>2.0499999999999998</v>
      </c>
      <c r="Y151" s="135">
        <f t="shared" si="45"/>
        <v>2.0499999999999998</v>
      </c>
      <c r="Z151" s="135">
        <f t="shared" si="45"/>
        <v>2.0499999999999998</v>
      </c>
      <c r="AA151" s="135">
        <f t="shared" si="45"/>
        <v>2.0499999999999998</v>
      </c>
      <c r="AB151" s="135">
        <f t="shared" si="45"/>
        <v>2.0499999999999998</v>
      </c>
      <c r="AC151" s="135">
        <f t="shared" si="45"/>
        <v>2.0499999999999998</v>
      </c>
      <c r="AD151" s="135">
        <f t="shared" si="45"/>
        <v>2.0499999999999998</v>
      </c>
      <c r="AE151" s="135">
        <f t="shared" si="45"/>
        <v>2.0499999999999998</v>
      </c>
      <c r="AF151" s="135">
        <f t="shared" si="45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4"/>
        <v>2.7</v>
      </c>
      <c r="E152" s="135">
        <f t="shared" si="44"/>
        <v>2.7</v>
      </c>
      <c r="F152" s="135">
        <f t="shared" si="44"/>
        <v>2.7</v>
      </c>
      <c r="G152" s="135">
        <f t="shared" si="44"/>
        <v>2.7</v>
      </c>
      <c r="H152" s="135">
        <f t="shared" si="44"/>
        <v>2.7</v>
      </c>
      <c r="I152" s="135">
        <f t="shared" si="44"/>
        <v>2.7</v>
      </c>
      <c r="J152" s="135">
        <f t="shared" si="44"/>
        <v>2.7</v>
      </c>
      <c r="K152" s="135">
        <f t="shared" si="44"/>
        <v>2.7</v>
      </c>
      <c r="L152" s="135">
        <f t="shared" si="44"/>
        <v>2.7</v>
      </c>
      <c r="M152" s="135">
        <f t="shared" si="44"/>
        <v>2.7</v>
      </c>
      <c r="N152" s="135">
        <f t="shared" si="44"/>
        <v>2.7</v>
      </c>
      <c r="O152" s="135">
        <f t="shared" si="44"/>
        <v>2.7</v>
      </c>
      <c r="P152" s="135">
        <f t="shared" si="44"/>
        <v>2.7</v>
      </c>
      <c r="Q152" s="135">
        <f t="shared" si="44"/>
        <v>2.7</v>
      </c>
      <c r="R152" s="135">
        <f t="shared" si="44"/>
        <v>2.7</v>
      </c>
      <c r="S152" s="135">
        <f t="shared" si="44"/>
        <v>2.7</v>
      </c>
      <c r="T152" s="135">
        <f t="shared" si="45"/>
        <v>2.7</v>
      </c>
      <c r="U152" s="135">
        <f t="shared" si="45"/>
        <v>2.7</v>
      </c>
      <c r="V152" s="135">
        <f t="shared" si="45"/>
        <v>2.7</v>
      </c>
      <c r="W152" s="135">
        <f t="shared" si="45"/>
        <v>2.7</v>
      </c>
      <c r="X152" s="135">
        <f t="shared" si="45"/>
        <v>2.7</v>
      </c>
      <c r="Y152" s="135">
        <f t="shared" si="45"/>
        <v>2.7</v>
      </c>
      <c r="Z152" s="135">
        <f t="shared" si="45"/>
        <v>2.7</v>
      </c>
      <c r="AA152" s="135">
        <f t="shared" si="45"/>
        <v>2.7</v>
      </c>
      <c r="AB152" s="135">
        <f t="shared" si="45"/>
        <v>2.7</v>
      </c>
      <c r="AC152" s="135">
        <f t="shared" si="45"/>
        <v>2.7</v>
      </c>
      <c r="AD152" s="135">
        <f t="shared" si="45"/>
        <v>2.7</v>
      </c>
      <c r="AE152" s="135">
        <f t="shared" si="45"/>
        <v>2.7</v>
      </c>
      <c r="AF152" s="135">
        <f t="shared" si="45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4"/>
        <v>2.15</v>
      </c>
      <c r="E153" s="135">
        <f t="shared" si="44"/>
        <v>2.15</v>
      </c>
      <c r="F153" s="135">
        <f t="shared" si="44"/>
        <v>2.15</v>
      </c>
      <c r="G153" s="135">
        <f t="shared" si="44"/>
        <v>2.15</v>
      </c>
      <c r="H153" s="135">
        <f t="shared" si="44"/>
        <v>2.15</v>
      </c>
      <c r="I153" s="135">
        <f t="shared" si="44"/>
        <v>2.15</v>
      </c>
      <c r="J153" s="135">
        <f t="shared" si="44"/>
        <v>2.15</v>
      </c>
      <c r="K153" s="135">
        <f t="shared" si="44"/>
        <v>2.15</v>
      </c>
      <c r="L153" s="135">
        <f t="shared" si="44"/>
        <v>2.15</v>
      </c>
      <c r="M153" s="135">
        <f t="shared" si="44"/>
        <v>2.15</v>
      </c>
      <c r="N153" s="135">
        <f t="shared" si="44"/>
        <v>2.15</v>
      </c>
      <c r="O153" s="135">
        <f t="shared" si="44"/>
        <v>2.15</v>
      </c>
      <c r="P153" s="135">
        <f t="shared" si="44"/>
        <v>2.15</v>
      </c>
      <c r="Q153" s="135">
        <f t="shared" si="44"/>
        <v>2.15</v>
      </c>
      <c r="R153" s="135">
        <f t="shared" si="44"/>
        <v>2.15</v>
      </c>
      <c r="S153" s="135">
        <f t="shared" si="44"/>
        <v>2.15</v>
      </c>
      <c r="T153" s="135">
        <f t="shared" si="45"/>
        <v>2.15</v>
      </c>
      <c r="U153" s="135">
        <f t="shared" si="45"/>
        <v>2.15</v>
      </c>
      <c r="V153" s="135">
        <f t="shared" si="45"/>
        <v>2.15</v>
      </c>
      <c r="W153" s="135">
        <f t="shared" si="45"/>
        <v>2.15</v>
      </c>
      <c r="X153" s="135">
        <f t="shared" si="45"/>
        <v>2.15</v>
      </c>
      <c r="Y153" s="135">
        <f t="shared" si="45"/>
        <v>2.15</v>
      </c>
      <c r="Z153" s="135">
        <f t="shared" si="45"/>
        <v>2.15</v>
      </c>
      <c r="AA153" s="135">
        <f t="shared" si="45"/>
        <v>2.15</v>
      </c>
      <c r="AB153" s="135">
        <f t="shared" si="45"/>
        <v>2.15</v>
      </c>
      <c r="AC153" s="135">
        <f t="shared" si="45"/>
        <v>2.15</v>
      </c>
      <c r="AD153" s="135">
        <f t="shared" si="45"/>
        <v>2.15</v>
      </c>
      <c r="AE153" s="135">
        <f t="shared" si="45"/>
        <v>2.15</v>
      </c>
      <c r="AF153" s="135">
        <f t="shared" si="45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6">AF155</f>
        <v>0.9</v>
      </c>
      <c r="C155" s="136">
        <v>0.9</v>
      </c>
      <c r="D155" s="135">
        <f t="shared" ref="D155:S167" si="47">C155</f>
        <v>0.9</v>
      </c>
      <c r="E155" s="135">
        <f t="shared" si="47"/>
        <v>0.9</v>
      </c>
      <c r="F155" s="135">
        <f t="shared" si="47"/>
        <v>0.9</v>
      </c>
      <c r="G155" s="135">
        <f t="shared" si="47"/>
        <v>0.9</v>
      </c>
      <c r="H155" s="135">
        <f t="shared" si="47"/>
        <v>0.9</v>
      </c>
      <c r="I155" s="135">
        <f t="shared" si="47"/>
        <v>0.9</v>
      </c>
      <c r="J155" s="135">
        <f t="shared" si="47"/>
        <v>0.9</v>
      </c>
      <c r="K155" s="135">
        <f t="shared" si="47"/>
        <v>0.9</v>
      </c>
      <c r="L155" s="135">
        <f t="shared" si="47"/>
        <v>0.9</v>
      </c>
      <c r="M155" s="135">
        <f t="shared" si="47"/>
        <v>0.9</v>
      </c>
      <c r="N155" s="135">
        <f t="shared" si="47"/>
        <v>0.9</v>
      </c>
      <c r="O155" s="135">
        <f t="shared" si="47"/>
        <v>0.9</v>
      </c>
      <c r="P155" s="135">
        <f t="shared" si="47"/>
        <v>0.9</v>
      </c>
      <c r="Q155" s="135">
        <f t="shared" si="47"/>
        <v>0.9</v>
      </c>
      <c r="R155" s="135">
        <f t="shared" si="47"/>
        <v>0.9</v>
      </c>
      <c r="S155" s="135">
        <f t="shared" si="47"/>
        <v>0.9</v>
      </c>
      <c r="T155" s="135">
        <f t="shared" ref="S155:AF167" si="48">S155</f>
        <v>0.9</v>
      </c>
      <c r="U155" s="135">
        <f t="shared" si="48"/>
        <v>0.9</v>
      </c>
      <c r="V155" s="135">
        <f t="shared" si="48"/>
        <v>0.9</v>
      </c>
      <c r="W155" s="135">
        <f t="shared" si="48"/>
        <v>0.9</v>
      </c>
      <c r="X155" s="135">
        <f t="shared" si="48"/>
        <v>0.9</v>
      </c>
      <c r="Y155" s="135">
        <f t="shared" si="48"/>
        <v>0.9</v>
      </c>
      <c r="Z155" s="135">
        <f t="shared" si="48"/>
        <v>0.9</v>
      </c>
      <c r="AA155" s="135">
        <f t="shared" si="48"/>
        <v>0.9</v>
      </c>
      <c r="AB155" s="135">
        <f t="shared" si="48"/>
        <v>0.9</v>
      </c>
      <c r="AC155" s="135">
        <f t="shared" si="48"/>
        <v>0.9</v>
      </c>
      <c r="AD155" s="135">
        <f t="shared" si="48"/>
        <v>0.9</v>
      </c>
      <c r="AE155" s="135">
        <f t="shared" si="48"/>
        <v>0.9</v>
      </c>
      <c r="AF155" s="135">
        <f t="shared" si="48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6"/>
        <v>1.08</v>
      </c>
      <c r="C156" s="136">
        <v>1.08</v>
      </c>
      <c r="D156" s="135">
        <f t="shared" si="47"/>
        <v>1.08</v>
      </c>
      <c r="E156" s="135">
        <f t="shared" si="47"/>
        <v>1.08</v>
      </c>
      <c r="F156" s="135">
        <f t="shared" si="47"/>
        <v>1.08</v>
      </c>
      <c r="G156" s="135">
        <f t="shared" si="47"/>
        <v>1.08</v>
      </c>
      <c r="H156" s="135">
        <f t="shared" si="47"/>
        <v>1.08</v>
      </c>
      <c r="I156" s="135">
        <f t="shared" si="47"/>
        <v>1.08</v>
      </c>
      <c r="J156" s="135">
        <f t="shared" si="47"/>
        <v>1.08</v>
      </c>
      <c r="K156" s="135">
        <f t="shared" si="47"/>
        <v>1.08</v>
      </c>
      <c r="L156" s="135">
        <f t="shared" si="47"/>
        <v>1.08</v>
      </c>
      <c r="M156" s="135">
        <f t="shared" si="47"/>
        <v>1.08</v>
      </c>
      <c r="N156" s="135">
        <f t="shared" si="47"/>
        <v>1.08</v>
      </c>
      <c r="O156" s="135">
        <f t="shared" si="47"/>
        <v>1.08</v>
      </c>
      <c r="P156" s="135">
        <f t="shared" si="47"/>
        <v>1.08</v>
      </c>
      <c r="Q156" s="135">
        <f t="shared" si="47"/>
        <v>1.08</v>
      </c>
      <c r="R156" s="135">
        <f t="shared" si="47"/>
        <v>1.08</v>
      </c>
      <c r="S156" s="135">
        <f t="shared" si="47"/>
        <v>1.08</v>
      </c>
      <c r="T156" s="135">
        <f t="shared" si="48"/>
        <v>1.08</v>
      </c>
      <c r="U156" s="135">
        <f t="shared" si="48"/>
        <v>1.08</v>
      </c>
      <c r="V156" s="135">
        <f t="shared" si="48"/>
        <v>1.08</v>
      </c>
      <c r="W156" s="135">
        <f t="shared" si="48"/>
        <v>1.08</v>
      </c>
      <c r="X156" s="135">
        <f t="shared" si="48"/>
        <v>1.08</v>
      </c>
      <c r="Y156" s="135">
        <f t="shared" si="48"/>
        <v>1.08</v>
      </c>
      <c r="Z156" s="135">
        <f t="shared" si="48"/>
        <v>1.08</v>
      </c>
      <c r="AA156" s="135">
        <f t="shared" si="48"/>
        <v>1.08</v>
      </c>
      <c r="AB156" s="135">
        <f t="shared" si="48"/>
        <v>1.08</v>
      </c>
      <c r="AC156" s="135">
        <f t="shared" si="48"/>
        <v>1.08</v>
      </c>
      <c r="AD156" s="135">
        <f t="shared" si="48"/>
        <v>1.08</v>
      </c>
      <c r="AE156" s="135">
        <f t="shared" si="48"/>
        <v>1.08</v>
      </c>
      <c r="AF156" s="135">
        <f t="shared" si="48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6"/>
        <v>2.37</v>
      </c>
      <c r="C157" s="136">
        <v>2.37</v>
      </c>
      <c r="D157" s="135">
        <f t="shared" si="47"/>
        <v>2.37</v>
      </c>
      <c r="E157" s="135">
        <f t="shared" si="47"/>
        <v>2.37</v>
      </c>
      <c r="F157" s="135">
        <f t="shared" si="47"/>
        <v>2.37</v>
      </c>
      <c r="G157" s="135">
        <f t="shared" si="47"/>
        <v>2.37</v>
      </c>
      <c r="H157" s="135">
        <f t="shared" si="47"/>
        <v>2.37</v>
      </c>
      <c r="I157" s="135">
        <f t="shared" si="47"/>
        <v>2.37</v>
      </c>
      <c r="J157" s="135">
        <f t="shared" si="47"/>
        <v>2.37</v>
      </c>
      <c r="K157" s="135">
        <f t="shared" si="47"/>
        <v>2.37</v>
      </c>
      <c r="L157" s="135">
        <f t="shared" si="47"/>
        <v>2.37</v>
      </c>
      <c r="M157" s="135">
        <f t="shared" si="47"/>
        <v>2.37</v>
      </c>
      <c r="N157" s="135">
        <f t="shared" si="47"/>
        <v>2.37</v>
      </c>
      <c r="O157" s="135">
        <f t="shared" si="47"/>
        <v>2.37</v>
      </c>
      <c r="P157" s="135">
        <f t="shared" si="47"/>
        <v>2.37</v>
      </c>
      <c r="Q157" s="135">
        <f t="shared" si="47"/>
        <v>2.37</v>
      </c>
      <c r="R157" s="135">
        <f t="shared" si="47"/>
        <v>2.37</v>
      </c>
      <c r="S157" s="135">
        <f t="shared" si="47"/>
        <v>2.37</v>
      </c>
      <c r="T157" s="135">
        <f t="shared" si="48"/>
        <v>2.37</v>
      </c>
      <c r="U157" s="135">
        <f t="shared" si="48"/>
        <v>2.37</v>
      </c>
      <c r="V157" s="135">
        <f t="shared" si="48"/>
        <v>2.37</v>
      </c>
      <c r="W157" s="135">
        <f t="shared" si="48"/>
        <v>2.37</v>
      </c>
      <c r="X157" s="135">
        <f t="shared" si="48"/>
        <v>2.37</v>
      </c>
      <c r="Y157" s="135">
        <f t="shared" si="48"/>
        <v>2.37</v>
      </c>
      <c r="Z157" s="135">
        <f t="shared" si="48"/>
        <v>2.37</v>
      </c>
      <c r="AA157" s="135">
        <f t="shared" si="48"/>
        <v>2.37</v>
      </c>
      <c r="AB157" s="135">
        <f t="shared" si="48"/>
        <v>2.37</v>
      </c>
      <c r="AC157" s="135">
        <f t="shared" si="48"/>
        <v>2.37</v>
      </c>
      <c r="AD157" s="135">
        <f t="shared" si="48"/>
        <v>2.37</v>
      </c>
      <c r="AE157" s="135">
        <f t="shared" si="48"/>
        <v>2.37</v>
      </c>
      <c r="AF157" s="135">
        <f t="shared" si="48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6"/>
        <v>1.81</v>
      </c>
      <c r="C158" s="136">
        <v>1.81</v>
      </c>
      <c r="D158" s="135">
        <f t="shared" si="47"/>
        <v>1.81</v>
      </c>
      <c r="E158" s="135">
        <f t="shared" si="47"/>
        <v>1.81</v>
      </c>
      <c r="F158" s="135">
        <f t="shared" si="47"/>
        <v>1.81</v>
      </c>
      <c r="G158" s="135">
        <f t="shared" si="47"/>
        <v>1.81</v>
      </c>
      <c r="H158" s="135">
        <f t="shared" si="47"/>
        <v>1.81</v>
      </c>
      <c r="I158" s="135">
        <f t="shared" si="47"/>
        <v>1.81</v>
      </c>
      <c r="J158" s="135">
        <f t="shared" si="47"/>
        <v>1.81</v>
      </c>
      <c r="K158" s="135">
        <f t="shared" si="47"/>
        <v>1.81</v>
      </c>
      <c r="L158" s="135">
        <f t="shared" si="47"/>
        <v>1.81</v>
      </c>
      <c r="M158" s="135">
        <f t="shared" si="47"/>
        <v>1.81</v>
      </c>
      <c r="N158" s="135">
        <f t="shared" si="47"/>
        <v>1.81</v>
      </c>
      <c r="O158" s="135">
        <f t="shared" si="47"/>
        <v>1.81</v>
      </c>
      <c r="P158" s="135">
        <f t="shared" si="47"/>
        <v>1.81</v>
      </c>
      <c r="Q158" s="135">
        <f t="shared" si="47"/>
        <v>1.81</v>
      </c>
      <c r="R158" s="135">
        <f t="shared" si="47"/>
        <v>1.81</v>
      </c>
      <c r="S158" s="135">
        <f t="shared" si="47"/>
        <v>1.81</v>
      </c>
      <c r="T158" s="135">
        <f t="shared" si="48"/>
        <v>1.81</v>
      </c>
      <c r="U158" s="135">
        <f t="shared" si="48"/>
        <v>1.81</v>
      </c>
      <c r="V158" s="135">
        <f t="shared" si="48"/>
        <v>1.81</v>
      </c>
      <c r="W158" s="135">
        <f t="shared" si="48"/>
        <v>1.81</v>
      </c>
      <c r="X158" s="135">
        <f t="shared" si="48"/>
        <v>1.81</v>
      </c>
      <c r="Y158" s="135">
        <f t="shared" si="48"/>
        <v>1.81</v>
      </c>
      <c r="Z158" s="135">
        <f t="shared" si="48"/>
        <v>1.81</v>
      </c>
      <c r="AA158" s="135">
        <f t="shared" si="48"/>
        <v>1.81</v>
      </c>
      <c r="AB158" s="135">
        <f t="shared" si="48"/>
        <v>1.81</v>
      </c>
      <c r="AC158" s="135">
        <f t="shared" si="48"/>
        <v>1.81</v>
      </c>
      <c r="AD158" s="135">
        <f t="shared" si="48"/>
        <v>1.81</v>
      </c>
      <c r="AE158" s="135">
        <f t="shared" si="48"/>
        <v>1.81</v>
      </c>
      <c r="AF158" s="135">
        <f t="shared" si="48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6"/>
        <v>1.0900000000000001</v>
      </c>
      <c r="C159" s="136">
        <v>1.0900000000000001</v>
      </c>
      <c r="D159" s="135">
        <f t="shared" si="47"/>
        <v>1.0900000000000001</v>
      </c>
      <c r="E159" s="135">
        <f t="shared" si="47"/>
        <v>1.0900000000000001</v>
      </c>
      <c r="F159" s="135">
        <f t="shared" si="47"/>
        <v>1.0900000000000001</v>
      </c>
      <c r="G159" s="135">
        <f t="shared" si="47"/>
        <v>1.0900000000000001</v>
      </c>
      <c r="H159" s="135">
        <f t="shared" si="47"/>
        <v>1.0900000000000001</v>
      </c>
      <c r="I159" s="135">
        <f t="shared" si="47"/>
        <v>1.0900000000000001</v>
      </c>
      <c r="J159" s="135">
        <f t="shared" si="47"/>
        <v>1.0900000000000001</v>
      </c>
      <c r="K159" s="135">
        <f t="shared" si="47"/>
        <v>1.0900000000000001</v>
      </c>
      <c r="L159" s="135">
        <f t="shared" si="47"/>
        <v>1.0900000000000001</v>
      </c>
      <c r="M159" s="135">
        <f t="shared" si="47"/>
        <v>1.0900000000000001</v>
      </c>
      <c r="N159" s="135">
        <f t="shared" si="47"/>
        <v>1.0900000000000001</v>
      </c>
      <c r="O159" s="135">
        <f t="shared" si="47"/>
        <v>1.0900000000000001</v>
      </c>
      <c r="P159" s="135">
        <f t="shared" si="47"/>
        <v>1.0900000000000001</v>
      </c>
      <c r="Q159" s="135">
        <f t="shared" si="47"/>
        <v>1.0900000000000001</v>
      </c>
      <c r="R159" s="135">
        <f t="shared" si="47"/>
        <v>1.0900000000000001</v>
      </c>
      <c r="S159" s="135">
        <f t="shared" si="47"/>
        <v>1.0900000000000001</v>
      </c>
      <c r="T159" s="135">
        <f t="shared" si="48"/>
        <v>1.0900000000000001</v>
      </c>
      <c r="U159" s="135">
        <f t="shared" si="48"/>
        <v>1.0900000000000001</v>
      </c>
      <c r="V159" s="135">
        <f t="shared" si="48"/>
        <v>1.0900000000000001</v>
      </c>
      <c r="W159" s="135">
        <f t="shared" si="48"/>
        <v>1.0900000000000001</v>
      </c>
      <c r="X159" s="135">
        <f t="shared" si="48"/>
        <v>1.0900000000000001</v>
      </c>
      <c r="Y159" s="135">
        <f t="shared" si="48"/>
        <v>1.0900000000000001</v>
      </c>
      <c r="Z159" s="135">
        <f t="shared" si="48"/>
        <v>1.0900000000000001</v>
      </c>
      <c r="AA159" s="135">
        <f t="shared" si="48"/>
        <v>1.0900000000000001</v>
      </c>
      <c r="AB159" s="135">
        <f t="shared" si="48"/>
        <v>1.0900000000000001</v>
      </c>
      <c r="AC159" s="135">
        <f t="shared" si="48"/>
        <v>1.0900000000000001</v>
      </c>
      <c r="AD159" s="135">
        <f t="shared" si="48"/>
        <v>1.0900000000000001</v>
      </c>
      <c r="AE159" s="135">
        <f t="shared" si="48"/>
        <v>1.0900000000000001</v>
      </c>
      <c r="AF159" s="135">
        <f t="shared" si="48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6"/>
        <v>1.58</v>
      </c>
      <c r="C160" s="136">
        <v>1.58</v>
      </c>
      <c r="D160" s="135">
        <f t="shared" si="47"/>
        <v>1.58</v>
      </c>
      <c r="E160" s="135">
        <f t="shared" si="47"/>
        <v>1.58</v>
      </c>
      <c r="F160" s="135">
        <f t="shared" si="47"/>
        <v>1.58</v>
      </c>
      <c r="G160" s="135">
        <f t="shared" si="47"/>
        <v>1.58</v>
      </c>
      <c r="H160" s="135">
        <f t="shared" si="47"/>
        <v>1.58</v>
      </c>
      <c r="I160" s="135">
        <f t="shared" si="47"/>
        <v>1.58</v>
      </c>
      <c r="J160" s="135">
        <f t="shared" si="47"/>
        <v>1.58</v>
      </c>
      <c r="K160" s="135">
        <f t="shared" si="47"/>
        <v>1.58</v>
      </c>
      <c r="L160" s="135">
        <f t="shared" si="47"/>
        <v>1.58</v>
      </c>
      <c r="M160" s="135">
        <f t="shared" si="47"/>
        <v>1.58</v>
      </c>
      <c r="N160" s="135">
        <f t="shared" si="47"/>
        <v>1.58</v>
      </c>
      <c r="O160" s="135">
        <f t="shared" si="47"/>
        <v>1.58</v>
      </c>
      <c r="P160" s="135">
        <f t="shared" si="47"/>
        <v>1.58</v>
      </c>
      <c r="Q160" s="135">
        <f t="shared" si="47"/>
        <v>1.58</v>
      </c>
      <c r="R160" s="135">
        <f t="shared" si="47"/>
        <v>1.58</v>
      </c>
      <c r="S160" s="135">
        <f t="shared" si="47"/>
        <v>1.58</v>
      </c>
      <c r="T160" s="135">
        <f t="shared" si="48"/>
        <v>1.58</v>
      </c>
      <c r="U160" s="135">
        <f t="shared" si="48"/>
        <v>1.58</v>
      </c>
      <c r="V160" s="135">
        <f t="shared" si="48"/>
        <v>1.58</v>
      </c>
      <c r="W160" s="135">
        <f t="shared" si="48"/>
        <v>1.58</v>
      </c>
      <c r="X160" s="135">
        <f t="shared" si="48"/>
        <v>1.58</v>
      </c>
      <c r="Y160" s="135">
        <f t="shared" si="48"/>
        <v>1.58</v>
      </c>
      <c r="Z160" s="135">
        <f t="shared" si="48"/>
        <v>1.58</v>
      </c>
      <c r="AA160" s="135">
        <f t="shared" si="48"/>
        <v>1.58</v>
      </c>
      <c r="AB160" s="135">
        <f t="shared" si="48"/>
        <v>1.58</v>
      </c>
      <c r="AC160" s="135">
        <f t="shared" si="48"/>
        <v>1.58</v>
      </c>
      <c r="AD160" s="135">
        <f t="shared" si="48"/>
        <v>1.58</v>
      </c>
      <c r="AE160" s="135">
        <f t="shared" si="48"/>
        <v>1.58</v>
      </c>
      <c r="AF160" s="135">
        <f t="shared" si="48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6"/>
        <v>2</v>
      </c>
      <c r="C161" s="136">
        <v>2</v>
      </c>
      <c r="D161" s="135">
        <f t="shared" si="47"/>
        <v>2</v>
      </c>
      <c r="E161" s="135">
        <f t="shared" si="47"/>
        <v>2</v>
      </c>
      <c r="F161" s="135">
        <f t="shared" si="47"/>
        <v>2</v>
      </c>
      <c r="G161" s="135">
        <f t="shared" si="47"/>
        <v>2</v>
      </c>
      <c r="H161" s="135">
        <f t="shared" si="47"/>
        <v>2</v>
      </c>
      <c r="I161" s="135">
        <f t="shared" si="47"/>
        <v>2</v>
      </c>
      <c r="J161" s="135">
        <f t="shared" si="47"/>
        <v>2</v>
      </c>
      <c r="K161" s="135">
        <f t="shared" si="47"/>
        <v>2</v>
      </c>
      <c r="L161" s="135">
        <f t="shared" si="47"/>
        <v>2</v>
      </c>
      <c r="M161" s="135">
        <f t="shared" si="47"/>
        <v>2</v>
      </c>
      <c r="N161" s="135">
        <f t="shared" si="47"/>
        <v>2</v>
      </c>
      <c r="O161" s="135">
        <f t="shared" si="47"/>
        <v>2</v>
      </c>
      <c r="P161" s="135">
        <f t="shared" si="47"/>
        <v>2</v>
      </c>
      <c r="Q161" s="135">
        <f t="shared" si="47"/>
        <v>2</v>
      </c>
      <c r="R161" s="135">
        <f t="shared" si="47"/>
        <v>2</v>
      </c>
      <c r="S161" s="135">
        <f t="shared" si="47"/>
        <v>2</v>
      </c>
      <c r="T161" s="135">
        <f t="shared" si="48"/>
        <v>2</v>
      </c>
      <c r="U161" s="135">
        <f t="shared" si="48"/>
        <v>2</v>
      </c>
      <c r="V161" s="135">
        <f t="shared" si="48"/>
        <v>2</v>
      </c>
      <c r="W161" s="135">
        <f t="shared" si="48"/>
        <v>2</v>
      </c>
      <c r="X161" s="135">
        <f t="shared" si="48"/>
        <v>2</v>
      </c>
      <c r="Y161" s="135">
        <f t="shared" si="48"/>
        <v>2</v>
      </c>
      <c r="Z161" s="135">
        <f t="shared" si="48"/>
        <v>2</v>
      </c>
      <c r="AA161" s="135">
        <f t="shared" si="48"/>
        <v>2</v>
      </c>
      <c r="AB161" s="135">
        <f t="shared" si="48"/>
        <v>2</v>
      </c>
      <c r="AC161" s="135">
        <f t="shared" si="48"/>
        <v>2</v>
      </c>
      <c r="AD161" s="135">
        <f t="shared" si="48"/>
        <v>2</v>
      </c>
      <c r="AE161" s="135">
        <f t="shared" si="48"/>
        <v>2</v>
      </c>
      <c r="AF161" s="135">
        <f t="shared" si="48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6"/>
        <v>0.47</v>
      </c>
      <c r="C162" s="136">
        <v>0.47</v>
      </c>
      <c r="D162" s="135">
        <f t="shared" si="47"/>
        <v>0.47</v>
      </c>
      <c r="E162" s="135">
        <f t="shared" si="47"/>
        <v>0.47</v>
      </c>
      <c r="F162" s="135">
        <f t="shared" si="47"/>
        <v>0.47</v>
      </c>
      <c r="G162" s="135">
        <f t="shared" si="47"/>
        <v>0.47</v>
      </c>
      <c r="H162" s="135">
        <f t="shared" si="47"/>
        <v>0.47</v>
      </c>
      <c r="I162" s="135">
        <f t="shared" si="47"/>
        <v>0.47</v>
      </c>
      <c r="J162" s="135">
        <f t="shared" si="47"/>
        <v>0.47</v>
      </c>
      <c r="K162" s="135">
        <f t="shared" si="47"/>
        <v>0.47</v>
      </c>
      <c r="L162" s="135">
        <f t="shared" si="47"/>
        <v>0.47</v>
      </c>
      <c r="M162" s="135">
        <f t="shared" si="47"/>
        <v>0.47</v>
      </c>
      <c r="N162" s="135">
        <f t="shared" si="47"/>
        <v>0.47</v>
      </c>
      <c r="O162" s="135">
        <f t="shared" si="47"/>
        <v>0.47</v>
      </c>
      <c r="P162" s="135">
        <f t="shared" si="47"/>
        <v>0.47</v>
      </c>
      <c r="Q162" s="135">
        <f t="shared" si="47"/>
        <v>0.47</v>
      </c>
      <c r="R162" s="135">
        <f t="shared" si="47"/>
        <v>0.47</v>
      </c>
      <c r="S162" s="135">
        <f t="shared" si="47"/>
        <v>0.47</v>
      </c>
      <c r="T162" s="135">
        <f t="shared" si="48"/>
        <v>0.47</v>
      </c>
      <c r="U162" s="135">
        <f t="shared" si="48"/>
        <v>0.47</v>
      </c>
      <c r="V162" s="135">
        <f t="shared" si="48"/>
        <v>0.47</v>
      </c>
      <c r="W162" s="135">
        <f t="shared" si="48"/>
        <v>0.47</v>
      </c>
      <c r="X162" s="135">
        <f t="shared" si="48"/>
        <v>0.47</v>
      </c>
      <c r="Y162" s="135">
        <f t="shared" si="48"/>
        <v>0.47</v>
      </c>
      <c r="Z162" s="135">
        <f t="shared" si="48"/>
        <v>0.47</v>
      </c>
      <c r="AA162" s="135">
        <f t="shared" si="48"/>
        <v>0.47</v>
      </c>
      <c r="AB162" s="135">
        <f t="shared" si="48"/>
        <v>0.47</v>
      </c>
      <c r="AC162" s="135">
        <f t="shared" si="48"/>
        <v>0.47</v>
      </c>
      <c r="AD162" s="135">
        <f t="shared" si="48"/>
        <v>0.47</v>
      </c>
      <c r="AE162" s="135">
        <f t="shared" si="48"/>
        <v>0.47</v>
      </c>
      <c r="AF162" s="135">
        <f t="shared" si="48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6"/>
        <v>0</v>
      </c>
      <c r="C163" s="136">
        <v>0</v>
      </c>
      <c r="D163" s="135">
        <f t="shared" si="47"/>
        <v>0</v>
      </c>
      <c r="E163" s="135">
        <f t="shared" si="47"/>
        <v>0</v>
      </c>
      <c r="F163" s="135">
        <f t="shared" si="47"/>
        <v>0</v>
      </c>
      <c r="G163" s="135">
        <f t="shared" si="47"/>
        <v>0</v>
      </c>
      <c r="H163" s="135">
        <f t="shared" si="47"/>
        <v>0</v>
      </c>
      <c r="I163" s="135">
        <f t="shared" si="47"/>
        <v>0</v>
      </c>
      <c r="J163" s="135">
        <f t="shared" si="47"/>
        <v>0</v>
      </c>
      <c r="K163" s="135">
        <f t="shared" si="47"/>
        <v>0</v>
      </c>
      <c r="L163" s="135">
        <f t="shared" si="47"/>
        <v>0</v>
      </c>
      <c r="M163" s="135">
        <f t="shared" si="47"/>
        <v>0</v>
      </c>
      <c r="N163" s="135">
        <f t="shared" si="47"/>
        <v>0</v>
      </c>
      <c r="O163" s="135">
        <f t="shared" si="47"/>
        <v>0</v>
      </c>
      <c r="P163" s="135">
        <f t="shared" si="47"/>
        <v>0</v>
      </c>
      <c r="Q163" s="135">
        <f t="shared" si="47"/>
        <v>0</v>
      </c>
      <c r="R163" s="135">
        <f t="shared" si="47"/>
        <v>0</v>
      </c>
      <c r="S163" s="135">
        <f t="shared" si="47"/>
        <v>0</v>
      </c>
      <c r="T163" s="135">
        <f t="shared" si="48"/>
        <v>0</v>
      </c>
      <c r="U163" s="135">
        <f t="shared" si="48"/>
        <v>0</v>
      </c>
      <c r="V163" s="135">
        <f t="shared" si="48"/>
        <v>0</v>
      </c>
      <c r="W163" s="135">
        <f t="shared" si="48"/>
        <v>0</v>
      </c>
      <c r="X163" s="135">
        <f t="shared" si="48"/>
        <v>0</v>
      </c>
      <c r="Y163" s="135">
        <f t="shared" si="48"/>
        <v>0</v>
      </c>
      <c r="Z163" s="135">
        <f t="shared" si="48"/>
        <v>0</v>
      </c>
      <c r="AA163" s="135">
        <f t="shared" si="48"/>
        <v>0</v>
      </c>
      <c r="AB163" s="135">
        <f t="shared" si="48"/>
        <v>0</v>
      </c>
      <c r="AC163" s="135">
        <f t="shared" si="48"/>
        <v>0</v>
      </c>
      <c r="AD163" s="135">
        <f t="shared" si="48"/>
        <v>0</v>
      </c>
      <c r="AE163" s="135">
        <f t="shared" si="48"/>
        <v>0</v>
      </c>
      <c r="AF163" s="135">
        <f t="shared" si="48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6"/>
        <v>0</v>
      </c>
      <c r="C164" s="136">
        <v>0</v>
      </c>
      <c r="D164" s="135">
        <f t="shared" si="47"/>
        <v>0</v>
      </c>
      <c r="E164" s="135">
        <f t="shared" si="47"/>
        <v>0</v>
      </c>
      <c r="F164" s="135">
        <f t="shared" si="47"/>
        <v>0</v>
      </c>
      <c r="G164" s="135">
        <f t="shared" si="47"/>
        <v>0</v>
      </c>
      <c r="H164" s="135">
        <f t="shared" si="47"/>
        <v>0</v>
      </c>
      <c r="I164" s="135">
        <f t="shared" si="47"/>
        <v>0</v>
      </c>
      <c r="J164" s="135">
        <f t="shared" si="47"/>
        <v>0</v>
      </c>
      <c r="K164" s="135">
        <f t="shared" si="47"/>
        <v>0</v>
      </c>
      <c r="L164" s="135">
        <f t="shared" si="47"/>
        <v>0</v>
      </c>
      <c r="M164" s="135">
        <f t="shared" si="47"/>
        <v>0</v>
      </c>
      <c r="N164" s="135">
        <f t="shared" si="47"/>
        <v>0</v>
      </c>
      <c r="O164" s="135">
        <f t="shared" si="47"/>
        <v>0</v>
      </c>
      <c r="P164" s="135">
        <f t="shared" si="47"/>
        <v>0</v>
      </c>
      <c r="Q164" s="135">
        <f t="shared" si="47"/>
        <v>0</v>
      </c>
      <c r="R164" s="135">
        <f t="shared" si="47"/>
        <v>0</v>
      </c>
      <c r="S164" s="135">
        <f t="shared" si="48"/>
        <v>0</v>
      </c>
      <c r="T164" s="135">
        <f t="shared" si="48"/>
        <v>0</v>
      </c>
      <c r="U164" s="135">
        <f t="shared" si="48"/>
        <v>0</v>
      </c>
      <c r="V164" s="135">
        <f t="shared" si="48"/>
        <v>0</v>
      </c>
      <c r="W164" s="135">
        <f t="shared" si="48"/>
        <v>0</v>
      </c>
      <c r="X164" s="135">
        <f t="shared" si="48"/>
        <v>0</v>
      </c>
      <c r="Y164" s="135">
        <f t="shared" si="48"/>
        <v>0</v>
      </c>
      <c r="Z164" s="135">
        <f t="shared" si="48"/>
        <v>0</v>
      </c>
      <c r="AA164" s="135">
        <f t="shared" si="48"/>
        <v>0</v>
      </c>
      <c r="AB164" s="135">
        <f t="shared" si="48"/>
        <v>0</v>
      </c>
      <c r="AC164" s="135">
        <f t="shared" si="48"/>
        <v>0</v>
      </c>
      <c r="AD164" s="135">
        <f t="shared" si="48"/>
        <v>0</v>
      </c>
      <c r="AE164" s="135">
        <f t="shared" si="48"/>
        <v>0</v>
      </c>
      <c r="AF164" s="135">
        <f t="shared" si="48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6"/>
        <v>0.8</v>
      </c>
      <c r="C165" s="136">
        <v>0.8</v>
      </c>
      <c r="D165" s="135">
        <f t="shared" si="47"/>
        <v>0.8</v>
      </c>
      <c r="E165" s="135">
        <f t="shared" si="47"/>
        <v>0.8</v>
      </c>
      <c r="F165" s="135">
        <f t="shared" si="47"/>
        <v>0.8</v>
      </c>
      <c r="G165" s="135">
        <f t="shared" si="47"/>
        <v>0.8</v>
      </c>
      <c r="H165" s="135">
        <f t="shared" si="47"/>
        <v>0.8</v>
      </c>
      <c r="I165" s="135">
        <f t="shared" si="47"/>
        <v>0.8</v>
      </c>
      <c r="J165" s="135">
        <f t="shared" si="47"/>
        <v>0.8</v>
      </c>
      <c r="K165" s="135">
        <f t="shared" si="47"/>
        <v>0.8</v>
      </c>
      <c r="L165" s="135">
        <f t="shared" si="47"/>
        <v>0.8</v>
      </c>
      <c r="M165" s="135">
        <f t="shared" si="47"/>
        <v>0.8</v>
      </c>
      <c r="N165" s="135">
        <f t="shared" si="47"/>
        <v>0.8</v>
      </c>
      <c r="O165" s="135">
        <f t="shared" si="47"/>
        <v>0.8</v>
      </c>
      <c r="P165" s="135">
        <f t="shared" si="47"/>
        <v>0.8</v>
      </c>
      <c r="Q165" s="135">
        <f t="shared" si="47"/>
        <v>0.8</v>
      </c>
      <c r="R165" s="135">
        <f t="shared" si="47"/>
        <v>0.8</v>
      </c>
      <c r="S165" s="135">
        <f t="shared" si="48"/>
        <v>0.8</v>
      </c>
      <c r="T165" s="135">
        <f t="shared" si="48"/>
        <v>0.8</v>
      </c>
      <c r="U165" s="135">
        <f t="shared" si="48"/>
        <v>0.8</v>
      </c>
      <c r="V165" s="135">
        <f t="shared" si="48"/>
        <v>0.8</v>
      </c>
      <c r="W165" s="135">
        <f t="shared" si="48"/>
        <v>0.8</v>
      </c>
      <c r="X165" s="135">
        <f t="shared" si="48"/>
        <v>0.8</v>
      </c>
      <c r="Y165" s="135">
        <f t="shared" si="48"/>
        <v>0.8</v>
      </c>
      <c r="Z165" s="135">
        <f t="shared" si="48"/>
        <v>0.8</v>
      </c>
      <c r="AA165" s="135">
        <f t="shared" si="48"/>
        <v>0.8</v>
      </c>
      <c r="AB165" s="135">
        <f t="shared" si="48"/>
        <v>0.8</v>
      </c>
      <c r="AC165" s="135">
        <f t="shared" si="48"/>
        <v>0.8</v>
      </c>
      <c r="AD165" s="135">
        <f t="shared" si="48"/>
        <v>0.8</v>
      </c>
      <c r="AE165" s="135">
        <f t="shared" si="48"/>
        <v>0.8</v>
      </c>
      <c r="AF165" s="135">
        <f t="shared" si="48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6"/>
        <v>1.5</v>
      </c>
      <c r="C166" s="136">
        <v>1.5</v>
      </c>
      <c r="D166" s="135">
        <f t="shared" si="47"/>
        <v>1.5</v>
      </c>
      <c r="E166" s="135">
        <f t="shared" si="47"/>
        <v>1.5</v>
      </c>
      <c r="F166" s="135">
        <f t="shared" si="47"/>
        <v>1.5</v>
      </c>
      <c r="G166" s="135">
        <f t="shared" si="47"/>
        <v>1.5</v>
      </c>
      <c r="H166" s="135">
        <f t="shared" si="47"/>
        <v>1.5</v>
      </c>
      <c r="I166" s="135">
        <f t="shared" si="47"/>
        <v>1.5</v>
      </c>
      <c r="J166" s="135">
        <f t="shared" si="47"/>
        <v>1.5</v>
      </c>
      <c r="K166" s="135">
        <f t="shared" si="47"/>
        <v>1.5</v>
      </c>
      <c r="L166" s="135">
        <f t="shared" si="47"/>
        <v>1.5</v>
      </c>
      <c r="M166" s="135">
        <f t="shared" si="47"/>
        <v>1.5</v>
      </c>
      <c r="N166" s="135">
        <f t="shared" si="47"/>
        <v>1.5</v>
      </c>
      <c r="O166" s="135">
        <f t="shared" si="47"/>
        <v>1.5</v>
      </c>
      <c r="P166" s="135">
        <f t="shared" si="47"/>
        <v>1.5</v>
      </c>
      <c r="Q166" s="135">
        <f t="shared" si="47"/>
        <v>1.5</v>
      </c>
      <c r="R166" s="135">
        <f t="shared" si="47"/>
        <v>1.5</v>
      </c>
      <c r="S166" s="135">
        <f t="shared" si="48"/>
        <v>1.5</v>
      </c>
      <c r="T166" s="135">
        <f t="shared" si="48"/>
        <v>1.5</v>
      </c>
      <c r="U166" s="135">
        <f t="shared" si="48"/>
        <v>1.5</v>
      </c>
      <c r="V166" s="135">
        <f t="shared" si="48"/>
        <v>1.5</v>
      </c>
      <c r="W166" s="135">
        <f t="shared" si="48"/>
        <v>1.5</v>
      </c>
      <c r="X166" s="135">
        <f t="shared" si="48"/>
        <v>1.5</v>
      </c>
      <c r="Y166" s="135">
        <f t="shared" si="48"/>
        <v>1.5</v>
      </c>
      <c r="Z166" s="135">
        <f t="shared" si="48"/>
        <v>1.5</v>
      </c>
      <c r="AA166" s="135">
        <f t="shared" si="48"/>
        <v>1.5</v>
      </c>
      <c r="AB166" s="135">
        <f t="shared" si="48"/>
        <v>1.5</v>
      </c>
      <c r="AC166" s="135">
        <f t="shared" si="48"/>
        <v>1.5</v>
      </c>
      <c r="AD166" s="135">
        <f t="shared" si="48"/>
        <v>1.5</v>
      </c>
      <c r="AE166" s="135">
        <f t="shared" si="48"/>
        <v>1.5</v>
      </c>
      <c r="AF166" s="135">
        <f t="shared" si="48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6"/>
        <v>1</v>
      </c>
      <c r="C167" s="136">
        <v>1</v>
      </c>
      <c r="D167" s="135">
        <f t="shared" si="47"/>
        <v>1</v>
      </c>
      <c r="E167" s="135">
        <f t="shared" si="47"/>
        <v>1</v>
      </c>
      <c r="F167" s="135">
        <f t="shared" si="47"/>
        <v>1</v>
      </c>
      <c r="G167" s="135">
        <f t="shared" si="47"/>
        <v>1</v>
      </c>
      <c r="H167" s="135">
        <f t="shared" si="47"/>
        <v>1</v>
      </c>
      <c r="I167" s="135">
        <f t="shared" si="47"/>
        <v>1</v>
      </c>
      <c r="J167" s="135">
        <f t="shared" si="47"/>
        <v>1</v>
      </c>
      <c r="K167" s="135">
        <f t="shared" si="47"/>
        <v>1</v>
      </c>
      <c r="L167" s="135">
        <f t="shared" si="47"/>
        <v>1</v>
      </c>
      <c r="M167" s="135">
        <f t="shared" si="47"/>
        <v>1</v>
      </c>
      <c r="N167" s="135">
        <f t="shared" si="47"/>
        <v>1</v>
      </c>
      <c r="O167" s="135">
        <f t="shared" si="47"/>
        <v>1</v>
      </c>
      <c r="P167" s="135">
        <f t="shared" si="47"/>
        <v>1</v>
      </c>
      <c r="Q167" s="135">
        <f t="shared" si="47"/>
        <v>1</v>
      </c>
      <c r="R167" s="135">
        <f t="shared" si="47"/>
        <v>1</v>
      </c>
      <c r="S167" s="135">
        <f t="shared" si="48"/>
        <v>1</v>
      </c>
      <c r="T167" s="135">
        <f t="shared" si="48"/>
        <v>1</v>
      </c>
      <c r="U167" s="135">
        <f t="shared" si="48"/>
        <v>1</v>
      </c>
      <c r="V167" s="135">
        <f t="shared" si="48"/>
        <v>1</v>
      </c>
      <c r="W167" s="135">
        <f t="shared" si="48"/>
        <v>1</v>
      </c>
      <c r="X167" s="135">
        <f t="shared" si="48"/>
        <v>1</v>
      </c>
      <c r="Y167" s="135">
        <f t="shared" si="48"/>
        <v>1</v>
      </c>
      <c r="Z167" s="135">
        <f t="shared" si="48"/>
        <v>1</v>
      </c>
      <c r="AA167" s="135">
        <f t="shared" si="48"/>
        <v>1</v>
      </c>
      <c r="AB167" s="135">
        <f t="shared" si="48"/>
        <v>1</v>
      </c>
      <c r="AC167" s="135">
        <f t="shared" si="48"/>
        <v>1</v>
      </c>
      <c r="AD167" s="135">
        <f t="shared" si="48"/>
        <v>1</v>
      </c>
      <c r="AE167" s="135">
        <f t="shared" si="48"/>
        <v>1</v>
      </c>
      <c r="AF167" s="135">
        <f t="shared" si="48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9">AF169</f>
        <v>1</v>
      </c>
      <c r="C169" s="136">
        <v>1</v>
      </c>
      <c r="D169" s="135">
        <f t="shared" ref="D169:S176" si="50">C169</f>
        <v>1</v>
      </c>
      <c r="E169" s="135">
        <f t="shared" si="50"/>
        <v>1</v>
      </c>
      <c r="F169" s="135">
        <f t="shared" si="50"/>
        <v>1</v>
      </c>
      <c r="G169" s="135">
        <f t="shared" si="50"/>
        <v>1</v>
      </c>
      <c r="H169" s="135">
        <f t="shared" si="50"/>
        <v>1</v>
      </c>
      <c r="I169" s="135">
        <f t="shared" si="50"/>
        <v>1</v>
      </c>
      <c r="J169" s="135">
        <f t="shared" si="50"/>
        <v>1</v>
      </c>
      <c r="K169" s="135">
        <f t="shared" si="50"/>
        <v>1</v>
      </c>
      <c r="L169" s="135">
        <f t="shared" si="50"/>
        <v>1</v>
      </c>
      <c r="M169" s="135">
        <f t="shared" si="50"/>
        <v>1</v>
      </c>
      <c r="N169" s="135">
        <f t="shared" si="50"/>
        <v>1</v>
      </c>
      <c r="O169" s="135">
        <f t="shared" si="50"/>
        <v>1</v>
      </c>
      <c r="P169" s="135">
        <f t="shared" si="50"/>
        <v>1</v>
      </c>
      <c r="Q169" s="135">
        <f t="shared" si="50"/>
        <v>1</v>
      </c>
      <c r="R169" s="135">
        <f t="shared" si="50"/>
        <v>1</v>
      </c>
      <c r="S169" s="135">
        <f t="shared" si="50"/>
        <v>1</v>
      </c>
      <c r="T169" s="135">
        <f t="shared" ref="S169:AF176" si="51">S169</f>
        <v>1</v>
      </c>
      <c r="U169" s="135">
        <f t="shared" si="51"/>
        <v>1</v>
      </c>
      <c r="V169" s="135">
        <f t="shared" si="51"/>
        <v>1</v>
      </c>
      <c r="W169" s="135">
        <f t="shared" si="51"/>
        <v>1</v>
      </c>
      <c r="X169" s="135">
        <f t="shared" si="51"/>
        <v>1</v>
      </c>
      <c r="Y169" s="135">
        <f t="shared" si="51"/>
        <v>1</v>
      </c>
      <c r="Z169" s="135">
        <f t="shared" si="51"/>
        <v>1</v>
      </c>
      <c r="AA169" s="135">
        <f t="shared" si="51"/>
        <v>1</v>
      </c>
      <c r="AB169" s="135">
        <f t="shared" si="51"/>
        <v>1</v>
      </c>
      <c r="AC169" s="135">
        <f t="shared" si="51"/>
        <v>1</v>
      </c>
      <c r="AD169" s="135">
        <f t="shared" si="51"/>
        <v>1</v>
      </c>
      <c r="AE169" s="135">
        <f t="shared" si="51"/>
        <v>1</v>
      </c>
      <c r="AF169" s="135">
        <f t="shared" si="51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9"/>
        <v>0.42</v>
      </c>
      <c r="C170" s="136">
        <v>0.42</v>
      </c>
      <c r="D170" s="135">
        <f t="shared" si="50"/>
        <v>0.42</v>
      </c>
      <c r="E170" s="135">
        <f t="shared" si="50"/>
        <v>0.42</v>
      </c>
      <c r="F170" s="135">
        <f t="shared" si="50"/>
        <v>0.42</v>
      </c>
      <c r="G170" s="135">
        <f t="shared" si="50"/>
        <v>0.42</v>
      </c>
      <c r="H170" s="135">
        <f t="shared" si="50"/>
        <v>0.42</v>
      </c>
      <c r="I170" s="135">
        <f t="shared" si="50"/>
        <v>0.42</v>
      </c>
      <c r="J170" s="135">
        <f t="shared" si="50"/>
        <v>0.42</v>
      </c>
      <c r="K170" s="135">
        <f t="shared" si="50"/>
        <v>0.42</v>
      </c>
      <c r="L170" s="135">
        <f t="shared" si="50"/>
        <v>0.42</v>
      </c>
      <c r="M170" s="135">
        <f t="shared" si="50"/>
        <v>0.42</v>
      </c>
      <c r="N170" s="135">
        <f t="shared" si="50"/>
        <v>0.42</v>
      </c>
      <c r="O170" s="135">
        <f t="shared" si="50"/>
        <v>0.42</v>
      </c>
      <c r="P170" s="135">
        <f t="shared" si="50"/>
        <v>0.42</v>
      </c>
      <c r="Q170" s="135">
        <f t="shared" si="50"/>
        <v>0.42</v>
      </c>
      <c r="R170" s="135">
        <f t="shared" si="50"/>
        <v>0.42</v>
      </c>
      <c r="S170" s="135">
        <f t="shared" si="51"/>
        <v>0.42</v>
      </c>
      <c r="T170" s="135">
        <f t="shared" si="51"/>
        <v>0.42</v>
      </c>
      <c r="U170" s="135">
        <f t="shared" si="51"/>
        <v>0.42</v>
      </c>
      <c r="V170" s="135">
        <f t="shared" si="51"/>
        <v>0.42</v>
      </c>
      <c r="W170" s="135">
        <f t="shared" si="51"/>
        <v>0.42</v>
      </c>
      <c r="X170" s="135">
        <f t="shared" si="51"/>
        <v>0.42</v>
      </c>
      <c r="Y170" s="135">
        <f t="shared" si="51"/>
        <v>0.42</v>
      </c>
      <c r="Z170" s="135">
        <f t="shared" si="51"/>
        <v>0.42</v>
      </c>
      <c r="AA170" s="135">
        <f t="shared" si="51"/>
        <v>0.42</v>
      </c>
      <c r="AB170" s="135">
        <f t="shared" si="51"/>
        <v>0.42</v>
      </c>
      <c r="AC170" s="135">
        <f t="shared" si="51"/>
        <v>0.42</v>
      </c>
      <c r="AD170" s="135">
        <f t="shared" si="51"/>
        <v>0.42</v>
      </c>
      <c r="AE170" s="135">
        <f t="shared" si="51"/>
        <v>0.42</v>
      </c>
      <c r="AF170" s="135">
        <f t="shared" si="51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9"/>
        <v>0.46</v>
      </c>
      <c r="C171" s="136">
        <v>0.46</v>
      </c>
      <c r="D171" s="135">
        <f t="shared" si="50"/>
        <v>0.46</v>
      </c>
      <c r="E171" s="135">
        <f t="shared" si="50"/>
        <v>0.46</v>
      </c>
      <c r="F171" s="135">
        <f t="shared" si="50"/>
        <v>0.46</v>
      </c>
      <c r="G171" s="135">
        <f t="shared" si="50"/>
        <v>0.46</v>
      </c>
      <c r="H171" s="135">
        <f t="shared" si="50"/>
        <v>0.46</v>
      </c>
      <c r="I171" s="135">
        <f t="shared" si="50"/>
        <v>0.46</v>
      </c>
      <c r="J171" s="135">
        <f t="shared" si="50"/>
        <v>0.46</v>
      </c>
      <c r="K171" s="135">
        <f t="shared" si="50"/>
        <v>0.46</v>
      </c>
      <c r="L171" s="135">
        <f t="shared" si="50"/>
        <v>0.46</v>
      </c>
      <c r="M171" s="135">
        <f t="shared" si="50"/>
        <v>0.46</v>
      </c>
      <c r="N171" s="135">
        <f t="shared" si="50"/>
        <v>0.46</v>
      </c>
      <c r="O171" s="135">
        <f t="shared" si="50"/>
        <v>0.46</v>
      </c>
      <c r="P171" s="135">
        <f t="shared" si="50"/>
        <v>0.46</v>
      </c>
      <c r="Q171" s="135">
        <f t="shared" si="50"/>
        <v>0.46</v>
      </c>
      <c r="R171" s="135">
        <f t="shared" si="50"/>
        <v>0.46</v>
      </c>
      <c r="S171" s="135">
        <f t="shared" si="51"/>
        <v>0.46</v>
      </c>
      <c r="T171" s="135">
        <f t="shared" si="51"/>
        <v>0.46</v>
      </c>
      <c r="U171" s="135">
        <f t="shared" si="51"/>
        <v>0.46</v>
      </c>
      <c r="V171" s="135">
        <f t="shared" si="51"/>
        <v>0.46</v>
      </c>
      <c r="W171" s="135">
        <f t="shared" si="51"/>
        <v>0.46</v>
      </c>
      <c r="X171" s="135">
        <f t="shared" si="51"/>
        <v>0.46</v>
      </c>
      <c r="Y171" s="135">
        <f t="shared" si="51"/>
        <v>0.46</v>
      </c>
      <c r="Z171" s="135">
        <f t="shared" si="51"/>
        <v>0.46</v>
      </c>
      <c r="AA171" s="135">
        <f t="shared" si="51"/>
        <v>0.46</v>
      </c>
      <c r="AB171" s="135">
        <f t="shared" si="51"/>
        <v>0.46</v>
      </c>
      <c r="AC171" s="135">
        <f t="shared" si="51"/>
        <v>0.46</v>
      </c>
      <c r="AD171" s="135">
        <f t="shared" si="51"/>
        <v>0.46</v>
      </c>
      <c r="AE171" s="135">
        <f t="shared" si="51"/>
        <v>0.46</v>
      </c>
      <c r="AF171" s="135">
        <f t="shared" si="51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9"/>
        <v>0.85</v>
      </c>
      <c r="C172" s="136">
        <v>0.85</v>
      </c>
      <c r="D172" s="135">
        <f t="shared" si="50"/>
        <v>0.85</v>
      </c>
      <c r="E172" s="135">
        <f t="shared" si="50"/>
        <v>0.85</v>
      </c>
      <c r="F172" s="135">
        <f t="shared" si="50"/>
        <v>0.85</v>
      </c>
      <c r="G172" s="135">
        <f t="shared" si="50"/>
        <v>0.85</v>
      </c>
      <c r="H172" s="135">
        <f t="shared" si="50"/>
        <v>0.85</v>
      </c>
      <c r="I172" s="135">
        <f t="shared" si="50"/>
        <v>0.85</v>
      </c>
      <c r="J172" s="135">
        <f t="shared" si="50"/>
        <v>0.85</v>
      </c>
      <c r="K172" s="135">
        <f t="shared" si="50"/>
        <v>0.85</v>
      </c>
      <c r="L172" s="135">
        <f t="shared" si="50"/>
        <v>0.85</v>
      </c>
      <c r="M172" s="135">
        <f t="shared" si="50"/>
        <v>0.85</v>
      </c>
      <c r="N172" s="135">
        <f t="shared" si="50"/>
        <v>0.85</v>
      </c>
      <c r="O172" s="135">
        <f t="shared" si="50"/>
        <v>0.85</v>
      </c>
      <c r="P172" s="135">
        <f t="shared" si="50"/>
        <v>0.85</v>
      </c>
      <c r="Q172" s="135">
        <f t="shared" si="50"/>
        <v>0.85</v>
      </c>
      <c r="R172" s="135">
        <f t="shared" si="50"/>
        <v>0.85</v>
      </c>
      <c r="S172" s="135">
        <f t="shared" si="51"/>
        <v>0.85</v>
      </c>
      <c r="T172" s="135">
        <f t="shared" si="51"/>
        <v>0.85</v>
      </c>
      <c r="U172" s="135">
        <f t="shared" si="51"/>
        <v>0.85</v>
      </c>
      <c r="V172" s="135">
        <f t="shared" si="51"/>
        <v>0.85</v>
      </c>
      <c r="W172" s="135">
        <f t="shared" si="51"/>
        <v>0.85</v>
      </c>
      <c r="X172" s="135">
        <f t="shared" si="51"/>
        <v>0.85</v>
      </c>
      <c r="Y172" s="135">
        <f t="shared" si="51"/>
        <v>0.85</v>
      </c>
      <c r="Z172" s="135">
        <f t="shared" si="51"/>
        <v>0.85</v>
      </c>
      <c r="AA172" s="135">
        <f t="shared" si="51"/>
        <v>0.85</v>
      </c>
      <c r="AB172" s="135">
        <f t="shared" si="51"/>
        <v>0.85</v>
      </c>
      <c r="AC172" s="135">
        <f t="shared" si="51"/>
        <v>0.85</v>
      </c>
      <c r="AD172" s="135">
        <f t="shared" si="51"/>
        <v>0.85</v>
      </c>
      <c r="AE172" s="135">
        <f t="shared" si="51"/>
        <v>0.85</v>
      </c>
      <c r="AF172" s="135">
        <f t="shared" si="51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9"/>
        <v>0.9</v>
      </c>
      <c r="C173" s="136">
        <v>0.9</v>
      </c>
      <c r="D173" s="135">
        <f t="shared" si="50"/>
        <v>0.9</v>
      </c>
      <c r="E173" s="135">
        <f t="shared" si="50"/>
        <v>0.9</v>
      </c>
      <c r="F173" s="135">
        <f t="shared" si="50"/>
        <v>0.9</v>
      </c>
      <c r="G173" s="135">
        <f t="shared" si="50"/>
        <v>0.9</v>
      </c>
      <c r="H173" s="135">
        <f t="shared" si="50"/>
        <v>0.9</v>
      </c>
      <c r="I173" s="135">
        <f t="shared" si="50"/>
        <v>0.9</v>
      </c>
      <c r="J173" s="135">
        <f t="shared" si="50"/>
        <v>0.9</v>
      </c>
      <c r="K173" s="135">
        <f t="shared" si="50"/>
        <v>0.9</v>
      </c>
      <c r="L173" s="135">
        <f t="shared" si="50"/>
        <v>0.9</v>
      </c>
      <c r="M173" s="135">
        <f t="shared" si="50"/>
        <v>0.9</v>
      </c>
      <c r="N173" s="135">
        <f t="shared" si="50"/>
        <v>0.9</v>
      </c>
      <c r="O173" s="135">
        <f t="shared" si="50"/>
        <v>0.9</v>
      </c>
      <c r="P173" s="135">
        <f t="shared" si="50"/>
        <v>0.9</v>
      </c>
      <c r="Q173" s="135">
        <f t="shared" si="50"/>
        <v>0.9</v>
      </c>
      <c r="R173" s="135">
        <f t="shared" si="50"/>
        <v>0.9</v>
      </c>
      <c r="S173" s="135">
        <f t="shared" si="51"/>
        <v>0.9</v>
      </c>
      <c r="T173" s="135">
        <f t="shared" si="51"/>
        <v>0.9</v>
      </c>
      <c r="U173" s="135">
        <f t="shared" si="51"/>
        <v>0.9</v>
      </c>
      <c r="V173" s="135">
        <f t="shared" si="51"/>
        <v>0.9</v>
      </c>
      <c r="W173" s="135">
        <f t="shared" si="51"/>
        <v>0.9</v>
      </c>
      <c r="X173" s="135">
        <f t="shared" si="51"/>
        <v>0.9</v>
      </c>
      <c r="Y173" s="135">
        <f t="shared" si="51"/>
        <v>0.9</v>
      </c>
      <c r="Z173" s="135">
        <f t="shared" si="51"/>
        <v>0.9</v>
      </c>
      <c r="AA173" s="135">
        <f t="shared" si="51"/>
        <v>0.9</v>
      </c>
      <c r="AB173" s="135">
        <f t="shared" si="51"/>
        <v>0.9</v>
      </c>
      <c r="AC173" s="135">
        <f t="shared" si="51"/>
        <v>0.9</v>
      </c>
      <c r="AD173" s="135">
        <f t="shared" si="51"/>
        <v>0.9</v>
      </c>
      <c r="AE173" s="135">
        <f t="shared" si="51"/>
        <v>0.9</v>
      </c>
      <c r="AF173" s="135">
        <f t="shared" si="51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9"/>
        <v>0.44</v>
      </c>
      <c r="C174" s="136">
        <v>0.44</v>
      </c>
      <c r="D174" s="135">
        <f t="shared" si="50"/>
        <v>0.44</v>
      </c>
      <c r="E174" s="135">
        <f t="shared" si="50"/>
        <v>0.44</v>
      </c>
      <c r="F174" s="135">
        <f t="shared" si="50"/>
        <v>0.44</v>
      </c>
      <c r="G174" s="135">
        <f t="shared" si="50"/>
        <v>0.44</v>
      </c>
      <c r="H174" s="135">
        <f t="shared" si="50"/>
        <v>0.44</v>
      </c>
      <c r="I174" s="135">
        <f t="shared" si="50"/>
        <v>0.44</v>
      </c>
      <c r="J174" s="135">
        <f t="shared" si="50"/>
        <v>0.44</v>
      </c>
      <c r="K174" s="135">
        <f t="shared" si="50"/>
        <v>0.44</v>
      </c>
      <c r="L174" s="135">
        <f t="shared" si="50"/>
        <v>0.44</v>
      </c>
      <c r="M174" s="135">
        <f t="shared" si="50"/>
        <v>0.44</v>
      </c>
      <c r="N174" s="135">
        <f t="shared" si="50"/>
        <v>0.44</v>
      </c>
      <c r="O174" s="135">
        <f t="shared" si="50"/>
        <v>0.44</v>
      </c>
      <c r="P174" s="135">
        <f t="shared" si="50"/>
        <v>0.44</v>
      </c>
      <c r="Q174" s="135">
        <f t="shared" si="50"/>
        <v>0.44</v>
      </c>
      <c r="R174" s="135">
        <f t="shared" si="50"/>
        <v>0.44</v>
      </c>
      <c r="S174" s="135">
        <f t="shared" si="51"/>
        <v>0.44</v>
      </c>
      <c r="T174" s="135">
        <f t="shared" si="51"/>
        <v>0.44</v>
      </c>
      <c r="U174" s="135">
        <f t="shared" si="51"/>
        <v>0.44</v>
      </c>
      <c r="V174" s="135">
        <f t="shared" si="51"/>
        <v>0.44</v>
      </c>
      <c r="W174" s="135">
        <f t="shared" si="51"/>
        <v>0.44</v>
      </c>
      <c r="X174" s="135">
        <f t="shared" si="51"/>
        <v>0.44</v>
      </c>
      <c r="Y174" s="135">
        <f t="shared" si="51"/>
        <v>0.44</v>
      </c>
      <c r="Z174" s="135">
        <f t="shared" si="51"/>
        <v>0.44</v>
      </c>
      <c r="AA174" s="135">
        <f t="shared" si="51"/>
        <v>0.44</v>
      </c>
      <c r="AB174" s="135">
        <f t="shared" si="51"/>
        <v>0.44</v>
      </c>
      <c r="AC174" s="135">
        <f t="shared" si="51"/>
        <v>0.44</v>
      </c>
      <c r="AD174" s="135">
        <f t="shared" si="51"/>
        <v>0.44</v>
      </c>
      <c r="AE174" s="135">
        <f t="shared" si="51"/>
        <v>0.44</v>
      </c>
      <c r="AF174" s="135">
        <f t="shared" si="51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9"/>
        <v>2.1</v>
      </c>
      <c r="C175" s="136">
        <v>2.1</v>
      </c>
      <c r="D175" s="135">
        <f t="shared" si="50"/>
        <v>2.1</v>
      </c>
      <c r="E175" s="135">
        <f t="shared" si="50"/>
        <v>2.1</v>
      </c>
      <c r="F175" s="135">
        <f t="shared" si="50"/>
        <v>2.1</v>
      </c>
      <c r="G175" s="135">
        <f t="shared" si="50"/>
        <v>2.1</v>
      </c>
      <c r="H175" s="135">
        <f t="shared" si="50"/>
        <v>2.1</v>
      </c>
      <c r="I175" s="135">
        <f t="shared" si="50"/>
        <v>2.1</v>
      </c>
      <c r="J175" s="135">
        <f t="shared" si="50"/>
        <v>2.1</v>
      </c>
      <c r="K175" s="135">
        <f t="shared" si="50"/>
        <v>2.1</v>
      </c>
      <c r="L175" s="135">
        <f t="shared" si="50"/>
        <v>2.1</v>
      </c>
      <c r="M175" s="135">
        <f t="shared" si="50"/>
        <v>2.1</v>
      </c>
      <c r="N175" s="135">
        <f t="shared" si="50"/>
        <v>2.1</v>
      </c>
      <c r="O175" s="135">
        <f t="shared" si="50"/>
        <v>2.1</v>
      </c>
      <c r="P175" s="135">
        <f t="shared" si="50"/>
        <v>2.1</v>
      </c>
      <c r="Q175" s="135">
        <f t="shared" si="50"/>
        <v>2.1</v>
      </c>
      <c r="R175" s="135">
        <f t="shared" si="50"/>
        <v>2.1</v>
      </c>
      <c r="S175" s="135">
        <f t="shared" si="51"/>
        <v>2.1</v>
      </c>
      <c r="T175" s="135">
        <f t="shared" si="51"/>
        <v>2.1</v>
      </c>
      <c r="U175" s="135">
        <f t="shared" si="51"/>
        <v>2.1</v>
      </c>
      <c r="V175" s="135">
        <f t="shared" si="51"/>
        <v>2.1</v>
      </c>
      <c r="W175" s="135">
        <f t="shared" si="51"/>
        <v>2.1</v>
      </c>
      <c r="X175" s="135">
        <f t="shared" si="51"/>
        <v>2.1</v>
      </c>
      <c r="Y175" s="135">
        <f t="shared" si="51"/>
        <v>2.1</v>
      </c>
      <c r="Z175" s="135">
        <f t="shared" si="51"/>
        <v>2.1</v>
      </c>
      <c r="AA175" s="135">
        <f t="shared" si="51"/>
        <v>2.1</v>
      </c>
      <c r="AB175" s="135">
        <f t="shared" si="51"/>
        <v>2.1</v>
      </c>
      <c r="AC175" s="135">
        <f t="shared" si="51"/>
        <v>2.1</v>
      </c>
      <c r="AD175" s="135">
        <f t="shared" si="51"/>
        <v>2.1</v>
      </c>
      <c r="AE175" s="135">
        <f t="shared" si="51"/>
        <v>2.1</v>
      </c>
      <c r="AF175" s="135">
        <f t="shared" si="51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9"/>
        <v>0.9</v>
      </c>
      <c r="C176" s="136">
        <v>0.9</v>
      </c>
      <c r="D176" s="135">
        <f t="shared" si="50"/>
        <v>0.9</v>
      </c>
      <c r="E176" s="135">
        <f t="shared" si="50"/>
        <v>0.9</v>
      </c>
      <c r="F176" s="135">
        <f t="shared" si="50"/>
        <v>0.9</v>
      </c>
      <c r="G176" s="135">
        <f t="shared" si="50"/>
        <v>0.9</v>
      </c>
      <c r="H176" s="135">
        <f t="shared" si="50"/>
        <v>0.9</v>
      </c>
      <c r="I176" s="135">
        <f t="shared" si="50"/>
        <v>0.9</v>
      </c>
      <c r="J176" s="135">
        <f t="shared" si="50"/>
        <v>0.9</v>
      </c>
      <c r="K176" s="135">
        <f t="shared" si="50"/>
        <v>0.9</v>
      </c>
      <c r="L176" s="135">
        <f t="shared" si="50"/>
        <v>0.9</v>
      </c>
      <c r="M176" s="135">
        <f t="shared" si="50"/>
        <v>0.9</v>
      </c>
      <c r="N176" s="135">
        <f t="shared" si="50"/>
        <v>0.9</v>
      </c>
      <c r="O176" s="135">
        <f t="shared" si="50"/>
        <v>0.9</v>
      </c>
      <c r="P176" s="135">
        <f t="shared" si="50"/>
        <v>0.9</v>
      </c>
      <c r="Q176" s="135">
        <f t="shared" si="50"/>
        <v>0.9</v>
      </c>
      <c r="R176" s="135">
        <f t="shared" si="50"/>
        <v>0.9</v>
      </c>
      <c r="S176" s="135">
        <f t="shared" si="51"/>
        <v>0.9</v>
      </c>
      <c r="T176" s="135">
        <f t="shared" si="51"/>
        <v>0.9</v>
      </c>
      <c r="U176" s="135">
        <f t="shared" si="51"/>
        <v>0.9</v>
      </c>
      <c r="V176" s="135">
        <f t="shared" si="51"/>
        <v>0.9</v>
      </c>
      <c r="W176" s="135">
        <f t="shared" si="51"/>
        <v>0.9</v>
      </c>
      <c r="X176" s="135">
        <f t="shared" si="51"/>
        <v>0.9</v>
      </c>
      <c r="Y176" s="135">
        <f t="shared" si="51"/>
        <v>0.9</v>
      </c>
      <c r="Z176" s="135">
        <f t="shared" si="51"/>
        <v>0.9</v>
      </c>
      <c r="AA176" s="135">
        <f t="shared" si="51"/>
        <v>0.9</v>
      </c>
      <c r="AB176" s="135">
        <f t="shared" si="51"/>
        <v>0.9</v>
      </c>
      <c r="AC176" s="135">
        <f t="shared" si="51"/>
        <v>0.9</v>
      </c>
      <c r="AD176" s="135">
        <f t="shared" si="51"/>
        <v>0.9</v>
      </c>
      <c r="AE176" s="135">
        <f t="shared" si="51"/>
        <v>0.9</v>
      </c>
      <c r="AF176" s="135">
        <f t="shared" si="51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2">AF178</f>
        <v>0.57999999999999996</v>
      </c>
      <c r="C178" s="136">
        <v>0.57999999999999996</v>
      </c>
      <c r="D178" s="135">
        <f t="shared" ref="D178:S190" si="53">C178</f>
        <v>0.57999999999999996</v>
      </c>
      <c r="E178" s="135">
        <f t="shared" si="53"/>
        <v>0.57999999999999996</v>
      </c>
      <c r="F178" s="135">
        <f t="shared" si="53"/>
        <v>0.57999999999999996</v>
      </c>
      <c r="G178" s="135">
        <f t="shared" si="53"/>
        <v>0.57999999999999996</v>
      </c>
      <c r="H178" s="135">
        <f t="shared" si="53"/>
        <v>0.57999999999999996</v>
      </c>
      <c r="I178" s="135">
        <f t="shared" si="53"/>
        <v>0.57999999999999996</v>
      </c>
      <c r="J178" s="135">
        <f t="shared" si="53"/>
        <v>0.57999999999999996</v>
      </c>
      <c r="K178" s="135">
        <f t="shared" si="53"/>
        <v>0.57999999999999996</v>
      </c>
      <c r="L178" s="135">
        <f t="shared" si="53"/>
        <v>0.57999999999999996</v>
      </c>
      <c r="M178" s="135">
        <f t="shared" si="53"/>
        <v>0.57999999999999996</v>
      </c>
      <c r="N178" s="135">
        <f t="shared" si="53"/>
        <v>0.57999999999999996</v>
      </c>
      <c r="O178" s="135">
        <f t="shared" si="53"/>
        <v>0.57999999999999996</v>
      </c>
      <c r="P178" s="135">
        <f t="shared" si="53"/>
        <v>0.57999999999999996</v>
      </c>
      <c r="Q178" s="135">
        <f t="shared" si="53"/>
        <v>0.57999999999999996</v>
      </c>
      <c r="R178" s="135">
        <f t="shared" si="53"/>
        <v>0.57999999999999996</v>
      </c>
      <c r="S178" s="135">
        <f t="shared" si="53"/>
        <v>0.57999999999999996</v>
      </c>
      <c r="T178" s="135">
        <f t="shared" ref="S178:AF190" si="54">S178</f>
        <v>0.57999999999999996</v>
      </c>
      <c r="U178" s="135">
        <f t="shared" si="54"/>
        <v>0.57999999999999996</v>
      </c>
      <c r="V178" s="135">
        <f t="shared" si="54"/>
        <v>0.57999999999999996</v>
      </c>
      <c r="W178" s="135">
        <f t="shared" si="54"/>
        <v>0.57999999999999996</v>
      </c>
      <c r="X178" s="135">
        <f t="shared" si="54"/>
        <v>0.57999999999999996</v>
      </c>
      <c r="Y178" s="135">
        <f t="shared" si="54"/>
        <v>0.57999999999999996</v>
      </c>
      <c r="Z178" s="135">
        <f t="shared" si="54"/>
        <v>0.57999999999999996</v>
      </c>
      <c r="AA178" s="135">
        <f t="shared" si="54"/>
        <v>0.57999999999999996</v>
      </c>
      <c r="AB178" s="135">
        <f t="shared" si="54"/>
        <v>0.57999999999999996</v>
      </c>
      <c r="AC178" s="135">
        <f t="shared" si="54"/>
        <v>0.57999999999999996</v>
      </c>
      <c r="AD178" s="135">
        <f t="shared" si="54"/>
        <v>0.57999999999999996</v>
      </c>
      <c r="AE178" s="135">
        <f t="shared" si="54"/>
        <v>0.57999999999999996</v>
      </c>
      <c r="AF178" s="135">
        <f t="shared" si="54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2"/>
        <v>0.8</v>
      </c>
      <c r="C179" s="136">
        <v>0.8</v>
      </c>
      <c r="D179" s="135">
        <f t="shared" si="53"/>
        <v>0.8</v>
      </c>
      <c r="E179" s="135">
        <f t="shared" si="53"/>
        <v>0.8</v>
      </c>
      <c r="F179" s="135">
        <f t="shared" si="53"/>
        <v>0.8</v>
      </c>
      <c r="G179" s="135">
        <f t="shared" si="53"/>
        <v>0.8</v>
      </c>
      <c r="H179" s="135">
        <f t="shared" si="53"/>
        <v>0.8</v>
      </c>
      <c r="I179" s="135">
        <f t="shared" si="53"/>
        <v>0.8</v>
      </c>
      <c r="J179" s="135">
        <f t="shared" si="53"/>
        <v>0.8</v>
      </c>
      <c r="K179" s="135">
        <f t="shared" si="53"/>
        <v>0.8</v>
      </c>
      <c r="L179" s="135">
        <f t="shared" si="53"/>
        <v>0.8</v>
      </c>
      <c r="M179" s="135">
        <f t="shared" si="53"/>
        <v>0.8</v>
      </c>
      <c r="N179" s="135">
        <f t="shared" si="53"/>
        <v>0.8</v>
      </c>
      <c r="O179" s="135">
        <f t="shared" si="53"/>
        <v>0.8</v>
      </c>
      <c r="P179" s="135">
        <f t="shared" si="53"/>
        <v>0.8</v>
      </c>
      <c r="Q179" s="135">
        <f t="shared" si="53"/>
        <v>0.8</v>
      </c>
      <c r="R179" s="135">
        <f t="shared" si="53"/>
        <v>0.8</v>
      </c>
      <c r="S179" s="135">
        <f t="shared" si="53"/>
        <v>0.8</v>
      </c>
      <c r="T179" s="135">
        <f t="shared" si="54"/>
        <v>0.8</v>
      </c>
      <c r="U179" s="135">
        <f t="shared" si="54"/>
        <v>0.8</v>
      </c>
      <c r="V179" s="135">
        <f t="shared" si="54"/>
        <v>0.8</v>
      </c>
      <c r="W179" s="135">
        <f t="shared" si="54"/>
        <v>0.8</v>
      </c>
      <c r="X179" s="135">
        <f t="shared" si="54"/>
        <v>0.8</v>
      </c>
      <c r="Y179" s="135">
        <f t="shared" si="54"/>
        <v>0.8</v>
      </c>
      <c r="Z179" s="135">
        <f t="shared" si="54"/>
        <v>0.8</v>
      </c>
      <c r="AA179" s="135">
        <f t="shared" si="54"/>
        <v>0.8</v>
      </c>
      <c r="AB179" s="135">
        <f t="shared" si="54"/>
        <v>0.8</v>
      </c>
      <c r="AC179" s="135">
        <f t="shared" si="54"/>
        <v>0.8</v>
      </c>
      <c r="AD179" s="135">
        <f t="shared" si="54"/>
        <v>0.8</v>
      </c>
      <c r="AE179" s="135">
        <f t="shared" si="54"/>
        <v>0.8</v>
      </c>
      <c r="AF179" s="135">
        <f t="shared" si="54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2"/>
        <v>0</v>
      </c>
      <c r="C180" s="136">
        <v>0</v>
      </c>
      <c r="D180" s="135">
        <f t="shared" si="53"/>
        <v>0</v>
      </c>
      <c r="E180" s="135">
        <f t="shared" si="53"/>
        <v>0</v>
      </c>
      <c r="F180" s="135">
        <f t="shared" si="53"/>
        <v>0</v>
      </c>
      <c r="G180" s="135">
        <f t="shared" si="53"/>
        <v>0</v>
      </c>
      <c r="H180" s="135">
        <f t="shared" si="53"/>
        <v>0</v>
      </c>
      <c r="I180" s="135">
        <f t="shared" si="53"/>
        <v>0</v>
      </c>
      <c r="J180" s="135">
        <f t="shared" si="53"/>
        <v>0</v>
      </c>
      <c r="K180" s="135">
        <f t="shared" si="53"/>
        <v>0</v>
      </c>
      <c r="L180" s="135">
        <f t="shared" si="53"/>
        <v>0</v>
      </c>
      <c r="M180" s="135">
        <f t="shared" si="53"/>
        <v>0</v>
      </c>
      <c r="N180" s="135">
        <f t="shared" si="53"/>
        <v>0</v>
      </c>
      <c r="O180" s="135">
        <f t="shared" si="53"/>
        <v>0</v>
      </c>
      <c r="P180" s="135">
        <f t="shared" si="53"/>
        <v>0</v>
      </c>
      <c r="Q180" s="135">
        <f t="shared" si="53"/>
        <v>0</v>
      </c>
      <c r="R180" s="135">
        <f t="shared" si="53"/>
        <v>0</v>
      </c>
      <c r="S180" s="135">
        <f t="shared" si="53"/>
        <v>0</v>
      </c>
      <c r="T180" s="135">
        <f t="shared" si="54"/>
        <v>0</v>
      </c>
      <c r="U180" s="135">
        <f t="shared" si="54"/>
        <v>0</v>
      </c>
      <c r="V180" s="135">
        <f t="shared" si="54"/>
        <v>0</v>
      </c>
      <c r="W180" s="135">
        <f t="shared" si="54"/>
        <v>0</v>
      </c>
      <c r="X180" s="135">
        <f t="shared" si="54"/>
        <v>0</v>
      </c>
      <c r="Y180" s="135">
        <f t="shared" si="54"/>
        <v>0</v>
      </c>
      <c r="Z180" s="135">
        <f t="shared" si="54"/>
        <v>0</v>
      </c>
      <c r="AA180" s="135">
        <f t="shared" si="54"/>
        <v>0</v>
      </c>
      <c r="AB180" s="135">
        <f t="shared" si="54"/>
        <v>0</v>
      </c>
      <c r="AC180" s="135">
        <f t="shared" si="54"/>
        <v>0</v>
      </c>
      <c r="AD180" s="135">
        <f t="shared" si="54"/>
        <v>0</v>
      </c>
      <c r="AE180" s="135">
        <f t="shared" si="54"/>
        <v>0</v>
      </c>
      <c r="AF180" s="135">
        <f t="shared" si="54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2"/>
        <v>0.6</v>
      </c>
      <c r="C181" s="136">
        <v>0.6</v>
      </c>
      <c r="D181" s="135">
        <f t="shared" si="53"/>
        <v>0.6</v>
      </c>
      <c r="E181" s="135">
        <f t="shared" si="53"/>
        <v>0.6</v>
      </c>
      <c r="F181" s="135">
        <f t="shared" si="53"/>
        <v>0.6</v>
      </c>
      <c r="G181" s="135">
        <f t="shared" si="53"/>
        <v>0.6</v>
      </c>
      <c r="H181" s="135">
        <f t="shared" si="53"/>
        <v>0.6</v>
      </c>
      <c r="I181" s="135">
        <f t="shared" si="53"/>
        <v>0.6</v>
      </c>
      <c r="J181" s="135">
        <f t="shared" si="53"/>
        <v>0.6</v>
      </c>
      <c r="K181" s="135">
        <f t="shared" si="53"/>
        <v>0.6</v>
      </c>
      <c r="L181" s="135">
        <f t="shared" si="53"/>
        <v>0.6</v>
      </c>
      <c r="M181" s="135">
        <f t="shared" si="53"/>
        <v>0.6</v>
      </c>
      <c r="N181" s="135">
        <f t="shared" si="53"/>
        <v>0.6</v>
      </c>
      <c r="O181" s="135">
        <f t="shared" si="53"/>
        <v>0.6</v>
      </c>
      <c r="P181" s="135">
        <f t="shared" si="53"/>
        <v>0.6</v>
      </c>
      <c r="Q181" s="135">
        <f t="shared" si="53"/>
        <v>0.6</v>
      </c>
      <c r="R181" s="135">
        <f t="shared" si="53"/>
        <v>0.6</v>
      </c>
      <c r="S181" s="135">
        <f t="shared" si="53"/>
        <v>0.6</v>
      </c>
      <c r="T181" s="135">
        <f t="shared" si="54"/>
        <v>0.6</v>
      </c>
      <c r="U181" s="135">
        <f t="shared" si="54"/>
        <v>0.6</v>
      </c>
      <c r="V181" s="135">
        <f t="shared" si="54"/>
        <v>0.6</v>
      </c>
      <c r="W181" s="135">
        <f t="shared" si="54"/>
        <v>0.6</v>
      </c>
      <c r="X181" s="135">
        <f t="shared" si="54"/>
        <v>0.6</v>
      </c>
      <c r="Y181" s="135">
        <f t="shared" si="54"/>
        <v>0.6</v>
      </c>
      <c r="Z181" s="135">
        <f t="shared" si="54"/>
        <v>0.6</v>
      </c>
      <c r="AA181" s="135">
        <f t="shared" si="54"/>
        <v>0.6</v>
      </c>
      <c r="AB181" s="135">
        <f t="shared" si="54"/>
        <v>0.6</v>
      </c>
      <c r="AC181" s="135">
        <f t="shared" si="54"/>
        <v>0.6</v>
      </c>
      <c r="AD181" s="135">
        <f t="shared" si="54"/>
        <v>0.6</v>
      </c>
      <c r="AE181" s="135">
        <f t="shared" si="54"/>
        <v>0.6</v>
      </c>
      <c r="AF181" s="135">
        <f t="shared" si="54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2"/>
        <v>0.6</v>
      </c>
      <c r="C182" s="136">
        <v>0.6</v>
      </c>
      <c r="D182" s="135">
        <f t="shared" si="53"/>
        <v>0.6</v>
      </c>
      <c r="E182" s="135">
        <f t="shared" si="53"/>
        <v>0.6</v>
      </c>
      <c r="F182" s="135">
        <f t="shared" si="53"/>
        <v>0.6</v>
      </c>
      <c r="G182" s="135">
        <f t="shared" si="53"/>
        <v>0.6</v>
      </c>
      <c r="H182" s="135">
        <f t="shared" si="53"/>
        <v>0.6</v>
      </c>
      <c r="I182" s="135">
        <f t="shared" si="53"/>
        <v>0.6</v>
      </c>
      <c r="J182" s="135">
        <f t="shared" si="53"/>
        <v>0.6</v>
      </c>
      <c r="K182" s="135">
        <f t="shared" si="53"/>
        <v>0.6</v>
      </c>
      <c r="L182" s="135">
        <f t="shared" si="53"/>
        <v>0.6</v>
      </c>
      <c r="M182" s="135">
        <f t="shared" si="53"/>
        <v>0.6</v>
      </c>
      <c r="N182" s="135">
        <f t="shared" si="53"/>
        <v>0.6</v>
      </c>
      <c r="O182" s="135">
        <f t="shared" si="53"/>
        <v>0.6</v>
      </c>
      <c r="P182" s="135">
        <f t="shared" si="53"/>
        <v>0.6</v>
      </c>
      <c r="Q182" s="135">
        <f t="shared" si="53"/>
        <v>0.6</v>
      </c>
      <c r="R182" s="135">
        <f t="shared" si="53"/>
        <v>0.6</v>
      </c>
      <c r="S182" s="135">
        <f t="shared" si="53"/>
        <v>0.6</v>
      </c>
      <c r="T182" s="135">
        <f t="shared" si="54"/>
        <v>0.6</v>
      </c>
      <c r="U182" s="135">
        <f t="shared" si="54"/>
        <v>0.6</v>
      </c>
      <c r="V182" s="135">
        <f t="shared" si="54"/>
        <v>0.6</v>
      </c>
      <c r="W182" s="135">
        <f t="shared" si="54"/>
        <v>0.6</v>
      </c>
      <c r="X182" s="135">
        <f t="shared" si="54"/>
        <v>0.6</v>
      </c>
      <c r="Y182" s="135">
        <f t="shared" si="54"/>
        <v>0.6</v>
      </c>
      <c r="Z182" s="135">
        <f t="shared" si="54"/>
        <v>0.6</v>
      </c>
      <c r="AA182" s="135">
        <f t="shared" si="54"/>
        <v>0.6</v>
      </c>
      <c r="AB182" s="135">
        <f t="shared" si="54"/>
        <v>0.6</v>
      </c>
      <c r="AC182" s="135">
        <f t="shared" si="54"/>
        <v>0.6</v>
      </c>
      <c r="AD182" s="135">
        <f t="shared" si="54"/>
        <v>0.6</v>
      </c>
      <c r="AE182" s="135">
        <f t="shared" si="54"/>
        <v>0.6</v>
      </c>
      <c r="AF182" s="135">
        <f t="shared" si="54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2"/>
        <v>0.35</v>
      </c>
      <c r="C183" s="136">
        <v>0.35</v>
      </c>
      <c r="D183" s="135">
        <f t="shared" si="53"/>
        <v>0.35</v>
      </c>
      <c r="E183" s="135">
        <f t="shared" si="53"/>
        <v>0.35</v>
      </c>
      <c r="F183" s="135">
        <f t="shared" si="53"/>
        <v>0.35</v>
      </c>
      <c r="G183" s="135">
        <f t="shared" si="53"/>
        <v>0.35</v>
      </c>
      <c r="H183" s="135">
        <f t="shared" si="53"/>
        <v>0.35</v>
      </c>
      <c r="I183" s="135">
        <f t="shared" si="53"/>
        <v>0.35</v>
      </c>
      <c r="J183" s="135">
        <f t="shared" si="53"/>
        <v>0.35</v>
      </c>
      <c r="K183" s="135">
        <f t="shared" si="53"/>
        <v>0.35</v>
      </c>
      <c r="L183" s="135">
        <f t="shared" si="53"/>
        <v>0.35</v>
      </c>
      <c r="M183" s="135">
        <f t="shared" si="53"/>
        <v>0.35</v>
      </c>
      <c r="N183" s="135">
        <f t="shared" si="53"/>
        <v>0.35</v>
      </c>
      <c r="O183" s="135">
        <f t="shared" si="53"/>
        <v>0.35</v>
      </c>
      <c r="P183" s="135">
        <f t="shared" si="53"/>
        <v>0.35</v>
      </c>
      <c r="Q183" s="135">
        <f t="shared" si="53"/>
        <v>0.35</v>
      </c>
      <c r="R183" s="135">
        <f t="shared" si="53"/>
        <v>0.35</v>
      </c>
      <c r="S183" s="135">
        <f t="shared" si="53"/>
        <v>0.35</v>
      </c>
      <c r="T183" s="135">
        <f t="shared" si="54"/>
        <v>0.35</v>
      </c>
      <c r="U183" s="135">
        <f t="shared" si="54"/>
        <v>0.35</v>
      </c>
      <c r="V183" s="135">
        <f t="shared" si="54"/>
        <v>0.35</v>
      </c>
      <c r="W183" s="135">
        <f t="shared" si="54"/>
        <v>0.35</v>
      </c>
      <c r="X183" s="135">
        <f t="shared" si="54"/>
        <v>0.35</v>
      </c>
      <c r="Y183" s="135">
        <f t="shared" si="54"/>
        <v>0.35</v>
      </c>
      <c r="Z183" s="135">
        <f t="shared" si="54"/>
        <v>0.35</v>
      </c>
      <c r="AA183" s="135">
        <f t="shared" si="54"/>
        <v>0.35</v>
      </c>
      <c r="AB183" s="135">
        <f t="shared" si="54"/>
        <v>0.35</v>
      </c>
      <c r="AC183" s="135">
        <f t="shared" si="54"/>
        <v>0.35</v>
      </c>
      <c r="AD183" s="135">
        <f t="shared" si="54"/>
        <v>0.35</v>
      </c>
      <c r="AE183" s="135">
        <f t="shared" si="54"/>
        <v>0.35</v>
      </c>
      <c r="AF183" s="135">
        <f t="shared" si="54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2"/>
        <v>0.28999999999999998</v>
      </c>
      <c r="C184" s="136">
        <v>0.28999999999999998</v>
      </c>
      <c r="D184" s="135">
        <f t="shared" si="53"/>
        <v>0.28999999999999998</v>
      </c>
      <c r="E184" s="135">
        <f t="shared" si="53"/>
        <v>0.28999999999999998</v>
      </c>
      <c r="F184" s="135">
        <f t="shared" si="53"/>
        <v>0.28999999999999998</v>
      </c>
      <c r="G184" s="135">
        <f t="shared" si="53"/>
        <v>0.28999999999999998</v>
      </c>
      <c r="H184" s="135">
        <f t="shared" si="53"/>
        <v>0.28999999999999998</v>
      </c>
      <c r="I184" s="135">
        <f t="shared" si="53"/>
        <v>0.28999999999999998</v>
      </c>
      <c r="J184" s="135">
        <f t="shared" si="53"/>
        <v>0.28999999999999998</v>
      </c>
      <c r="K184" s="135">
        <f t="shared" si="53"/>
        <v>0.28999999999999998</v>
      </c>
      <c r="L184" s="135">
        <f t="shared" si="53"/>
        <v>0.28999999999999998</v>
      </c>
      <c r="M184" s="135">
        <f t="shared" si="53"/>
        <v>0.28999999999999998</v>
      </c>
      <c r="N184" s="135">
        <f t="shared" si="53"/>
        <v>0.28999999999999998</v>
      </c>
      <c r="O184" s="135">
        <f t="shared" si="53"/>
        <v>0.28999999999999998</v>
      </c>
      <c r="P184" s="135">
        <f t="shared" si="53"/>
        <v>0.28999999999999998</v>
      </c>
      <c r="Q184" s="135">
        <f t="shared" si="53"/>
        <v>0.28999999999999998</v>
      </c>
      <c r="R184" s="135">
        <f t="shared" si="53"/>
        <v>0.28999999999999998</v>
      </c>
      <c r="S184" s="135">
        <f t="shared" si="53"/>
        <v>0.28999999999999998</v>
      </c>
      <c r="T184" s="135">
        <f t="shared" si="54"/>
        <v>0.28999999999999998</v>
      </c>
      <c r="U184" s="135">
        <f t="shared" si="54"/>
        <v>0.28999999999999998</v>
      </c>
      <c r="V184" s="135">
        <f t="shared" si="54"/>
        <v>0.28999999999999998</v>
      </c>
      <c r="W184" s="135">
        <f t="shared" si="54"/>
        <v>0.28999999999999998</v>
      </c>
      <c r="X184" s="135">
        <f t="shared" si="54"/>
        <v>0.28999999999999998</v>
      </c>
      <c r="Y184" s="135">
        <f t="shared" si="54"/>
        <v>0.28999999999999998</v>
      </c>
      <c r="Z184" s="135">
        <f t="shared" si="54"/>
        <v>0.28999999999999998</v>
      </c>
      <c r="AA184" s="135">
        <f t="shared" si="54"/>
        <v>0.28999999999999998</v>
      </c>
      <c r="AB184" s="135">
        <f t="shared" si="54"/>
        <v>0.28999999999999998</v>
      </c>
      <c r="AC184" s="135">
        <f t="shared" si="54"/>
        <v>0.28999999999999998</v>
      </c>
      <c r="AD184" s="135">
        <f t="shared" si="54"/>
        <v>0.28999999999999998</v>
      </c>
      <c r="AE184" s="135">
        <f t="shared" si="54"/>
        <v>0.28999999999999998</v>
      </c>
      <c r="AF184" s="135">
        <f t="shared" si="54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2"/>
        <v>0.06</v>
      </c>
      <c r="C185" s="136">
        <v>0.06</v>
      </c>
      <c r="D185" s="135">
        <f t="shared" si="53"/>
        <v>0.06</v>
      </c>
      <c r="E185" s="135">
        <f t="shared" si="53"/>
        <v>0.06</v>
      </c>
      <c r="F185" s="135">
        <f t="shared" si="53"/>
        <v>0.06</v>
      </c>
      <c r="G185" s="135">
        <f t="shared" si="53"/>
        <v>0.06</v>
      </c>
      <c r="H185" s="135">
        <f t="shared" si="53"/>
        <v>0.06</v>
      </c>
      <c r="I185" s="135">
        <f t="shared" si="53"/>
        <v>0.06</v>
      </c>
      <c r="J185" s="135">
        <f t="shared" si="53"/>
        <v>0.06</v>
      </c>
      <c r="K185" s="135">
        <f t="shared" si="53"/>
        <v>0.06</v>
      </c>
      <c r="L185" s="135">
        <f t="shared" si="53"/>
        <v>0.06</v>
      </c>
      <c r="M185" s="135">
        <f t="shared" si="53"/>
        <v>0.06</v>
      </c>
      <c r="N185" s="135">
        <f t="shared" si="53"/>
        <v>0.06</v>
      </c>
      <c r="O185" s="135">
        <f t="shared" si="53"/>
        <v>0.06</v>
      </c>
      <c r="P185" s="135">
        <f t="shared" si="53"/>
        <v>0.06</v>
      </c>
      <c r="Q185" s="135">
        <f t="shared" si="53"/>
        <v>0.06</v>
      </c>
      <c r="R185" s="135">
        <f t="shared" si="53"/>
        <v>0.06</v>
      </c>
      <c r="S185" s="135">
        <f t="shared" si="53"/>
        <v>0.06</v>
      </c>
      <c r="T185" s="135">
        <f t="shared" si="54"/>
        <v>0.06</v>
      </c>
      <c r="U185" s="135">
        <f t="shared" si="54"/>
        <v>0.06</v>
      </c>
      <c r="V185" s="135">
        <f t="shared" si="54"/>
        <v>0.06</v>
      </c>
      <c r="W185" s="135">
        <f t="shared" si="54"/>
        <v>0.06</v>
      </c>
      <c r="X185" s="135">
        <f t="shared" si="54"/>
        <v>0.06</v>
      </c>
      <c r="Y185" s="135">
        <f t="shared" si="54"/>
        <v>0.06</v>
      </c>
      <c r="Z185" s="135">
        <f t="shared" si="54"/>
        <v>0.06</v>
      </c>
      <c r="AA185" s="135">
        <f t="shared" si="54"/>
        <v>0.06</v>
      </c>
      <c r="AB185" s="135">
        <f t="shared" si="54"/>
        <v>0.06</v>
      </c>
      <c r="AC185" s="135">
        <f t="shared" si="54"/>
        <v>0.06</v>
      </c>
      <c r="AD185" s="135">
        <f t="shared" si="54"/>
        <v>0.06</v>
      </c>
      <c r="AE185" s="135">
        <f t="shared" si="54"/>
        <v>0.06</v>
      </c>
      <c r="AF185" s="135">
        <f t="shared" si="54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2"/>
        <v>0.11</v>
      </c>
      <c r="C186" s="136">
        <v>0.11</v>
      </c>
      <c r="D186" s="135">
        <f t="shared" si="53"/>
        <v>0.11</v>
      </c>
      <c r="E186" s="135">
        <f t="shared" si="53"/>
        <v>0.11</v>
      </c>
      <c r="F186" s="135">
        <f t="shared" si="53"/>
        <v>0.11</v>
      </c>
      <c r="G186" s="135">
        <f t="shared" si="53"/>
        <v>0.11</v>
      </c>
      <c r="H186" s="135">
        <f t="shared" si="53"/>
        <v>0.11</v>
      </c>
      <c r="I186" s="135">
        <f t="shared" si="53"/>
        <v>0.11</v>
      </c>
      <c r="J186" s="135">
        <f t="shared" si="53"/>
        <v>0.11</v>
      </c>
      <c r="K186" s="135">
        <f t="shared" si="53"/>
        <v>0.11</v>
      </c>
      <c r="L186" s="135">
        <f t="shared" si="53"/>
        <v>0.11</v>
      </c>
      <c r="M186" s="135">
        <f t="shared" si="53"/>
        <v>0.11</v>
      </c>
      <c r="N186" s="135">
        <f t="shared" si="53"/>
        <v>0.11</v>
      </c>
      <c r="O186" s="135">
        <f t="shared" si="53"/>
        <v>0.11</v>
      </c>
      <c r="P186" s="135">
        <f t="shared" si="53"/>
        <v>0.11</v>
      </c>
      <c r="Q186" s="135">
        <f t="shared" si="53"/>
        <v>0.11</v>
      </c>
      <c r="R186" s="135">
        <f t="shared" si="53"/>
        <v>0.11</v>
      </c>
      <c r="S186" s="135">
        <f t="shared" si="53"/>
        <v>0.11</v>
      </c>
      <c r="T186" s="135">
        <f t="shared" si="54"/>
        <v>0.11</v>
      </c>
      <c r="U186" s="135">
        <f t="shared" si="54"/>
        <v>0.11</v>
      </c>
      <c r="V186" s="135">
        <f t="shared" si="54"/>
        <v>0.11</v>
      </c>
      <c r="W186" s="135">
        <f t="shared" si="54"/>
        <v>0.11</v>
      </c>
      <c r="X186" s="135">
        <f t="shared" si="54"/>
        <v>0.11</v>
      </c>
      <c r="Y186" s="135">
        <f t="shared" si="54"/>
        <v>0.11</v>
      </c>
      <c r="Z186" s="135">
        <f t="shared" si="54"/>
        <v>0.11</v>
      </c>
      <c r="AA186" s="135">
        <f t="shared" si="54"/>
        <v>0.11</v>
      </c>
      <c r="AB186" s="135">
        <f t="shared" si="54"/>
        <v>0.11</v>
      </c>
      <c r="AC186" s="135">
        <f t="shared" si="54"/>
        <v>0.11</v>
      </c>
      <c r="AD186" s="135">
        <f t="shared" si="54"/>
        <v>0.11</v>
      </c>
      <c r="AE186" s="135">
        <f t="shared" si="54"/>
        <v>0.11</v>
      </c>
      <c r="AF186" s="135">
        <f t="shared" si="54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2"/>
        <v>0.1</v>
      </c>
      <c r="C187" s="136">
        <v>0.1</v>
      </c>
      <c r="D187" s="135">
        <f t="shared" si="53"/>
        <v>0.1</v>
      </c>
      <c r="E187" s="135">
        <f t="shared" si="53"/>
        <v>0.1</v>
      </c>
      <c r="F187" s="135">
        <f t="shared" si="53"/>
        <v>0.1</v>
      </c>
      <c r="G187" s="135">
        <f t="shared" si="53"/>
        <v>0.1</v>
      </c>
      <c r="H187" s="135">
        <f t="shared" si="53"/>
        <v>0.1</v>
      </c>
      <c r="I187" s="135">
        <f t="shared" si="53"/>
        <v>0.1</v>
      </c>
      <c r="J187" s="135">
        <f t="shared" si="53"/>
        <v>0.1</v>
      </c>
      <c r="K187" s="135">
        <f t="shared" si="53"/>
        <v>0.1</v>
      </c>
      <c r="L187" s="135">
        <f t="shared" si="53"/>
        <v>0.1</v>
      </c>
      <c r="M187" s="135">
        <f t="shared" si="53"/>
        <v>0.1</v>
      </c>
      <c r="N187" s="135">
        <f t="shared" si="53"/>
        <v>0.1</v>
      </c>
      <c r="O187" s="135">
        <f t="shared" si="53"/>
        <v>0.1</v>
      </c>
      <c r="P187" s="135">
        <f t="shared" si="53"/>
        <v>0.1</v>
      </c>
      <c r="Q187" s="135">
        <f t="shared" si="53"/>
        <v>0.1</v>
      </c>
      <c r="R187" s="135">
        <f t="shared" si="53"/>
        <v>0.1</v>
      </c>
      <c r="S187" s="135">
        <f t="shared" si="54"/>
        <v>0.1</v>
      </c>
      <c r="T187" s="135">
        <f t="shared" si="54"/>
        <v>0.1</v>
      </c>
      <c r="U187" s="135">
        <f t="shared" si="54"/>
        <v>0.1</v>
      </c>
      <c r="V187" s="135">
        <f t="shared" si="54"/>
        <v>0.1</v>
      </c>
      <c r="W187" s="135">
        <f t="shared" si="54"/>
        <v>0.1</v>
      </c>
      <c r="X187" s="135">
        <f t="shared" si="54"/>
        <v>0.1</v>
      </c>
      <c r="Y187" s="135">
        <f t="shared" si="54"/>
        <v>0.1</v>
      </c>
      <c r="Z187" s="135">
        <f t="shared" si="54"/>
        <v>0.1</v>
      </c>
      <c r="AA187" s="135">
        <f t="shared" si="54"/>
        <v>0.1</v>
      </c>
      <c r="AB187" s="135">
        <f t="shared" si="54"/>
        <v>0.1</v>
      </c>
      <c r="AC187" s="135">
        <f t="shared" si="54"/>
        <v>0.1</v>
      </c>
      <c r="AD187" s="135">
        <f t="shared" si="54"/>
        <v>0.1</v>
      </c>
      <c r="AE187" s="135">
        <f t="shared" si="54"/>
        <v>0.1</v>
      </c>
      <c r="AF187" s="135">
        <f t="shared" si="54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2"/>
        <v>0.09</v>
      </c>
      <c r="C188" s="136">
        <v>0.09</v>
      </c>
      <c r="D188" s="135">
        <f t="shared" si="53"/>
        <v>0.09</v>
      </c>
      <c r="E188" s="135">
        <f t="shared" si="53"/>
        <v>0.09</v>
      </c>
      <c r="F188" s="135">
        <f t="shared" si="53"/>
        <v>0.09</v>
      </c>
      <c r="G188" s="135">
        <f t="shared" si="53"/>
        <v>0.09</v>
      </c>
      <c r="H188" s="135">
        <f t="shared" si="53"/>
        <v>0.09</v>
      </c>
      <c r="I188" s="135">
        <f t="shared" si="53"/>
        <v>0.09</v>
      </c>
      <c r="J188" s="135">
        <f t="shared" si="53"/>
        <v>0.09</v>
      </c>
      <c r="K188" s="135">
        <f t="shared" si="53"/>
        <v>0.09</v>
      </c>
      <c r="L188" s="135">
        <f t="shared" si="53"/>
        <v>0.09</v>
      </c>
      <c r="M188" s="135">
        <f t="shared" si="53"/>
        <v>0.09</v>
      </c>
      <c r="N188" s="135">
        <f t="shared" si="53"/>
        <v>0.09</v>
      </c>
      <c r="O188" s="135">
        <f t="shared" si="53"/>
        <v>0.09</v>
      </c>
      <c r="P188" s="135">
        <f t="shared" si="53"/>
        <v>0.09</v>
      </c>
      <c r="Q188" s="135">
        <f t="shared" si="53"/>
        <v>0.09</v>
      </c>
      <c r="R188" s="135">
        <f t="shared" si="53"/>
        <v>0.09</v>
      </c>
      <c r="S188" s="135">
        <f t="shared" si="54"/>
        <v>0.09</v>
      </c>
      <c r="T188" s="135">
        <f t="shared" si="54"/>
        <v>0.09</v>
      </c>
      <c r="U188" s="135">
        <f t="shared" si="54"/>
        <v>0.09</v>
      </c>
      <c r="V188" s="135">
        <f t="shared" si="54"/>
        <v>0.09</v>
      </c>
      <c r="W188" s="135">
        <f t="shared" si="54"/>
        <v>0.09</v>
      </c>
      <c r="X188" s="135">
        <f t="shared" si="54"/>
        <v>0.09</v>
      </c>
      <c r="Y188" s="135">
        <f t="shared" si="54"/>
        <v>0.09</v>
      </c>
      <c r="Z188" s="135">
        <f t="shared" si="54"/>
        <v>0.09</v>
      </c>
      <c r="AA188" s="135">
        <f t="shared" si="54"/>
        <v>0.09</v>
      </c>
      <c r="AB188" s="135">
        <f t="shared" si="54"/>
        <v>0.09</v>
      </c>
      <c r="AC188" s="135">
        <f t="shared" si="54"/>
        <v>0.09</v>
      </c>
      <c r="AD188" s="135">
        <f t="shared" si="54"/>
        <v>0.09</v>
      </c>
      <c r="AE188" s="135">
        <f t="shared" si="54"/>
        <v>0.09</v>
      </c>
      <c r="AF188" s="135">
        <f t="shared" si="54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2"/>
        <v>0.04</v>
      </c>
      <c r="C189" s="52">
        <v>0.04</v>
      </c>
      <c r="D189" s="135">
        <f t="shared" si="53"/>
        <v>0.04</v>
      </c>
      <c r="E189" s="135">
        <f t="shared" si="53"/>
        <v>0.04</v>
      </c>
      <c r="F189" s="135">
        <f t="shared" si="53"/>
        <v>0.04</v>
      </c>
      <c r="G189" s="135">
        <f t="shared" si="53"/>
        <v>0.04</v>
      </c>
      <c r="H189" s="135">
        <f t="shared" si="53"/>
        <v>0.04</v>
      </c>
      <c r="I189" s="135">
        <f t="shared" si="53"/>
        <v>0.04</v>
      </c>
      <c r="J189" s="135">
        <f t="shared" si="53"/>
        <v>0.04</v>
      </c>
      <c r="K189" s="135">
        <f t="shared" si="53"/>
        <v>0.04</v>
      </c>
      <c r="L189" s="135">
        <f t="shared" si="53"/>
        <v>0.04</v>
      </c>
      <c r="M189" s="135">
        <f t="shared" si="53"/>
        <v>0.04</v>
      </c>
      <c r="N189" s="135">
        <f t="shared" si="53"/>
        <v>0.04</v>
      </c>
      <c r="O189" s="135">
        <f t="shared" si="53"/>
        <v>0.04</v>
      </c>
      <c r="P189" s="135">
        <f t="shared" si="53"/>
        <v>0.04</v>
      </c>
      <c r="Q189" s="135">
        <f t="shared" si="53"/>
        <v>0.04</v>
      </c>
      <c r="R189" s="135">
        <f t="shared" si="53"/>
        <v>0.04</v>
      </c>
      <c r="S189" s="135">
        <f t="shared" si="54"/>
        <v>0.04</v>
      </c>
      <c r="T189" s="135">
        <f t="shared" si="54"/>
        <v>0.04</v>
      </c>
      <c r="U189" s="135">
        <f t="shared" si="54"/>
        <v>0.04</v>
      </c>
      <c r="V189" s="135">
        <f t="shared" si="54"/>
        <v>0.04</v>
      </c>
      <c r="W189" s="135">
        <f t="shared" si="54"/>
        <v>0.04</v>
      </c>
      <c r="X189" s="135">
        <f t="shared" si="54"/>
        <v>0.04</v>
      </c>
      <c r="Y189" s="135">
        <f t="shared" si="54"/>
        <v>0.04</v>
      </c>
      <c r="Z189" s="135">
        <f t="shared" si="54"/>
        <v>0.04</v>
      </c>
      <c r="AA189" s="135">
        <f t="shared" si="54"/>
        <v>0.04</v>
      </c>
      <c r="AB189" s="135">
        <f t="shared" si="54"/>
        <v>0.04</v>
      </c>
      <c r="AC189" s="135">
        <f t="shared" si="54"/>
        <v>0.04</v>
      </c>
      <c r="AD189" s="135">
        <f t="shared" si="54"/>
        <v>0.04</v>
      </c>
      <c r="AE189" s="135">
        <f t="shared" si="54"/>
        <v>0.04</v>
      </c>
      <c r="AF189" s="135">
        <f t="shared" si="54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2"/>
        <v>2.3E-2</v>
      </c>
      <c r="C190" s="52">
        <v>2.3E-2</v>
      </c>
      <c r="D190" s="135">
        <f>C190</f>
        <v>2.3E-2</v>
      </c>
      <c r="E190" s="135">
        <f t="shared" si="53"/>
        <v>2.3E-2</v>
      </c>
      <c r="F190" s="135">
        <f t="shared" si="53"/>
        <v>2.3E-2</v>
      </c>
      <c r="G190" s="135">
        <f t="shared" si="53"/>
        <v>2.3E-2</v>
      </c>
      <c r="H190" s="135">
        <f t="shared" si="53"/>
        <v>2.3E-2</v>
      </c>
      <c r="I190" s="135">
        <f t="shared" si="53"/>
        <v>2.3E-2</v>
      </c>
      <c r="J190" s="135">
        <f t="shared" si="53"/>
        <v>2.3E-2</v>
      </c>
      <c r="K190" s="135">
        <f t="shared" si="53"/>
        <v>2.3E-2</v>
      </c>
      <c r="L190" s="135">
        <f t="shared" si="53"/>
        <v>2.3E-2</v>
      </c>
      <c r="M190" s="135">
        <f t="shared" si="53"/>
        <v>2.3E-2</v>
      </c>
      <c r="N190" s="135">
        <f t="shared" si="53"/>
        <v>2.3E-2</v>
      </c>
      <c r="O190" s="135">
        <f t="shared" si="53"/>
        <v>2.3E-2</v>
      </c>
      <c r="P190" s="135">
        <f t="shared" si="53"/>
        <v>2.3E-2</v>
      </c>
      <c r="Q190" s="135">
        <f t="shared" si="53"/>
        <v>2.3E-2</v>
      </c>
      <c r="R190" s="135">
        <f t="shared" si="53"/>
        <v>2.3E-2</v>
      </c>
      <c r="S190" s="135">
        <f t="shared" si="54"/>
        <v>2.3E-2</v>
      </c>
      <c r="T190" s="135">
        <f t="shared" si="54"/>
        <v>2.3E-2</v>
      </c>
      <c r="U190" s="135">
        <f t="shared" si="54"/>
        <v>2.3E-2</v>
      </c>
      <c r="V190" s="135">
        <f t="shared" si="54"/>
        <v>2.3E-2</v>
      </c>
      <c r="W190" s="135">
        <f t="shared" si="54"/>
        <v>2.3E-2</v>
      </c>
      <c r="X190" s="135">
        <f t="shared" si="54"/>
        <v>2.3E-2</v>
      </c>
      <c r="Y190" s="135">
        <f t="shared" si="54"/>
        <v>2.3E-2</v>
      </c>
      <c r="Z190" s="135">
        <f t="shared" si="54"/>
        <v>2.3E-2</v>
      </c>
      <c r="AA190" s="135">
        <f t="shared" si="54"/>
        <v>2.3E-2</v>
      </c>
      <c r="AB190" s="135">
        <f t="shared" si="54"/>
        <v>2.3E-2</v>
      </c>
      <c r="AC190" s="135">
        <f t="shared" si="54"/>
        <v>2.3E-2</v>
      </c>
      <c r="AD190" s="135">
        <f t="shared" si="54"/>
        <v>2.3E-2</v>
      </c>
      <c r="AE190" s="135">
        <f t="shared" si="54"/>
        <v>2.3E-2</v>
      </c>
      <c r="AF190" s="135">
        <f t="shared" si="54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5">SUM(C101:C190)</f>
        <v>194.70600000000002</v>
      </c>
      <c r="D191" s="140">
        <f t="shared" si="55"/>
        <v>194.70600000000002</v>
      </c>
      <c r="E191" s="140">
        <f t="shared" si="55"/>
        <v>194.70600000000002</v>
      </c>
      <c r="F191" s="140">
        <f t="shared" si="55"/>
        <v>194.70600000000002</v>
      </c>
      <c r="G191" s="140">
        <f t="shared" si="55"/>
        <v>194.70600000000002</v>
      </c>
      <c r="H191" s="140">
        <f t="shared" si="55"/>
        <v>194.70600000000002</v>
      </c>
      <c r="I191" s="140">
        <f t="shared" si="55"/>
        <v>194.70600000000002</v>
      </c>
      <c r="J191" s="140">
        <f t="shared" si="55"/>
        <v>192.10600000000005</v>
      </c>
      <c r="K191" s="140">
        <f t="shared" si="55"/>
        <v>192.10600000000005</v>
      </c>
      <c r="L191" s="140">
        <f t="shared" si="55"/>
        <v>192.10600000000005</v>
      </c>
      <c r="M191" s="140">
        <f t="shared" si="55"/>
        <v>192.10600000000005</v>
      </c>
      <c r="N191" s="140">
        <f t="shared" si="55"/>
        <v>192.10600000000005</v>
      </c>
      <c r="O191" s="140">
        <f t="shared" si="55"/>
        <v>192.10600000000005</v>
      </c>
      <c r="P191" s="140">
        <f t="shared" si="55"/>
        <v>192.10600000000005</v>
      </c>
      <c r="Q191" s="140">
        <f t="shared" si="55"/>
        <v>192.10600000000005</v>
      </c>
      <c r="R191" s="140">
        <f t="shared" si="55"/>
        <v>192.10600000000005</v>
      </c>
      <c r="S191" s="140">
        <f t="shared" si="55"/>
        <v>192.10600000000005</v>
      </c>
      <c r="T191" s="140">
        <f t="shared" si="55"/>
        <v>192.10600000000005</v>
      </c>
      <c r="U191" s="140">
        <f t="shared" si="55"/>
        <v>192.10600000000005</v>
      </c>
      <c r="V191" s="140">
        <f t="shared" si="55"/>
        <v>192.10600000000005</v>
      </c>
      <c r="W191" s="140">
        <f t="shared" si="55"/>
        <v>192.10600000000005</v>
      </c>
      <c r="X191" s="140">
        <f t="shared" si="55"/>
        <v>192.10600000000005</v>
      </c>
      <c r="Y191" s="140">
        <f t="shared" si="55"/>
        <v>192.10600000000005</v>
      </c>
      <c r="Z191" s="140">
        <f t="shared" si="55"/>
        <v>192.10600000000005</v>
      </c>
      <c r="AA191" s="140">
        <f t="shared" si="55"/>
        <v>192.10600000000005</v>
      </c>
      <c r="AB191" s="140">
        <f t="shared" si="55"/>
        <v>192.10600000000005</v>
      </c>
      <c r="AC191" s="140">
        <f t="shared" si="55"/>
        <v>192.10600000000005</v>
      </c>
      <c r="AD191" s="140">
        <f t="shared" si="55"/>
        <v>192.10600000000005</v>
      </c>
      <c r="AE191" s="140">
        <f t="shared" si="55"/>
        <v>192.10600000000005</v>
      </c>
      <c r="AF191" s="140">
        <f t="shared" si="55"/>
        <v>192.10600000000005</v>
      </c>
      <c r="AG191" s="141">
        <f t="shared" si="55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6">AF193</f>
        <v>0.3</v>
      </c>
      <c r="C193" s="142">
        <v>0.3</v>
      </c>
      <c r="D193" s="142">
        <f t="shared" ref="D193:S198" si="57">C193</f>
        <v>0.3</v>
      </c>
      <c r="E193" s="142">
        <f t="shared" si="57"/>
        <v>0.3</v>
      </c>
      <c r="F193" s="142">
        <f t="shared" si="57"/>
        <v>0.3</v>
      </c>
      <c r="G193" s="142">
        <f t="shared" si="57"/>
        <v>0.3</v>
      </c>
      <c r="H193" s="142">
        <f t="shared" si="57"/>
        <v>0.3</v>
      </c>
      <c r="I193" s="142">
        <f t="shared" si="57"/>
        <v>0.3</v>
      </c>
      <c r="J193" s="142">
        <f t="shared" si="57"/>
        <v>0.3</v>
      </c>
      <c r="K193" s="142">
        <f t="shared" si="57"/>
        <v>0.3</v>
      </c>
      <c r="L193" s="142">
        <f t="shared" si="57"/>
        <v>0.3</v>
      </c>
      <c r="M193" s="142">
        <f t="shared" si="57"/>
        <v>0.3</v>
      </c>
      <c r="N193" s="142">
        <f t="shared" si="57"/>
        <v>0.3</v>
      </c>
      <c r="O193" s="142">
        <f t="shared" si="57"/>
        <v>0.3</v>
      </c>
      <c r="P193" s="142">
        <f t="shared" si="57"/>
        <v>0.3</v>
      </c>
      <c r="Q193" s="142">
        <f t="shared" si="57"/>
        <v>0.3</v>
      </c>
      <c r="R193" s="142">
        <f t="shared" si="57"/>
        <v>0.3</v>
      </c>
      <c r="S193" s="142">
        <f t="shared" si="57"/>
        <v>0.3</v>
      </c>
      <c r="T193" s="142">
        <f t="shared" ref="T193:AF198" si="58">S193</f>
        <v>0.3</v>
      </c>
      <c r="U193" s="142">
        <f t="shared" si="58"/>
        <v>0.3</v>
      </c>
      <c r="V193" s="142">
        <f t="shared" si="58"/>
        <v>0.3</v>
      </c>
      <c r="W193" s="142">
        <f t="shared" si="58"/>
        <v>0.3</v>
      </c>
      <c r="X193" s="142">
        <f t="shared" si="58"/>
        <v>0.3</v>
      </c>
      <c r="Y193" s="142">
        <f t="shared" si="58"/>
        <v>0.3</v>
      </c>
      <c r="Z193" s="142">
        <f t="shared" si="58"/>
        <v>0.3</v>
      </c>
      <c r="AA193" s="142">
        <f t="shared" si="58"/>
        <v>0.3</v>
      </c>
      <c r="AB193" s="142">
        <f t="shared" si="58"/>
        <v>0.3</v>
      </c>
      <c r="AC193" s="142">
        <f t="shared" si="58"/>
        <v>0.3</v>
      </c>
      <c r="AD193" s="142">
        <f t="shared" si="58"/>
        <v>0.3</v>
      </c>
      <c r="AE193" s="142">
        <f t="shared" si="58"/>
        <v>0.3</v>
      </c>
      <c r="AF193" s="142">
        <f t="shared" si="58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6"/>
        <v>0.4</v>
      </c>
      <c r="C194" s="135">
        <v>0.4</v>
      </c>
      <c r="D194" s="135">
        <f t="shared" si="57"/>
        <v>0.4</v>
      </c>
      <c r="E194" s="135">
        <f t="shared" si="57"/>
        <v>0.4</v>
      </c>
      <c r="F194" s="135">
        <f t="shared" si="57"/>
        <v>0.4</v>
      </c>
      <c r="G194" s="135">
        <f t="shared" si="57"/>
        <v>0.4</v>
      </c>
      <c r="H194" s="135">
        <f t="shared" si="57"/>
        <v>0.4</v>
      </c>
      <c r="I194" s="135">
        <f t="shared" si="57"/>
        <v>0.4</v>
      </c>
      <c r="J194" s="135">
        <f t="shared" si="57"/>
        <v>0.4</v>
      </c>
      <c r="K194" s="135">
        <f t="shared" si="57"/>
        <v>0.4</v>
      </c>
      <c r="L194" s="135">
        <f t="shared" si="57"/>
        <v>0.4</v>
      </c>
      <c r="M194" s="135">
        <f t="shared" si="57"/>
        <v>0.4</v>
      </c>
      <c r="N194" s="135">
        <f t="shared" si="57"/>
        <v>0.4</v>
      </c>
      <c r="O194" s="135">
        <f t="shared" si="57"/>
        <v>0.4</v>
      </c>
      <c r="P194" s="135">
        <f t="shared" si="57"/>
        <v>0.4</v>
      </c>
      <c r="Q194" s="135">
        <f t="shared" si="57"/>
        <v>0.4</v>
      </c>
      <c r="R194" s="135">
        <f t="shared" si="57"/>
        <v>0.4</v>
      </c>
      <c r="S194" s="135">
        <f t="shared" si="57"/>
        <v>0.4</v>
      </c>
      <c r="T194" s="135">
        <f t="shared" si="58"/>
        <v>0.4</v>
      </c>
      <c r="U194" s="135">
        <f t="shared" si="58"/>
        <v>0.4</v>
      </c>
      <c r="V194" s="135">
        <f t="shared" si="58"/>
        <v>0.4</v>
      </c>
      <c r="W194" s="135">
        <f>V194</f>
        <v>0.4</v>
      </c>
      <c r="X194" s="135">
        <f>W194</f>
        <v>0.4</v>
      </c>
      <c r="Y194" s="135">
        <f t="shared" si="58"/>
        <v>0.4</v>
      </c>
      <c r="Z194" s="135">
        <f t="shared" si="58"/>
        <v>0.4</v>
      </c>
      <c r="AA194" s="135">
        <f t="shared" si="58"/>
        <v>0.4</v>
      </c>
      <c r="AB194" s="135">
        <f t="shared" si="58"/>
        <v>0.4</v>
      </c>
      <c r="AC194" s="135">
        <f t="shared" si="58"/>
        <v>0.4</v>
      </c>
      <c r="AD194" s="135">
        <f t="shared" si="58"/>
        <v>0.4</v>
      </c>
      <c r="AE194" s="135">
        <f t="shared" si="58"/>
        <v>0.4</v>
      </c>
      <c r="AF194" s="135">
        <f t="shared" si="58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6"/>
        <v>1.5</v>
      </c>
      <c r="C195" s="135">
        <v>1.5</v>
      </c>
      <c r="D195" s="135">
        <f t="shared" si="57"/>
        <v>1.5</v>
      </c>
      <c r="E195" s="135">
        <f t="shared" si="57"/>
        <v>1.5</v>
      </c>
      <c r="F195" s="135">
        <f t="shared" si="57"/>
        <v>1.5</v>
      </c>
      <c r="G195" s="135">
        <f t="shared" si="57"/>
        <v>1.5</v>
      </c>
      <c r="H195" s="135">
        <f t="shared" si="57"/>
        <v>1.5</v>
      </c>
      <c r="I195" s="135">
        <f t="shared" si="57"/>
        <v>1.5</v>
      </c>
      <c r="J195" s="135">
        <f t="shared" si="57"/>
        <v>1.5</v>
      </c>
      <c r="K195" s="135">
        <f t="shared" si="57"/>
        <v>1.5</v>
      </c>
      <c r="L195" s="135">
        <f t="shared" si="57"/>
        <v>1.5</v>
      </c>
      <c r="M195" s="135">
        <f t="shared" si="57"/>
        <v>1.5</v>
      </c>
      <c r="N195" s="135">
        <f t="shared" si="57"/>
        <v>1.5</v>
      </c>
      <c r="O195" s="135">
        <f t="shared" si="57"/>
        <v>1.5</v>
      </c>
      <c r="P195" s="135">
        <f t="shared" si="57"/>
        <v>1.5</v>
      </c>
      <c r="Q195" s="135">
        <f t="shared" si="57"/>
        <v>1.5</v>
      </c>
      <c r="R195" s="135">
        <f t="shared" si="57"/>
        <v>1.5</v>
      </c>
      <c r="S195" s="135">
        <f t="shared" si="57"/>
        <v>1.5</v>
      </c>
      <c r="T195" s="135">
        <f t="shared" si="58"/>
        <v>1.5</v>
      </c>
      <c r="U195" s="135">
        <f t="shared" si="58"/>
        <v>1.5</v>
      </c>
      <c r="V195" s="135">
        <f t="shared" si="58"/>
        <v>1.5</v>
      </c>
      <c r="W195" s="135">
        <f t="shared" si="58"/>
        <v>1.5</v>
      </c>
      <c r="X195" s="135">
        <f t="shared" si="58"/>
        <v>1.5</v>
      </c>
      <c r="Y195" s="135">
        <f t="shared" si="58"/>
        <v>1.5</v>
      </c>
      <c r="Z195" s="135">
        <f t="shared" si="58"/>
        <v>1.5</v>
      </c>
      <c r="AA195" s="135">
        <f t="shared" si="58"/>
        <v>1.5</v>
      </c>
      <c r="AB195" s="135">
        <f t="shared" si="58"/>
        <v>1.5</v>
      </c>
      <c r="AC195" s="135">
        <f t="shared" si="58"/>
        <v>1.5</v>
      </c>
      <c r="AD195" s="135">
        <f t="shared" si="58"/>
        <v>1.5</v>
      </c>
      <c r="AE195" s="135">
        <f t="shared" si="58"/>
        <v>1.5</v>
      </c>
      <c r="AF195" s="135">
        <f t="shared" si="58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6"/>
        <v>0.3</v>
      </c>
      <c r="C196" s="135">
        <v>0.3</v>
      </c>
      <c r="D196" s="135">
        <f t="shared" si="57"/>
        <v>0.3</v>
      </c>
      <c r="E196" s="135">
        <f t="shared" si="57"/>
        <v>0.3</v>
      </c>
      <c r="F196" s="135">
        <f t="shared" si="57"/>
        <v>0.3</v>
      </c>
      <c r="G196" s="135">
        <f t="shared" si="57"/>
        <v>0.3</v>
      </c>
      <c r="H196" s="135">
        <f t="shared" si="57"/>
        <v>0.3</v>
      </c>
      <c r="I196" s="135">
        <f t="shared" si="57"/>
        <v>0.3</v>
      </c>
      <c r="J196" s="135">
        <f t="shared" si="57"/>
        <v>0.3</v>
      </c>
      <c r="K196" s="135">
        <f t="shared" si="57"/>
        <v>0.3</v>
      </c>
      <c r="L196" s="135">
        <f t="shared" si="57"/>
        <v>0.3</v>
      </c>
      <c r="M196" s="135">
        <f t="shared" si="57"/>
        <v>0.3</v>
      </c>
      <c r="N196" s="135">
        <f t="shared" si="57"/>
        <v>0.3</v>
      </c>
      <c r="O196" s="135">
        <f t="shared" si="57"/>
        <v>0.3</v>
      </c>
      <c r="P196" s="135">
        <f t="shared" si="57"/>
        <v>0.3</v>
      </c>
      <c r="Q196" s="135">
        <f t="shared" si="57"/>
        <v>0.3</v>
      </c>
      <c r="R196" s="135">
        <f t="shared" si="57"/>
        <v>0.3</v>
      </c>
      <c r="S196" s="135">
        <f t="shared" si="57"/>
        <v>0.3</v>
      </c>
      <c r="T196" s="135">
        <f t="shared" si="58"/>
        <v>0.3</v>
      </c>
      <c r="U196" s="135">
        <f t="shared" si="58"/>
        <v>0.3</v>
      </c>
      <c r="V196" s="135">
        <f t="shared" si="58"/>
        <v>0.3</v>
      </c>
      <c r="W196" s="135">
        <f t="shared" si="58"/>
        <v>0.3</v>
      </c>
      <c r="X196" s="135">
        <f t="shared" si="58"/>
        <v>0.3</v>
      </c>
      <c r="Y196" s="135">
        <f t="shared" si="58"/>
        <v>0.3</v>
      </c>
      <c r="Z196" s="135">
        <f t="shared" si="58"/>
        <v>0.3</v>
      </c>
      <c r="AA196" s="135">
        <f t="shared" si="58"/>
        <v>0.3</v>
      </c>
      <c r="AB196" s="135">
        <f t="shared" si="58"/>
        <v>0.3</v>
      </c>
      <c r="AC196" s="135">
        <f t="shared" si="58"/>
        <v>0.3</v>
      </c>
      <c r="AD196" s="135">
        <f t="shared" si="58"/>
        <v>0.3</v>
      </c>
      <c r="AE196" s="135">
        <f t="shared" si="58"/>
        <v>0.3</v>
      </c>
      <c r="AF196" s="135">
        <f t="shared" si="58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6"/>
        <v>0.4</v>
      </c>
      <c r="C197" s="135">
        <v>0.4</v>
      </c>
      <c r="D197" s="135">
        <f t="shared" si="57"/>
        <v>0.4</v>
      </c>
      <c r="E197" s="135">
        <f t="shared" si="57"/>
        <v>0.4</v>
      </c>
      <c r="F197" s="135">
        <f t="shared" si="57"/>
        <v>0.4</v>
      </c>
      <c r="G197" s="135">
        <f t="shared" si="57"/>
        <v>0.4</v>
      </c>
      <c r="H197" s="135">
        <f t="shared" si="57"/>
        <v>0.4</v>
      </c>
      <c r="I197" s="135">
        <f t="shared" si="57"/>
        <v>0.4</v>
      </c>
      <c r="J197" s="135">
        <f t="shared" si="57"/>
        <v>0.4</v>
      </c>
      <c r="K197" s="135">
        <f t="shared" si="57"/>
        <v>0.4</v>
      </c>
      <c r="L197" s="135">
        <f t="shared" si="57"/>
        <v>0.4</v>
      </c>
      <c r="M197" s="135">
        <f t="shared" si="57"/>
        <v>0.4</v>
      </c>
      <c r="N197" s="135">
        <f t="shared" si="57"/>
        <v>0.4</v>
      </c>
      <c r="O197" s="135">
        <f t="shared" si="57"/>
        <v>0.4</v>
      </c>
      <c r="P197" s="135">
        <f t="shared" si="57"/>
        <v>0.4</v>
      </c>
      <c r="Q197" s="135">
        <f t="shared" si="57"/>
        <v>0.4</v>
      </c>
      <c r="R197" s="135">
        <f t="shared" si="57"/>
        <v>0.4</v>
      </c>
      <c r="S197" s="135">
        <f t="shared" si="57"/>
        <v>0.4</v>
      </c>
      <c r="T197" s="135">
        <f t="shared" si="58"/>
        <v>0.4</v>
      </c>
      <c r="U197" s="135">
        <f t="shared" si="58"/>
        <v>0.4</v>
      </c>
      <c r="V197" s="135">
        <f t="shared" si="58"/>
        <v>0.4</v>
      </c>
      <c r="W197" s="135">
        <f t="shared" si="58"/>
        <v>0.4</v>
      </c>
      <c r="X197" s="135">
        <f t="shared" si="58"/>
        <v>0.4</v>
      </c>
      <c r="Y197" s="135">
        <f t="shared" si="58"/>
        <v>0.4</v>
      </c>
      <c r="Z197" s="135">
        <f t="shared" si="58"/>
        <v>0.4</v>
      </c>
      <c r="AA197" s="135">
        <f t="shared" si="58"/>
        <v>0.4</v>
      </c>
      <c r="AB197" s="135">
        <f t="shared" si="58"/>
        <v>0.4</v>
      </c>
      <c r="AC197" s="135">
        <f t="shared" si="58"/>
        <v>0.4</v>
      </c>
      <c r="AD197" s="135">
        <f t="shared" si="58"/>
        <v>0.4</v>
      </c>
      <c r="AE197" s="135">
        <f t="shared" si="58"/>
        <v>0.4</v>
      </c>
      <c r="AF197" s="135">
        <f t="shared" si="58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6"/>
        <v>0.64</v>
      </c>
      <c r="C198" s="145">
        <v>0.64</v>
      </c>
      <c r="D198" s="145">
        <f t="shared" si="57"/>
        <v>0.64</v>
      </c>
      <c r="E198" s="145">
        <f t="shared" si="57"/>
        <v>0.64</v>
      </c>
      <c r="F198" s="145">
        <f t="shared" si="57"/>
        <v>0.64</v>
      </c>
      <c r="G198" s="145">
        <f t="shared" si="57"/>
        <v>0.64</v>
      </c>
      <c r="H198" s="145">
        <f t="shared" si="57"/>
        <v>0.64</v>
      </c>
      <c r="I198" s="145">
        <f t="shared" si="57"/>
        <v>0.64</v>
      </c>
      <c r="J198" s="145">
        <f t="shared" si="57"/>
        <v>0.64</v>
      </c>
      <c r="K198" s="145">
        <f t="shared" si="57"/>
        <v>0.64</v>
      </c>
      <c r="L198" s="145">
        <f t="shared" si="57"/>
        <v>0.64</v>
      </c>
      <c r="M198" s="145">
        <f t="shared" si="57"/>
        <v>0.64</v>
      </c>
      <c r="N198" s="145">
        <f t="shared" si="57"/>
        <v>0.64</v>
      </c>
      <c r="O198" s="145">
        <f t="shared" si="57"/>
        <v>0.64</v>
      </c>
      <c r="P198" s="145">
        <f t="shared" si="57"/>
        <v>0.64</v>
      </c>
      <c r="Q198" s="145">
        <f t="shared" si="57"/>
        <v>0.64</v>
      </c>
      <c r="R198" s="145">
        <f t="shared" si="57"/>
        <v>0.64</v>
      </c>
      <c r="S198" s="145">
        <f t="shared" si="57"/>
        <v>0.64</v>
      </c>
      <c r="T198" s="145">
        <f t="shared" si="58"/>
        <v>0.64</v>
      </c>
      <c r="U198" s="145">
        <f t="shared" si="58"/>
        <v>0.64</v>
      </c>
      <c r="V198" s="145">
        <f t="shared" si="58"/>
        <v>0.64</v>
      </c>
      <c r="W198" s="145">
        <f t="shared" si="58"/>
        <v>0.64</v>
      </c>
      <c r="X198" s="145">
        <f t="shared" si="58"/>
        <v>0.64</v>
      </c>
      <c r="Y198" s="145">
        <f t="shared" si="58"/>
        <v>0.64</v>
      </c>
      <c r="Z198" s="145">
        <f t="shared" si="58"/>
        <v>0.64</v>
      </c>
      <c r="AA198" s="145">
        <f t="shared" si="58"/>
        <v>0.64</v>
      </c>
      <c r="AB198" s="145">
        <f t="shared" si="58"/>
        <v>0.64</v>
      </c>
      <c r="AC198" s="145">
        <f t="shared" si="58"/>
        <v>0.64</v>
      </c>
      <c r="AD198" s="145">
        <f t="shared" si="58"/>
        <v>0.64</v>
      </c>
      <c r="AE198" s="145">
        <f t="shared" si="58"/>
        <v>0.64</v>
      </c>
      <c r="AF198" s="145">
        <f t="shared" si="58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9">SUM(D193:D198)</f>
        <v>3.54</v>
      </c>
      <c r="E199" s="148">
        <f t="shared" si="59"/>
        <v>3.54</v>
      </c>
      <c r="F199" s="148">
        <f t="shared" si="59"/>
        <v>3.54</v>
      </c>
      <c r="G199" s="148">
        <f t="shared" si="59"/>
        <v>3.54</v>
      </c>
      <c r="H199" s="148">
        <f t="shared" si="59"/>
        <v>3.54</v>
      </c>
      <c r="I199" s="148">
        <f t="shared" si="59"/>
        <v>3.54</v>
      </c>
      <c r="J199" s="148">
        <f t="shared" si="59"/>
        <v>3.54</v>
      </c>
      <c r="K199" s="148">
        <f t="shared" si="59"/>
        <v>3.54</v>
      </c>
      <c r="L199" s="148">
        <f t="shared" si="59"/>
        <v>3.54</v>
      </c>
      <c r="M199" s="148">
        <f>SUM(M193:M198)</f>
        <v>3.54</v>
      </c>
      <c r="N199" s="148">
        <f t="shared" ref="N199:S199" si="60">SUM(N193:N198)</f>
        <v>3.54</v>
      </c>
      <c r="O199" s="148">
        <f t="shared" si="60"/>
        <v>3.54</v>
      </c>
      <c r="P199" s="148">
        <f t="shared" si="60"/>
        <v>3.54</v>
      </c>
      <c r="Q199" s="148">
        <f t="shared" si="60"/>
        <v>3.54</v>
      </c>
      <c r="R199" s="148">
        <f t="shared" si="60"/>
        <v>3.54</v>
      </c>
      <c r="S199" s="148">
        <f t="shared" si="60"/>
        <v>3.54</v>
      </c>
      <c r="T199" s="148">
        <f>SUM(T193:T198)</f>
        <v>3.54</v>
      </c>
      <c r="U199" s="148">
        <f t="shared" ref="U199:AG199" si="61">SUM(U193:U198)</f>
        <v>3.54</v>
      </c>
      <c r="V199" s="148">
        <f t="shared" si="61"/>
        <v>3.54</v>
      </c>
      <c r="W199" s="148">
        <f t="shared" si="61"/>
        <v>3.54</v>
      </c>
      <c r="X199" s="148">
        <f t="shared" si="61"/>
        <v>3.54</v>
      </c>
      <c r="Y199" s="148">
        <f t="shared" si="61"/>
        <v>3.54</v>
      </c>
      <c r="Z199" s="148">
        <f t="shared" si="61"/>
        <v>3.54</v>
      </c>
      <c r="AA199" s="148">
        <f t="shared" si="61"/>
        <v>3.54</v>
      </c>
      <c r="AB199" s="148">
        <f t="shared" si="61"/>
        <v>3.54</v>
      </c>
      <c r="AC199" s="148">
        <f t="shared" si="61"/>
        <v>3.54</v>
      </c>
      <c r="AD199" s="148">
        <f t="shared" si="61"/>
        <v>3.54</v>
      </c>
      <c r="AE199" s="148">
        <f t="shared" si="61"/>
        <v>3.54</v>
      </c>
      <c r="AF199" s="148">
        <f t="shared" si="61"/>
        <v>3.54</v>
      </c>
      <c r="AG199" s="149">
        <f t="shared" si="61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1523.54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2078/09/9)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2078/09/9)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2">B75</f>
        <v>908.04</v>
      </c>
      <c r="U213" s="173">
        <f t="shared" si="62"/>
        <v>870.83999999999992</v>
      </c>
      <c r="V213" s="173">
        <f t="shared" si="62"/>
        <v>871.7399999999999</v>
      </c>
      <c r="W213" s="173">
        <f t="shared" si="62"/>
        <v>860.24</v>
      </c>
      <c r="X213" s="173">
        <f t="shared" si="62"/>
        <v>855.04</v>
      </c>
      <c r="Y213" s="173">
        <f t="shared" si="62"/>
        <v>908.24</v>
      </c>
      <c r="Z213" s="173">
        <f t="shared" si="62"/>
        <v>962.84000000000015</v>
      </c>
      <c r="AA213" s="173">
        <f t="shared" si="62"/>
        <v>1077.6399999999999</v>
      </c>
      <c r="AB213" s="173">
        <f t="shared" si="62"/>
        <v>1139.8399999999999</v>
      </c>
      <c r="AC213" s="173">
        <f t="shared" si="62"/>
        <v>1329.64</v>
      </c>
      <c r="AD213" s="173">
        <f t="shared" si="62"/>
        <v>1445.14</v>
      </c>
      <c r="AE213" s="173">
        <f t="shared" si="62"/>
        <v>1514.7400000000002</v>
      </c>
      <c r="AF213" s="173">
        <f t="shared" si="62"/>
        <v>1523.54</v>
      </c>
      <c r="AG213" s="173">
        <f t="shared" si="62"/>
        <v>1519.24</v>
      </c>
      <c r="AH213" s="173">
        <f t="shared" si="62"/>
        <v>1455.34</v>
      </c>
      <c r="AI213" s="173">
        <f t="shared" si="62"/>
        <v>1359.54</v>
      </c>
      <c r="AJ213" s="173">
        <f t="shared" si="62"/>
        <v>1351.44</v>
      </c>
      <c r="AK213" s="173">
        <f t="shared" si="62"/>
        <v>1335.24</v>
      </c>
      <c r="AL213" s="173">
        <f t="shared" si="62"/>
        <v>1307.54</v>
      </c>
      <c r="AM213" s="173">
        <f t="shared" si="62"/>
        <v>1336.9399999999996</v>
      </c>
      <c r="AN213" s="173">
        <f t="shared" si="62"/>
        <v>1326.9399999999996</v>
      </c>
      <c r="AO213" s="173">
        <f t="shared" si="62"/>
        <v>1447.14</v>
      </c>
      <c r="AP213" s="173">
        <f t="shared" si="62"/>
        <v>1634.7400000000002</v>
      </c>
      <c r="AQ213" s="173">
        <f t="shared" si="62"/>
        <v>1668.94</v>
      </c>
      <c r="AR213" s="173">
        <f t="shared" si="62"/>
        <v>1605.24</v>
      </c>
      <c r="AS213" s="173">
        <f t="shared" si="62"/>
        <v>1560.94</v>
      </c>
      <c r="AT213" s="173">
        <f t="shared" si="62"/>
        <v>1542.54</v>
      </c>
      <c r="AU213" s="173">
        <f t="shared" si="62"/>
        <v>1415.1399999999999</v>
      </c>
      <c r="AV213" s="173">
        <f t="shared" si="62"/>
        <v>1315.6399999999999</v>
      </c>
      <c r="AW213" s="173">
        <f t="shared" si="62"/>
        <v>1145.3399999999999</v>
      </c>
      <c r="AX213" s="173">
        <f t="shared" si="62"/>
        <v>970.04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202</v>
      </c>
      <c r="B234" s="176">
        <f t="shared" ref="B234:AE234" si="63">C198</f>
        <v>0.64</v>
      </c>
      <c r="C234" s="176">
        <f t="shared" si="63"/>
        <v>0.64</v>
      </c>
      <c r="D234" s="176">
        <f t="shared" si="63"/>
        <v>0.64</v>
      </c>
      <c r="E234" s="176">
        <f t="shared" si="63"/>
        <v>0.64</v>
      </c>
      <c r="F234" s="176">
        <f t="shared" si="63"/>
        <v>0.64</v>
      </c>
      <c r="G234" s="176">
        <f t="shared" si="63"/>
        <v>0.64</v>
      </c>
      <c r="H234" s="176">
        <f t="shared" si="63"/>
        <v>0.64</v>
      </c>
      <c r="I234" s="176">
        <f t="shared" si="63"/>
        <v>0.64</v>
      </c>
      <c r="J234" s="176">
        <f t="shared" si="63"/>
        <v>0.64</v>
      </c>
      <c r="K234" s="176">
        <f t="shared" si="63"/>
        <v>0.64</v>
      </c>
      <c r="L234" s="176">
        <f t="shared" si="63"/>
        <v>0.64</v>
      </c>
      <c r="M234" s="176">
        <f t="shared" si="63"/>
        <v>0.64</v>
      </c>
      <c r="N234" s="176">
        <f t="shared" si="63"/>
        <v>0.64</v>
      </c>
      <c r="O234" s="176">
        <f t="shared" si="63"/>
        <v>0.64</v>
      </c>
      <c r="P234" s="176">
        <f t="shared" si="63"/>
        <v>0.64</v>
      </c>
      <c r="Q234" s="176">
        <f t="shared" si="63"/>
        <v>0.64</v>
      </c>
      <c r="R234" s="176">
        <f t="shared" si="63"/>
        <v>0.64</v>
      </c>
      <c r="S234" s="176">
        <f t="shared" si="63"/>
        <v>0.64</v>
      </c>
      <c r="T234" s="176">
        <f t="shared" si="63"/>
        <v>0.64</v>
      </c>
      <c r="U234" s="176">
        <f t="shared" si="63"/>
        <v>0.64</v>
      </c>
      <c r="V234" s="176">
        <f t="shared" si="63"/>
        <v>0.64</v>
      </c>
      <c r="W234" s="176">
        <f t="shared" si="63"/>
        <v>0.64</v>
      </c>
      <c r="X234" s="176">
        <f t="shared" si="63"/>
        <v>0.64</v>
      </c>
      <c r="Y234" s="176">
        <f t="shared" si="63"/>
        <v>0.64</v>
      </c>
      <c r="Z234" s="176">
        <f t="shared" si="63"/>
        <v>0.64</v>
      </c>
      <c r="AA234" s="176">
        <f t="shared" si="63"/>
        <v>0.64</v>
      </c>
      <c r="AB234" s="176">
        <f t="shared" si="63"/>
        <v>0.64</v>
      </c>
      <c r="AC234" s="176">
        <f t="shared" si="63"/>
        <v>0.64</v>
      </c>
      <c r="AD234" s="176">
        <f t="shared" si="63"/>
        <v>0.64</v>
      </c>
      <c r="AE234" s="176">
        <f t="shared" si="63"/>
        <v>0.64</v>
      </c>
      <c r="AF234" s="176">
        <f>B198</f>
        <v>0.64</v>
      </c>
      <c r="AG234" s="47"/>
      <c r="AH234" s="47"/>
    </row>
    <row r="235" spans="1:34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4">IF(C202&lt;100,"",C202-520)</f>
        <v/>
      </c>
      <c r="D235" s="119" t="str">
        <f t="shared" si="64"/>
        <v/>
      </c>
      <c r="E235" s="119" t="str">
        <f t="shared" si="64"/>
        <v/>
      </c>
      <c r="F235" s="119" t="str">
        <f t="shared" si="64"/>
        <v/>
      </c>
      <c r="G235" s="119" t="str">
        <f t="shared" si="64"/>
        <v/>
      </c>
      <c r="H235" s="119" t="str">
        <f t="shared" si="64"/>
        <v/>
      </c>
      <c r="I235" s="119" t="str">
        <f t="shared" si="64"/>
        <v/>
      </c>
      <c r="J235" s="119" t="str">
        <f t="shared" si="64"/>
        <v/>
      </c>
      <c r="K235" s="119" t="str">
        <f t="shared" si="64"/>
        <v/>
      </c>
      <c r="L235" s="119" t="str">
        <f t="shared" si="64"/>
        <v/>
      </c>
      <c r="M235" s="119" t="str">
        <f t="shared" si="64"/>
        <v/>
      </c>
      <c r="N235" s="119" t="str">
        <f t="shared" si="64"/>
        <v/>
      </c>
      <c r="O235" s="119" t="str">
        <f t="shared" si="64"/>
        <v/>
      </c>
      <c r="P235" s="119" t="str">
        <f t="shared" si="64"/>
        <v/>
      </c>
      <c r="Q235" s="119" t="str">
        <f t="shared" si="64"/>
        <v/>
      </c>
      <c r="R235" s="119" t="str">
        <f t="shared" si="64"/>
        <v/>
      </c>
      <c r="S235" s="119" t="str">
        <f t="shared" si="64"/>
        <v/>
      </c>
      <c r="T235" s="119" t="str">
        <f t="shared" si="64"/>
        <v/>
      </c>
      <c r="U235" s="119" t="str">
        <f t="shared" si="64"/>
        <v/>
      </c>
      <c r="V235" s="119" t="str">
        <f t="shared" si="64"/>
        <v/>
      </c>
      <c r="W235" s="119" t="str">
        <f t="shared" si="64"/>
        <v/>
      </c>
      <c r="X235" s="119" t="str">
        <f t="shared" si="64"/>
        <v/>
      </c>
      <c r="Y235" s="119" t="str">
        <f t="shared" si="64"/>
        <v/>
      </c>
      <c r="Z235" s="119" t="str">
        <f t="shared" si="64"/>
        <v/>
      </c>
      <c r="AA235" s="119" t="str">
        <f t="shared" si="64"/>
        <v/>
      </c>
      <c r="AB235" s="119" t="str">
        <f t="shared" si="64"/>
        <v/>
      </c>
      <c r="AC235" s="119" t="str">
        <f t="shared" si="64"/>
        <v/>
      </c>
      <c r="AD235" s="119" t="str">
        <f t="shared" si="64"/>
        <v/>
      </c>
      <c r="AE235" s="119" t="str">
        <f t="shared" si="64"/>
        <v/>
      </c>
      <c r="AF235" s="119" t="str">
        <f t="shared" si="64"/>
        <v/>
      </c>
      <c r="AG235" s="47"/>
      <c r="AH235" s="47"/>
    </row>
    <row r="236" spans="1:34" x14ac:dyDescent="0.25">
      <c r="A236" s="119" t="str">
        <f>A203</f>
        <v>MMRS</v>
      </c>
      <c r="B236" s="119" t="str">
        <f t="shared" ref="B236:AF236" si="65">IF(B203&lt;100,"",B203-620)</f>
        <v/>
      </c>
      <c r="C236" s="119" t="str">
        <f t="shared" si="65"/>
        <v/>
      </c>
      <c r="D236" s="119" t="str">
        <f t="shared" si="65"/>
        <v/>
      </c>
      <c r="E236" s="119" t="str">
        <f t="shared" si="65"/>
        <v/>
      </c>
      <c r="F236" s="119" t="str">
        <f t="shared" si="65"/>
        <v/>
      </c>
      <c r="G236" s="119" t="str">
        <f t="shared" si="65"/>
        <v/>
      </c>
      <c r="H236" s="119" t="str">
        <f t="shared" si="65"/>
        <v/>
      </c>
      <c r="I236" s="119" t="str">
        <f t="shared" si="65"/>
        <v/>
      </c>
      <c r="J236" s="119" t="str">
        <f t="shared" si="65"/>
        <v/>
      </c>
      <c r="K236" s="119" t="str">
        <f t="shared" si="65"/>
        <v/>
      </c>
      <c r="L236" s="119" t="str">
        <f t="shared" si="65"/>
        <v/>
      </c>
      <c r="M236" s="119" t="str">
        <f t="shared" si="65"/>
        <v/>
      </c>
      <c r="N236" s="119" t="str">
        <f t="shared" si="65"/>
        <v/>
      </c>
      <c r="O236" s="119" t="str">
        <f t="shared" si="65"/>
        <v/>
      </c>
      <c r="P236" s="119" t="str">
        <f t="shared" si="65"/>
        <v/>
      </c>
      <c r="Q236" s="119" t="str">
        <f t="shared" si="65"/>
        <v/>
      </c>
      <c r="R236" s="119" t="str">
        <f t="shared" si="65"/>
        <v/>
      </c>
      <c r="S236" s="119" t="str">
        <f t="shared" si="65"/>
        <v/>
      </c>
      <c r="T236" s="119" t="str">
        <f t="shared" si="65"/>
        <v/>
      </c>
      <c r="U236" s="119" t="str">
        <f t="shared" si="65"/>
        <v/>
      </c>
      <c r="V236" s="119" t="str">
        <f t="shared" si="65"/>
        <v/>
      </c>
      <c r="W236" s="119" t="str">
        <f t="shared" si="65"/>
        <v/>
      </c>
      <c r="X236" s="119" t="str">
        <f t="shared" si="65"/>
        <v/>
      </c>
      <c r="Y236" s="119" t="str">
        <f t="shared" si="65"/>
        <v/>
      </c>
      <c r="Z236" s="119" t="str">
        <f t="shared" si="65"/>
        <v/>
      </c>
      <c r="AA236" s="119" t="str">
        <f t="shared" si="65"/>
        <v/>
      </c>
      <c r="AB236" s="119" t="str">
        <f t="shared" si="65"/>
        <v/>
      </c>
      <c r="AC236" s="119" t="str">
        <f t="shared" si="65"/>
        <v/>
      </c>
      <c r="AD236" s="119" t="str">
        <f t="shared" si="65"/>
        <v/>
      </c>
      <c r="AE236" s="119" t="str">
        <f t="shared" si="65"/>
        <v/>
      </c>
      <c r="AF236" s="119" t="str">
        <f t="shared" si="65"/>
        <v/>
      </c>
      <c r="AG236" s="47"/>
      <c r="AH236" s="47"/>
    </row>
    <row r="237" spans="1:34" x14ac:dyDescent="0.25">
      <c r="A237" s="119" t="str">
        <f>A204</f>
        <v>MRS</v>
      </c>
      <c r="B237" s="119" t="str">
        <f t="shared" ref="B237:AF237" si="66">IF(B204&lt;100,"",B204-330)</f>
        <v/>
      </c>
      <c r="C237" s="119" t="str">
        <f t="shared" si="66"/>
        <v/>
      </c>
      <c r="D237" s="119" t="str">
        <f t="shared" si="66"/>
        <v/>
      </c>
      <c r="E237" s="119" t="str">
        <f t="shared" si="66"/>
        <v/>
      </c>
      <c r="F237" s="119" t="str">
        <f t="shared" si="66"/>
        <v/>
      </c>
      <c r="G237" s="119" t="str">
        <f t="shared" si="66"/>
        <v/>
      </c>
      <c r="H237" s="119" t="str">
        <f t="shared" si="66"/>
        <v/>
      </c>
      <c r="I237" s="119" t="str">
        <f t="shared" si="66"/>
        <v/>
      </c>
      <c r="J237" s="119" t="str">
        <f t="shared" si="66"/>
        <v/>
      </c>
      <c r="K237" s="119" t="str">
        <f t="shared" si="66"/>
        <v/>
      </c>
      <c r="L237" s="119" t="str">
        <f t="shared" si="66"/>
        <v/>
      </c>
      <c r="M237" s="119" t="str">
        <f t="shared" si="66"/>
        <v/>
      </c>
      <c r="N237" s="119" t="str">
        <f t="shared" si="66"/>
        <v/>
      </c>
      <c r="O237" s="119" t="str">
        <f t="shared" si="66"/>
        <v/>
      </c>
      <c r="P237" s="119" t="str">
        <f t="shared" si="66"/>
        <v/>
      </c>
      <c r="Q237" s="119" t="str">
        <f t="shared" si="66"/>
        <v/>
      </c>
      <c r="R237" s="119" t="str">
        <f t="shared" si="66"/>
        <v/>
      </c>
      <c r="S237" s="119" t="str">
        <f t="shared" si="66"/>
        <v/>
      </c>
      <c r="T237" s="119" t="str">
        <f t="shared" si="66"/>
        <v/>
      </c>
      <c r="U237" s="119" t="str">
        <f t="shared" si="66"/>
        <v/>
      </c>
      <c r="V237" s="119" t="str">
        <f t="shared" si="66"/>
        <v/>
      </c>
      <c r="W237" s="119" t="str">
        <f t="shared" si="66"/>
        <v/>
      </c>
      <c r="X237" s="119" t="str">
        <f t="shared" si="66"/>
        <v/>
      </c>
      <c r="Y237" s="119" t="str">
        <f t="shared" si="66"/>
        <v/>
      </c>
      <c r="Z237" s="119" t="str">
        <f t="shared" si="66"/>
        <v/>
      </c>
      <c r="AA237" s="119" t="str">
        <f t="shared" si="66"/>
        <v/>
      </c>
      <c r="AB237" s="119" t="str">
        <f t="shared" si="66"/>
        <v/>
      </c>
      <c r="AC237" s="119" t="str">
        <f t="shared" si="66"/>
        <v/>
      </c>
      <c r="AD237" s="119" t="str">
        <f t="shared" si="66"/>
        <v/>
      </c>
      <c r="AE237" s="119" t="str">
        <f t="shared" si="66"/>
        <v/>
      </c>
      <c r="AF237" s="119" t="str">
        <f t="shared" si="66"/>
        <v/>
      </c>
      <c r="AG237" s="47"/>
      <c r="AH237" s="47"/>
    </row>
    <row r="238" spans="1:34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7">IF(C205&lt;100,"",C205-1500)</f>
        <v/>
      </c>
      <c r="D238" s="119" t="str">
        <f t="shared" si="67"/>
        <v/>
      </c>
      <c r="E238" s="119" t="str">
        <f t="shared" si="67"/>
        <v/>
      </c>
      <c r="F238" s="119" t="str">
        <f t="shared" si="67"/>
        <v/>
      </c>
      <c r="G238" s="119" t="str">
        <f t="shared" si="67"/>
        <v/>
      </c>
      <c r="H238" s="119" t="str">
        <f t="shared" si="67"/>
        <v/>
      </c>
      <c r="I238" s="119" t="str">
        <f t="shared" si="67"/>
        <v/>
      </c>
      <c r="J238" s="119" t="str">
        <f t="shared" si="67"/>
        <v/>
      </c>
      <c r="K238" s="119" t="str">
        <f t="shared" si="67"/>
        <v/>
      </c>
      <c r="L238" s="119" t="str">
        <f t="shared" si="67"/>
        <v/>
      </c>
      <c r="M238" s="119" t="str">
        <f t="shared" si="67"/>
        <v/>
      </c>
      <c r="N238" s="119" t="str">
        <f t="shared" si="67"/>
        <v/>
      </c>
      <c r="O238" s="119" t="str">
        <f t="shared" si="67"/>
        <v/>
      </c>
      <c r="P238" s="119" t="str">
        <f t="shared" si="67"/>
        <v/>
      </c>
      <c r="Q238" s="119" t="str">
        <f t="shared" si="67"/>
        <v/>
      </c>
      <c r="R238" s="119" t="str">
        <f t="shared" si="67"/>
        <v/>
      </c>
      <c r="S238" s="119" t="str">
        <f t="shared" si="67"/>
        <v/>
      </c>
      <c r="T238" s="119" t="str">
        <f t="shared" si="67"/>
        <v/>
      </c>
      <c r="U238" s="119" t="str">
        <f t="shared" si="67"/>
        <v/>
      </c>
      <c r="V238" s="119" t="str">
        <f t="shared" si="67"/>
        <v/>
      </c>
      <c r="W238" s="119" t="str">
        <f t="shared" si="67"/>
        <v/>
      </c>
      <c r="X238" s="119" t="str">
        <f t="shared" si="67"/>
        <v/>
      </c>
      <c r="Y238" s="119" t="str">
        <f t="shared" si="67"/>
        <v/>
      </c>
      <c r="Z238" s="119" t="str">
        <f t="shared" si="67"/>
        <v/>
      </c>
      <c r="AA238" s="119" t="str">
        <f t="shared" si="67"/>
        <v/>
      </c>
      <c r="AB238" s="119" t="str">
        <f t="shared" si="67"/>
        <v/>
      </c>
      <c r="AC238" s="119" t="str">
        <f t="shared" si="67"/>
        <v/>
      </c>
      <c r="AD238" s="119" t="str">
        <f t="shared" si="67"/>
        <v/>
      </c>
      <c r="AE238" s="119" t="str">
        <f t="shared" si="67"/>
        <v/>
      </c>
      <c r="AF238" s="119" t="str">
        <f t="shared" si="6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C57:L59 E60:O60 P39:R39 E61:N61 O61:O67 P40:Q42 R42 R40:T41 X91:AA91 Z40:AE43 AB81:AF81 B81:R81 C56:AF56 B82:AF83 D193:AF199 B193:B199 C68:AF72 AB84:AF91 B84:B91 B73:AF80 B9:AF10 B191:AF191 AG73 AB94:AF99 B94:B99 U212:AF212 B53:B72 C84:C90 C60:D67 D85:D90 E62:E67 C53:I55 J53:J56 B36:L36 R12:R13 M39:P42 M11:Q12 N45:R48 P60:R67 R11:AE11 U40:Y42 M53:AF55 M58:W59 S18:Y30 Y85:AA90 Z12:AD12 S36:AA36 Z16:AA30 Z14:AA14 Z13:AC13 AF57:AF67">
    <cfRule type="expression" dxfId="9605" priority="399">
      <formula>B$9&gt;=20/24</formula>
    </cfRule>
    <cfRule type="expression" dxfId="9604" priority="400">
      <formula>AND(B$9&gt;=14/24,B$9&lt;20/24)</formula>
    </cfRule>
    <cfRule type="expression" dxfId="9603" priority="401">
      <formula>AND(B$9&gt;=8/24,B$9&lt;14/24)</formula>
    </cfRule>
    <cfRule type="expression" dxfId="9602" priority="402">
      <formula>B$9&lt;8/24</formula>
    </cfRule>
  </conditionalFormatting>
  <conditionalFormatting sqref="AL4:AL6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9601" priority="394">
      <formula>M$9&gt;=20/24</formula>
    </cfRule>
    <cfRule type="expression" dxfId="9600" priority="395">
      <formula>AND(M$9&gt;=14/24,M$9&lt;20/24)</formula>
    </cfRule>
    <cfRule type="expression" dxfId="9599" priority="396">
      <formula>AND(M$9&gt;=8/24,M$9&lt;14/24)</formula>
    </cfRule>
    <cfRule type="expression" dxfId="9598" priority="397">
      <formula>M$9&lt;8/24</formula>
    </cfRule>
  </conditionalFormatting>
  <conditionalFormatting sqref="M43:R43">
    <cfRule type="expression" dxfId="9597" priority="390">
      <formula>M$9&gt;=20/24</formula>
    </cfRule>
    <cfRule type="expression" dxfId="9596" priority="391">
      <formula>AND(M$9&gt;=14/24,M$9&lt;20/24)</formula>
    </cfRule>
    <cfRule type="expression" dxfId="9595" priority="392">
      <formula>AND(M$9&gt;=8/24,M$9&lt;14/24)</formula>
    </cfRule>
    <cfRule type="expression" dxfId="9594" priority="393">
      <formula>M$9&lt;8/24</formula>
    </cfRule>
  </conditionalFormatting>
  <conditionalFormatting sqref="S39:AE39">
    <cfRule type="expression" dxfId="9593" priority="382">
      <formula>S$9&gt;=20/24</formula>
    </cfRule>
    <cfRule type="expression" dxfId="9592" priority="383">
      <formula>AND(S$9&gt;=14/24,S$9&lt;20/24)</formula>
    </cfRule>
    <cfRule type="expression" dxfId="9591" priority="384">
      <formula>AND(S$9&gt;=8/24,S$9&lt;14/24)</formula>
    </cfRule>
    <cfRule type="expression" dxfId="9590" priority="385">
      <formula>S$9&lt;8/24</formula>
    </cfRule>
  </conditionalFormatting>
  <conditionalFormatting sqref="S57:AE57">
    <cfRule type="expression" dxfId="9589" priority="378">
      <formula>S$9&gt;=20/24</formula>
    </cfRule>
    <cfRule type="expression" dxfId="9588" priority="379">
      <formula>AND(S$9&gt;=14/24,S$9&lt;20/24)</formula>
    </cfRule>
    <cfRule type="expression" dxfId="9587" priority="380">
      <formula>AND(S$9&gt;=8/24,S$9&lt;14/24)</formula>
    </cfRule>
    <cfRule type="expression" dxfId="9586" priority="381">
      <formula>S$9&lt;8/24</formula>
    </cfRule>
  </conditionalFormatting>
  <conditionalFormatting sqref="S81:AA81">
    <cfRule type="expression" dxfId="9585" priority="374">
      <formula>S$9&gt;=20/24</formula>
    </cfRule>
    <cfRule type="expression" dxfId="9584" priority="375">
      <formula>AND(S$9&gt;=14/24,S$9&lt;20/24)</formula>
    </cfRule>
    <cfRule type="expression" dxfId="9583" priority="376">
      <formula>AND(S$9&gt;=8/24,S$9&lt;14/24)</formula>
    </cfRule>
    <cfRule type="expression" dxfId="9582" priority="377">
      <formula>S$9&lt;8/24</formula>
    </cfRule>
  </conditionalFormatting>
  <conditionalFormatting sqref="U84:AA84">
    <cfRule type="expression" dxfId="9581" priority="370">
      <formula>U$9&gt;=20/24</formula>
    </cfRule>
    <cfRule type="expression" dxfId="9580" priority="371">
      <formula>AND(U$9&gt;=14/24,U$9&lt;20/24)</formula>
    </cfRule>
    <cfRule type="expression" dxfId="9579" priority="372">
      <formula>AND(U$9&gt;=8/24,U$9&lt;14/24)</formula>
    </cfRule>
    <cfRule type="expression" dxfId="9578" priority="373">
      <formula>U$9&lt;8/24</formula>
    </cfRule>
  </conditionalFormatting>
  <conditionalFormatting sqref="M49:X49">
    <cfRule type="expression" dxfId="9577" priority="362">
      <formula>M$9&gt;=20/24</formula>
    </cfRule>
    <cfRule type="expression" dxfId="9576" priority="363">
      <formula>AND(M$9&gt;=14/24,M$9&lt;20/24)</formula>
    </cfRule>
    <cfRule type="expression" dxfId="9575" priority="364">
      <formula>AND(M$9&gt;=8/24,M$9&lt;14/24)</formula>
    </cfRule>
    <cfRule type="expression" dxfId="9574" priority="365">
      <formula>M$9&lt;8/24</formula>
    </cfRule>
  </conditionalFormatting>
  <conditionalFormatting sqref="M50:R50">
    <cfRule type="expression" dxfId="9573" priority="358">
      <formula>M$9&gt;=20/24</formula>
    </cfRule>
    <cfRule type="expression" dxfId="9572" priority="359">
      <formula>AND(M$9&gt;=14/24,M$9&lt;20/24)</formula>
    </cfRule>
    <cfRule type="expression" dxfId="9571" priority="360">
      <formula>AND(M$9&gt;=8/24,M$9&lt;14/24)</formula>
    </cfRule>
    <cfRule type="expression" dxfId="9570" priority="361">
      <formula>M$9&lt;8/24</formula>
    </cfRule>
  </conditionalFormatting>
  <conditionalFormatting sqref="M45:R48">
    <cfRule type="expression" dxfId="9569" priority="354">
      <formula>M$9&gt;=20/24</formula>
    </cfRule>
    <cfRule type="expression" dxfId="9568" priority="355">
      <formula>AND(M$9&gt;=14/24,M$9&lt;20/24)</formula>
    </cfRule>
    <cfRule type="expression" dxfId="9567" priority="356">
      <formula>AND(M$9&gt;=8/24,M$9&lt;14/24)</formula>
    </cfRule>
    <cfRule type="expression" dxfId="9566" priority="357">
      <formula>M$9&lt;8/24</formula>
    </cfRule>
  </conditionalFormatting>
  <conditionalFormatting sqref="S37:AE37">
    <cfRule type="expression" dxfId="9565" priority="350">
      <formula>S$9&gt;=20/24</formula>
    </cfRule>
    <cfRule type="expression" dxfId="9564" priority="351">
      <formula>AND(S$9&gt;=14/24,S$9&lt;20/24)</formula>
    </cfRule>
    <cfRule type="expression" dxfId="9563" priority="352">
      <formula>AND(S$9&gt;=8/24,S$9&lt;14/24)</formula>
    </cfRule>
    <cfRule type="expression" dxfId="9562" priority="353">
      <formula>S$9&lt;8/24</formula>
    </cfRule>
  </conditionalFormatting>
  <conditionalFormatting sqref="S31:AA32 S35:AA35">
    <cfRule type="expression" dxfId="9561" priority="346">
      <formula>S$9&gt;=20/24</formula>
    </cfRule>
    <cfRule type="expression" dxfId="9560" priority="347">
      <formula>AND(S$9&gt;=14/24,S$9&lt;20/24)</formula>
    </cfRule>
    <cfRule type="expression" dxfId="9559" priority="348">
      <formula>AND(S$9&gt;=8/24,S$9&lt;14/24)</formula>
    </cfRule>
    <cfRule type="expression" dxfId="9558" priority="349">
      <formula>S$9&lt;8/24</formula>
    </cfRule>
  </conditionalFormatting>
  <conditionalFormatting sqref="S42:T43 U43:Y43 S45:AE48">
    <cfRule type="expression" dxfId="9557" priority="342">
      <formula>S$9&gt;=20/24</formula>
    </cfRule>
    <cfRule type="expression" dxfId="9556" priority="343">
      <formula>AND(S$9&gt;=14/24,S$9&lt;20/24)</formula>
    </cfRule>
    <cfRule type="expression" dxfId="9555" priority="344">
      <formula>AND(S$9&gt;=8/24,S$9&lt;14/24)</formula>
    </cfRule>
    <cfRule type="expression" dxfId="9554" priority="345">
      <formula>S$9&lt;8/24</formula>
    </cfRule>
  </conditionalFormatting>
  <conditionalFormatting sqref="S49:AE49">
    <cfRule type="expression" dxfId="9553" priority="338">
      <formula>S$9&gt;=20/24</formula>
    </cfRule>
    <cfRule type="expression" dxfId="9552" priority="339">
      <formula>AND(S$9&gt;=14/24,S$9&lt;20/24)</formula>
    </cfRule>
    <cfRule type="expression" dxfId="9551" priority="340">
      <formula>AND(S$9&gt;=8/24,S$9&lt;14/24)</formula>
    </cfRule>
    <cfRule type="expression" dxfId="9550" priority="341">
      <formula>S$9&lt;8/24</formula>
    </cfRule>
  </conditionalFormatting>
  <conditionalFormatting sqref="S50:AE50">
    <cfRule type="expression" dxfId="9549" priority="334">
      <formula>S$9&gt;=20/24</formula>
    </cfRule>
    <cfRule type="expression" dxfId="9548" priority="335">
      <formula>AND(S$9&gt;=14/24,S$9&lt;20/24)</formula>
    </cfRule>
    <cfRule type="expression" dxfId="9547" priority="336">
      <formula>AND(S$9&gt;=8/24,S$9&lt;14/24)</formula>
    </cfRule>
    <cfRule type="expression" dxfId="9546" priority="337">
      <formula>S$9&lt;8/24</formula>
    </cfRule>
  </conditionalFormatting>
  <conditionalFormatting sqref="S60:T67 X60:AE67">
    <cfRule type="expression" dxfId="9545" priority="330">
      <formula>S$9&gt;=20/24</formula>
    </cfRule>
    <cfRule type="expression" dxfId="9544" priority="331">
      <formula>AND(S$9&gt;=14/24,S$9&lt;20/24)</formula>
    </cfRule>
    <cfRule type="expression" dxfId="9543" priority="332">
      <formula>AND(S$9&gt;=8/24,S$9&lt;14/24)</formula>
    </cfRule>
    <cfRule type="expression" dxfId="9542" priority="333">
      <formula>S$9&lt;8/24</formula>
    </cfRule>
  </conditionalFormatting>
  <conditionalFormatting sqref="F62:I62 I63:I67 J62:L67">
    <cfRule type="expression" dxfId="9541" priority="326">
      <formula>F$9&gt;=20/24</formula>
    </cfRule>
    <cfRule type="expression" dxfId="9540" priority="327">
      <formula>AND(F$9&gt;=14/24,F$9&lt;20/24)</formula>
    </cfRule>
    <cfRule type="expression" dxfId="9539" priority="328">
      <formula>AND(F$9&gt;=8/24,F$9&lt;14/24)</formula>
    </cfRule>
    <cfRule type="expression" dxfId="9538" priority="329">
      <formula>F$9&lt;8/24</formula>
    </cfRule>
  </conditionalFormatting>
  <conditionalFormatting sqref="U94:AA97">
    <cfRule type="expression" dxfId="9537" priority="322">
      <formula>U$9&gt;=20/24</formula>
    </cfRule>
    <cfRule type="expression" dxfId="9536" priority="323">
      <formula>AND(U$9&gt;=14/24,U$9&lt;20/24)</formula>
    </cfRule>
    <cfRule type="expression" dxfId="9535" priority="324">
      <formula>AND(U$9&gt;=8/24,U$9&lt;14/24)</formula>
    </cfRule>
    <cfRule type="expression" dxfId="9534" priority="325">
      <formula>U$9&lt;8/24</formula>
    </cfRule>
  </conditionalFormatting>
  <conditionalFormatting sqref="AG51 Z12:Z17 B11:D32 E11:F14 E16:L32 G13:L14 B34:L37 R12:R13 G11:Q12 R11:AF11 S18:Z32 AA12:AD12 S37:AF37 S34:AA36 AA14:AA32 AA13:AC13 AF12:AF14 B38:AF56">
    <cfRule type="expression" dxfId="9533" priority="321">
      <formula>B11&gt;$AG11</formula>
    </cfRule>
  </conditionalFormatting>
  <conditionalFormatting sqref="A100:A156 A84:A97 A11:A14 A16:A32 A45:A72 A80:A82 A74:A78 A35:A43 A169:A199">
    <cfRule type="expression" dxfId="9532" priority="320">
      <formula>$AH11=0</formula>
    </cfRule>
  </conditionalFormatting>
  <conditionalFormatting sqref="U98:AA98">
    <cfRule type="expression" dxfId="9531" priority="316">
      <formula>U$9&gt;=20/24</formula>
    </cfRule>
    <cfRule type="expression" dxfId="9530" priority="317">
      <formula>AND(U$9&gt;=14/24,U$9&lt;20/24)</formula>
    </cfRule>
    <cfRule type="expression" dxfId="9529" priority="318">
      <formula>AND(U$9&gt;=8/24,U$9&lt;14/24)</formula>
    </cfRule>
    <cfRule type="expression" dxfId="9528" priority="319">
      <formula>U$9&lt;8/24</formula>
    </cfRule>
  </conditionalFormatting>
  <conditionalFormatting sqref="A98">
    <cfRule type="expression" dxfId="9527" priority="315">
      <formula>$AH98=0</formula>
    </cfRule>
  </conditionalFormatting>
  <conditionalFormatting sqref="F63:H67">
    <cfRule type="expression" dxfId="9526" priority="307">
      <formula>F$9&gt;=20/24</formula>
    </cfRule>
    <cfRule type="expression" dxfId="9525" priority="308">
      <formula>AND(F$9&gt;=14/24,F$9&lt;20/24)</formula>
    </cfRule>
    <cfRule type="expression" dxfId="9524" priority="309">
      <formula>AND(F$9&gt;=8/24,F$9&lt;14/24)</formula>
    </cfRule>
    <cfRule type="expression" dxfId="9523" priority="310">
      <formula>F$9&lt;8/24</formula>
    </cfRule>
  </conditionalFormatting>
  <conditionalFormatting sqref="M62:N67">
    <cfRule type="expression" dxfId="9522" priority="303">
      <formula>M$9&gt;=20/24</formula>
    </cfRule>
    <cfRule type="expression" dxfId="9521" priority="304">
      <formula>AND(M$9&gt;=14/24,M$9&lt;20/24)</formula>
    </cfRule>
    <cfRule type="expression" dxfId="9520" priority="305">
      <formula>AND(M$9&gt;=8/24,M$9&lt;14/24)</formula>
    </cfRule>
    <cfRule type="expression" dxfId="9519" priority="306">
      <formula>M$9&lt;8/24</formula>
    </cfRule>
  </conditionalFormatting>
  <conditionalFormatting sqref="AL32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S34:AA34">
    <cfRule type="expression" dxfId="9518" priority="290">
      <formula>S$9&gt;=20/24</formula>
    </cfRule>
    <cfRule type="expression" dxfId="9517" priority="291">
      <formula>AND(S$9&gt;=14/24,S$9&lt;20/24)</formula>
    </cfRule>
    <cfRule type="expression" dxfId="9516" priority="292">
      <formula>AND(S$9&gt;=8/24,S$9&lt;14/24)</formula>
    </cfRule>
    <cfRule type="expression" dxfId="9515" priority="293">
      <formula>S$9&lt;8/24</formula>
    </cfRule>
  </conditionalFormatting>
  <conditionalFormatting sqref="A34">
    <cfRule type="expression" dxfId="9514" priority="289">
      <formula>$AH34=0</formula>
    </cfRule>
  </conditionalFormatting>
  <conditionalFormatting sqref="A83">
    <cfRule type="expression" dxfId="9513" priority="288">
      <formula>$AH83=0</formula>
    </cfRule>
  </conditionalFormatting>
  <conditionalFormatting sqref="Z15:AA15">
    <cfRule type="expression" dxfId="9512" priority="284">
      <formula>Z$9&gt;=20/24</formula>
    </cfRule>
    <cfRule type="expression" dxfId="9511" priority="285">
      <formula>AND(Z$9&gt;=14/24,Z$9&lt;20/24)</formula>
    </cfRule>
    <cfRule type="expression" dxfId="9510" priority="286">
      <formula>AND(Z$9&gt;=8/24,Z$9&lt;14/24)</formula>
    </cfRule>
    <cfRule type="expression" dxfId="9509" priority="287">
      <formula>Z$9&lt;8/24</formula>
    </cfRule>
  </conditionalFormatting>
  <conditionalFormatting sqref="E15:L15">
    <cfRule type="expression" dxfId="9508" priority="279">
      <formula>E15&gt;$AG15</formula>
    </cfRule>
  </conditionalFormatting>
  <conditionalFormatting sqref="A15">
    <cfRule type="expression" dxfId="9507" priority="278">
      <formula>$AH15=0</formula>
    </cfRule>
  </conditionalFormatting>
  <conditionalFormatting sqref="A163:A168">
    <cfRule type="expression" dxfId="9506" priority="277">
      <formula>$AH163=0</formula>
    </cfRule>
  </conditionalFormatting>
  <conditionalFormatting sqref="A157:A162">
    <cfRule type="expression" dxfId="9505" priority="276">
      <formula>$AH157=0</formula>
    </cfRule>
  </conditionalFormatting>
  <conditionalFormatting sqref="Z44:AE44">
    <cfRule type="expression" dxfId="9504" priority="272">
      <formula>Z$9&gt;=20/24</formula>
    </cfRule>
    <cfRule type="expression" dxfId="9503" priority="273">
      <formula>AND(Z$9&gt;=14/24,Z$9&lt;20/24)</formula>
    </cfRule>
    <cfRule type="expression" dxfId="9502" priority="274">
      <formula>AND(Z$9&gt;=8/24,Z$9&lt;14/24)</formula>
    </cfRule>
    <cfRule type="expression" dxfId="9501" priority="275">
      <formula>Z$9&lt;8/24</formula>
    </cfRule>
  </conditionalFormatting>
  <conditionalFormatting sqref="M44:R44">
    <cfRule type="expression" dxfId="9500" priority="268">
      <formula>M$9&gt;=20/24</formula>
    </cfRule>
    <cfRule type="expression" dxfId="9499" priority="269">
      <formula>AND(M$9&gt;=14/24,M$9&lt;20/24)</formula>
    </cfRule>
    <cfRule type="expression" dxfId="9498" priority="270">
      <formula>AND(M$9&gt;=8/24,M$9&lt;14/24)</formula>
    </cfRule>
    <cfRule type="expression" dxfId="9497" priority="271">
      <formula>M$9&lt;8/24</formula>
    </cfRule>
  </conditionalFormatting>
  <conditionalFormatting sqref="S44:Y44">
    <cfRule type="expression" dxfId="9496" priority="264">
      <formula>S$9&gt;=20/24</formula>
    </cfRule>
    <cfRule type="expression" dxfId="9495" priority="265">
      <formula>AND(S$9&gt;=14/24,S$9&lt;20/24)</formula>
    </cfRule>
    <cfRule type="expression" dxfId="9494" priority="266">
      <formula>AND(S$9&gt;=8/24,S$9&lt;14/24)</formula>
    </cfRule>
    <cfRule type="expression" dxfId="9493" priority="267">
      <formula>S$9&lt;8/24</formula>
    </cfRule>
  </conditionalFormatting>
  <conditionalFormatting sqref="A44">
    <cfRule type="expression" dxfId="9492" priority="263">
      <formula>$AH44=0</formula>
    </cfRule>
  </conditionalFormatting>
  <conditionalFormatting sqref="A79">
    <cfRule type="expression" dxfId="9491" priority="262">
      <formula>$AH79=0</formula>
    </cfRule>
  </conditionalFormatting>
  <conditionalFormatting sqref="A73">
    <cfRule type="expression" dxfId="9490" priority="261">
      <formula>$AH73=0</formula>
    </cfRule>
  </conditionalFormatting>
  <conditionalFormatting sqref="AL34:AL35 AL7:AL31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9489" priority="257">
      <formula>U$9&gt;=20/24</formula>
    </cfRule>
    <cfRule type="expression" dxfId="9488" priority="258">
      <formula>AND(U$9&gt;=14/24,U$9&lt;20/24)</formula>
    </cfRule>
    <cfRule type="expression" dxfId="9487" priority="259">
      <formula>AND(U$9&gt;=8/24,U$9&lt;14/24)</formula>
    </cfRule>
    <cfRule type="expression" dxfId="9486" priority="260">
      <formula>U$9&lt;8/24</formula>
    </cfRule>
  </conditionalFormatting>
  <conditionalFormatting sqref="U91:W91 U85:X90">
    <cfRule type="expression" dxfId="9485" priority="253">
      <formula>U$9&gt;=20/24</formula>
    </cfRule>
    <cfRule type="expression" dxfId="9484" priority="254">
      <formula>AND(U$9&gt;=14/24,U$9&lt;20/24)</formula>
    </cfRule>
    <cfRule type="expression" dxfId="9483" priority="255">
      <formula>AND(U$9&gt;=8/24,U$9&lt;14/24)</formula>
    </cfRule>
    <cfRule type="expression" dxfId="9482" priority="256">
      <formula>U$9&lt;8/24</formula>
    </cfRule>
  </conditionalFormatting>
  <conditionalFormatting sqref="C91:J91 S85:T91 D84:J84 E85:J90 K84:R91">
    <cfRule type="expression" dxfId="9481" priority="249">
      <formula>C$9&gt;=20/24</formula>
    </cfRule>
    <cfRule type="expression" dxfId="9480" priority="250">
      <formula>AND(C$9&gt;=14/24,C$9&lt;20/24)</formula>
    </cfRule>
    <cfRule type="expression" dxfId="9479" priority="251">
      <formula>AND(C$9&gt;=8/24,C$9&lt;14/24)</formula>
    </cfRule>
    <cfRule type="expression" dxfId="9478" priority="252">
      <formula>C$9&lt;8/24</formula>
    </cfRule>
  </conditionalFormatting>
  <conditionalFormatting sqref="S84:T84">
    <cfRule type="expression" dxfId="9477" priority="245">
      <formula>S$9&gt;=20/24</formula>
    </cfRule>
    <cfRule type="expression" dxfId="9476" priority="246">
      <formula>AND(S$9&gt;=14/24,S$9&lt;20/24)</formula>
    </cfRule>
    <cfRule type="expression" dxfId="9475" priority="247">
      <formula>AND(S$9&gt;=8/24,S$9&lt;14/24)</formula>
    </cfRule>
    <cfRule type="expression" dxfId="9474" priority="248">
      <formula>S$9&lt;8/24</formula>
    </cfRule>
  </conditionalFormatting>
  <conditionalFormatting sqref="C95:M97 C94:F94">
    <cfRule type="expression" dxfId="9473" priority="241">
      <formula>C$9&gt;=20/24</formula>
    </cfRule>
    <cfRule type="expression" dxfId="9472" priority="242">
      <formula>AND(C$9&gt;=14/24,C$9&lt;20/24)</formula>
    </cfRule>
    <cfRule type="expression" dxfId="9471" priority="243">
      <formula>AND(C$9&gt;=8/24,C$9&lt;14/24)</formula>
    </cfRule>
    <cfRule type="expression" dxfId="9470" priority="244">
      <formula>C$9&lt;8/24</formula>
    </cfRule>
  </conditionalFormatting>
  <conditionalFormatting sqref="P94:R97 N95:O97">
    <cfRule type="expression" dxfId="9469" priority="237">
      <formula>N$9&gt;=20/24</formula>
    </cfRule>
    <cfRule type="expression" dxfId="9468" priority="238">
      <formula>AND(N$9&gt;=14/24,N$9&lt;20/24)</formula>
    </cfRule>
    <cfRule type="expression" dxfId="9467" priority="239">
      <formula>AND(N$9&gt;=8/24,N$9&lt;14/24)</formula>
    </cfRule>
    <cfRule type="expression" dxfId="9466" priority="240">
      <formula>N$9&lt;8/24</formula>
    </cfRule>
  </conditionalFormatting>
  <conditionalFormatting sqref="S94:T97">
    <cfRule type="expression" dxfId="9465" priority="233">
      <formula>S$9&gt;=20/24</formula>
    </cfRule>
    <cfRule type="expression" dxfId="9464" priority="234">
      <formula>AND(S$9&gt;=14/24,S$9&lt;20/24)</formula>
    </cfRule>
    <cfRule type="expression" dxfId="9463" priority="235">
      <formula>AND(S$9&gt;=8/24,S$9&lt;14/24)</formula>
    </cfRule>
    <cfRule type="expression" dxfId="9462" priority="236">
      <formula>S$9&lt;8/24</formula>
    </cfRule>
  </conditionalFormatting>
  <conditionalFormatting sqref="C98:M98">
    <cfRule type="expression" dxfId="9461" priority="229">
      <formula>C$9&gt;=20/24</formula>
    </cfRule>
    <cfRule type="expression" dxfId="9460" priority="230">
      <formula>AND(C$9&gt;=14/24,C$9&lt;20/24)</formula>
    </cfRule>
    <cfRule type="expression" dxfId="9459" priority="231">
      <formula>AND(C$9&gt;=8/24,C$9&lt;14/24)</formula>
    </cfRule>
    <cfRule type="expression" dxfId="9458" priority="232">
      <formula>C$9&lt;8/24</formula>
    </cfRule>
  </conditionalFormatting>
  <conditionalFormatting sqref="N98:R98">
    <cfRule type="expression" dxfId="9457" priority="225">
      <formula>N$9&gt;=20/24</formula>
    </cfRule>
    <cfRule type="expression" dxfId="9456" priority="226">
      <formula>AND(N$9&gt;=14/24,N$9&lt;20/24)</formula>
    </cfRule>
    <cfRule type="expression" dxfId="9455" priority="227">
      <formula>AND(N$9&gt;=8/24,N$9&lt;14/24)</formula>
    </cfRule>
    <cfRule type="expression" dxfId="9454" priority="228">
      <formula>N$9&lt;8/24</formula>
    </cfRule>
  </conditionalFormatting>
  <conditionalFormatting sqref="S98:T98">
    <cfRule type="expression" dxfId="9453" priority="221">
      <formula>S$9&gt;=20/24</formula>
    </cfRule>
    <cfRule type="expression" dxfId="9452" priority="222">
      <formula>AND(S$9&gt;=14/24,S$9&lt;20/24)</formula>
    </cfRule>
    <cfRule type="expression" dxfId="9451" priority="223">
      <formula>AND(S$9&gt;=8/24,S$9&lt;14/24)</formula>
    </cfRule>
    <cfRule type="expression" dxfId="9450" priority="224">
      <formula>S$9&lt;8/24</formula>
    </cfRule>
  </conditionalFormatting>
  <conditionalFormatting sqref="M94:O94">
    <cfRule type="expression" dxfId="9449" priority="217">
      <formula>M$9&gt;=20/24</formula>
    </cfRule>
    <cfRule type="expression" dxfId="9448" priority="218">
      <formula>AND(M$9&gt;=14/24,M$9&lt;20/24)</formula>
    </cfRule>
    <cfRule type="expression" dxfId="9447" priority="219">
      <formula>AND(M$9&gt;=8/24,M$9&lt;14/24)</formula>
    </cfRule>
    <cfRule type="expression" dxfId="9446" priority="220">
      <formula>M$9&lt;8/24</formula>
    </cfRule>
  </conditionalFormatting>
  <conditionalFormatting sqref="G94:L94">
    <cfRule type="expression" dxfId="9445" priority="213">
      <formula>G$9&gt;=20/24</formula>
    </cfRule>
    <cfRule type="expression" dxfId="9444" priority="214">
      <formula>AND(G$9&gt;=14/24,G$9&lt;20/24)</formula>
    </cfRule>
    <cfRule type="expression" dxfId="9443" priority="215">
      <formula>AND(G$9&gt;=8/24,G$9&lt;14/24)</formula>
    </cfRule>
    <cfRule type="expression" dxfId="9442" priority="216">
      <formula>G$9&lt;8/24</formula>
    </cfRule>
  </conditionalFormatting>
  <conditionalFormatting sqref="U94:W94">
    <cfRule type="expression" dxfId="9441" priority="209">
      <formula>U$9&gt;=20/24</formula>
    </cfRule>
    <cfRule type="expression" dxfId="9440" priority="210">
      <formula>AND(U$9&gt;=14/24,U$9&lt;20/24)</formula>
    </cfRule>
    <cfRule type="expression" dxfId="9439" priority="211">
      <formula>AND(U$9&gt;=8/24,U$9&lt;14/24)</formula>
    </cfRule>
    <cfRule type="expression" dxfId="9438" priority="212">
      <formula>U$9&lt;8/24</formula>
    </cfRule>
  </conditionalFormatting>
  <conditionalFormatting sqref="N94:T94">
    <cfRule type="expression" dxfId="9437" priority="205">
      <formula>N$9&gt;=20/24</formula>
    </cfRule>
    <cfRule type="expression" dxfId="9436" priority="206">
      <formula>AND(N$9&gt;=14/24,N$9&lt;20/24)</formula>
    </cfRule>
    <cfRule type="expression" dxfId="9435" priority="207">
      <formula>AND(N$9&gt;=8/24,N$9&lt;14/24)</formula>
    </cfRule>
    <cfRule type="expression" dxfId="9434" priority="208">
      <formula>N$9&lt;8/24</formula>
    </cfRule>
  </conditionalFormatting>
  <conditionalFormatting sqref="U99:AA99">
    <cfRule type="expression" dxfId="9433" priority="201">
      <formula>U$9&gt;=20/24</formula>
    </cfRule>
    <cfRule type="expression" dxfId="9432" priority="202">
      <formula>AND(U$9&gt;=14/24,U$9&lt;20/24)</formula>
    </cfRule>
    <cfRule type="expression" dxfId="9431" priority="203">
      <formula>AND(U$9&gt;=8/24,U$9&lt;14/24)</formula>
    </cfRule>
    <cfRule type="expression" dxfId="9430" priority="204">
      <formula>U$9&lt;8/24</formula>
    </cfRule>
  </conditionalFormatting>
  <conditionalFormatting sqref="C99:M99">
    <cfRule type="expression" dxfId="9429" priority="197">
      <formula>C$9&gt;=20/24</formula>
    </cfRule>
    <cfRule type="expression" dxfId="9428" priority="198">
      <formula>AND(C$9&gt;=14/24,C$9&lt;20/24)</formula>
    </cfRule>
    <cfRule type="expression" dxfId="9427" priority="199">
      <formula>AND(C$9&gt;=8/24,C$9&lt;14/24)</formula>
    </cfRule>
    <cfRule type="expression" dxfId="9426" priority="200">
      <formula>C$9&lt;8/24</formula>
    </cfRule>
  </conditionalFormatting>
  <conditionalFormatting sqref="N99:R99">
    <cfRule type="expression" dxfId="9425" priority="193">
      <formula>N$9&gt;=20/24</formula>
    </cfRule>
    <cfRule type="expression" dxfId="9424" priority="194">
      <formula>AND(N$9&gt;=14/24,N$9&lt;20/24)</formula>
    </cfRule>
    <cfRule type="expression" dxfId="9423" priority="195">
      <formula>AND(N$9&gt;=8/24,N$9&lt;14/24)</formula>
    </cfRule>
    <cfRule type="expression" dxfId="9422" priority="196">
      <formula>N$9&lt;8/24</formula>
    </cfRule>
  </conditionalFormatting>
  <conditionalFormatting sqref="S99:T99">
    <cfRule type="expression" dxfId="9421" priority="189">
      <formula>S$9&gt;=20/24</formula>
    </cfRule>
    <cfRule type="expression" dxfId="9420" priority="190">
      <formula>AND(S$9&gt;=14/24,S$9&lt;20/24)</formula>
    </cfRule>
    <cfRule type="expression" dxfId="9419" priority="191">
      <formula>AND(S$9&gt;=8/24,S$9&lt;14/24)</formula>
    </cfRule>
    <cfRule type="expression" dxfId="9418" priority="192">
      <formula>S$9&lt;8/24</formula>
    </cfRule>
  </conditionalFormatting>
  <conditionalFormatting sqref="S12:Y16">
    <cfRule type="expression" dxfId="9417" priority="185">
      <formula>S$9&gt;=20/24</formula>
    </cfRule>
    <cfRule type="expression" dxfId="9416" priority="186">
      <formula>AND(S$9&gt;=14/24,S$9&lt;20/24)</formula>
    </cfRule>
    <cfRule type="expression" dxfId="9415" priority="187">
      <formula>AND(S$9&gt;=8/24,S$9&lt;14/24)</formula>
    </cfRule>
    <cfRule type="expression" dxfId="9414" priority="188">
      <formula>S$9&lt;8/24</formula>
    </cfRule>
  </conditionalFormatting>
  <conditionalFormatting sqref="S17:Y17">
    <cfRule type="expression" dxfId="9413" priority="181">
      <formula>S$9&gt;=20/24</formula>
    </cfRule>
    <cfRule type="expression" dxfId="9412" priority="182">
      <formula>AND(S$9&gt;=14/24,S$9&lt;20/24)</formula>
    </cfRule>
    <cfRule type="expression" dxfId="9411" priority="183">
      <formula>AND(S$9&gt;=8/24,S$9&lt;14/24)</formula>
    </cfRule>
    <cfRule type="expression" dxfId="9410" priority="184">
      <formula>S$9&lt;8/24</formula>
    </cfRule>
  </conditionalFormatting>
  <conditionalFormatting sqref="S12:Y13">
    <cfRule type="expression" dxfId="9409" priority="177">
      <formula>S$9&gt;=20/24</formula>
    </cfRule>
    <cfRule type="expression" dxfId="9408" priority="178">
      <formula>AND(S$9&gt;=14/24,S$9&lt;20/24)</formula>
    </cfRule>
    <cfRule type="expression" dxfId="9407" priority="179">
      <formula>AND(S$9&gt;=8/24,S$9&lt;14/24)</formula>
    </cfRule>
    <cfRule type="expression" dxfId="9406" priority="180">
      <formula>S$9&lt;8/24</formula>
    </cfRule>
  </conditionalFormatting>
  <conditionalFormatting sqref="AB58:AE59">
    <cfRule type="expression" dxfId="9405" priority="173">
      <formula>AB$9&gt;=20/24</formula>
    </cfRule>
    <cfRule type="expression" dxfId="9404" priority="174">
      <formula>AND(AB$9&gt;=14/24,AB$9&lt;20/24)</formula>
    </cfRule>
    <cfRule type="expression" dxfId="9403" priority="175">
      <formula>AND(AB$9&gt;=8/24,AB$9&lt;14/24)</formula>
    </cfRule>
    <cfRule type="expression" dxfId="9402" priority="176">
      <formula>AB$9&lt;8/24</formula>
    </cfRule>
  </conditionalFormatting>
  <conditionalFormatting sqref="AL3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401" priority="406">
      <formula>C$9&gt;=20/24</formula>
    </cfRule>
    <cfRule type="expression" dxfId="9400" priority="407">
      <formula>AND(C$9&gt;=14/24,C$9&lt;20/24)</formula>
    </cfRule>
    <cfRule type="expression" dxfId="9399" priority="408">
      <formula>AND(C$9&gt;=8/24,C$9&lt;14/24)</formula>
    </cfRule>
    <cfRule type="expression" dxfId="9398" priority="409">
      <formula>C$9&lt;8/24</formula>
    </cfRule>
  </conditionalFormatting>
  <conditionalFormatting sqref="A200">
    <cfRule type="expression" dxfId="9397" priority="410">
      <formula>$AH200=0</formula>
    </cfRule>
  </conditionalFormatting>
  <conditionalFormatting sqref="AG212">
    <cfRule type="expression" dxfId="9396" priority="411">
      <formula>B$9&gt;=20/24</formula>
    </cfRule>
    <cfRule type="expression" dxfId="9395" priority="412">
      <formula>AND(B$9&gt;=14/24,B$9&lt;20/24)</formula>
    </cfRule>
    <cfRule type="expression" dxfId="9394" priority="413">
      <formula>AND(B$9&gt;=8/24,B$9&lt;14/24)</formula>
    </cfRule>
    <cfRule type="expression" dxfId="9393" priority="414">
      <formula>B$9&lt;8/24</formula>
    </cfRule>
  </conditionalFormatting>
  <conditionalFormatting sqref="S8">
    <cfRule type="expression" dxfId="9392" priority="167">
      <formula>U$9&gt;=20/24</formula>
    </cfRule>
    <cfRule type="expression" dxfId="9391" priority="168">
      <formula>AND(U$9&gt;=14/24,U$9&lt;20/24)</formula>
    </cfRule>
    <cfRule type="expression" dxfId="9390" priority="169">
      <formula>AND(U$9&gt;=8/24,U$9&lt;14/24)</formula>
    </cfRule>
    <cfRule type="expression" dxfId="9389" priority="170">
      <formula>U$9&lt;8/24</formula>
    </cfRule>
  </conditionalFormatting>
  <conditionalFormatting sqref="AB8">
    <cfRule type="expression" dxfId="9388" priority="163">
      <formula>AD$9&gt;=20/24</formula>
    </cfRule>
    <cfRule type="expression" dxfId="9387" priority="164">
      <formula>AND(AD$9&gt;=14/24,AD$9&lt;20/24)</formula>
    </cfRule>
    <cfRule type="expression" dxfId="9386" priority="165">
      <formula>AND(AD$9&gt;=8/24,AD$9&lt;14/24)</formula>
    </cfRule>
    <cfRule type="expression" dxfId="9385" priority="166">
      <formula>AD$9&lt;8/24</formula>
    </cfRule>
  </conditionalFormatting>
  <conditionalFormatting sqref="AH212:AX212">
    <cfRule type="expression" dxfId="9384" priority="415">
      <formula>AG$9&gt;=20/24</formula>
    </cfRule>
    <cfRule type="expression" dxfId="9383" priority="416">
      <formula>AND(AG$9&gt;=14/24,AG$9&lt;20/24)</formula>
    </cfRule>
    <cfRule type="expression" dxfId="9382" priority="417">
      <formula>AND(AG$9&gt;=8/24,AG$9&lt;14/24)</formula>
    </cfRule>
    <cfRule type="expression" dxfId="9381" priority="418">
      <formula>AG$9&lt;8/24</formula>
    </cfRule>
  </conditionalFormatting>
  <conditionalFormatting sqref="T212">
    <cfRule type="expression" dxfId="9380" priority="419">
      <formula>AX$9&gt;=20/24</formula>
    </cfRule>
    <cfRule type="expression" dxfId="9379" priority="420">
      <formula>AND(AX$9&gt;=14/24,AX$9&lt;20/24)</formula>
    </cfRule>
    <cfRule type="expression" dxfId="9378" priority="421">
      <formula>AND(AX$9&gt;=8/24,AX$9&lt;14/24)</formula>
    </cfRule>
    <cfRule type="expression" dxfId="9377" priority="422">
      <formula>AX$9&lt;8/24</formula>
    </cfRule>
  </conditionalFormatting>
  <conditionalFormatting sqref="A99">
    <cfRule type="expression" dxfId="9376" priority="162">
      <formula>$AH99=0</formula>
    </cfRule>
  </conditionalFormatting>
  <conditionalFormatting sqref="S33:AA33">
    <cfRule type="expression" dxfId="9375" priority="150">
      <formula>S$9&gt;=20/24</formula>
    </cfRule>
    <cfRule type="expression" dxfId="9374" priority="151">
      <formula>AND(S$9&gt;=14/24,S$9&lt;20/24)</formula>
    </cfRule>
    <cfRule type="expression" dxfId="9373" priority="152">
      <formula>AND(S$9&gt;=8/24,S$9&lt;14/24)</formula>
    </cfRule>
    <cfRule type="expression" dxfId="9372" priority="153">
      <formula>S$9&lt;8/24</formula>
    </cfRule>
  </conditionalFormatting>
  <conditionalFormatting sqref="B33:L33 S33:AA33">
    <cfRule type="expression" dxfId="9371" priority="149">
      <formula>B33&gt;$AG33</formula>
    </cfRule>
  </conditionalFormatting>
  <conditionalFormatting sqref="M13:Q14 M16:R32 R14 M36:R37">
    <cfRule type="expression" dxfId="9370" priority="145">
      <formula>M$9&gt;=20/24</formula>
    </cfRule>
    <cfRule type="expression" dxfId="9369" priority="146">
      <formula>AND(M$9&gt;=14/24,M$9&lt;20/24)</formula>
    </cfRule>
    <cfRule type="expression" dxfId="9368" priority="147">
      <formula>AND(M$9&gt;=8/24,M$9&lt;14/24)</formula>
    </cfRule>
    <cfRule type="expression" dxfId="9367" priority="148">
      <formula>M$9&lt;8/24</formula>
    </cfRule>
  </conditionalFormatting>
  <conditionalFormatting sqref="M35:R35">
    <cfRule type="expression" dxfId="9366" priority="141">
      <formula>M$9&gt;=20/24</formula>
    </cfRule>
    <cfRule type="expression" dxfId="9365" priority="142">
      <formula>AND(M$9&gt;=14/24,M$9&lt;20/24)</formula>
    </cfRule>
    <cfRule type="expression" dxfId="9364" priority="143">
      <formula>AND(M$9&gt;=8/24,M$9&lt;14/24)</formula>
    </cfRule>
    <cfRule type="expression" dxfId="9363" priority="144">
      <formula>M$9&lt;8/24</formula>
    </cfRule>
  </conditionalFormatting>
  <conditionalFormatting sqref="M13:Q14 M16:R32 R14 M34:R37">
    <cfRule type="expression" dxfId="9362" priority="140">
      <formula>M13&gt;$AG13</formula>
    </cfRule>
  </conditionalFormatting>
  <conditionalFormatting sqref="M34:R34">
    <cfRule type="expression" dxfId="9361" priority="136">
      <formula>M$9&gt;=20/24</formula>
    </cfRule>
    <cfRule type="expression" dxfId="9360" priority="137">
      <formula>AND(M$9&gt;=14/24,M$9&lt;20/24)</formula>
    </cfRule>
    <cfRule type="expression" dxfId="9359" priority="138">
      <formula>AND(M$9&gt;=8/24,M$9&lt;14/24)</formula>
    </cfRule>
    <cfRule type="expression" dxfId="9358" priority="139">
      <formula>M$9&lt;8/24</formula>
    </cfRule>
  </conditionalFormatting>
  <conditionalFormatting sqref="M15:R15">
    <cfRule type="expression" dxfId="9357" priority="132">
      <formula>M$9&gt;=20/24</formula>
    </cfRule>
    <cfRule type="expression" dxfId="9356" priority="133">
      <formula>AND(M$9&gt;=14/24,M$9&lt;20/24)</formula>
    </cfRule>
    <cfRule type="expression" dxfId="9355" priority="134">
      <formula>AND(M$9&gt;=8/24,M$9&lt;14/24)</formula>
    </cfRule>
    <cfRule type="expression" dxfId="9354" priority="135">
      <formula>M$9&lt;8/24</formula>
    </cfRule>
  </conditionalFormatting>
  <conditionalFormatting sqref="M15:R15">
    <cfRule type="expression" dxfId="9353" priority="131">
      <formula>M15&gt;$AG15</formula>
    </cfRule>
  </conditionalFormatting>
  <conditionalFormatting sqref="M33:R33">
    <cfRule type="expression" dxfId="9352" priority="127">
      <formula>M$9&gt;=20/24</formula>
    </cfRule>
    <cfRule type="expression" dxfId="9351" priority="128">
      <formula>AND(M$9&gt;=14/24,M$9&lt;20/24)</formula>
    </cfRule>
    <cfRule type="expression" dxfId="9350" priority="129">
      <formula>AND(M$9&gt;=8/24,M$9&lt;14/24)</formula>
    </cfRule>
    <cfRule type="expression" dxfId="9349" priority="130">
      <formula>M$9&lt;8/24</formula>
    </cfRule>
  </conditionalFormatting>
  <conditionalFormatting sqref="M33:R33">
    <cfRule type="expression" dxfId="9348" priority="126">
      <formula>M33&gt;$AG33</formula>
    </cfRule>
  </conditionalFormatting>
  <conditionalFormatting sqref="AB36 AB16:AB30 AB14">
    <cfRule type="expression" dxfId="9347" priority="122">
      <formula>AB$9&gt;=20/24</formula>
    </cfRule>
    <cfRule type="expression" dxfId="9346" priority="123">
      <formula>AND(AB$9&gt;=14/24,AB$9&lt;20/24)</formula>
    </cfRule>
    <cfRule type="expression" dxfId="9345" priority="124">
      <formula>AND(AB$9&gt;=8/24,AB$9&lt;14/24)</formula>
    </cfRule>
    <cfRule type="expression" dxfId="9344" priority="125">
      <formula>AB$9&lt;8/24</formula>
    </cfRule>
  </conditionalFormatting>
  <conditionalFormatting sqref="AB31:AB32 AB35">
    <cfRule type="expression" dxfId="9343" priority="118">
      <formula>AB$9&gt;=20/24</formula>
    </cfRule>
    <cfRule type="expression" dxfId="9342" priority="119">
      <formula>AND(AB$9&gt;=14/24,AB$9&lt;20/24)</formula>
    </cfRule>
    <cfRule type="expression" dxfId="9341" priority="120">
      <formula>AND(AB$9&gt;=8/24,AB$9&lt;14/24)</formula>
    </cfRule>
    <cfRule type="expression" dxfId="9340" priority="121">
      <formula>AB$9&lt;8/24</formula>
    </cfRule>
  </conditionalFormatting>
  <conditionalFormatting sqref="AB34:AB36 AB14:AB32">
    <cfRule type="expression" dxfId="9339" priority="117">
      <formula>AB14&gt;$AG14</formula>
    </cfRule>
  </conditionalFormatting>
  <conditionalFormatting sqref="AB34">
    <cfRule type="expression" dxfId="9338" priority="113">
      <formula>AB$9&gt;=20/24</formula>
    </cfRule>
    <cfRule type="expression" dxfId="9337" priority="114">
      <formula>AND(AB$9&gt;=14/24,AB$9&lt;20/24)</formula>
    </cfRule>
    <cfRule type="expression" dxfId="9336" priority="115">
      <formula>AND(AB$9&gt;=8/24,AB$9&lt;14/24)</formula>
    </cfRule>
    <cfRule type="expression" dxfId="9335" priority="116">
      <formula>AB$9&lt;8/24</formula>
    </cfRule>
  </conditionalFormatting>
  <conditionalFormatting sqref="AB15">
    <cfRule type="expression" dxfId="9334" priority="109">
      <formula>AB$9&gt;=20/24</formula>
    </cfRule>
    <cfRule type="expression" dxfId="9333" priority="110">
      <formula>AND(AB$9&gt;=14/24,AB$9&lt;20/24)</formula>
    </cfRule>
    <cfRule type="expression" dxfId="9332" priority="111">
      <formula>AND(AB$9&gt;=8/24,AB$9&lt;14/24)</formula>
    </cfRule>
    <cfRule type="expression" dxfId="9331" priority="112">
      <formula>AB$9&lt;8/24</formula>
    </cfRule>
  </conditionalFormatting>
  <conditionalFormatting sqref="AB33">
    <cfRule type="expression" dxfId="9330" priority="105">
      <formula>AB$9&gt;=20/24</formula>
    </cfRule>
    <cfRule type="expression" dxfId="9329" priority="106">
      <formula>AND(AB$9&gt;=14/24,AB$9&lt;20/24)</formula>
    </cfRule>
    <cfRule type="expression" dxfId="9328" priority="107">
      <formula>AND(AB$9&gt;=8/24,AB$9&lt;14/24)</formula>
    </cfRule>
    <cfRule type="expression" dxfId="9327" priority="108">
      <formula>AB$9&lt;8/24</formula>
    </cfRule>
  </conditionalFormatting>
  <conditionalFormatting sqref="AB33">
    <cfRule type="expression" dxfId="9326" priority="104">
      <formula>AB33&gt;$AG33</formula>
    </cfRule>
  </conditionalFormatting>
  <conditionalFormatting sqref="AC36 AC16:AC30 AC14">
    <cfRule type="expression" dxfId="9325" priority="100">
      <formula>AC$9&gt;=20/24</formula>
    </cfRule>
    <cfRule type="expression" dxfId="9324" priority="101">
      <formula>AND(AC$9&gt;=14/24,AC$9&lt;20/24)</formula>
    </cfRule>
    <cfRule type="expression" dxfId="9323" priority="102">
      <formula>AND(AC$9&gt;=8/24,AC$9&lt;14/24)</formula>
    </cfRule>
    <cfRule type="expression" dxfId="9322" priority="103">
      <formula>AC$9&lt;8/24</formula>
    </cfRule>
  </conditionalFormatting>
  <conditionalFormatting sqref="AC31:AC32 AC35">
    <cfRule type="expression" dxfId="9321" priority="96">
      <formula>AC$9&gt;=20/24</formula>
    </cfRule>
    <cfRule type="expression" dxfId="9320" priority="97">
      <formula>AND(AC$9&gt;=14/24,AC$9&lt;20/24)</formula>
    </cfRule>
    <cfRule type="expression" dxfId="9319" priority="98">
      <formula>AND(AC$9&gt;=8/24,AC$9&lt;14/24)</formula>
    </cfRule>
    <cfRule type="expression" dxfId="9318" priority="99">
      <formula>AC$9&lt;8/24</formula>
    </cfRule>
  </conditionalFormatting>
  <conditionalFormatting sqref="AC34:AC36 AC14:AC32">
    <cfRule type="expression" dxfId="9317" priority="95">
      <formula>AC14&gt;$AG14</formula>
    </cfRule>
  </conditionalFormatting>
  <conditionalFormatting sqref="AC34">
    <cfRule type="expression" dxfId="9316" priority="91">
      <formula>AC$9&gt;=20/24</formula>
    </cfRule>
    <cfRule type="expression" dxfId="9315" priority="92">
      <formula>AND(AC$9&gt;=14/24,AC$9&lt;20/24)</formula>
    </cfRule>
    <cfRule type="expression" dxfId="9314" priority="93">
      <formula>AND(AC$9&gt;=8/24,AC$9&lt;14/24)</formula>
    </cfRule>
    <cfRule type="expression" dxfId="9313" priority="94">
      <formula>AC$9&lt;8/24</formula>
    </cfRule>
  </conditionalFormatting>
  <conditionalFormatting sqref="AC15">
    <cfRule type="expression" dxfId="9312" priority="87">
      <formula>AC$9&gt;=20/24</formula>
    </cfRule>
    <cfRule type="expression" dxfId="9311" priority="88">
      <formula>AND(AC$9&gt;=14/24,AC$9&lt;20/24)</formula>
    </cfRule>
    <cfRule type="expression" dxfId="9310" priority="89">
      <formula>AND(AC$9&gt;=8/24,AC$9&lt;14/24)</formula>
    </cfRule>
    <cfRule type="expression" dxfId="9309" priority="90">
      <formula>AC$9&lt;8/24</formula>
    </cfRule>
  </conditionalFormatting>
  <conditionalFormatting sqref="AC33">
    <cfRule type="expression" dxfId="9308" priority="83">
      <formula>AC$9&gt;=20/24</formula>
    </cfRule>
    <cfRule type="expression" dxfId="9307" priority="84">
      <formula>AND(AC$9&gt;=14/24,AC$9&lt;20/24)</formula>
    </cfRule>
    <cfRule type="expression" dxfId="9306" priority="85">
      <formula>AND(AC$9&gt;=8/24,AC$9&lt;14/24)</formula>
    </cfRule>
    <cfRule type="expression" dxfId="9305" priority="86">
      <formula>AC$9&lt;8/24</formula>
    </cfRule>
  </conditionalFormatting>
  <conditionalFormatting sqref="AC33">
    <cfRule type="expression" dxfId="9304" priority="82">
      <formula>AC33&gt;$AG33</formula>
    </cfRule>
  </conditionalFormatting>
  <conditionalFormatting sqref="AD13">
    <cfRule type="expression" dxfId="9303" priority="78">
      <formula>AD$9&gt;=20/24</formula>
    </cfRule>
    <cfRule type="expression" dxfId="9302" priority="79">
      <formula>AND(AD$9&gt;=14/24,AD$9&lt;20/24)</formula>
    </cfRule>
    <cfRule type="expression" dxfId="9301" priority="80">
      <formula>AND(AD$9&gt;=8/24,AD$9&lt;14/24)</formula>
    </cfRule>
    <cfRule type="expression" dxfId="9300" priority="81">
      <formula>AD$9&lt;8/24</formula>
    </cfRule>
  </conditionalFormatting>
  <conditionalFormatting sqref="AD13">
    <cfRule type="expression" dxfId="9299" priority="77">
      <formula>AD13&gt;$AG13</formula>
    </cfRule>
  </conditionalFormatting>
  <conditionalFormatting sqref="AD36 AD16:AD30 AD14">
    <cfRule type="expression" dxfId="9298" priority="73">
      <formula>AD$9&gt;=20/24</formula>
    </cfRule>
    <cfRule type="expression" dxfId="9297" priority="74">
      <formula>AND(AD$9&gt;=14/24,AD$9&lt;20/24)</formula>
    </cfRule>
    <cfRule type="expression" dxfId="9296" priority="75">
      <formula>AND(AD$9&gt;=8/24,AD$9&lt;14/24)</formula>
    </cfRule>
    <cfRule type="expression" dxfId="9295" priority="76">
      <formula>AD$9&lt;8/24</formula>
    </cfRule>
  </conditionalFormatting>
  <conditionalFormatting sqref="AD31:AD32 AD35">
    <cfRule type="expression" dxfId="9294" priority="69">
      <formula>AD$9&gt;=20/24</formula>
    </cfRule>
    <cfRule type="expression" dxfId="9293" priority="70">
      <formula>AND(AD$9&gt;=14/24,AD$9&lt;20/24)</formula>
    </cfRule>
    <cfRule type="expression" dxfId="9292" priority="71">
      <formula>AND(AD$9&gt;=8/24,AD$9&lt;14/24)</formula>
    </cfRule>
    <cfRule type="expression" dxfId="9291" priority="72">
      <formula>AD$9&lt;8/24</formula>
    </cfRule>
  </conditionalFormatting>
  <conditionalFormatting sqref="AD34:AD36 AD14:AD32">
    <cfRule type="expression" dxfId="9290" priority="68">
      <formula>AD14&gt;$AG14</formula>
    </cfRule>
  </conditionalFormatting>
  <conditionalFormatting sqref="AD34">
    <cfRule type="expression" dxfId="9289" priority="64">
      <formula>AD$9&gt;=20/24</formula>
    </cfRule>
    <cfRule type="expression" dxfId="9288" priority="65">
      <formula>AND(AD$9&gt;=14/24,AD$9&lt;20/24)</formula>
    </cfRule>
    <cfRule type="expression" dxfId="9287" priority="66">
      <formula>AND(AD$9&gt;=8/24,AD$9&lt;14/24)</formula>
    </cfRule>
    <cfRule type="expression" dxfId="9286" priority="67">
      <formula>AD$9&lt;8/24</formula>
    </cfRule>
  </conditionalFormatting>
  <conditionalFormatting sqref="AD15">
    <cfRule type="expression" dxfId="9285" priority="60">
      <formula>AD$9&gt;=20/24</formula>
    </cfRule>
    <cfRule type="expression" dxfId="9284" priority="61">
      <formula>AND(AD$9&gt;=14/24,AD$9&lt;20/24)</formula>
    </cfRule>
    <cfRule type="expression" dxfId="9283" priority="62">
      <formula>AND(AD$9&gt;=8/24,AD$9&lt;14/24)</formula>
    </cfRule>
    <cfRule type="expression" dxfId="9282" priority="63">
      <formula>AD$9&lt;8/24</formula>
    </cfRule>
  </conditionalFormatting>
  <conditionalFormatting sqref="AD33">
    <cfRule type="expression" dxfId="9281" priority="56">
      <formula>AD$9&gt;=20/24</formula>
    </cfRule>
    <cfRule type="expression" dxfId="9280" priority="57">
      <formula>AND(AD$9&gt;=14/24,AD$9&lt;20/24)</formula>
    </cfRule>
    <cfRule type="expression" dxfId="9279" priority="58">
      <formula>AND(AD$9&gt;=8/24,AD$9&lt;14/24)</formula>
    </cfRule>
    <cfRule type="expression" dxfId="9278" priority="59">
      <formula>AD$9&lt;8/24</formula>
    </cfRule>
  </conditionalFormatting>
  <conditionalFormatting sqref="AD33">
    <cfRule type="expression" dxfId="9277" priority="55">
      <formula>AD33&gt;$AG33</formula>
    </cfRule>
  </conditionalFormatting>
  <conditionalFormatting sqref="AE12">
    <cfRule type="expression" dxfId="9276" priority="51">
      <formula>AE$9&gt;=20/24</formula>
    </cfRule>
    <cfRule type="expression" dxfId="9275" priority="52">
      <formula>AND(AE$9&gt;=14/24,AE$9&lt;20/24)</formula>
    </cfRule>
    <cfRule type="expression" dxfId="9274" priority="53">
      <formula>AND(AE$9&gt;=8/24,AE$9&lt;14/24)</formula>
    </cfRule>
    <cfRule type="expression" dxfId="9273" priority="54">
      <formula>AE$9&lt;8/24</formula>
    </cfRule>
  </conditionalFormatting>
  <conditionalFormatting sqref="AE12">
    <cfRule type="expression" dxfId="9272" priority="50">
      <formula>AE12&gt;$AG12</formula>
    </cfRule>
  </conditionalFormatting>
  <conditionalFormatting sqref="AE13">
    <cfRule type="expression" dxfId="9271" priority="46">
      <formula>AE$9&gt;=20/24</formula>
    </cfRule>
    <cfRule type="expression" dxfId="9270" priority="47">
      <formula>AND(AE$9&gt;=14/24,AE$9&lt;20/24)</formula>
    </cfRule>
    <cfRule type="expression" dxfId="9269" priority="48">
      <formula>AND(AE$9&gt;=8/24,AE$9&lt;14/24)</formula>
    </cfRule>
    <cfRule type="expression" dxfId="9268" priority="49">
      <formula>AE$9&lt;8/24</formula>
    </cfRule>
  </conditionalFormatting>
  <conditionalFormatting sqref="AE13">
    <cfRule type="expression" dxfId="9267" priority="45">
      <formula>AE13&gt;$AG13</formula>
    </cfRule>
  </conditionalFormatting>
  <conditionalFormatting sqref="AE36 AE16:AE30 AE14">
    <cfRule type="expression" dxfId="9266" priority="41">
      <formula>AE$9&gt;=20/24</formula>
    </cfRule>
    <cfRule type="expression" dxfId="9265" priority="42">
      <formula>AND(AE$9&gt;=14/24,AE$9&lt;20/24)</formula>
    </cfRule>
    <cfRule type="expression" dxfId="9264" priority="43">
      <formula>AND(AE$9&gt;=8/24,AE$9&lt;14/24)</formula>
    </cfRule>
    <cfRule type="expression" dxfId="9263" priority="44">
      <formula>AE$9&lt;8/24</formula>
    </cfRule>
  </conditionalFormatting>
  <conditionalFormatting sqref="AE31:AE32 AE35">
    <cfRule type="expression" dxfId="9262" priority="37">
      <formula>AE$9&gt;=20/24</formula>
    </cfRule>
    <cfRule type="expression" dxfId="9261" priority="38">
      <formula>AND(AE$9&gt;=14/24,AE$9&lt;20/24)</formula>
    </cfRule>
    <cfRule type="expression" dxfId="9260" priority="39">
      <formula>AND(AE$9&gt;=8/24,AE$9&lt;14/24)</formula>
    </cfRule>
    <cfRule type="expression" dxfId="9259" priority="40">
      <formula>AE$9&lt;8/24</formula>
    </cfRule>
  </conditionalFormatting>
  <conditionalFormatting sqref="AE34:AE36 AE14:AE32">
    <cfRule type="expression" dxfId="9258" priority="36">
      <formula>AE14&gt;$AG14</formula>
    </cfRule>
  </conditionalFormatting>
  <conditionalFormatting sqref="AE34">
    <cfRule type="expression" dxfId="9257" priority="32">
      <formula>AE$9&gt;=20/24</formula>
    </cfRule>
    <cfRule type="expression" dxfId="9256" priority="33">
      <formula>AND(AE$9&gt;=14/24,AE$9&lt;20/24)</formula>
    </cfRule>
    <cfRule type="expression" dxfId="9255" priority="34">
      <formula>AND(AE$9&gt;=8/24,AE$9&lt;14/24)</formula>
    </cfRule>
    <cfRule type="expression" dxfId="9254" priority="35">
      <formula>AE$9&lt;8/24</formula>
    </cfRule>
  </conditionalFormatting>
  <conditionalFormatting sqref="AE15">
    <cfRule type="expression" dxfId="9253" priority="28">
      <formula>AE$9&gt;=20/24</formula>
    </cfRule>
    <cfRule type="expression" dxfId="9252" priority="29">
      <formula>AND(AE$9&gt;=14/24,AE$9&lt;20/24)</formula>
    </cfRule>
    <cfRule type="expression" dxfId="9251" priority="30">
      <formula>AND(AE$9&gt;=8/24,AE$9&lt;14/24)</formula>
    </cfRule>
    <cfRule type="expression" dxfId="9250" priority="31">
      <formula>AE$9&lt;8/24</formula>
    </cfRule>
  </conditionalFormatting>
  <conditionalFormatting sqref="AE33">
    <cfRule type="expression" dxfId="9249" priority="24">
      <formula>AE$9&gt;=20/24</formula>
    </cfRule>
    <cfRule type="expression" dxfId="9248" priority="25">
      <formula>AND(AE$9&gt;=14/24,AE$9&lt;20/24)</formula>
    </cfRule>
    <cfRule type="expression" dxfId="9247" priority="26">
      <formula>AND(AE$9&gt;=8/24,AE$9&lt;14/24)</formula>
    </cfRule>
    <cfRule type="expression" dxfId="9246" priority="27">
      <formula>AE$9&lt;8/24</formula>
    </cfRule>
  </conditionalFormatting>
  <conditionalFormatting sqref="AE33">
    <cfRule type="expression" dxfId="9245" priority="23">
      <formula>AE33&gt;$AG33</formula>
    </cfRule>
  </conditionalFormatting>
  <conditionalFormatting sqref="AF36 AF16:AF30">
    <cfRule type="expression" dxfId="9244" priority="19">
      <formula>AF$9&gt;=20/24</formula>
    </cfRule>
    <cfRule type="expression" dxfId="9243" priority="20">
      <formula>AND(AF$9&gt;=14/24,AF$9&lt;20/24)</formula>
    </cfRule>
    <cfRule type="expression" dxfId="9242" priority="21">
      <formula>AND(AF$9&gt;=8/24,AF$9&lt;14/24)</formula>
    </cfRule>
    <cfRule type="expression" dxfId="9241" priority="22">
      <formula>AF$9&lt;8/24</formula>
    </cfRule>
  </conditionalFormatting>
  <conditionalFormatting sqref="AF31:AF32 AF35">
    <cfRule type="expression" dxfId="9240" priority="15">
      <formula>AF$9&gt;=20/24</formula>
    </cfRule>
    <cfRule type="expression" dxfId="9239" priority="16">
      <formula>AND(AF$9&gt;=14/24,AF$9&lt;20/24)</formula>
    </cfRule>
    <cfRule type="expression" dxfId="9238" priority="17">
      <formula>AND(AF$9&gt;=8/24,AF$9&lt;14/24)</formula>
    </cfRule>
    <cfRule type="expression" dxfId="9237" priority="18">
      <formula>AF$9&lt;8/24</formula>
    </cfRule>
  </conditionalFormatting>
  <conditionalFormatting sqref="AF34:AF36 AF15:AF32">
    <cfRule type="expression" dxfId="9236" priority="14">
      <formula>AF15&gt;$AG15</formula>
    </cfRule>
  </conditionalFormatting>
  <conditionalFormatting sqref="AF34">
    <cfRule type="expression" dxfId="9235" priority="10">
      <formula>AF$9&gt;=20/24</formula>
    </cfRule>
    <cfRule type="expression" dxfId="9234" priority="11">
      <formula>AND(AF$9&gt;=14/24,AF$9&lt;20/24)</formula>
    </cfRule>
    <cfRule type="expression" dxfId="9233" priority="12">
      <formula>AND(AF$9&gt;=8/24,AF$9&lt;14/24)</formula>
    </cfRule>
    <cfRule type="expression" dxfId="9232" priority="13">
      <formula>AF$9&lt;8/24</formula>
    </cfRule>
  </conditionalFormatting>
  <conditionalFormatting sqref="AF15">
    <cfRule type="expression" dxfId="9231" priority="6">
      <formula>AF$9&gt;=20/24</formula>
    </cfRule>
    <cfRule type="expression" dxfId="9230" priority="7">
      <formula>AND(AF$9&gt;=14/24,AF$9&lt;20/24)</formula>
    </cfRule>
    <cfRule type="expression" dxfId="9229" priority="8">
      <formula>AND(AF$9&gt;=8/24,AF$9&lt;14/24)</formula>
    </cfRule>
    <cfRule type="expression" dxfId="9228" priority="9">
      <formula>AF$9&lt;8/24</formula>
    </cfRule>
  </conditionalFormatting>
  <conditionalFormatting sqref="AF33">
    <cfRule type="expression" dxfId="9227" priority="2">
      <formula>AF$9&gt;=20/24</formula>
    </cfRule>
    <cfRule type="expression" dxfId="9226" priority="3">
      <formula>AND(AF$9&gt;=14/24,AF$9&lt;20/24)</formula>
    </cfRule>
    <cfRule type="expression" dxfId="9225" priority="4">
      <formula>AND(AF$9&gt;=8/24,AF$9&lt;14/24)</formula>
    </cfRule>
    <cfRule type="expression" dxfId="9224" priority="5">
      <formula>AF$9&lt;8/24</formula>
    </cfRule>
  </conditionalFormatting>
  <conditionalFormatting sqref="AF33">
    <cfRule type="expression" dxfId="9223" priority="1">
      <formula>AF33&gt;$AG33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2" id="{8C0E0AE3-AF90-4FB0-AEF8-14F0C868207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selection activeCell="AE60" sqref="AE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2078/10/10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356</v>
      </c>
      <c r="C5" s="32">
        <f t="shared" si="0"/>
        <v>342</v>
      </c>
      <c r="D5" s="32">
        <f t="shared" si="0"/>
        <v>331</v>
      </c>
      <c r="E5" s="32">
        <f t="shared" si="0"/>
        <v>308</v>
      </c>
      <c r="F5" s="32">
        <f t="shared" si="0"/>
        <v>322</v>
      </c>
      <c r="G5" s="32">
        <f t="shared" si="0"/>
        <v>295</v>
      </c>
      <c r="H5" s="32">
        <f t="shared" si="0"/>
        <v>360</v>
      </c>
      <c r="I5" s="32">
        <f t="shared" si="0"/>
        <v>392</v>
      </c>
      <c r="J5" s="32">
        <f t="shared" si="0"/>
        <v>429.3</v>
      </c>
      <c r="K5" s="32">
        <f t="shared" si="0"/>
        <v>481</v>
      </c>
      <c r="L5" s="32">
        <f t="shared" si="0"/>
        <v>332.9</v>
      </c>
      <c r="M5" s="32">
        <f t="shared" si="0"/>
        <v>296</v>
      </c>
      <c r="N5" s="32">
        <f t="shared" si="0"/>
        <v>283</v>
      </c>
      <c r="O5" s="32">
        <f t="shared" si="0"/>
        <v>349</v>
      </c>
      <c r="P5" s="32">
        <f t="shared" si="0"/>
        <v>583</v>
      </c>
      <c r="Q5" s="32">
        <f t="shared" si="0"/>
        <v>528</v>
      </c>
      <c r="R5" s="32">
        <f t="shared" si="0"/>
        <v>531.1</v>
      </c>
      <c r="S5" s="32">
        <f t="shared" si="0"/>
        <v>521.9</v>
      </c>
      <c r="T5" s="32">
        <f t="shared" si="0"/>
        <v>584.19999999999993</v>
      </c>
      <c r="U5" s="32">
        <f t="shared" si="0"/>
        <v>489.6</v>
      </c>
      <c r="V5" s="32">
        <f t="shared" si="0"/>
        <v>327.70000000000005</v>
      </c>
      <c r="W5" s="32">
        <f t="shared" si="0"/>
        <v>327.5</v>
      </c>
      <c r="X5" s="32">
        <f t="shared" si="0"/>
        <v>317.39999999999998</v>
      </c>
      <c r="Y5" s="32">
        <f t="shared" si="0"/>
        <v>308</v>
      </c>
      <c r="Z5" s="32">
        <f t="shared" si="0"/>
        <v>292</v>
      </c>
      <c r="AA5" s="32">
        <f t="shared" si="0"/>
        <v>274.8</v>
      </c>
      <c r="AB5" s="32">
        <f t="shared" si="0"/>
        <v>435.79999999999995</v>
      </c>
      <c r="AC5" s="32">
        <f t="shared" si="0"/>
        <v>439.2</v>
      </c>
      <c r="AD5" s="32">
        <f t="shared" si="0"/>
        <v>376.20000000000005</v>
      </c>
      <c r="AE5" s="32">
        <f t="shared" si="0"/>
        <v>392.1</v>
      </c>
      <c r="AF5" s="32">
        <f>B68</f>
        <v>366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1497MW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Load=883</v>
      </c>
      <c r="B7" s="37">
        <f>B75</f>
        <v>957.33999999999992</v>
      </c>
      <c r="C7" s="37">
        <f t="shared" ref="C7:AF7" si="1">C75</f>
        <v>907.44</v>
      </c>
      <c r="D7" s="37">
        <f t="shared" si="1"/>
        <v>893.44</v>
      </c>
      <c r="E7" s="37">
        <f t="shared" si="1"/>
        <v>883.34</v>
      </c>
      <c r="F7" s="37">
        <f t="shared" si="1"/>
        <v>892.44</v>
      </c>
      <c r="G7" s="37">
        <f t="shared" si="1"/>
        <v>928.33999999999992</v>
      </c>
      <c r="H7" s="37">
        <f t="shared" si="1"/>
        <v>962.54</v>
      </c>
      <c r="I7" s="37">
        <f t="shared" si="1"/>
        <v>1049.44</v>
      </c>
      <c r="J7" s="37">
        <f t="shared" si="1"/>
        <v>1137.24</v>
      </c>
      <c r="K7" s="37">
        <f t="shared" si="1"/>
        <v>1279.1400000000001</v>
      </c>
      <c r="L7" s="37">
        <f t="shared" si="1"/>
        <v>1389.64</v>
      </c>
      <c r="M7" s="37">
        <f t="shared" si="1"/>
        <v>1467.04</v>
      </c>
      <c r="N7" s="37">
        <f t="shared" si="1"/>
        <v>1496.75</v>
      </c>
      <c r="O7" s="37">
        <f t="shared" si="1"/>
        <v>1464.14</v>
      </c>
      <c r="P7" s="37">
        <f t="shared" si="1"/>
        <v>1451.64</v>
      </c>
      <c r="Q7" s="37">
        <f t="shared" si="1"/>
        <v>1371.14</v>
      </c>
      <c r="R7" s="37">
        <f t="shared" si="1"/>
        <v>1378.84</v>
      </c>
      <c r="S7" s="37">
        <f t="shared" si="1"/>
        <v>1394.54</v>
      </c>
      <c r="T7" s="37">
        <f t="shared" si="1"/>
        <v>1344.24</v>
      </c>
      <c r="U7" s="37">
        <f t="shared" si="1"/>
        <v>1349.1399999999999</v>
      </c>
      <c r="V7" s="37">
        <f t="shared" si="1"/>
        <v>1350.64</v>
      </c>
      <c r="W7" s="37">
        <f t="shared" si="1"/>
        <v>1456.14</v>
      </c>
      <c r="X7" s="37">
        <f t="shared" si="1"/>
        <v>1618.04</v>
      </c>
      <c r="Y7" s="37">
        <f t="shared" si="1"/>
        <v>1528.94</v>
      </c>
      <c r="Z7" s="37">
        <f t="shared" si="1"/>
        <v>1579.3400000000001</v>
      </c>
      <c r="AA7" s="37">
        <f t="shared" si="1"/>
        <v>1524.24</v>
      </c>
      <c r="AB7" s="37">
        <f t="shared" si="1"/>
        <v>1536.2400000000002</v>
      </c>
      <c r="AC7" s="37">
        <f t="shared" si="1"/>
        <v>1439.54</v>
      </c>
      <c r="AD7" s="37">
        <f t="shared" si="1"/>
        <v>1313.74</v>
      </c>
      <c r="AE7" s="37">
        <f t="shared" si="1"/>
        <v>1066.44</v>
      </c>
      <c r="AF7" s="37">
        <f t="shared" si="1"/>
        <v>1006.04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12</v>
      </c>
      <c r="K11" s="49">
        <v>16</v>
      </c>
      <c r="L11" s="49">
        <v>50</v>
      </c>
      <c r="M11" s="50">
        <v>228</v>
      </c>
      <c r="N11" s="50">
        <v>300</v>
      </c>
      <c r="O11" s="50">
        <v>300</v>
      </c>
      <c r="P11" s="50">
        <v>227</v>
      </c>
      <c r="Q11" s="50">
        <v>16</v>
      </c>
      <c r="R11" s="177">
        <v>25</v>
      </c>
      <c r="S11" s="50">
        <v>50</v>
      </c>
      <c r="T11" s="50">
        <v>20</v>
      </c>
      <c r="U11" s="50">
        <v>20</v>
      </c>
      <c r="V11" s="50">
        <v>35</v>
      </c>
      <c r="W11" s="50">
        <v>300</v>
      </c>
      <c r="X11" s="50">
        <v>380</v>
      </c>
      <c r="Y11" s="50">
        <v>380</v>
      </c>
      <c r="Z11" s="51">
        <v>350</v>
      </c>
      <c r="AA11" s="50">
        <v>325</v>
      </c>
      <c r="AB11" s="50">
        <v>325</v>
      </c>
      <c r="AC11" s="50">
        <v>140</v>
      </c>
      <c r="AD11" s="50">
        <v>80</v>
      </c>
      <c r="AE11" s="50">
        <v>40</v>
      </c>
      <c r="AF11" s="49">
        <v>40</v>
      </c>
      <c r="AG11" s="52">
        <v>456</v>
      </c>
      <c r="AH11" s="53">
        <f>MAX(B11:AF11)</f>
        <v>380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38</v>
      </c>
      <c r="L12" s="49">
        <v>38</v>
      </c>
      <c r="M12" s="49">
        <v>38</v>
      </c>
      <c r="N12" s="49">
        <v>37</v>
      </c>
      <c r="O12" s="49">
        <v>37</v>
      </c>
      <c r="P12" s="49">
        <v>37</v>
      </c>
      <c r="Q12" s="49">
        <v>37</v>
      </c>
      <c r="R12" s="49">
        <v>37</v>
      </c>
      <c r="S12" s="49">
        <v>37</v>
      </c>
      <c r="T12" s="49">
        <v>37</v>
      </c>
      <c r="U12" s="49">
        <v>37</v>
      </c>
      <c r="V12" s="49">
        <v>37</v>
      </c>
      <c r="W12" s="49">
        <v>37</v>
      </c>
      <c r="X12" s="49">
        <v>37</v>
      </c>
      <c r="Y12" s="57">
        <v>37</v>
      </c>
      <c r="Z12" s="50">
        <v>37</v>
      </c>
      <c r="AA12" s="50">
        <v>37</v>
      </c>
      <c r="AB12" s="50">
        <v>37</v>
      </c>
      <c r="AC12" s="50">
        <v>37</v>
      </c>
      <c r="AD12" s="50">
        <v>37</v>
      </c>
      <c r="AE12" s="50">
        <v>37</v>
      </c>
      <c r="AF12" s="50">
        <v>37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22.2</v>
      </c>
      <c r="C13" s="49">
        <v>22.2</v>
      </c>
      <c r="D13" s="49">
        <v>22.2</v>
      </c>
      <c r="E13" s="49">
        <v>22.2</v>
      </c>
      <c r="F13" s="49">
        <v>21.8</v>
      </c>
      <c r="G13" s="49">
        <v>21.8</v>
      </c>
      <c r="H13" s="49">
        <v>21.8</v>
      </c>
      <c r="I13" s="49">
        <v>21.8</v>
      </c>
      <c r="J13" s="49">
        <v>21.8</v>
      </c>
      <c r="K13" s="49">
        <v>21.8</v>
      </c>
      <c r="L13" s="49">
        <v>21.8</v>
      </c>
      <c r="M13" s="49">
        <v>21.8</v>
      </c>
      <c r="N13" s="49">
        <v>21.01</v>
      </c>
      <c r="O13" s="49">
        <v>21</v>
      </c>
      <c r="P13" s="49">
        <v>21</v>
      </c>
      <c r="Q13" s="49">
        <v>21</v>
      </c>
      <c r="R13" s="49">
        <v>21</v>
      </c>
      <c r="S13" s="49">
        <v>21</v>
      </c>
      <c r="T13" s="49">
        <v>21</v>
      </c>
      <c r="U13" s="49">
        <v>21</v>
      </c>
      <c r="V13" s="49">
        <v>21</v>
      </c>
      <c r="W13" s="49">
        <v>21</v>
      </c>
      <c r="X13" s="49">
        <v>21</v>
      </c>
      <c r="Y13" s="57">
        <v>21</v>
      </c>
      <c r="Z13" s="50">
        <v>21</v>
      </c>
      <c r="AA13" s="50">
        <v>21</v>
      </c>
      <c r="AB13" s="50">
        <v>25.1</v>
      </c>
      <c r="AC13" s="50">
        <v>25.1</v>
      </c>
      <c r="AD13" s="50">
        <v>25.1</v>
      </c>
      <c r="AE13" s="50">
        <v>20.100000000000001</v>
      </c>
      <c r="AF13" s="50">
        <v>19.3</v>
      </c>
      <c r="AG13" s="58">
        <v>52.4</v>
      </c>
      <c r="AH13" s="53">
        <f t="shared" si="2"/>
        <v>25.1</v>
      </c>
      <c r="AI13" s="54">
        <f t="shared" si="3"/>
        <v>19.3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39.6</v>
      </c>
      <c r="C14" s="49">
        <v>39.6</v>
      </c>
      <c r="D14" s="49">
        <v>39.6</v>
      </c>
      <c r="E14" s="49">
        <v>39.6</v>
      </c>
      <c r="F14" s="49">
        <v>39.6</v>
      </c>
      <c r="G14" s="49">
        <v>39.6</v>
      </c>
      <c r="H14" s="49">
        <v>39.6</v>
      </c>
      <c r="I14" s="49">
        <v>39.6</v>
      </c>
      <c r="J14" s="49">
        <v>39.6</v>
      </c>
      <c r="K14" s="49">
        <v>39.1</v>
      </c>
      <c r="L14" s="49">
        <v>39.299999999999997</v>
      </c>
      <c r="M14" s="49">
        <v>39.299999999999997</v>
      </c>
      <c r="N14" s="50">
        <v>39.299999999999997</v>
      </c>
      <c r="O14" s="50">
        <v>39.299999999999997</v>
      </c>
      <c r="P14" s="50">
        <v>39.299999999999997</v>
      </c>
      <c r="Q14" s="50">
        <v>39.299999999999997</v>
      </c>
      <c r="R14" s="50">
        <v>39.299999999999997</v>
      </c>
      <c r="S14" s="50">
        <v>39.299999999999997</v>
      </c>
      <c r="T14" s="50">
        <v>39.299999999999997</v>
      </c>
      <c r="U14" s="50">
        <v>39.299999999999997</v>
      </c>
      <c r="V14" s="50">
        <v>39.299999999999997</v>
      </c>
      <c r="W14" s="50">
        <v>39.299999999999997</v>
      </c>
      <c r="X14" s="50">
        <v>39.299999999999997</v>
      </c>
      <c r="Y14" s="59">
        <v>39.299999999999997</v>
      </c>
      <c r="Z14" s="50">
        <v>39.299999999999997</v>
      </c>
      <c r="AA14" s="50">
        <v>39.299999999999997</v>
      </c>
      <c r="AB14" s="50">
        <v>40.1</v>
      </c>
      <c r="AC14" s="50">
        <v>40.1</v>
      </c>
      <c r="AD14" s="50">
        <v>40.1</v>
      </c>
      <c r="AE14" s="50">
        <v>39.700000000000003</v>
      </c>
      <c r="AF14" s="50">
        <v>39.700000000000003</v>
      </c>
      <c r="AG14" s="58">
        <v>50</v>
      </c>
      <c r="AH14" s="53">
        <f t="shared" si="2"/>
        <v>40.1</v>
      </c>
      <c r="AI14" s="54">
        <f t="shared" si="3"/>
        <v>39.1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0">
        <v>22.8</v>
      </c>
      <c r="C15" s="50">
        <v>22.8</v>
      </c>
      <c r="D15" s="50">
        <v>22.8</v>
      </c>
      <c r="E15" s="50">
        <v>22.8</v>
      </c>
      <c r="F15" s="60">
        <v>22.4</v>
      </c>
      <c r="G15" s="60">
        <v>22.4</v>
      </c>
      <c r="H15" s="60">
        <v>22.4</v>
      </c>
      <c r="I15" s="60">
        <v>22.4</v>
      </c>
      <c r="J15" s="60">
        <v>22.4</v>
      </c>
      <c r="K15" s="60">
        <v>22.4</v>
      </c>
      <c r="L15" s="60">
        <v>21.7</v>
      </c>
      <c r="M15" s="60">
        <v>21.7</v>
      </c>
      <c r="N15" s="60">
        <v>21.7</v>
      </c>
      <c r="O15" s="50">
        <v>21.7</v>
      </c>
      <c r="P15" s="50">
        <v>21.7</v>
      </c>
      <c r="Q15" s="50">
        <v>21.7</v>
      </c>
      <c r="R15" s="50">
        <v>21.7</v>
      </c>
      <c r="S15" s="50">
        <v>21.7</v>
      </c>
      <c r="T15" s="50">
        <v>21.7</v>
      </c>
      <c r="U15" s="50">
        <v>21.7</v>
      </c>
      <c r="V15" s="50">
        <v>21.7</v>
      </c>
      <c r="W15" s="50">
        <v>21.7</v>
      </c>
      <c r="X15" s="50">
        <v>21.7</v>
      </c>
      <c r="Y15" s="59">
        <v>21.7</v>
      </c>
      <c r="Z15" s="50">
        <v>21.7</v>
      </c>
      <c r="AA15" s="50">
        <v>21.7</v>
      </c>
      <c r="AB15" s="50">
        <v>23.3</v>
      </c>
      <c r="AC15" s="50">
        <v>23.3</v>
      </c>
      <c r="AD15" s="50">
        <v>23.3</v>
      </c>
      <c r="AE15" s="50">
        <v>23.3</v>
      </c>
      <c r="AF15" s="50">
        <v>23.4</v>
      </c>
      <c r="AG15" s="61">
        <v>45</v>
      </c>
      <c r="AH15" s="53">
        <f t="shared" si="2"/>
        <v>23.4</v>
      </c>
      <c r="AI15" s="54">
        <f t="shared" si="3"/>
        <v>21.7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0">
        <v>9</v>
      </c>
      <c r="C17" s="50">
        <v>9</v>
      </c>
      <c r="D17" s="50">
        <v>9</v>
      </c>
      <c r="E17" s="50">
        <v>9</v>
      </c>
      <c r="F17" s="50">
        <v>9</v>
      </c>
      <c r="G17" s="50">
        <v>9</v>
      </c>
      <c r="H17" s="50">
        <v>9</v>
      </c>
      <c r="I17" s="50">
        <v>9</v>
      </c>
      <c r="J17" s="50">
        <v>9</v>
      </c>
      <c r="K17" s="50">
        <v>9</v>
      </c>
      <c r="L17" s="50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9.6</v>
      </c>
      <c r="C19" s="50">
        <v>9.6</v>
      </c>
      <c r="D19" s="50">
        <v>9.6</v>
      </c>
      <c r="E19" s="50">
        <v>9.6</v>
      </c>
      <c r="F19" s="50">
        <v>9.6</v>
      </c>
      <c r="G19" s="50">
        <v>9.6</v>
      </c>
      <c r="H19" s="50">
        <v>9.6</v>
      </c>
      <c r="I19" s="50">
        <v>9.6</v>
      </c>
      <c r="J19" s="50">
        <v>9.6</v>
      </c>
      <c r="K19" s="50">
        <v>9.6</v>
      </c>
      <c r="L19" s="50">
        <v>9.6</v>
      </c>
      <c r="M19" s="50">
        <v>9.6</v>
      </c>
      <c r="N19" s="50">
        <v>9.6</v>
      </c>
      <c r="O19" s="50">
        <v>9.6</v>
      </c>
      <c r="P19" s="50">
        <v>9.6</v>
      </c>
      <c r="Q19" s="50">
        <v>9.6</v>
      </c>
      <c r="R19" s="50">
        <v>9.6</v>
      </c>
      <c r="S19" s="50">
        <v>9.6</v>
      </c>
      <c r="T19" s="50">
        <v>9.6</v>
      </c>
      <c r="U19" s="50">
        <v>9.6</v>
      </c>
      <c r="V19" s="50">
        <v>9.6</v>
      </c>
      <c r="W19" s="50">
        <v>9.6</v>
      </c>
      <c r="X19" s="50">
        <v>9.6</v>
      </c>
      <c r="Y19" s="50">
        <v>9.6</v>
      </c>
      <c r="Z19" s="50">
        <v>9.6</v>
      </c>
      <c r="AA19" s="50">
        <v>9.6</v>
      </c>
      <c r="AB19" s="50">
        <v>9.6</v>
      </c>
      <c r="AC19" s="50">
        <v>9.6</v>
      </c>
      <c r="AD19" s="50">
        <v>10</v>
      </c>
      <c r="AE19" s="50">
        <v>10</v>
      </c>
      <c r="AF19" s="50">
        <v>9.8000000000000007</v>
      </c>
      <c r="AG19" s="58">
        <v>30</v>
      </c>
      <c r="AH19" s="53">
        <f t="shared" si="2"/>
        <v>10</v>
      </c>
      <c r="AI19" s="54">
        <f t="shared" si="3"/>
        <v>9.6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11.3</v>
      </c>
      <c r="C22" s="50">
        <v>11.3</v>
      </c>
      <c r="D22" s="50">
        <v>11.3</v>
      </c>
      <c r="E22" s="50">
        <v>11.3</v>
      </c>
      <c r="F22" s="50">
        <v>11.3</v>
      </c>
      <c r="G22" s="50">
        <v>11.3</v>
      </c>
      <c r="H22" s="50">
        <v>11.3</v>
      </c>
      <c r="I22" s="50">
        <v>11.3</v>
      </c>
      <c r="J22" s="50">
        <v>11.3</v>
      </c>
      <c r="K22" s="50">
        <v>11.9</v>
      </c>
      <c r="L22" s="50">
        <v>11.9</v>
      </c>
      <c r="M22" s="50">
        <v>11.9</v>
      </c>
      <c r="N22" s="50">
        <v>11.9</v>
      </c>
      <c r="O22" s="50">
        <v>11.9</v>
      </c>
      <c r="P22" s="50">
        <v>11.9</v>
      </c>
      <c r="Q22" s="50">
        <v>11.9</v>
      </c>
      <c r="R22" s="50">
        <v>11.9</v>
      </c>
      <c r="S22" s="50">
        <v>11.9</v>
      </c>
      <c r="T22" s="50">
        <v>11.9</v>
      </c>
      <c r="U22" s="50">
        <v>11.9</v>
      </c>
      <c r="V22" s="50">
        <v>11.9</v>
      </c>
      <c r="W22" s="50">
        <v>11.9</v>
      </c>
      <c r="X22" s="50">
        <v>11.9</v>
      </c>
      <c r="Y22" s="50">
        <v>0</v>
      </c>
      <c r="Z22" s="50">
        <v>11.9</v>
      </c>
      <c r="AA22" s="50">
        <v>11.9</v>
      </c>
      <c r="AB22" s="50">
        <v>20.399999999999999</v>
      </c>
      <c r="AC22" s="50">
        <v>20.399999999999999</v>
      </c>
      <c r="AD22" s="50">
        <v>11.7</v>
      </c>
      <c r="AE22" s="50">
        <v>11.9</v>
      </c>
      <c r="AF22" s="50">
        <v>12.3</v>
      </c>
      <c r="AG22" s="58">
        <v>25</v>
      </c>
      <c r="AH22" s="53">
        <f t="shared" si="2"/>
        <v>20.399999999999999</v>
      </c>
      <c r="AI22" s="54">
        <f t="shared" si="3"/>
        <v>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11</v>
      </c>
      <c r="C24" s="50">
        <v>11</v>
      </c>
      <c r="D24" s="50">
        <v>11</v>
      </c>
      <c r="E24" s="50">
        <v>11</v>
      </c>
      <c r="F24" s="50">
        <v>11</v>
      </c>
      <c r="G24" s="50">
        <v>11</v>
      </c>
      <c r="H24" s="50">
        <v>11</v>
      </c>
      <c r="I24" s="50">
        <v>11</v>
      </c>
      <c r="J24" s="50">
        <v>11</v>
      </c>
      <c r="K24" s="50">
        <v>11</v>
      </c>
      <c r="L24" s="50">
        <v>11</v>
      </c>
      <c r="M24" s="50">
        <v>11</v>
      </c>
      <c r="N24" s="50">
        <v>11</v>
      </c>
      <c r="O24" s="50">
        <v>11</v>
      </c>
      <c r="P24" s="50">
        <v>11</v>
      </c>
      <c r="Q24" s="50">
        <v>11</v>
      </c>
      <c r="R24" s="50">
        <v>11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11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0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170</v>
      </c>
      <c r="Y36" s="60">
        <v>170</v>
      </c>
      <c r="Z36" s="60">
        <v>170</v>
      </c>
      <c r="AA36" s="60">
        <v>170</v>
      </c>
      <c r="AB36" s="60">
        <v>170</v>
      </c>
      <c r="AC36" s="60">
        <v>170</v>
      </c>
      <c r="AD36" s="60">
        <v>170</v>
      </c>
      <c r="AE36" s="60">
        <v>170</v>
      </c>
      <c r="AF36" s="60">
        <v>170</v>
      </c>
      <c r="AG36" s="66">
        <v>85</v>
      </c>
      <c r="AH36" s="53">
        <f t="shared" si="2"/>
        <v>170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34.5+18.8</f>
        <v>53.3</v>
      </c>
      <c r="C37" s="60">
        <f>18.6+33.8</f>
        <v>52.4</v>
      </c>
      <c r="D37" s="60">
        <f>34+8.8</f>
        <v>42.8</v>
      </c>
      <c r="E37" s="60">
        <f>17.5+18.8</f>
        <v>36.299999999999997</v>
      </c>
      <c r="F37" s="60">
        <f>34.4+18.8</f>
        <v>53.2</v>
      </c>
      <c r="G37" s="60">
        <f>34.3+18.8</f>
        <v>53.099999999999994</v>
      </c>
      <c r="H37" s="60">
        <f>34+18.7</f>
        <v>52.7</v>
      </c>
      <c r="I37" s="60">
        <f>33.7+18.5</f>
        <v>52.2</v>
      </c>
      <c r="J37" s="60">
        <f>32.5+18.1</f>
        <v>50.6</v>
      </c>
      <c r="K37" s="60">
        <f>31.9+17</f>
        <v>48.9</v>
      </c>
      <c r="L37" s="60">
        <f>31+17.2</f>
        <v>48.2</v>
      </c>
      <c r="M37" s="69">
        <f>30.8+16.9</f>
        <v>47.7</v>
      </c>
      <c r="N37" s="69">
        <f>30.8+16.9</f>
        <v>47.7</v>
      </c>
      <c r="O37" s="69">
        <v>49.2</v>
      </c>
      <c r="P37" s="69">
        <v>49.2</v>
      </c>
      <c r="Q37" s="69">
        <v>49.2</v>
      </c>
      <c r="R37" s="69">
        <v>49.2</v>
      </c>
      <c r="S37" s="69">
        <v>18.600000000000001</v>
      </c>
      <c r="T37" s="69">
        <v>52.5</v>
      </c>
      <c r="U37" s="69">
        <v>50.6</v>
      </c>
      <c r="V37" s="69">
        <v>50.6</v>
      </c>
      <c r="W37" s="69">
        <v>46</v>
      </c>
      <c r="X37" s="69">
        <v>44.8</v>
      </c>
      <c r="Y37" s="69">
        <v>48.8</v>
      </c>
      <c r="Z37" s="69">
        <v>44.8</v>
      </c>
      <c r="AA37" s="69">
        <v>44.4</v>
      </c>
      <c r="AB37" s="69">
        <f>15.8+27.6</f>
        <v>43.400000000000006</v>
      </c>
      <c r="AC37" s="69">
        <f>16.2+29</f>
        <v>45.2</v>
      </c>
      <c r="AD37" s="69">
        <f>16.8+31.1</f>
        <v>47.900000000000006</v>
      </c>
      <c r="AE37" s="69">
        <f>17.8+34.1</f>
        <v>51.900000000000006</v>
      </c>
      <c r="AF37" s="60">
        <f>17.5+32.9</f>
        <v>50.4</v>
      </c>
      <c r="AG37" s="66">
        <v>240</v>
      </c>
      <c r="AH37" s="53">
        <f t="shared" si="2"/>
        <v>53.3</v>
      </c>
      <c r="AI37" s="54">
        <f t="shared" si="3"/>
        <v>18.600000000000001</v>
      </c>
      <c r="AK37" s="55"/>
    </row>
    <row r="38" spans="1:88" ht="15.75" thickBot="1" x14ac:dyDescent="0.3">
      <c r="A38" s="70" t="s">
        <v>46</v>
      </c>
      <c r="B38" s="71">
        <f>SUM(B11:B36)</f>
        <v>442.5</v>
      </c>
      <c r="C38" s="71">
        <f t="shared" ref="C38:AF38" si="4">SUM(C11:C36)</f>
        <v>424.5</v>
      </c>
      <c r="D38" s="71">
        <f t="shared" si="4"/>
        <v>424.5</v>
      </c>
      <c r="E38" s="71">
        <f t="shared" si="4"/>
        <v>424.5</v>
      </c>
      <c r="F38" s="71">
        <f t="shared" si="4"/>
        <v>423.7</v>
      </c>
      <c r="G38" s="71">
        <f t="shared" si="4"/>
        <v>423.7</v>
      </c>
      <c r="H38" s="71">
        <f t="shared" si="4"/>
        <v>423.7</v>
      </c>
      <c r="I38" s="71">
        <f t="shared" si="4"/>
        <v>423.7</v>
      </c>
      <c r="J38" s="71">
        <f t="shared" si="4"/>
        <v>423.7</v>
      </c>
      <c r="K38" s="71">
        <f t="shared" si="4"/>
        <v>429.8</v>
      </c>
      <c r="L38" s="71">
        <f t="shared" si="4"/>
        <v>463.29999999999995</v>
      </c>
      <c r="M38" s="71">
        <f t="shared" si="4"/>
        <v>641.29999999999995</v>
      </c>
      <c r="N38" s="71">
        <f t="shared" si="4"/>
        <v>711.51</v>
      </c>
      <c r="O38" s="71">
        <f t="shared" si="4"/>
        <v>711.5</v>
      </c>
      <c r="P38" s="71">
        <f t="shared" si="4"/>
        <v>626.5</v>
      </c>
      <c r="Q38" s="71">
        <f t="shared" si="4"/>
        <v>415.5</v>
      </c>
      <c r="R38" s="71">
        <f t="shared" si="4"/>
        <v>424.49999999999994</v>
      </c>
      <c r="S38" s="71">
        <f t="shared" si="4"/>
        <v>449.49999999999994</v>
      </c>
      <c r="T38" s="71">
        <f t="shared" si="4"/>
        <v>419.5</v>
      </c>
      <c r="U38" s="71">
        <f t="shared" si="4"/>
        <v>419.5</v>
      </c>
      <c r="V38" s="71">
        <f t="shared" si="4"/>
        <v>434.49999999999994</v>
      </c>
      <c r="W38" s="71">
        <f t="shared" si="4"/>
        <v>699.5</v>
      </c>
      <c r="X38" s="71">
        <f t="shared" si="4"/>
        <v>789.50000000000011</v>
      </c>
      <c r="Y38" s="71">
        <f t="shared" si="4"/>
        <v>777.60000000000014</v>
      </c>
      <c r="Z38" s="71">
        <f t="shared" si="4"/>
        <v>759.50000000000011</v>
      </c>
      <c r="AA38" s="71">
        <f t="shared" si="4"/>
        <v>734.5</v>
      </c>
      <c r="AB38" s="71">
        <f t="shared" si="4"/>
        <v>761.50000000000011</v>
      </c>
      <c r="AC38" s="71">
        <f t="shared" si="4"/>
        <v>576.5</v>
      </c>
      <c r="AD38" s="71">
        <f t="shared" si="4"/>
        <v>508.19999999999993</v>
      </c>
      <c r="AE38" s="71">
        <f t="shared" si="4"/>
        <v>463</v>
      </c>
      <c r="AF38" s="71">
        <f t="shared" si="4"/>
        <v>462.5</v>
      </c>
      <c r="AG38" s="66">
        <f>SUM(AG11:AG37)</f>
        <v>1492.8299999999997</v>
      </c>
      <c r="AH38" s="53">
        <f t="shared" si="2"/>
        <v>789.50000000000011</v>
      </c>
      <c r="AI38" s="54">
        <f t="shared" si="3"/>
        <v>415.5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30.5</v>
      </c>
      <c r="H39" s="60">
        <v>70</v>
      </c>
      <c r="I39" s="60">
        <v>80</v>
      </c>
      <c r="J39" s="60">
        <v>96</v>
      </c>
      <c r="K39" s="60">
        <v>143.30000000000001</v>
      </c>
      <c r="L39" s="60">
        <v>130.80000000000001</v>
      </c>
      <c r="M39" s="50">
        <v>140.9</v>
      </c>
      <c r="N39" s="50">
        <v>129</v>
      </c>
      <c r="O39" s="50">
        <v>122</v>
      </c>
      <c r="P39" s="50">
        <v>121</v>
      </c>
      <c r="Q39" s="50">
        <v>133</v>
      </c>
      <c r="R39" s="50">
        <v>141</v>
      </c>
      <c r="S39" s="50">
        <v>129.80000000000001</v>
      </c>
      <c r="T39" s="50">
        <v>112.7</v>
      </c>
      <c r="U39" s="50">
        <v>81.5</v>
      </c>
      <c r="V39" s="50">
        <v>98.5</v>
      </c>
      <c r="W39" s="50">
        <v>96.2</v>
      </c>
      <c r="X39" s="50">
        <v>145.69999999999999</v>
      </c>
      <c r="Y39" s="50">
        <v>146</v>
      </c>
      <c r="Z39" s="50">
        <v>145.69999999999999</v>
      </c>
      <c r="AA39" s="50">
        <v>145.69999999999999</v>
      </c>
      <c r="AB39" s="50">
        <v>145.69999999999999</v>
      </c>
      <c r="AC39" s="50">
        <v>95</v>
      </c>
      <c r="AD39" s="50">
        <v>70.8</v>
      </c>
      <c r="AE39" s="50">
        <v>47.5</v>
      </c>
      <c r="AF39" s="49">
        <v>0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21.9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22.3</v>
      </c>
      <c r="I40" s="60">
        <v>35</v>
      </c>
      <c r="J40" s="60">
        <v>61.4</v>
      </c>
      <c r="K40" s="60">
        <v>70.099999999999994</v>
      </c>
      <c r="L40" s="60">
        <v>68.5</v>
      </c>
      <c r="M40" s="72">
        <v>64.7</v>
      </c>
      <c r="N40" s="72">
        <v>69.5</v>
      </c>
      <c r="O40" s="72">
        <v>59</v>
      </c>
      <c r="P40" s="72">
        <v>51</v>
      </c>
      <c r="Q40" s="72">
        <v>44</v>
      </c>
      <c r="R40" s="72">
        <v>45</v>
      </c>
      <c r="S40" s="72">
        <v>44.9</v>
      </c>
      <c r="T40" s="72">
        <v>45.8</v>
      </c>
      <c r="U40" s="72">
        <v>45.8</v>
      </c>
      <c r="V40" s="72">
        <v>44.6</v>
      </c>
      <c r="W40" s="72">
        <v>70.2</v>
      </c>
      <c r="X40" s="72">
        <v>70.2</v>
      </c>
      <c r="Y40" s="72">
        <v>71.599999999999994</v>
      </c>
      <c r="Z40" s="72">
        <v>70.2</v>
      </c>
      <c r="AA40" s="72">
        <v>70.2</v>
      </c>
      <c r="AB40" s="72">
        <v>70.2</v>
      </c>
      <c r="AC40" s="72">
        <v>60</v>
      </c>
      <c r="AD40" s="72">
        <v>60</v>
      </c>
      <c r="AE40" s="72">
        <v>22.3</v>
      </c>
      <c r="AF40" s="60">
        <v>22.3</v>
      </c>
      <c r="AG40" s="66">
        <v>70</v>
      </c>
      <c r="AH40" s="53">
        <f t="shared" si="2"/>
        <v>71.599999999999994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21.5</v>
      </c>
      <c r="C41" s="60">
        <v>21.5</v>
      </c>
      <c r="D41" s="60">
        <v>21.5</v>
      </c>
      <c r="E41" s="60">
        <v>23.2</v>
      </c>
      <c r="F41" s="60">
        <v>46.1</v>
      </c>
      <c r="G41" s="60">
        <v>37.5</v>
      </c>
      <c r="H41" s="60">
        <v>32.6</v>
      </c>
      <c r="I41" s="60">
        <v>32.799999999999997</v>
      </c>
      <c r="J41" s="60">
        <v>46.2</v>
      </c>
      <c r="K41" s="60">
        <v>69.099999999999994</v>
      </c>
      <c r="L41" s="60">
        <v>68.8</v>
      </c>
      <c r="M41" s="72">
        <v>68.400000000000006</v>
      </c>
      <c r="N41" s="72">
        <v>67</v>
      </c>
      <c r="O41" s="72">
        <v>62</v>
      </c>
      <c r="P41" s="72">
        <v>35</v>
      </c>
      <c r="Q41" s="72">
        <v>34</v>
      </c>
      <c r="R41" s="72">
        <v>47</v>
      </c>
      <c r="S41" s="72">
        <v>34.700000000000003</v>
      </c>
      <c r="T41" s="72">
        <v>40.5</v>
      </c>
      <c r="U41" s="72">
        <v>33.799999999999997</v>
      </c>
      <c r="V41" s="72">
        <v>68.900000000000006</v>
      </c>
      <c r="W41" s="72">
        <v>49.8</v>
      </c>
      <c r="X41" s="72">
        <v>67.8</v>
      </c>
      <c r="Y41" s="72">
        <v>68.3</v>
      </c>
      <c r="Z41" s="72">
        <v>67.8</v>
      </c>
      <c r="AA41" s="72">
        <v>67.8</v>
      </c>
      <c r="AB41" s="72">
        <v>67.8</v>
      </c>
      <c r="AC41" s="72">
        <v>67.5</v>
      </c>
      <c r="AD41" s="72">
        <v>53.3</v>
      </c>
      <c r="AE41" s="72">
        <v>33.4</v>
      </c>
      <c r="AF41" s="60">
        <v>22.9</v>
      </c>
      <c r="AG41" s="66">
        <v>69</v>
      </c>
      <c r="AH41" s="53">
        <f t="shared" si="2"/>
        <v>69.099999999999994</v>
      </c>
      <c r="AI41" s="54">
        <f t="shared" si="3"/>
        <v>21.5</v>
      </c>
      <c r="AK41" s="55"/>
    </row>
    <row r="42" spans="1:88" x14ac:dyDescent="0.25">
      <c r="A42" s="65" t="s">
        <v>50</v>
      </c>
      <c r="B42" s="60">
        <v>53.4</v>
      </c>
      <c r="C42" s="60">
        <v>53.4</v>
      </c>
      <c r="D42" s="60">
        <v>53.4</v>
      </c>
      <c r="E42" s="60">
        <v>52.6</v>
      </c>
      <c r="F42" s="60">
        <v>52.6</v>
      </c>
      <c r="G42" s="60">
        <v>52.6</v>
      </c>
      <c r="H42" s="60">
        <v>54.9</v>
      </c>
      <c r="I42" s="60">
        <v>55.9</v>
      </c>
      <c r="J42" s="60">
        <v>55.9</v>
      </c>
      <c r="K42" s="60">
        <v>55.9</v>
      </c>
      <c r="L42" s="60">
        <v>55.2</v>
      </c>
      <c r="M42" s="72">
        <v>54.2</v>
      </c>
      <c r="N42" s="72">
        <v>54.2</v>
      </c>
      <c r="O42" s="72">
        <v>52.6</v>
      </c>
      <c r="P42" s="72">
        <v>52.6</v>
      </c>
      <c r="Q42" s="72">
        <v>52.6</v>
      </c>
      <c r="R42" s="72">
        <v>53</v>
      </c>
      <c r="S42" s="72">
        <v>52.9</v>
      </c>
      <c r="T42" s="72">
        <v>52.6</v>
      </c>
      <c r="U42" s="72">
        <v>50.2</v>
      </c>
      <c r="V42" s="72">
        <v>47.4</v>
      </c>
      <c r="W42" s="72">
        <v>51.4</v>
      </c>
      <c r="X42" s="72">
        <v>54.4</v>
      </c>
      <c r="Y42" s="72">
        <v>54.4</v>
      </c>
      <c r="Z42" s="72">
        <v>20</v>
      </c>
      <c r="AA42" s="72">
        <v>20</v>
      </c>
      <c r="AB42" s="72">
        <v>20</v>
      </c>
      <c r="AC42" s="72">
        <v>52.9</v>
      </c>
      <c r="AD42" s="72">
        <v>53.2</v>
      </c>
      <c r="AE42" s="72">
        <v>55.9</v>
      </c>
      <c r="AF42" s="60">
        <v>55.9</v>
      </c>
      <c r="AG42" s="66">
        <v>60</v>
      </c>
      <c r="AH42" s="53">
        <f t="shared" si="2"/>
        <v>55.9</v>
      </c>
      <c r="AI42" s="54">
        <f t="shared" si="3"/>
        <v>20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</v>
      </c>
      <c r="G43" s="60">
        <v>10</v>
      </c>
      <c r="H43" s="60">
        <v>12</v>
      </c>
      <c r="I43" s="60">
        <v>10</v>
      </c>
      <c r="J43" s="60">
        <v>10</v>
      </c>
      <c r="K43" s="60">
        <v>15.3</v>
      </c>
      <c r="L43" s="60">
        <v>21.3</v>
      </c>
      <c r="M43" s="50">
        <v>25.1</v>
      </c>
      <c r="N43" s="50">
        <v>28</v>
      </c>
      <c r="O43" s="50">
        <v>23</v>
      </c>
      <c r="P43" s="50">
        <v>23</v>
      </c>
      <c r="Q43" s="50">
        <v>15</v>
      </c>
      <c r="R43" s="50">
        <v>0</v>
      </c>
      <c r="S43" s="50">
        <v>0</v>
      </c>
      <c r="T43" s="50">
        <v>0</v>
      </c>
      <c r="U43" s="50">
        <v>0</v>
      </c>
      <c r="V43" s="50">
        <v>13.5</v>
      </c>
      <c r="W43" s="50">
        <v>22</v>
      </c>
      <c r="X43" s="50">
        <v>22</v>
      </c>
      <c r="Y43" s="50">
        <v>28.4</v>
      </c>
      <c r="Z43" s="50">
        <v>22</v>
      </c>
      <c r="AA43" s="50">
        <v>60.9</v>
      </c>
      <c r="AB43" s="72">
        <v>60.9</v>
      </c>
      <c r="AC43" s="72">
        <v>15.2</v>
      </c>
      <c r="AD43" s="72">
        <v>14.9</v>
      </c>
      <c r="AE43" s="72">
        <v>10.3</v>
      </c>
      <c r="AF43" s="60">
        <v>0</v>
      </c>
      <c r="AG43" s="66">
        <v>30</v>
      </c>
      <c r="AH43" s="53">
        <f t="shared" si="2"/>
        <v>60.9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79">
        <v>16</v>
      </c>
      <c r="M45" s="178">
        <v>16</v>
      </c>
      <c r="N45" s="178">
        <v>16</v>
      </c>
      <c r="O45" s="178">
        <v>16</v>
      </c>
      <c r="P45" s="178">
        <v>16</v>
      </c>
      <c r="Q45" s="178">
        <v>16</v>
      </c>
      <c r="R45" s="178">
        <v>16</v>
      </c>
      <c r="S45" s="178">
        <v>16</v>
      </c>
      <c r="T45" s="178">
        <v>16</v>
      </c>
      <c r="U45" s="178">
        <v>16</v>
      </c>
      <c r="V45" s="178">
        <v>16</v>
      </c>
      <c r="W45" s="178">
        <v>16</v>
      </c>
      <c r="X45" s="178">
        <v>16</v>
      </c>
      <c r="Y45" s="50">
        <v>0</v>
      </c>
      <c r="Z45" s="178">
        <v>16</v>
      </c>
      <c r="AA45" s="178">
        <v>16</v>
      </c>
      <c r="AB45" s="50">
        <v>16</v>
      </c>
      <c r="AC45" s="50">
        <v>11</v>
      </c>
      <c r="AD45" s="50">
        <v>11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0</v>
      </c>
      <c r="AK45" s="55"/>
    </row>
    <row r="46" spans="1:88" x14ac:dyDescent="0.25">
      <c r="A46" s="65" t="s">
        <v>54</v>
      </c>
      <c r="B46" s="60">
        <v>4.0999999999999996</v>
      </c>
      <c r="C46" s="60">
        <v>4.0999999999999996</v>
      </c>
      <c r="D46" s="60">
        <v>4.0999999999999996</v>
      </c>
      <c r="E46" s="60">
        <v>4.0999999999999996</v>
      </c>
      <c r="F46" s="60">
        <v>4.0999999999999996</v>
      </c>
      <c r="G46" s="60">
        <v>4.0999999999999996</v>
      </c>
      <c r="H46" s="60">
        <v>4.0999999999999996</v>
      </c>
      <c r="I46" s="60">
        <v>4.0999999999999996</v>
      </c>
      <c r="J46" s="60">
        <v>4.0999999999999996</v>
      </c>
      <c r="K46" s="60">
        <v>4.0999999999999996</v>
      </c>
      <c r="L46" s="60">
        <v>4.0999999999999996</v>
      </c>
      <c r="M46" s="179">
        <v>4.0999999999999996</v>
      </c>
      <c r="N46" s="179">
        <v>4.0999999999999996</v>
      </c>
      <c r="O46" s="179">
        <v>4.0999999999999996</v>
      </c>
      <c r="P46" s="179">
        <v>4.0999999999999996</v>
      </c>
      <c r="Q46" s="179">
        <v>4.0999999999999996</v>
      </c>
      <c r="R46" s="179">
        <v>4.0999999999999996</v>
      </c>
      <c r="S46" s="179">
        <v>4.0999999999999996</v>
      </c>
      <c r="T46" s="179">
        <v>4.0999999999999996</v>
      </c>
      <c r="U46" s="179">
        <v>4.0999999999999996</v>
      </c>
      <c r="V46" s="179">
        <v>4.0999999999999996</v>
      </c>
      <c r="W46" s="179">
        <v>4.0999999999999996</v>
      </c>
      <c r="X46" s="179">
        <v>4.0999999999999996</v>
      </c>
      <c r="Y46" s="50">
        <v>4.0999999999999996</v>
      </c>
      <c r="Z46" s="179">
        <v>4.0999999999999996</v>
      </c>
      <c r="AA46" s="179">
        <v>4.0999999999999996</v>
      </c>
      <c r="AB46" s="50">
        <v>4.0999999999999996</v>
      </c>
      <c r="AC46" s="50">
        <v>4.0999999999999996</v>
      </c>
      <c r="AD46" s="50">
        <v>4.0999999999999996</v>
      </c>
      <c r="AE46" s="50">
        <v>4.0999999999999996</v>
      </c>
      <c r="AF46" s="50">
        <v>4.0999999999999996</v>
      </c>
      <c r="AG46" s="66">
        <v>15</v>
      </c>
      <c r="AH46" s="53">
        <f t="shared" si="2"/>
        <v>4.0999999999999996</v>
      </c>
      <c r="AI46" s="54">
        <f t="shared" si="3"/>
        <v>4.0999999999999996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13.5</v>
      </c>
      <c r="C47" s="60">
        <v>13.5</v>
      </c>
      <c r="D47" s="60">
        <v>13.5</v>
      </c>
      <c r="E47" s="60">
        <v>13.5</v>
      </c>
      <c r="F47" s="60">
        <v>13.5</v>
      </c>
      <c r="G47" s="60">
        <v>13.5</v>
      </c>
      <c r="H47" s="60">
        <v>13.5</v>
      </c>
      <c r="I47" s="60">
        <v>13.5</v>
      </c>
      <c r="J47" s="60">
        <v>13.5</v>
      </c>
      <c r="K47" s="60">
        <v>13.5</v>
      </c>
      <c r="L47" s="60">
        <v>13.5</v>
      </c>
      <c r="M47" s="179">
        <v>13.5</v>
      </c>
      <c r="N47" s="179">
        <v>13.5</v>
      </c>
      <c r="O47" s="179">
        <v>13.5</v>
      </c>
      <c r="P47" s="179">
        <v>13.5</v>
      </c>
      <c r="Q47" s="179">
        <v>13.5</v>
      </c>
      <c r="R47" s="179">
        <v>13.5</v>
      </c>
      <c r="S47" s="179">
        <v>13.5</v>
      </c>
      <c r="T47" s="179">
        <v>13.5</v>
      </c>
      <c r="U47" s="179">
        <v>13.5</v>
      </c>
      <c r="V47" s="179">
        <v>13.5</v>
      </c>
      <c r="W47" s="179">
        <v>13.5</v>
      </c>
      <c r="X47" s="179">
        <v>13.5</v>
      </c>
      <c r="Y47" s="50">
        <v>0</v>
      </c>
      <c r="Z47" s="179">
        <v>13.5</v>
      </c>
      <c r="AA47" s="179">
        <v>13.5</v>
      </c>
      <c r="AB47" s="50">
        <v>13.5</v>
      </c>
      <c r="AC47" s="50">
        <v>12</v>
      </c>
      <c r="AD47" s="50">
        <v>12</v>
      </c>
      <c r="AE47" s="50">
        <v>12</v>
      </c>
      <c r="AF47" s="50">
        <v>12</v>
      </c>
      <c r="AG47" s="66">
        <v>14.1</v>
      </c>
      <c r="AH47" s="53">
        <f t="shared" si="2"/>
        <v>13.5</v>
      </c>
      <c r="AI47" s="54">
        <f t="shared" si="3"/>
        <v>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5.2</v>
      </c>
      <c r="C48" s="60">
        <v>5.2</v>
      </c>
      <c r="D48" s="60">
        <v>5.2</v>
      </c>
      <c r="E48" s="60">
        <v>5.2</v>
      </c>
      <c r="F48" s="60">
        <v>5.2</v>
      </c>
      <c r="G48" s="60">
        <v>5.2</v>
      </c>
      <c r="H48" s="60">
        <v>5.2</v>
      </c>
      <c r="I48" s="60">
        <v>5.2</v>
      </c>
      <c r="J48" s="60">
        <v>5.2</v>
      </c>
      <c r="K48" s="60">
        <v>5.2</v>
      </c>
      <c r="L48" s="60">
        <v>5.2</v>
      </c>
      <c r="M48" s="179">
        <v>5.2</v>
      </c>
      <c r="N48" s="179">
        <v>5.2</v>
      </c>
      <c r="O48" s="179">
        <v>5.2</v>
      </c>
      <c r="P48" s="179">
        <v>5.2</v>
      </c>
      <c r="Q48" s="179">
        <v>5.2</v>
      </c>
      <c r="R48" s="179">
        <v>5.2</v>
      </c>
      <c r="S48" s="179">
        <v>5.2</v>
      </c>
      <c r="T48" s="179">
        <v>5.2</v>
      </c>
      <c r="U48" s="179">
        <v>5.2</v>
      </c>
      <c r="V48" s="179">
        <v>5.2</v>
      </c>
      <c r="W48" s="179">
        <v>0</v>
      </c>
      <c r="X48" s="179">
        <v>0</v>
      </c>
      <c r="Y48" s="50">
        <v>5.6</v>
      </c>
      <c r="Z48" s="179">
        <v>0</v>
      </c>
      <c r="AA48" s="179">
        <v>0</v>
      </c>
      <c r="AB48" s="50">
        <v>0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5.6</v>
      </c>
      <c r="AI48" s="54">
        <f t="shared" si="3"/>
        <v>0</v>
      </c>
      <c r="AK48" s="55"/>
    </row>
    <row r="49" spans="1:37" x14ac:dyDescent="0.25">
      <c r="A49" s="65" t="s">
        <v>57</v>
      </c>
      <c r="B49" s="60">
        <v>5.7</v>
      </c>
      <c r="C49" s="60">
        <v>5.7</v>
      </c>
      <c r="D49" s="60">
        <v>5.7</v>
      </c>
      <c r="E49" s="60">
        <v>5.7</v>
      </c>
      <c r="F49" s="60">
        <v>5.7</v>
      </c>
      <c r="G49" s="60">
        <v>5.7</v>
      </c>
      <c r="H49" s="60">
        <v>5.7</v>
      </c>
      <c r="I49" s="60">
        <v>5.7</v>
      </c>
      <c r="J49" s="60">
        <v>5.7</v>
      </c>
      <c r="K49" s="60">
        <v>5.7</v>
      </c>
      <c r="L49" s="60">
        <v>5.7</v>
      </c>
      <c r="M49" s="179">
        <v>5.7</v>
      </c>
      <c r="N49" s="179">
        <v>5.7</v>
      </c>
      <c r="O49" s="179">
        <v>5.7</v>
      </c>
      <c r="P49" s="179">
        <v>5.7</v>
      </c>
      <c r="Q49" s="179">
        <v>5.7</v>
      </c>
      <c r="R49" s="179">
        <v>5.7</v>
      </c>
      <c r="S49" s="179">
        <v>5.7</v>
      </c>
      <c r="T49" s="179">
        <v>5.7</v>
      </c>
      <c r="U49" s="179">
        <v>5.7</v>
      </c>
      <c r="V49" s="179">
        <v>5.7</v>
      </c>
      <c r="W49" s="179">
        <v>5.7</v>
      </c>
      <c r="X49" s="179">
        <v>5.7</v>
      </c>
      <c r="Y49" s="50">
        <v>5.7</v>
      </c>
      <c r="Z49" s="179">
        <v>5.7</v>
      </c>
      <c r="AA49" s="179">
        <v>5.7</v>
      </c>
      <c r="AB49" s="50">
        <v>5.7</v>
      </c>
      <c r="AC49" s="50">
        <v>5.7</v>
      </c>
      <c r="AD49" s="50">
        <v>5.7</v>
      </c>
      <c r="AE49" s="50">
        <v>5.7</v>
      </c>
      <c r="AF49" s="50">
        <v>5.7</v>
      </c>
      <c r="AG49" s="66">
        <v>10.050000000000001</v>
      </c>
      <c r="AH49" s="53">
        <f t="shared" si="2"/>
        <v>5.7</v>
      </c>
      <c r="AI49" s="54">
        <f t="shared" si="3"/>
        <v>5.7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179">
        <v>4</v>
      </c>
      <c r="N50" s="179">
        <v>4</v>
      </c>
      <c r="O50" s="179">
        <v>4</v>
      </c>
      <c r="P50" s="179">
        <v>4</v>
      </c>
      <c r="Q50" s="179">
        <v>4</v>
      </c>
      <c r="R50" s="179">
        <v>4</v>
      </c>
      <c r="S50" s="179">
        <v>4</v>
      </c>
      <c r="T50" s="179">
        <v>4</v>
      </c>
      <c r="U50" s="179">
        <v>4</v>
      </c>
      <c r="V50" s="179">
        <v>4</v>
      </c>
      <c r="W50" s="179">
        <v>4</v>
      </c>
      <c r="X50" s="179">
        <v>4</v>
      </c>
      <c r="Y50" s="50">
        <v>4</v>
      </c>
      <c r="Z50" s="179">
        <v>4</v>
      </c>
      <c r="AA50" s="179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5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148.83999999999995</v>
      </c>
      <c r="C52" s="71">
        <f t="shared" ref="C52:AF52" si="7">SUM(C39:C51)</f>
        <v>126.94000000000001</v>
      </c>
      <c r="D52" s="71">
        <f t="shared" si="7"/>
        <v>126.94000000000001</v>
      </c>
      <c r="E52" s="71">
        <f t="shared" si="7"/>
        <v>127.84</v>
      </c>
      <c r="F52" s="71">
        <f t="shared" si="7"/>
        <v>160.73999999999998</v>
      </c>
      <c r="G52" s="71">
        <f t="shared" si="7"/>
        <v>182.63999999999996</v>
      </c>
      <c r="H52" s="71">
        <f t="shared" si="7"/>
        <v>243.83999999999997</v>
      </c>
      <c r="I52" s="71">
        <f t="shared" si="7"/>
        <v>265.74</v>
      </c>
      <c r="J52" s="71">
        <f t="shared" si="7"/>
        <v>321.54000000000002</v>
      </c>
      <c r="K52" s="71">
        <f t="shared" si="7"/>
        <v>405.74</v>
      </c>
      <c r="L52" s="71">
        <f t="shared" si="7"/>
        <v>396.64000000000004</v>
      </c>
      <c r="M52" s="71">
        <f t="shared" si="7"/>
        <v>405.34000000000003</v>
      </c>
      <c r="N52" s="71">
        <f t="shared" si="7"/>
        <v>399.74</v>
      </c>
      <c r="O52" s="71">
        <f t="shared" si="7"/>
        <v>370.64000000000004</v>
      </c>
      <c r="P52" s="71">
        <f t="shared" si="7"/>
        <v>334.64000000000004</v>
      </c>
      <c r="Q52" s="71">
        <f t="shared" si="7"/>
        <v>330.64000000000004</v>
      </c>
      <c r="R52" s="71">
        <f t="shared" si="7"/>
        <v>338.04</v>
      </c>
      <c r="S52" s="71">
        <f t="shared" si="7"/>
        <v>314.34000000000003</v>
      </c>
      <c r="T52" s="71">
        <f t="shared" si="7"/>
        <v>303.64000000000004</v>
      </c>
      <c r="U52" s="71">
        <f t="shared" si="7"/>
        <v>263.33999999999997</v>
      </c>
      <c r="V52" s="71">
        <f t="shared" si="7"/>
        <v>324.94</v>
      </c>
      <c r="W52" s="71">
        <f t="shared" si="7"/>
        <v>336.44</v>
      </c>
      <c r="X52" s="71">
        <f t="shared" si="7"/>
        <v>406.94</v>
      </c>
      <c r="Y52" s="71">
        <f t="shared" si="7"/>
        <v>391.64</v>
      </c>
      <c r="Z52" s="71">
        <f t="shared" si="7"/>
        <v>372.54</v>
      </c>
      <c r="AA52" s="71">
        <f t="shared" si="7"/>
        <v>411.44</v>
      </c>
      <c r="AB52" s="71">
        <f t="shared" si="7"/>
        <v>411.44</v>
      </c>
      <c r="AC52" s="71">
        <f t="shared" si="7"/>
        <v>335.94</v>
      </c>
      <c r="AD52" s="71">
        <f t="shared" si="7"/>
        <v>297.54000000000008</v>
      </c>
      <c r="AE52" s="71">
        <f t="shared" si="7"/>
        <v>219.73999999999998</v>
      </c>
      <c r="AF52" s="71">
        <f t="shared" si="7"/>
        <v>151.43999999999997</v>
      </c>
      <c r="AG52" s="76">
        <f>SUM(AG39:AG51)</f>
        <v>489.91</v>
      </c>
      <c r="AH52" s="53">
        <f t="shared" si="2"/>
        <v>411.44</v>
      </c>
      <c r="AI52" s="54">
        <f t="shared" si="3"/>
        <v>126.94000000000001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14.3</v>
      </c>
      <c r="L53" s="60">
        <v>29.8</v>
      </c>
      <c r="M53" s="77">
        <v>54.3</v>
      </c>
      <c r="N53" s="77">
        <v>54</v>
      </c>
      <c r="O53" s="77">
        <v>59.2</v>
      </c>
      <c r="P53" s="77">
        <v>41</v>
      </c>
      <c r="Q53" s="50">
        <v>25</v>
      </c>
      <c r="R53" s="50">
        <v>54</v>
      </c>
      <c r="S53" s="50">
        <v>59.5</v>
      </c>
      <c r="T53" s="50">
        <v>60</v>
      </c>
      <c r="U53" s="50">
        <v>49.1</v>
      </c>
      <c r="V53" s="50">
        <v>59.8</v>
      </c>
      <c r="W53" s="50">
        <v>60.7</v>
      </c>
      <c r="X53" s="50">
        <v>56.7</v>
      </c>
      <c r="Y53" s="50">
        <v>5</v>
      </c>
      <c r="Z53" s="50">
        <v>59.4</v>
      </c>
      <c r="AA53" s="50">
        <v>54</v>
      </c>
      <c r="AB53" s="50">
        <v>54.9</v>
      </c>
      <c r="AC53" s="50">
        <v>55.1</v>
      </c>
      <c r="AD53" s="50">
        <v>38.9</v>
      </c>
      <c r="AE53" s="50">
        <v>0</v>
      </c>
      <c r="AF53" s="50">
        <v>0</v>
      </c>
      <c r="AG53" s="61">
        <v>60</v>
      </c>
      <c r="AH53" s="53">
        <f t="shared" si="2"/>
        <v>60.7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13.8</v>
      </c>
      <c r="M54" s="77">
        <v>24.3</v>
      </c>
      <c r="N54" s="77">
        <v>26</v>
      </c>
      <c r="O54" s="77">
        <v>29.2</v>
      </c>
      <c r="P54" s="77">
        <v>26</v>
      </c>
      <c r="Q54" s="72">
        <v>12</v>
      </c>
      <c r="R54" s="72">
        <v>25</v>
      </c>
      <c r="S54" s="50">
        <v>29.4</v>
      </c>
      <c r="T54" s="50">
        <v>28.7</v>
      </c>
      <c r="U54" s="50">
        <v>24.2</v>
      </c>
      <c r="V54" s="72">
        <v>30.6</v>
      </c>
      <c r="W54" s="72">
        <v>23.3</v>
      </c>
      <c r="X54" s="72">
        <v>27.4</v>
      </c>
      <c r="Y54" s="72">
        <v>27.3</v>
      </c>
      <c r="Z54" s="72">
        <v>29.2</v>
      </c>
      <c r="AA54" s="72">
        <v>23.7</v>
      </c>
      <c r="AB54" s="72">
        <v>24.6</v>
      </c>
      <c r="AC54" s="72">
        <v>26.5</v>
      </c>
      <c r="AD54" s="72">
        <v>21.9</v>
      </c>
      <c r="AE54" s="72">
        <v>5.5</v>
      </c>
      <c r="AF54" s="72">
        <v>0</v>
      </c>
      <c r="AG54" s="66">
        <v>32</v>
      </c>
      <c r="AH54" s="53">
        <f t="shared" si="2"/>
        <v>30.6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60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5.0999999999999996</v>
      </c>
      <c r="M55" s="80">
        <v>8.9</v>
      </c>
      <c r="N55" s="80">
        <v>9.5</v>
      </c>
      <c r="O55" s="80">
        <v>10.6</v>
      </c>
      <c r="P55" s="80">
        <v>9.5</v>
      </c>
      <c r="Q55" s="78">
        <v>5</v>
      </c>
      <c r="R55" s="78">
        <v>9.3000000000000007</v>
      </c>
      <c r="S55" s="50">
        <v>10.7</v>
      </c>
      <c r="T55" s="50">
        <v>10.5</v>
      </c>
      <c r="U55" s="50">
        <v>8.8000000000000007</v>
      </c>
      <c r="V55" s="78">
        <v>11.2</v>
      </c>
      <c r="W55" s="78">
        <v>8.5</v>
      </c>
      <c r="X55" s="78">
        <v>10</v>
      </c>
      <c r="Y55" s="78">
        <v>10</v>
      </c>
      <c r="Z55" s="78">
        <v>10.7</v>
      </c>
      <c r="AA55" s="78">
        <v>8.6</v>
      </c>
      <c r="AB55" s="78">
        <v>9</v>
      </c>
      <c r="AC55" s="78">
        <v>9.6999999999999993</v>
      </c>
      <c r="AD55" s="78">
        <v>8</v>
      </c>
      <c r="AE55" s="78">
        <v>2</v>
      </c>
      <c r="AF55" s="78">
        <v>0</v>
      </c>
      <c r="AG55" s="81">
        <v>14</v>
      </c>
      <c r="AH55" s="53">
        <f t="shared" si="2"/>
        <v>11.2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14.3</v>
      </c>
      <c r="L56" s="71">
        <f t="shared" si="8"/>
        <v>48.7</v>
      </c>
      <c r="M56" s="71">
        <f t="shared" si="8"/>
        <v>87.5</v>
      </c>
      <c r="N56" s="71">
        <f t="shared" si="8"/>
        <v>89.5</v>
      </c>
      <c r="O56" s="71">
        <f t="shared" si="8"/>
        <v>99</v>
      </c>
      <c r="P56" s="71">
        <f t="shared" si="8"/>
        <v>76.5</v>
      </c>
      <c r="Q56" s="71">
        <f t="shared" si="8"/>
        <v>42</v>
      </c>
      <c r="R56" s="71">
        <f t="shared" si="8"/>
        <v>88.3</v>
      </c>
      <c r="S56" s="71">
        <f t="shared" si="8"/>
        <v>99.600000000000009</v>
      </c>
      <c r="T56" s="71">
        <f t="shared" si="8"/>
        <v>99.2</v>
      </c>
      <c r="U56" s="71">
        <f t="shared" si="8"/>
        <v>82.1</v>
      </c>
      <c r="V56" s="71">
        <f t="shared" si="8"/>
        <v>101.60000000000001</v>
      </c>
      <c r="W56" s="71">
        <f t="shared" si="8"/>
        <v>92.5</v>
      </c>
      <c r="X56" s="71">
        <f t="shared" si="8"/>
        <v>94.1</v>
      </c>
      <c r="Y56" s="71">
        <f t="shared" si="8"/>
        <v>42.3</v>
      </c>
      <c r="Z56" s="71">
        <f t="shared" si="8"/>
        <v>99.3</v>
      </c>
      <c r="AA56" s="71">
        <f t="shared" si="8"/>
        <v>86.3</v>
      </c>
      <c r="AB56" s="71">
        <f t="shared" si="8"/>
        <v>88.5</v>
      </c>
      <c r="AC56" s="71">
        <f t="shared" si="8"/>
        <v>91.3</v>
      </c>
      <c r="AD56" s="71">
        <f t="shared" si="8"/>
        <v>68.8</v>
      </c>
      <c r="AE56" s="71">
        <f t="shared" si="8"/>
        <v>7.5</v>
      </c>
      <c r="AF56" s="71">
        <f t="shared" si="8"/>
        <v>0</v>
      </c>
      <c r="AG56" s="76">
        <f>SUM(AG53:AG55)</f>
        <v>106</v>
      </c>
      <c r="AH56" s="53">
        <f t="shared" si="2"/>
        <v>101.60000000000001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61</v>
      </c>
      <c r="C57" s="50">
        <v>56</v>
      </c>
      <c r="D57" s="50">
        <v>55</v>
      </c>
      <c r="E57" s="50">
        <v>51</v>
      </c>
      <c r="F57" s="50">
        <v>48</v>
      </c>
      <c r="G57" s="50">
        <v>47</v>
      </c>
      <c r="H57" s="50">
        <v>45</v>
      </c>
      <c r="I57" s="50">
        <v>60</v>
      </c>
      <c r="J57" s="50">
        <v>62</v>
      </c>
      <c r="K57" s="50">
        <v>0</v>
      </c>
      <c r="L57" s="50">
        <v>66.900000000000006</v>
      </c>
      <c r="M57" s="50">
        <v>69.8</v>
      </c>
      <c r="N57" s="50">
        <v>73</v>
      </c>
      <c r="O57" s="50">
        <v>71</v>
      </c>
      <c r="P57" s="50">
        <v>76</v>
      </c>
      <c r="Q57" s="50">
        <v>60</v>
      </c>
      <c r="R57" s="50">
        <v>73</v>
      </c>
      <c r="S57" s="50">
        <v>73.900000000000006</v>
      </c>
      <c r="T57" s="50">
        <v>71.599999999999994</v>
      </c>
      <c r="U57" s="50">
        <v>67.8</v>
      </c>
      <c r="V57" s="50">
        <v>70.900000000000006</v>
      </c>
      <c r="W57" s="50">
        <v>56.1</v>
      </c>
      <c r="X57" s="50">
        <v>71.099999999999994</v>
      </c>
      <c r="Y57" s="50">
        <v>67</v>
      </c>
      <c r="Z57" s="50">
        <v>63.7</v>
      </c>
      <c r="AA57" s="50">
        <v>70</v>
      </c>
      <c r="AB57" s="50">
        <v>65.7</v>
      </c>
      <c r="AC57" s="50">
        <v>75.900000000000006</v>
      </c>
      <c r="AD57" s="50">
        <v>63</v>
      </c>
      <c r="AE57" s="50">
        <v>65.599999999999994</v>
      </c>
      <c r="AF57" s="50">
        <v>71.099999999999994</v>
      </c>
      <c r="AG57" s="61"/>
      <c r="AH57" s="53">
        <f t="shared" si="2"/>
        <v>76</v>
      </c>
      <c r="AI57" s="54">
        <f t="shared" si="3"/>
        <v>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84.6</v>
      </c>
      <c r="N58" s="50">
        <v>89</v>
      </c>
      <c r="O58" s="50">
        <v>80</v>
      </c>
      <c r="P58" s="50">
        <v>91</v>
      </c>
      <c r="Q58" s="50">
        <v>51</v>
      </c>
      <c r="R58" s="50">
        <v>48</v>
      </c>
      <c r="S58" s="50">
        <v>50.6</v>
      </c>
      <c r="T58" s="50">
        <v>50.8</v>
      </c>
      <c r="U58" s="50">
        <v>45.1</v>
      </c>
      <c r="V58" s="50">
        <v>46.5</v>
      </c>
      <c r="W58" s="50">
        <v>87.8</v>
      </c>
      <c r="X58" s="82">
        <v>109</v>
      </c>
      <c r="Y58" s="82">
        <v>108</v>
      </c>
      <c r="Z58" s="82">
        <v>105</v>
      </c>
      <c r="AA58" s="82">
        <v>96.5</v>
      </c>
      <c r="AB58" s="72">
        <v>84.1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109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305</v>
      </c>
      <c r="C59" s="72">
        <v>300</v>
      </c>
      <c r="D59" s="72">
        <v>287</v>
      </c>
      <c r="E59" s="72">
        <v>280</v>
      </c>
      <c r="F59" s="72">
        <v>260</v>
      </c>
      <c r="G59" s="72">
        <v>275</v>
      </c>
      <c r="H59" s="50">
        <v>250</v>
      </c>
      <c r="I59" s="50">
        <v>300</v>
      </c>
      <c r="J59" s="50">
        <v>330</v>
      </c>
      <c r="K59" s="50">
        <v>336.6</v>
      </c>
      <c r="L59" s="50">
        <v>325</v>
      </c>
      <c r="M59" s="72">
        <v>58.6</v>
      </c>
      <c r="N59" s="72">
        <v>8</v>
      </c>
      <c r="O59" s="72">
        <v>0</v>
      </c>
      <c r="P59" s="72">
        <v>47</v>
      </c>
      <c r="Q59" s="72">
        <v>318</v>
      </c>
      <c r="R59" s="72">
        <v>325</v>
      </c>
      <c r="S59" s="72">
        <v>335.8</v>
      </c>
      <c r="T59" s="72">
        <v>329.7</v>
      </c>
      <c r="U59" s="72">
        <v>342</v>
      </c>
      <c r="V59" s="72">
        <v>257.10000000000002</v>
      </c>
      <c r="W59" s="72">
        <v>53.9</v>
      </c>
      <c r="X59" s="83">
        <v>10</v>
      </c>
      <c r="Y59" s="83">
        <v>0</v>
      </c>
      <c r="Z59" s="83">
        <v>0</v>
      </c>
      <c r="AA59" s="83">
        <v>0</v>
      </c>
      <c r="AB59" s="72">
        <v>0</v>
      </c>
      <c r="AC59" s="72">
        <v>235</v>
      </c>
      <c r="AD59" s="72">
        <v>330</v>
      </c>
      <c r="AE59" s="72">
        <v>310.60000000000002</v>
      </c>
      <c r="AF59" s="72">
        <v>321</v>
      </c>
      <c r="AG59" s="84"/>
      <c r="AH59" s="53">
        <f t="shared" si="2"/>
        <v>342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14.9</v>
      </c>
      <c r="L60" s="57">
        <v>15</v>
      </c>
      <c r="M60" s="72">
        <v>45</v>
      </c>
      <c r="N60" s="72">
        <v>47</v>
      </c>
      <c r="O60" s="72">
        <v>54</v>
      </c>
      <c r="P60" s="72">
        <v>55</v>
      </c>
      <c r="Q60" s="72">
        <v>60</v>
      </c>
      <c r="R60" s="72">
        <v>0</v>
      </c>
      <c r="S60" s="72">
        <v>0</v>
      </c>
      <c r="T60" s="72">
        <v>0</v>
      </c>
      <c r="U60" s="72">
        <v>52</v>
      </c>
      <c r="V60" s="72">
        <v>52</v>
      </c>
      <c r="W60" s="72">
        <v>54.8</v>
      </c>
      <c r="X60" s="72">
        <v>57.3</v>
      </c>
      <c r="Y60" s="72">
        <v>58.8</v>
      </c>
      <c r="Z60" s="72">
        <v>57.8</v>
      </c>
      <c r="AA60" s="72">
        <v>53.6</v>
      </c>
      <c r="AB60" s="72">
        <v>50.2</v>
      </c>
      <c r="AC60" s="72">
        <v>50</v>
      </c>
      <c r="AD60" s="72">
        <v>46.2</v>
      </c>
      <c r="AE60" s="72">
        <v>0</v>
      </c>
      <c r="AF60" s="57">
        <v>0</v>
      </c>
      <c r="AG60" s="84"/>
      <c r="AH60" s="53">
        <f t="shared" si="2"/>
        <v>60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77.8</v>
      </c>
      <c r="L61" s="57">
        <v>74.099999999999994</v>
      </c>
      <c r="M61" s="50">
        <v>74.900000000000006</v>
      </c>
      <c r="N61" s="50">
        <v>79</v>
      </c>
      <c r="O61" s="50">
        <v>78</v>
      </c>
      <c r="P61" s="50">
        <v>80</v>
      </c>
      <c r="Q61" s="50">
        <v>94</v>
      </c>
      <c r="R61" s="50">
        <v>82</v>
      </c>
      <c r="S61" s="50">
        <v>70.8</v>
      </c>
      <c r="T61" s="50">
        <v>69.8</v>
      </c>
      <c r="U61" s="50">
        <v>77.3</v>
      </c>
      <c r="V61" s="50">
        <v>63.1</v>
      </c>
      <c r="W61" s="50">
        <v>75.099999999999994</v>
      </c>
      <c r="X61" s="50">
        <v>80.099999999999994</v>
      </c>
      <c r="Y61" s="50">
        <v>83.6</v>
      </c>
      <c r="Z61" s="50">
        <v>81.5</v>
      </c>
      <c r="AA61" s="50">
        <v>71.900000000000006</v>
      </c>
      <c r="AB61" s="50">
        <v>74.8</v>
      </c>
      <c r="AC61" s="50">
        <v>74.900000000000006</v>
      </c>
      <c r="AD61" s="50">
        <v>0</v>
      </c>
      <c r="AE61" s="50">
        <v>0</v>
      </c>
      <c r="AF61" s="50">
        <v>0</v>
      </c>
      <c r="AG61" s="84"/>
      <c r="AH61" s="53">
        <f t="shared" si="2"/>
        <v>94</v>
      </c>
      <c r="AI61" s="54">
        <f t="shared" si="3"/>
        <v>0</v>
      </c>
      <c r="AK61" s="55"/>
    </row>
    <row r="62" spans="1:37" x14ac:dyDescent="0.25">
      <c r="A62" s="65" t="s">
        <v>70</v>
      </c>
      <c r="B62" s="50">
        <v>0</v>
      </c>
      <c r="C62" s="57">
        <v>0</v>
      </c>
      <c r="D62" s="57">
        <v>0</v>
      </c>
      <c r="E62" s="57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0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0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0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0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0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0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0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366</v>
      </c>
      <c r="C68" s="71">
        <f>SUM(C57:C67)</f>
        <v>356</v>
      </c>
      <c r="D68" s="71">
        <f t="shared" ref="D68:AF68" si="9">SUM(D57:D67)</f>
        <v>342</v>
      </c>
      <c r="E68" s="71">
        <f t="shared" si="9"/>
        <v>331</v>
      </c>
      <c r="F68" s="71">
        <f t="shared" si="9"/>
        <v>308</v>
      </c>
      <c r="G68" s="71">
        <f t="shared" si="9"/>
        <v>322</v>
      </c>
      <c r="H68" s="71">
        <f t="shared" si="9"/>
        <v>295</v>
      </c>
      <c r="I68" s="71">
        <f t="shared" si="9"/>
        <v>360</v>
      </c>
      <c r="J68" s="71">
        <f t="shared" si="9"/>
        <v>392</v>
      </c>
      <c r="K68" s="71">
        <f t="shared" si="9"/>
        <v>429.3</v>
      </c>
      <c r="L68" s="71">
        <f t="shared" si="9"/>
        <v>481</v>
      </c>
      <c r="M68" s="71">
        <f t="shared" si="9"/>
        <v>332.9</v>
      </c>
      <c r="N68" s="71">
        <f t="shared" si="9"/>
        <v>296</v>
      </c>
      <c r="O68" s="71">
        <f t="shared" si="9"/>
        <v>283</v>
      </c>
      <c r="P68" s="71">
        <f t="shared" si="9"/>
        <v>349</v>
      </c>
      <c r="Q68" s="71">
        <f t="shared" si="9"/>
        <v>583</v>
      </c>
      <c r="R68" s="71">
        <f t="shared" si="9"/>
        <v>528</v>
      </c>
      <c r="S68" s="71">
        <f t="shared" si="9"/>
        <v>531.1</v>
      </c>
      <c r="T68" s="71">
        <f t="shared" si="9"/>
        <v>521.9</v>
      </c>
      <c r="U68" s="71">
        <f t="shared" si="9"/>
        <v>584.19999999999993</v>
      </c>
      <c r="V68" s="71">
        <f t="shared" si="9"/>
        <v>489.6</v>
      </c>
      <c r="W68" s="71">
        <f t="shared" si="9"/>
        <v>327.70000000000005</v>
      </c>
      <c r="X68" s="71">
        <f t="shared" si="9"/>
        <v>327.5</v>
      </c>
      <c r="Y68" s="71">
        <f t="shared" si="9"/>
        <v>317.39999999999998</v>
      </c>
      <c r="Z68" s="71">
        <f t="shared" si="9"/>
        <v>308</v>
      </c>
      <c r="AA68" s="71">
        <f t="shared" si="9"/>
        <v>292</v>
      </c>
      <c r="AB68" s="71">
        <f t="shared" si="9"/>
        <v>274.8</v>
      </c>
      <c r="AC68" s="71">
        <f t="shared" si="9"/>
        <v>435.79999999999995</v>
      </c>
      <c r="AD68" s="71">
        <f t="shared" si="9"/>
        <v>439.2</v>
      </c>
      <c r="AE68" s="71">
        <f t="shared" si="9"/>
        <v>376.20000000000005</v>
      </c>
      <c r="AF68" s="71">
        <f t="shared" si="9"/>
        <v>392.1</v>
      </c>
      <c r="AG68" s="76">
        <f>SUM(AG57:AG67)</f>
        <v>0</v>
      </c>
      <c r="AH68" s="53">
        <f t="shared" si="2"/>
        <v>584.19999999999993</v>
      </c>
      <c r="AI68" s="54">
        <f t="shared" si="3"/>
        <v>274.8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957.33999999999992</v>
      </c>
      <c r="C73" s="88">
        <f>C68+C56+C52+C38+C72</f>
        <v>907.44</v>
      </c>
      <c r="D73" s="88">
        <f t="shared" ref="D73:AG73" si="11">D68+D56+D52+D38+D72</f>
        <v>893.44</v>
      </c>
      <c r="E73" s="88">
        <f t="shared" si="11"/>
        <v>883.34</v>
      </c>
      <c r="F73" s="88">
        <f t="shared" si="11"/>
        <v>892.44</v>
      </c>
      <c r="G73" s="88">
        <f t="shared" si="11"/>
        <v>928.33999999999992</v>
      </c>
      <c r="H73" s="88">
        <f t="shared" si="11"/>
        <v>962.54</v>
      </c>
      <c r="I73" s="88">
        <f t="shared" si="11"/>
        <v>1049.44</v>
      </c>
      <c r="J73" s="88">
        <f t="shared" si="11"/>
        <v>1137.24</v>
      </c>
      <c r="K73" s="88">
        <f t="shared" si="11"/>
        <v>1279.1400000000001</v>
      </c>
      <c r="L73" s="88">
        <f t="shared" si="11"/>
        <v>1389.64</v>
      </c>
      <c r="M73" s="88">
        <f t="shared" si="11"/>
        <v>1467.04</v>
      </c>
      <c r="N73" s="88">
        <f t="shared" si="11"/>
        <v>1496.75</v>
      </c>
      <c r="O73" s="88">
        <f t="shared" si="11"/>
        <v>1464.14</v>
      </c>
      <c r="P73" s="88">
        <f t="shared" si="11"/>
        <v>1386.64</v>
      </c>
      <c r="Q73" s="88">
        <f t="shared" si="11"/>
        <v>1371.14</v>
      </c>
      <c r="R73" s="88">
        <f t="shared" si="11"/>
        <v>1378.84</v>
      </c>
      <c r="S73" s="88">
        <f t="shared" si="11"/>
        <v>1394.54</v>
      </c>
      <c r="T73" s="88">
        <f t="shared" si="11"/>
        <v>1344.24</v>
      </c>
      <c r="U73" s="88">
        <f t="shared" si="11"/>
        <v>1349.1399999999999</v>
      </c>
      <c r="V73" s="88">
        <f t="shared" si="11"/>
        <v>1350.64</v>
      </c>
      <c r="W73" s="88">
        <f t="shared" si="11"/>
        <v>1456.14</v>
      </c>
      <c r="X73" s="88">
        <f t="shared" si="11"/>
        <v>1618.04</v>
      </c>
      <c r="Y73" s="88">
        <f t="shared" si="11"/>
        <v>1528.94</v>
      </c>
      <c r="Z73" s="88">
        <f t="shared" si="11"/>
        <v>1539.3400000000001</v>
      </c>
      <c r="AA73" s="88">
        <f t="shared" si="11"/>
        <v>1524.24</v>
      </c>
      <c r="AB73" s="88">
        <f t="shared" si="11"/>
        <v>1536.2400000000002</v>
      </c>
      <c r="AC73" s="88">
        <f t="shared" si="11"/>
        <v>1439.54</v>
      </c>
      <c r="AD73" s="88">
        <f t="shared" si="11"/>
        <v>1313.74</v>
      </c>
      <c r="AE73" s="88">
        <f t="shared" si="11"/>
        <v>1066.44</v>
      </c>
      <c r="AF73" s="88">
        <f t="shared" si="11"/>
        <v>1006.04</v>
      </c>
      <c r="AG73" s="88">
        <f t="shared" si="11"/>
        <v>2144.14</v>
      </c>
      <c r="AH73" s="53">
        <f t="shared" si="2"/>
        <v>1618.04</v>
      </c>
      <c r="AI73" s="54">
        <f t="shared" si="3"/>
        <v>883.34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>
        <v>65</v>
      </c>
      <c r="Q74" s="90"/>
      <c r="R74" s="90"/>
      <c r="S74" s="90"/>
      <c r="T74" s="90"/>
      <c r="U74" s="90"/>
      <c r="V74" s="90"/>
      <c r="W74" s="90"/>
      <c r="X74" s="90"/>
      <c r="Y74" s="90"/>
      <c r="Z74" s="90">
        <v>40</v>
      </c>
      <c r="AA74" s="90"/>
      <c r="AB74" s="90"/>
      <c r="AC74" s="90"/>
      <c r="AD74" s="90"/>
      <c r="AE74" s="90"/>
      <c r="AF74" s="90"/>
      <c r="AG74" s="76"/>
      <c r="AH74" s="53">
        <f t="shared" si="2"/>
        <v>65</v>
      </c>
      <c r="AI74" s="54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957.33999999999992</v>
      </c>
      <c r="C75" s="88">
        <f>C73+C74</f>
        <v>907.44</v>
      </c>
      <c r="D75" s="88">
        <f t="shared" ref="D75:AF75" si="12">D72+D68+D56+D52+D38+D74</f>
        <v>893.44</v>
      </c>
      <c r="E75" s="88">
        <f t="shared" si="12"/>
        <v>883.34</v>
      </c>
      <c r="F75" s="88">
        <f t="shared" si="12"/>
        <v>892.44</v>
      </c>
      <c r="G75" s="88">
        <f t="shared" si="12"/>
        <v>928.33999999999992</v>
      </c>
      <c r="H75" s="88">
        <f t="shared" si="12"/>
        <v>962.54</v>
      </c>
      <c r="I75" s="88">
        <f t="shared" si="12"/>
        <v>1049.44</v>
      </c>
      <c r="J75" s="88">
        <f t="shared" si="12"/>
        <v>1137.24</v>
      </c>
      <c r="K75" s="88">
        <f t="shared" si="12"/>
        <v>1279.1400000000001</v>
      </c>
      <c r="L75" s="88">
        <f t="shared" si="12"/>
        <v>1389.64</v>
      </c>
      <c r="M75" s="88">
        <f t="shared" si="12"/>
        <v>1467.04</v>
      </c>
      <c r="N75" s="88">
        <f t="shared" si="12"/>
        <v>1496.75</v>
      </c>
      <c r="O75" s="88">
        <f t="shared" si="12"/>
        <v>1464.14</v>
      </c>
      <c r="P75" s="88">
        <f t="shared" si="12"/>
        <v>1451.64</v>
      </c>
      <c r="Q75" s="88">
        <f t="shared" si="12"/>
        <v>1371.14</v>
      </c>
      <c r="R75" s="88">
        <f t="shared" si="12"/>
        <v>1378.84</v>
      </c>
      <c r="S75" s="88">
        <f t="shared" si="12"/>
        <v>1394.54</v>
      </c>
      <c r="T75" s="88">
        <f t="shared" si="12"/>
        <v>1344.24</v>
      </c>
      <c r="U75" s="88">
        <f t="shared" si="12"/>
        <v>1349.1399999999999</v>
      </c>
      <c r="V75" s="88">
        <f t="shared" si="12"/>
        <v>1350.64</v>
      </c>
      <c r="W75" s="88">
        <f t="shared" si="12"/>
        <v>1456.14</v>
      </c>
      <c r="X75" s="88">
        <f t="shared" si="12"/>
        <v>1618.04</v>
      </c>
      <c r="Y75" s="88">
        <f t="shared" si="12"/>
        <v>1528.94</v>
      </c>
      <c r="Z75" s="88">
        <f t="shared" si="12"/>
        <v>1579.3400000000001</v>
      </c>
      <c r="AA75" s="88">
        <f t="shared" si="12"/>
        <v>1524.24</v>
      </c>
      <c r="AB75" s="88">
        <f t="shared" si="12"/>
        <v>1536.2400000000002</v>
      </c>
      <c r="AC75" s="88">
        <f t="shared" si="12"/>
        <v>1439.54</v>
      </c>
      <c r="AD75" s="88">
        <f t="shared" si="12"/>
        <v>1313.74</v>
      </c>
      <c r="AE75" s="88">
        <f t="shared" si="12"/>
        <v>1066.44</v>
      </c>
      <c r="AF75" s="88">
        <f t="shared" si="12"/>
        <v>1006.04</v>
      </c>
      <c r="AG75" s="76">
        <f>AG72+AG68+AG56+AG52+AG38+AG74</f>
        <v>2144.14</v>
      </c>
      <c r="AH75" s="53">
        <f t="shared" si="2"/>
        <v>1618.04</v>
      </c>
      <c r="AI75" s="54">
        <f t="shared" si="3"/>
        <v>883.34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1914.6799999999998</v>
      </c>
      <c r="C83" s="71">
        <f t="shared" ref="C83:AG83" si="21">SUM(C70:C82)</f>
        <v>1814.88</v>
      </c>
      <c r="D83" s="71">
        <f t="shared" si="21"/>
        <v>1786.88</v>
      </c>
      <c r="E83" s="71">
        <f t="shared" si="21"/>
        <v>1766.68</v>
      </c>
      <c r="F83" s="71">
        <f t="shared" si="21"/>
        <v>1784.88</v>
      </c>
      <c r="G83" s="71">
        <f t="shared" si="21"/>
        <v>1856.6799999999998</v>
      </c>
      <c r="H83" s="71">
        <f t="shared" si="21"/>
        <v>1925.08</v>
      </c>
      <c r="I83" s="71">
        <f t="shared" si="21"/>
        <v>2098.88</v>
      </c>
      <c r="J83" s="71">
        <f t="shared" si="21"/>
        <v>2274.48</v>
      </c>
      <c r="K83" s="71">
        <f t="shared" si="21"/>
        <v>2558.2800000000002</v>
      </c>
      <c r="L83" s="71">
        <f t="shared" si="21"/>
        <v>2779.28</v>
      </c>
      <c r="M83" s="71">
        <f t="shared" si="21"/>
        <v>2934.08</v>
      </c>
      <c r="N83" s="71">
        <f t="shared" si="21"/>
        <v>2993.5</v>
      </c>
      <c r="O83" s="71">
        <f t="shared" si="21"/>
        <v>2928.28</v>
      </c>
      <c r="P83" s="71">
        <f t="shared" si="21"/>
        <v>2903.28</v>
      </c>
      <c r="Q83" s="71">
        <f t="shared" si="21"/>
        <v>2742.28</v>
      </c>
      <c r="R83" s="71">
        <f t="shared" si="21"/>
        <v>2757.68</v>
      </c>
      <c r="S83" s="71">
        <f t="shared" si="21"/>
        <v>2789.08</v>
      </c>
      <c r="T83" s="71">
        <f t="shared" si="21"/>
        <v>2688.48</v>
      </c>
      <c r="U83" s="71">
        <f t="shared" si="21"/>
        <v>2698.2799999999997</v>
      </c>
      <c r="V83" s="71">
        <f t="shared" si="21"/>
        <v>2701.28</v>
      </c>
      <c r="W83" s="71">
        <f t="shared" si="21"/>
        <v>2912.28</v>
      </c>
      <c r="X83" s="71">
        <f t="shared" si="21"/>
        <v>3236.08</v>
      </c>
      <c r="Y83" s="71">
        <f t="shared" si="21"/>
        <v>3057.88</v>
      </c>
      <c r="Z83" s="71">
        <f t="shared" si="21"/>
        <v>3158.6800000000003</v>
      </c>
      <c r="AA83" s="71">
        <f t="shared" si="21"/>
        <v>3048.48</v>
      </c>
      <c r="AB83" s="71">
        <f t="shared" si="21"/>
        <v>3072.4800000000005</v>
      </c>
      <c r="AC83" s="71">
        <f t="shared" si="21"/>
        <v>2879.08</v>
      </c>
      <c r="AD83" s="71">
        <f t="shared" si="21"/>
        <v>2627.48</v>
      </c>
      <c r="AE83" s="71">
        <f t="shared" si="21"/>
        <v>2132.88</v>
      </c>
      <c r="AF83" s="71">
        <f t="shared" si="21"/>
        <v>2012.08</v>
      </c>
      <c r="AG83" s="76">
        <f t="shared" si="21"/>
        <v>4360.08</v>
      </c>
      <c r="AH83" s="53">
        <f t="shared" si="14"/>
        <v>3236.08</v>
      </c>
      <c r="AI83" s="54">
        <f t="shared" si="15"/>
        <v>1766.68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49.963000000000001</v>
      </c>
      <c r="C84" s="95">
        <v>49.97</v>
      </c>
      <c r="D84" s="95">
        <v>50.045999999999999</v>
      </c>
      <c r="E84" s="95">
        <v>50.006999999999998</v>
      </c>
      <c r="F84" s="95">
        <v>50.015000000000001</v>
      </c>
      <c r="G84" s="95">
        <v>50.058</v>
      </c>
      <c r="H84" s="95">
        <v>50.000999999999998</v>
      </c>
      <c r="I84" s="95">
        <v>50.043999999999997</v>
      </c>
      <c r="J84" s="95">
        <v>50.027000000000001</v>
      </c>
      <c r="K84" s="95">
        <v>49.994999999999997</v>
      </c>
      <c r="L84" s="95">
        <v>49.997999999999998</v>
      </c>
      <c r="M84" s="95">
        <v>50.015000000000001</v>
      </c>
      <c r="N84" s="95">
        <v>50.015000000000001</v>
      </c>
      <c r="O84" s="95">
        <v>50.08</v>
      </c>
      <c r="P84" s="95">
        <v>49.997999999999998</v>
      </c>
      <c r="Q84" s="95">
        <v>49.997999999999998</v>
      </c>
      <c r="R84" s="95">
        <v>49.923000000000002</v>
      </c>
      <c r="S84" s="95">
        <v>50.021000000000001</v>
      </c>
      <c r="T84" s="95">
        <v>49.954999999999998</v>
      </c>
      <c r="U84" s="95">
        <v>49.930999999999997</v>
      </c>
      <c r="V84" s="95">
        <v>50.021999999999998</v>
      </c>
      <c r="W84" s="95">
        <v>50.048000000000002</v>
      </c>
      <c r="X84" s="95">
        <v>49.97</v>
      </c>
      <c r="Y84" s="95"/>
      <c r="Z84" s="95">
        <v>49.978999999999999</v>
      </c>
      <c r="AA84" s="95">
        <v>49.771000000000001</v>
      </c>
      <c r="AB84" s="95">
        <v>50.085000000000001</v>
      </c>
      <c r="AC84" s="95">
        <v>49.956000000000003</v>
      </c>
      <c r="AD84" s="95">
        <v>50.037999999999997</v>
      </c>
      <c r="AE84" s="95">
        <v>50.04</v>
      </c>
      <c r="AF84" s="95">
        <v>49.865000000000002</v>
      </c>
      <c r="AG84" s="96"/>
      <c r="AH84" s="53">
        <f t="shared" si="14"/>
        <v>50.085000000000001</v>
      </c>
      <c r="AI84" s="54">
        <f t="shared" si="15"/>
        <v>49.771000000000001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125.1</v>
      </c>
      <c r="C85" s="72">
        <v>124.8</v>
      </c>
      <c r="D85" s="72">
        <v>125.2</v>
      </c>
      <c r="E85" s="72">
        <v>125.6</v>
      </c>
      <c r="F85" s="72">
        <v>126.6</v>
      </c>
      <c r="G85" s="72">
        <v>125.6</v>
      </c>
      <c r="H85" s="72">
        <v>125.5</v>
      </c>
      <c r="I85" s="72">
        <v>123.6</v>
      </c>
      <c r="J85" s="72">
        <v>124.5</v>
      </c>
      <c r="K85" s="72">
        <v>125.2</v>
      </c>
      <c r="L85" s="72">
        <v>124.7</v>
      </c>
      <c r="M85" s="72">
        <v>125.9</v>
      </c>
      <c r="N85" s="72">
        <v>125.9</v>
      </c>
      <c r="O85" s="72">
        <v>123.5</v>
      </c>
      <c r="P85" s="72">
        <v>126</v>
      </c>
      <c r="Q85" s="72">
        <v>126</v>
      </c>
      <c r="R85" s="72">
        <v>124</v>
      </c>
      <c r="S85" s="72">
        <v>125</v>
      </c>
      <c r="T85" s="72">
        <v>124</v>
      </c>
      <c r="U85" s="99">
        <v>123.2</v>
      </c>
      <c r="V85" s="99">
        <v>125.2</v>
      </c>
      <c r="W85" s="99">
        <v>123</v>
      </c>
      <c r="X85" s="99">
        <v>122.3</v>
      </c>
      <c r="Y85" s="99"/>
      <c r="Z85" s="99">
        <v>123.4</v>
      </c>
      <c r="AA85" s="99">
        <v>124.2</v>
      </c>
      <c r="AB85" s="72">
        <v>124.2</v>
      </c>
      <c r="AC85" s="72">
        <v>124.2</v>
      </c>
      <c r="AD85" s="72">
        <v>124.2</v>
      </c>
      <c r="AE85" s="72">
        <v>124.2</v>
      </c>
      <c r="AF85" s="72">
        <v>124.2</v>
      </c>
      <c r="AG85" s="100"/>
      <c r="AH85" s="53">
        <f t="shared" si="14"/>
        <v>126.6</v>
      </c>
      <c r="AI85" s="54">
        <f t="shared" si="15"/>
        <v>122.3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</v>
      </c>
      <c r="C86" s="72">
        <v>129.19999999999999</v>
      </c>
      <c r="D86" s="72">
        <v>130.30000000000001</v>
      </c>
      <c r="E86" s="72">
        <v>130</v>
      </c>
      <c r="F86" s="72">
        <v>130.4</v>
      </c>
      <c r="G86" s="72">
        <v>130</v>
      </c>
      <c r="H86" s="72">
        <v>129.9</v>
      </c>
      <c r="I86" s="72">
        <v>128</v>
      </c>
      <c r="J86" s="72">
        <v>128.1</v>
      </c>
      <c r="K86" s="72">
        <v>128</v>
      </c>
      <c r="L86" s="72">
        <v>127.1</v>
      </c>
      <c r="M86" s="72">
        <v>128.19999999999999</v>
      </c>
      <c r="N86" s="72">
        <v>128.19999999999999</v>
      </c>
      <c r="O86" s="72">
        <v>125</v>
      </c>
      <c r="P86" s="72">
        <v>127</v>
      </c>
      <c r="Q86" s="72">
        <v>127</v>
      </c>
      <c r="R86" s="72">
        <v>126</v>
      </c>
      <c r="S86" s="72">
        <v>126.6</v>
      </c>
      <c r="T86" s="72">
        <v>126.4</v>
      </c>
      <c r="U86" s="99">
        <v>125.8</v>
      </c>
      <c r="V86" s="99">
        <v>127.1</v>
      </c>
      <c r="W86" s="99">
        <v>125.4</v>
      </c>
      <c r="X86" s="99">
        <v>124.9</v>
      </c>
      <c r="Y86" s="99"/>
      <c r="Z86" s="99">
        <v>124.1</v>
      </c>
      <c r="AA86" s="99">
        <v>125.5</v>
      </c>
      <c r="AB86" s="72">
        <v>125.5</v>
      </c>
      <c r="AC86" s="72">
        <v>125.5</v>
      </c>
      <c r="AD86" s="72">
        <v>125.5</v>
      </c>
      <c r="AE86" s="72">
        <v>125.5</v>
      </c>
      <c r="AF86" s="72">
        <v>125.5</v>
      </c>
      <c r="AG86" s="100"/>
      <c r="AH86" s="53">
        <f t="shared" si="14"/>
        <v>130.4</v>
      </c>
      <c r="AI86" s="54">
        <f t="shared" si="15"/>
        <v>124.1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128.9</v>
      </c>
      <c r="C87" s="72">
        <v>129.69999999999999</v>
      </c>
      <c r="D87" s="72">
        <v>130.5</v>
      </c>
      <c r="E87" s="72">
        <v>130.19999999999999</v>
      </c>
      <c r="F87" s="72">
        <v>131.1</v>
      </c>
      <c r="G87" s="72">
        <v>129.5</v>
      </c>
      <c r="H87" s="72">
        <v>127.7</v>
      </c>
      <c r="I87" s="72">
        <v>129</v>
      </c>
      <c r="J87" s="72">
        <v>127.5</v>
      </c>
      <c r="K87" s="72">
        <v>123.7</v>
      </c>
      <c r="L87" s="72">
        <v>129.6</v>
      </c>
      <c r="M87" s="72">
        <v>131.4</v>
      </c>
      <c r="N87" s="72">
        <v>131.4</v>
      </c>
      <c r="O87" s="72">
        <v>131</v>
      </c>
      <c r="P87" s="72">
        <v>129</v>
      </c>
      <c r="Q87" s="72">
        <v>129</v>
      </c>
      <c r="R87" s="72">
        <v>133</v>
      </c>
      <c r="S87" s="72">
        <v>133.69999999999999</v>
      </c>
      <c r="T87" s="72">
        <v>134</v>
      </c>
      <c r="U87" s="72">
        <v>132.6</v>
      </c>
      <c r="V87" s="72">
        <v>131.69999999999999</v>
      </c>
      <c r="W87" s="72">
        <v>128.9</v>
      </c>
      <c r="X87" s="99">
        <v>128.19999999999999</v>
      </c>
      <c r="Y87" s="99"/>
      <c r="Z87" s="99">
        <v>128.5</v>
      </c>
      <c r="AA87" s="99">
        <v>129.4</v>
      </c>
      <c r="AB87" s="72">
        <v>129.4</v>
      </c>
      <c r="AC87" s="72">
        <v>129.4</v>
      </c>
      <c r="AD87" s="72">
        <v>129.4</v>
      </c>
      <c r="AE87" s="72">
        <v>129.4</v>
      </c>
      <c r="AF87" s="72">
        <v>129.4</v>
      </c>
      <c r="AG87" s="100"/>
      <c r="AH87" s="53">
        <f t="shared" si="14"/>
        <v>134</v>
      </c>
      <c r="AI87" s="54">
        <f t="shared" si="15"/>
        <v>123.7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</v>
      </c>
      <c r="C88" s="72">
        <v>132.9</v>
      </c>
      <c r="D88" s="72">
        <v>132</v>
      </c>
      <c r="E88" s="72">
        <v>131.69999999999999</v>
      </c>
      <c r="F88" s="72">
        <v>132.9</v>
      </c>
      <c r="G88" s="72">
        <v>131.19999999999999</v>
      </c>
      <c r="H88" s="72">
        <v>129.1</v>
      </c>
      <c r="I88" s="72">
        <v>131.1</v>
      </c>
      <c r="J88" s="72">
        <v>129.1</v>
      </c>
      <c r="K88" s="72">
        <v>130.9</v>
      </c>
      <c r="L88" s="72">
        <v>131.1</v>
      </c>
      <c r="M88" s="72">
        <v>134.6</v>
      </c>
      <c r="N88" s="72">
        <v>134.6</v>
      </c>
      <c r="O88" s="72">
        <v>134</v>
      </c>
      <c r="P88" s="72">
        <v>132</v>
      </c>
      <c r="Q88" s="72">
        <v>132</v>
      </c>
      <c r="R88" s="72">
        <v>134</v>
      </c>
      <c r="S88" s="72">
        <v>131.19999999999999</v>
      </c>
      <c r="T88" s="72">
        <v>134.6</v>
      </c>
      <c r="U88" s="72">
        <v>131.4</v>
      </c>
      <c r="V88" s="72">
        <v>132.4</v>
      </c>
      <c r="W88" s="72">
        <v>131.6</v>
      </c>
      <c r="X88" s="99">
        <v>130</v>
      </c>
      <c r="Y88" s="99"/>
      <c r="Z88" s="99">
        <v>131.80000000000001</v>
      </c>
      <c r="AA88" s="99">
        <v>132.80000000000001</v>
      </c>
      <c r="AB88" s="72">
        <v>132.80000000000001</v>
      </c>
      <c r="AC88" s="72">
        <v>132.80000000000001</v>
      </c>
      <c r="AD88" s="72">
        <v>132.80000000000001</v>
      </c>
      <c r="AE88" s="72">
        <v>132.80000000000001</v>
      </c>
      <c r="AF88" s="72">
        <v>132.80000000000001</v>
      </c>
      <c r="AG88" s="100"/>
      <c r="AH88" s="53">
        <f t="shared" si="14"/>
        <v>134.6</v>
      </c>
      <c r="AI88" s="54">
        <f t="shared" si="15"/>
        <v>129.1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128.19999999999999</v>
      </c>
      <c r="C89" s="103">
        <v>128.80000000000001</v>
      </c>
      <c r="D89" s="103">
        <v>132</v>
      </c>
      <c r="E89" s="103">
        <v>130</v>
      </c>
      <c r="F89" s="103">
        <v>131.30000000000001</v>
      </c>
      <c r="G89" s="103">
        <v>131.4</v>
      </c>
      <c r="H89" s="103">
        <v>134.5</v>
      </c>
      <c r="I89" s="103">
        <v>132.80000000000001</v>
      </c>
      <c r="J89" s="103">
        <v>132.9</v>
      </c>
      <c r="K89" s="103">
        <v>134.80000000000001</v>
      </c>
      <c r="L89" s="103">
        <v>132.5</v>
      </c>
      <c r="M89" s="103">
        <v>135.4</v>
      </c>
      <c r="N89" s="103">
        <v>135.4</v>
      </c>
      <c r="O89" s="103">
        <v>132.6</v>
      </c>
      <c r="P89" s="103">
        <v>133</v>
      </c>
      <c r="Q89" s="103">
        <v>133</v>
      </c>
      <c r="R89" s="103">
        <v>133</v>
      </c>
      <c r="S89" s="103">
        <v>135</v>
      </c>
      <c r="T89" s="103">
        <v>132.80000000000001</v>
      </c>
      <c r="U89" s="103">
        <v>131.6</v>
      </c>
      <c r="V89" s="103">
        <v>138.6</v>
      </c>
      <c r="W89" s="103">
        <v>131.9</v>
      </c>
      <c r="X89" s="99">
        <v>132.9</v>
      </c>
      <c r="Y89" s="99"/>
      <c r="Z89" s="99">
        <v>135.6</v>
      </c>
      <c r="AA89" s="99">
        <v>133.1</v>
      </c>
      <c r="AB89" s="103">
        <v>133.1</v>
      </c>
      <c r="AC89" s="103">
        <v>133.1</v>
      </c>
      <c r="AD89" s="103">
        <v>134.1</v>
      </c>
      <c r="AE89" s="103">
        <v>134.1</v>
      </c>
      <c r="AF89" s="103">
        <v>130.19999999999999</v>
      </c>
      <c r="AG89" s="104"/>
      <c r="AH89" s="53">
        <f t="shared" si="14"/>
        <v>138.6</v>
      </c>
      <c r="AI89" s="54">
        <f t="shared" si="15"/>
        <v>128.19999999999999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139.1</v>
      </c>
      <c r="C90" s="72">
        <v>139.19999999999999</v>
      </c>
      <c r="D90" s="72">
        <v>140</v>
      </c>
      <c r="E90" s="72">
        <v>140</v>
      </c>
      <c r="F90" s="72">
        <v>137.69999999999999</v>
      </c>
      <c r="G90" s="72">
        <v>137</v>
      </c>
      <c r="H90" s="72">
        <v>136.9</v>
      </c>
      <c r="I90" s="72">
        <v>136.19999999999999</v>
      </c>
      <c r="J90" s="72">
        <v>136.69999999999999</v>
      </c>
      <c r="K90" s="72">
        <v>133.30000000000001</v>
      </c>
      <c r="L90" s="72">
        <v>132.19999999999999</v>
      </c>
      <c r="M90" s="72">
        <v>130.9</v>
      </c>
      <c r="N90" s="72">
        <v>130.9</v>
      </c>
      <c r="O90" s="72">
        <v>132</v>
      </c>
      <c r="P90" s="72">
        <v>132</v>
      </c>
      <c r="Q90" s="72">
        <v>132</v>
      </c>
      <c r="R90" s="72">
        <v>131</v>
      </c>
      <c r="S90" s="72">
        <v>133.9</v>
      </c>
      <c r="T90" s="72">
        <v>133.4</v>
      </c>
      <c r="U90" s="72">
        <v>133.30000000000001</v>
      </c>
      <c r="V90" s="72">
        <v>131.4</v>
      </c>
      <c r="W90" s="72">
        <v>134.1</v>
      </c>
      <c r="X90" s="99">
        <v>131.19999999999999</v>
      </c>
      <c r="Y90" s="99"/>
      <c r="Z90" s="99">
        <v>131.69999999999999</v>
      </c>
      <c r="AA90" s="99">
        <v>131.1</v>
      </c>
      <c r="AB90" s="72">
        <v>131.1</v>
      </c>
      <c r="AC90" s="72">
        <v>131.1</v>
      </c>
      <c r="AD90" s="72">
        <v>134.5</v>
      </c>
      <c r="AE90" s="72">
        <v>134.5</v>
      </c>
      <c r="AF90" s="72">
        <v>136.19999999999999</v>
      </c>
      <c r="AG90" s="100"/>
      <c r="AH90" s="53">
        <f t="shared" si="14"/>
        <v>140</v>
      </c>
      <c r="AI90" s="54">
        <f t="shared" si="15"/>
        <v>130.9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4"/>
        <v>0</v>
      </c>
      <c r="AI91" s="54">
        <f t="shared" si="15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207.14</v>
      </c>
      <c r="C93" s="113">
        <f>SUM(C15,C18,C21:C22,C42,C44:C45,C47,C49,C94:C97,C102,C108,C114,C123,C125,C137,C144,C147:C148,C155,C157,C159,C163:C165,C167:C169,C174,C180:C181,C183:C185,C193,C198)</f>
        <v>193.23999999999995</v>
      </c>
      <c r="D93" s="113">
        <f t="shared" ref="D93:AF93" si="22">SUM(D15,D18,D21:D22,D42,D44:D45,D47,D49,D94:D97,D102,D108,D114,D123,D125,D137,D144,D147:D148,D155,D157,D159,D163:D165,D167:D169,D174,D180:D181,D183:D185,D193,D198)</f>
        <v>187.03999999999996</v>
      </c>
      <c r="E93" s="113">
        <f t="shared" si="22"/>
        <v>185.14</v>
      </c>
      <c r="F93" s="113">
        <f t="shared" si="22"/>
        <v>187.03999999999996</v>
      </c>
      <c r="G93" s="112">
        <f t="shared" si="22"/>
        <v>203.94</v>
      </c>
      <c r="H93" s="112">
        <f t="shared" si="22"/>
        <v>227.23999999999992</v>
      </c>
      <c r="I93" s="112">
        <f t="shared" si="22"/>
        <v>253.03999999999996</v>
      </c>
      <c r="J93" s="112">
        <f t="shared" si="22"/>
        <v>290.14</v>
      </c>
      <c r="K93" s="112">
        <f t="shared" si="22"/>
        <v>318.14000000000004</v>
      </c>
      <c r="L93" s="112">
        <f t="shared" si="22"/>
        <v>417.74</v>
      </c>
      <c r="M93" s="112">
        <f t="shared" si="22"/>
        <v>402.04</v>
      </c>
      <c r="N93" s="112">
        <f t="shared" si="22"/>
        <v>462.14000000000004</v>
      </c>
      <c r="O93" s="112">
        <f t="shared" si="22"/>
        <v>469.44000000000005</v>
      </c>
      <c r="P93" s="112">
        <f t="shared" si="22"/>
        <v>443.84000000000003</v>
      </c>
      <c r="Q93" s="112">
        <f t="shared" si="22"/>
        <v>435.84000000000003</v>
      </c>
      <c r="R93" s="112">
        <f t="shared" si="22"/>
        <v>455.24</v>
      </c>
      <c r="S93" s="112">
        <f t="shared" si="22"/>
        <v>459.34000000000003</v>
      </c>
      <c r="T93" s="112">
        <f t="shared" si="22"/>
        <v>447.34000000000003</v>
      </c>
      <c r="U93" s="112">
        <f t="shared" si="22"/>
        <v>441.04</v>
      </c>
      <c r="V93" s="112">
        <f t="shared" si="22"/>
        <v>445.34000000000003</v>
      </c>
      <c r="W93" s="112">
        <f t="shared" si="22"/>
        <v>467.44</v>
      </c>
      <c r="X93" s="112">
        <f t="shared" si="22"/>
        <v>507.34</v>
      </c>
      <c r="Y93" s="112">
        <f t="shared" si="22"/>
        <v>133.23999999999998</v>
      </c>
      <c r="Z93" s="112">
        <f t="shared" si="22"/>
        <v>486.34000000000003</v>
      </c>
      <c r="AA93" s="112">
        <f t="shared" si="22"/>
        <v>455.24</v>
      </c>
      <c r="AB93" s="112">
        <f t="shared" si="22"/>
        <v>443.54</v>
      </c>
      <c r="AC93" s="112">
        <f t="shared" si="22"/>
        <v>465.74</v>
      </c>
      <c r="AD93" s="112">
        <f t="shared" si="22"/>
        <v>408.94</v>
      </c>
      <c r="AE93" s="112">
        <f t="shared" si="22"/>
        <v>287.74</v>
      </c>
      <c r="AF93" s="112">
        <f t="shared" si="22"/>
        <v>239.63999999999993</v>
      </c>
      <c r="AG93" s="114"/>
      <c r="AH93" s="53">
        <f>MAX(C93:AF93)</f>
        <v>507.34</v>
      </c>
      <c r="AI93" s="54">
        <f>MIN(C93:AF93)</f>
        <v>133.23999999999998</v>
      </c>
    </row>
    <row r="94" spans="1:88" x14ac:dyDescent="0.25">
      <c r="A94" s="115" t="s">
        <v>98</v>
      </c>
      <c r="B94" s="116">
        <v>-4.2</v>
      </c>
      <c r="C94" s="57">
        <v>-15.7</v>
      </c>
      <c r="D94" s="57">
        <v>-15.1</v>
      </c>
      <c r="E94" s="57">
        <v>-10.1</v>
      </c>
      <c r="F94" s="57">
        <v>1.5</v>
      </c>
      <c r="G94" s="117">
        <v>5.9</v>
      </c>
      <c r="H94" s="117">
        <v>30.2</v>
      </c>
      <c r="I94" s="117">
        <v>32.299999999999997</v>
      </c>
      <c r="J94" s="117">
        <v>46.6</v>
      </c>
      <c r="K94" s="117">
        <v>65.599999999999994</v>
      </c>
      <c r="L94" s="117">
        <v>64</v>
      </c>
      <c r="M94" s="118">
        <v>78.8</v>
      </c>
      <c r="N94" s="117">
        <v>73.7</v>
      </c>
      <c r="O94" s="117">
        <v>62.4</v>
      </c>
      <c r="P94" s="117">
        <v>37</v>
      </c>
      <c r="Q94" s="117">
        <v>32</v>
      </c>
      <c r="R94" s="117">
        <v>30</v>
      </c>
      <c r="S94" s="117">
        <v>28.6</v>
      </c>
      <c r="T94" s="117">
        <v>26</v>
      </c>
      <c r="U94" s="118">
        <v>27.5</v>
      </c>
      <c r="V94" s="118">
        <v>61.3</v>
      </c>
      <c r="W94" s="118">
        <v>60.5</v>
      </c>
      <c r="X94" s="117">
        <v>66.5</v>
      </c>
      <c r="Y94" s="117"/>
      <c r="Z94" s="117">
        <v>73.099999999999994</v>
      </c>
      <c r="AA94" s="117">
        <v>70</v>
      </c>
      <c r="AB94" s="118">
        <v>58.9</v>
      </c>
      <c r="AC94" s="118">
        <v>56.7</v>
      </c>
      <c r="AD94" s="118">
        <v>45</v>
      </c>
      <c r="AE94" s="118">
        <v>21.9</v>
      </c>
      <c r="AF94" s="118">
        <v>-20.5</v>
      </c>
      <c r="AG94" s="119">
        <v>75</v>
      </c>
      <c r="AH94" s="53">
        <f t="shared" ref="AH94:AH99" si="23">IF(ABS(MAX(C94:AF94))&gt;ABS(MIN(C94:AF94)),MAX(C94:AF94),MIN(C94:AF94))</f>
        <v>78.8</v>
      </c>
      <c r="AI94" s="120">
        <f t="shared" ref="AI94:AI99" si="24">INDEX($C$9:$AF$9,1,MATCH(AH94,C94:AF94,0))</f>
        <v>0.33333333333333331</v>
      </c>
    </row>
    <row r="95" spans="1:88" x14ac:dyDescent="0.25">
      <c r="A95" s="121" t="s">
        <v>99</v>
      </c>
      <c r="B95" s="122">
        <v>-32.200000000000003</v>
      </c>
      <c r="C95" s="59">
        <v>-34.299999999999997</v>
      </c>
      <c r="D95" s="59">
        <v>-37.6</v>
      </c>
      <c r="E95" s="59">
        <v>-38.799999999999997</v>
      </c>
      <c r="F95" s="59">
        <v>-38</v>
      </c>
      <c r="G95" s="59">
        <v>-34</v>
      </c>
      <c r="H95" s="59">
        <v>-30</v>
      </c>
      <c r="I95" s="59">
        <v>-24</v>
      </c>
      <c r="J95" s="59">
        <v>-13</v>
      </c>
      <c r="K95" s="59">
        <v>-24.1</v>
      </c>
      <c r="L95" s="59">
        <v>32.700000000000003</v>
      </c>
      <c r="M95" s="59">
        <v>-24.6</v>
      </c>
      <c r="N95" s="59">
        <v>57</v>
      </c>
      <c r="O95" s="59">
        <v>56.4</v>
      </c>
      <c r="P95" s="59">
        <v>75</v>
      </c>
      <c r="Q95" s="59">
        <v>72</v>
      </c>
      <c r="R95" s="59">
        <v>73</v>
      </c>
      <c r="S95" s="59">
        <v>76</v>
      </c>
      <c r="T95" s="59">
        <v>76</v>
      </c>
      <c r="U95" s="59">
        <v>77</v>
      </c>
      <c r="V95" s="59">
        <v>80.5</v>
      </c>
      <c r="W95" s="59">
        <v>86</v>
      </c>
      <c r="X95" s="59">
        <v>84</v>
      </c>
      <c r="Y95" s="59"/>
      <c r="Z95" s="59">
        <v>97</v>
      </c>
      <c r="AA95" s="59">
        <v>73</v>
      </c>
      <c r="AB95" s="72">
        <v>69</v>
      </c>
      <c r="AC95" s="72">
        <v>52</v>
      </c>
      <c r="AD95" s="72">
        <v>34.200000000000003</v>
      </c>
      <c r="AE95" s="72">
        <v>-15.2</v>
      </c>
      <c r="AF95" s="72">
        <v>-31.3</v>
      </c>
      <c r="AG95" s="119">
        <v>240</v>
      </c>
      <c r="AH95" s="53">
        <f t="shared" si="23"/>
        <v>97</v>
      </c>
      <c r="AI95" s="120">
        <f t="shared" si="24"/>
        <v>0.79166666666666663</v>
      </c>
    </row>
    <row r="96" spans="1:88" x14ac:dyDescent="0.25">
      <c r="A96" s="121" t="s">
        <v>100</v>
      </c>
      <c r="B96" s="122">
        <v>-7.5</v>
      </c>
      <c r="C96" s="59">
        <v>-13.5</v>
      </c>
      <c r="D96" s="59">
        <v>-7.4</v>
      </c>
      <c r="E96" s="59">
        <v>-9.6999999999999993</v>
      </c>
      <c r="F96" s="59">
        <v>-12</v>
      </c>
      <c r="G96" s="59">
        <v>-8.8000000000000007</v>
      </c>
      <c r="H96" s="59">
        <v>-5.3</v>
      </c>
      <c r="I96" s="59">
        <v>-4.3</v>
      </c>
      <c r="J96" s="59">
        <v>0</v>
      </c>
      <c r="K96" s="59">
        <v>16.100000000000001</v>
      </c>
      <c r="L96" s="59">
        <v>28.2</v>
      </c>
      <c r="M96" s="59">
        <v>41.6</v>
      </c>
      <c r="N96" s="59">
        <v>54</v>
      </c>
      <c r="O96" s="59">
        <v>60.3</v>
      </c>
      <c r="P96" s="59">
        <v>53</v>
      </c>
      <c r="Q96" s="59">
        <v>50</v>
      </c>
      <c r="R96" s="59">
        <v>60</v>
      </c>
      <c r="S96" s="59">
        <v>59.6</v>
      </c>
      <c r="T96" s="59">
        <v>55.5</v>
      </c>
      <c r="U96" s="59">
        <v>53.1</v>
      </c>
      <c r="V96" s="59">
        <v>57.5</v>
      </c>
      <c r="W96" s="59">
        <v>57.5</v>
      </c>
      <c r="X96" s="59">
        <v>67.2</v>
      </c>
      <c r="Y96" s="59"/>
      <c r="Z96" s="59">
        <v>64.900000000000006</v>
      </c>
      <c r="AA96" s="59">
        <v>65</v>
      </c>
      <c r="AB96" s="72">
        <v>65.8</v>
      </c>
      <c r="AC96" s="72">
        <v>66.3</v>
      </c>
      <c r="AD96" s="72">
        <v>50.7</v>
      </c>
      <c r="AE96" s="72">
        <v>11.9</v>
      </c>
      <c r="AF96" s="72">
        <v>12.1</v>
      </c>
      <c r="AG96" s="119">
        <v>60</v>
      </c>
      <c r="AH96" s="53">
        <f t="shared" si="23"/>
        <v>67.2</v>
      </c>
      <c r="AI96" s="120">
        <f t="shared" si="24"/>
        <v>0.75</v>
      </c>
    </row>
    <row r="97" spans="1:37" x14ac:dyDescent="0.25">
      <c r="A97" s="123" t="s">
        <v>101</v>
      </c>
      <c r="B97" s="124">
        <v>76.900000000000006</v>
      </c>
      <c r="C97" s="62">
        <v>82.6</v>
      </c>
      <c r="D97" s="62">
        <v>73</v>
      </c>
      <c r="E97" s="62">
        <v>70.400000000000006</v>
      </c>
      <c r="F97" s="62">
        <v>62.6</v>
      </c>
      <c r="G97" s="62">
        <v>67.900000000000006</v>
      </c>
      <c r="H97" s="62">
        <v>57.1</v>
      </c>
      <c r="I97" s="62">
        <v>72.8</v>
      </c>
      <c r="J97" s="62">
        <v>80.3</v>
      </c>
      <c r="K97" s="62">
        <v>83.7</v>
      </c>
      <c r="L97" s="62">
        <v>117.4</v>
      </c>
      <c r="M97" s="62">
        <v>131.80000000000001</v>
      </c>
      <c r="N97" s="62">
        <v>103</v>
      </c>
      <c r="O97" s="62">
        <v>117.5</v>
      </c>
      <c r="P97" s="62">
        <v>106</v>
      </c>
      <c r="Q97" s="62">
        <v>109</v>
      </c>
      <c r="R97" s="62">
        <v>119</v>
      </c>
      <c r="S97" s="62">
        <v>122</v>
      </c>
      <c r="T97" s="62">
        <v>117</v>
      </c>
      <c r="U97" s="62">
        <v>113</v>
      </c>
      <c r="V97" s="62">
        <v>78.400000000000006</v>
      </c>
      <c r="W97" s="62">
        <v>91.8</v>
      </c>
      <c r="X97" s="62">
        <v>115</v>
      </c>
      <c r="Y97" s="62"/>
      <c r="Z97" s="62">
        <v>111.1</v>
      </c>
      <c r="AA97" s="62">
        <v>107</v>
      </c>
      <c r="AB97" s="125">
        <v>99.5</v>
      </c>
      <c r="AC97" s="125">
        <v>114</v>
      </c>
      <c r="AD97" s="125">
        <v>110.7</v>
      </c>
      <c r="AE97" s="125">
        <v>92.9</v>
      </c>
      <c r="AF97" s="125">
        <v>102.6</v>
      </c>
      <c r="AG97" s="126">
        <v>120</v>
      </c>
      <c r="AH97" s="53">
        <f t="shared" si="23"/>
        <v>131.80000000000001</v>
      </c>
      <c r="AI97" s="120">
        <f t="shared" si="24"/>
        <v>0.33333333333333331</v>
      </c>
    </row>
    <row r="98" spans="1:37" x14ac:dyDescent="0.25">
      <c r="A98" s="123" t="s">
        <v>102</v>
      </c>
      <c r="B98" s="124">
        <v>88.2</v>
      </c>
      <c r="C98" s="62">
        <v>96.4</v>
      </c>
      <c r="D98" s="62">
        <v>83.7</v>
      </c>
      <c r="E98" s="62">
        <v>83.7</v>
      </c>
      <c r="F98" s="62">
        <v>75.099999999999994</v>
      </c>
      <c r="G98" s="62">
        <v>79.099999999999994</v>
      </c>
      <c r="H98" s="62">
        <v>64.099999999999994</v>
      </c>
      <c r="I98" s="62">
        <v>78.2</v>
      </c>
      <c r="J98" s="62">
        <v>80</v>
      </c>
      <c r="K98" s="62">
        <v>64.2</v>
      </c>
      <c r="L98" s="62">
        <v>64</v>
      </c>
      <c r="M98" s="62">
        <v>34.5</v>
      </c>
      <c r="N98" s="62">
        <v>62</v>
      </c>
      <c r="O98" s="62">
        <v>63.8</v>
      </c>
      <c r="P98" s="62">
        <v>80</v>
      </c>
      <c r="Q98" s="62">
        <v>80</v>
      </c>
      <c r="R98" s="62">
        <v>96</v>
      </c>
      <c r="S98" s="62">
        <v>96.5</v>
      </c>
      <c r="T98" s="62">
        <v>104.5</v>
      </c>
      <c r="U98" s="62">
        <v>105</v>
      </c>
      <c r="V98" s="62">
        <v>79.3</v>
      </c>
      <c r="W98" s="62">
        <v>95.6</v>
      </c>
      <c r="X98" s="62">
        <v>101.5</v>
      </c>
      <c r="Y98" s="62"/>
      <c r="Z98" s="62">
        <v>81.400000000000006</v>
      </c>
      <c r="AA98" s="62">
        <v>84.5</v>
      </c>
      <c r="AB98" s="125">
        <v>76.599999999999994</v>
      </c>
      <c r="AC98" s="125">
        <v>65.5</v>
      </c>
      <c r="AD98" s="125">
        <v>105</v>
      </c>
      <c r="AE98" s="125">
        <v>91.1</v>
      </c>
      <c r="AF98" s="125">
        <v>105.1</v>
      </c>
      <c r="AG98" s="126"/>
      <c r="AH98" s="53">
        <f t="shared" si="23"/>
        <v>105.1</v>
      </c>
      <c r="AI98" s="120">
        <f t="shared" si="24"/>
        <v>0.95833333333333304</v>
      </c>
    </row>
    <row r="99" spans="1:37" ht="15.75" thickBot="1" x14ac:dyDescent="0.3">
      <c r="A99" s="123" t="s">
        <v>103</v>
      </c>
      <c r="B99" s="124">
        <v>60.7</v>
      </c>
      <c r="C99" s="62">
        <v>58.2</v>
      </c>
      <c r="D99" s="62">
        <v>53.1</v>
      </c>
      <c r="E99" s="62">
        <v>54.1</v>
      </c>
      <c r="F99" s="62">
        <v>53.4</v>
      </c>
      <c r="G99" s="62">
        <v>38.799999999999997</v>
      </c>
      <c r="H99" s="62">
        <v>17.600000000000001</v>
      </c>
      <c r="I99" s="62">
        <v>23.1</v>
      </c>
      <c r="J99" s="62">
        <v>19.899999999999999</v>
      </c>
      <c r="K99" s="62">
        <v>20.7</v>
      </c>
      <c r="L99" s="62">
        <v>9.3000000000000007</v>
      </c>
      <c r="M99" s="62">
        <v>10.3</v>
      </c>
      <c r="N99" s="62">
        <v>2.7</v>
      </c>
      <c r="O99" s="62">
        <v>12.9</v>
      </c>
      <c r="P99" s="62">
        <v>25</v>
      </c>
      <c r="Q99" s="62">
        <v>25</v>
      </c>
      <c r="R99" s="62">
        <v>52</v>
      </c>
      <c r="S99" s="62">
        <v>46.1</v>
      </c>
      <c r="T99" s="62">
        <v>50.1</v>
      </c>
      <c r="U99" s="62">
        <v>40.200000000000003</v>
      </c>
      <c r="V99" s="62">
        <v>11.8</v>
      </c>
      <c r="W99" s="62">
        <v>20.7</v>
      </c>
      <c r="X99" s="62">
        <v>12.1</v>
      </c>
      <c r="Y99" s="62"/>
      <c r="Z99" s="62">
        <v>11.9</v>
      </c>
      <c r="AA99" s="62">
        <v>14.3</v>
      </c>
      <c r="AB99" s="125">
        <v>22.8</v>
      </c>
      <c r="AC99" s="125">
        <v>25.3</v>
      </c>
      <c r="AD99" s="125">
        <v>19.600000000000001</v>
      </c>
      <c r="AE99" s="125">
        <v>40</v>
      </c>
      <c r="AF99" s="125">
        <v>76.7</v>
      </c>
      <c r="AG99" s="127"/>
      <c r="AH99" s="53">
        <f t="shared" si="23"/>
        <v>76.7</v>
      </c>
      <c r="AI99" s="120">
        <f t="shared" si="24"/>
        <v>0.95833333333333304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1496.75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2078/10/10)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957.33999999999992</v>
      </c>
      <c r="U213" s="173">
        <f t="shared" si="61"/>
        <v>907.44</v>
      </c>
      <c r="V213" s="173">
        <f t="shared" si="61"/>
        <v>893.44</v>
      </c>
      <c r="W213" s="173">
        <f t="shared" si="61"/>
        <v>883.34</v>
      </c>
      <c r="X213" s="173">
        <f t="shared" si="61"/>
        <v>892.44</v>
      </c>
      <c r="Y213" s="173">
        <f t="shared" si="61"/>
        <v>928.33999999999992</v>
      </c>
      <c r="Z213" s="173">
        <f t="shared" si="61"/>
        <v>962.54</v>
      </c>
      <c r="AA213" s="173">
        <f t="shared" si="61"/>
        <v>1049.44</v>
      </c>
      <c r="AB213" s="173">
        <f t="shared" si="61"/>
        <v>1137.24</v>
      </c>
      <c r="AC213" s="173">
        <f t="shared" si="61"/>
        <v>1279.1400000000001</v>
      </c>
      <c r="AD213" s="173">
        <f t="shared" si="61"/>
        <v>1389.64</v>
      </c>
      <c r="AE213" s="173">
        <f t="shared" si="61"/>
        <v>1467.04</v>
      </c>
      <c r="AF213" s="173">
        <f t="shared" si="61"/>
        <v>1496.75</v>
      </c>
      <c r="AG213" s="173">
        <f t="shared" si="61"/>
        <v>1464.14</v>
      </c>
      <c r="AH213" s="173">
        <f t="shared" si="61"/>
        <v>1451.64</v>
      </c>
      <c r="AI213" s="173">
        <f t="shared" si="61"/>
        <v>1371.14</v>
      </c>
      <c r="AJ213" s="173">
        <f t="shared" si="61"/>
        <v>1378.84</v>
      </c>
      <c r="AK213" s="173">
        <f t="shared" si="61"/>
        <v>1394.54</v>
      </c>
      <c r="AL213" s="173">
        <f t="shared" si="61"/>
        <v>1344.24</v>
      </c>
      <c r="AM213" s="173">
        <f t="shared" si="61"/>
        <v>1349.1399999999999</v>
      </c>
      <c r="AN213" s="173">
        <f t="shared" si="61"/>
        <v>1350.64</v>
      </c>
      <c r="AO213" s="173">
        <f t="shared" si="61"/>
        <v>1456.14</v>
      </c>
      <c r="AP213" s="173">
        <f t="shared" si="61"/>
        <v>1618.04</v>
      </c>
      <c r="AQ213" s="173">
        <f t="shared" si="61"/>
        <v>1528.94</v>
      </c>
      <c r="AR213" s="173">
        <f t="shared" si="61"/>
        <v>1579.3400000000001</v>
      </c>
      <c r="AS213" s="173">
        <f t="shared" si="61"/>
        <v>1524.24</v>
      </c>
      <c r="AT213" s="173">
        <f t="shared" si="61"/>
        <v>1536.2400000000002</v>
      </c>
      <c r="AU213" s="173">
        <f t="shared" si="61"/>
        <v>1439.54</v>
      </c>
      <c r="AV213" s="173">
        <f t="shared" si="61"/>
        <v>1313.74</v>
      </c>
      <c r="AW213" s="173">
        <f t="shared" si="61"/>
        <v>1066.44</v>
      </c>
      <c r="AX213" s="173">
        <f t="shared" si="61"/>
        <v>1006.04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C57:L59 C60:H60 P39:R39 M39:O42 F61:H61 M12:O12 M11:U11 M58:W59 Y18:Y30 V40:Y42 X85:AA91 AB40:AE43 AB81:AF81 B81:R81 C56:AF56 B82:AF83 D193:AF199 B193:B199 C68:AF72 B84:B91 M53:AF55 B73:AF80 B9:AF10 B191:AF191 AF57:AF67 AG73 AB94:AF99 B94:B99 U212:AF212 B53:B72 C61:E67 I60:R61 G36:J36 N13:O14 P42:R42 M37:R37 P12:U14 P40:U41 W11:AE11 V11:V14 W12:X14 Z12:AF14 AB84:AF91 Z16:AF31">
    <cfRule type="expression" dxfId="9221" priority="445">
      <formula>B$9&gt;=20/24</formula>
    </cfRule>
    <cfRule type="expression" dxfId="9220" priority="446">
      <formula>AND(B$9&gt;=14/24,B$9&lt;20/24)</formula>
    </cfRule>
    <cfRule type="expression" dxfId="9219" priority="447">
      <formula>AND(B$9&gt;=8/24,B$9&lt;14/24)</formula>
    </cfRule>
    <cfRule type="expression" dxfId="9218" priority="448">
      <formula>B$9&lt;8/24</formula>
    </cfRule>
  </conditionalFormatting>
  <conditionalFormatting sqref="AL4:AL6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9217" priority="440">
      <formula>M$9&gt;=20/24</formula>
    </cfRule>
    <cfRule type="expression" dxfId="9216" priority="441">
      <formula>AND(M$9&gt;=14/24,M$9&lt;20/24)</formula>
    </cfRule>
    <cfRule type="expression" dxfId="9215" priority="442">
      <formula>AND(M$9&gt;=8/24,M$9&lt;14/24)</formula>
    </cfRule>
    <cfRule type="expression" dxfId="9214" priority="443">
      <formula>M$9&lt;8/24</formula>
    </cfRule>
  </conditionalFormatting>
  <conditionalFormatting sqref="M43:U43">
    <cfRule type="expression" dxfId="9213" priority="436">
      <formula>M$9&gt;=20/24</formula>
    </cfRule>
    <cfRule type="expression" dxfId="9212" priority="437">
      <formula>AND(M$9&gt;=14/24,M$9&lt;20/24)</formula>
    </cfRule>
    <cfRule type="expression" dxfId="9211" priority="438">
      <formula>AND(M$9&gt;=8/24,M$9&lt;14/24)</formula>
    </cfRule>
    <cfRule type="expression" dxfId="9210" priority="439">
      <formula>M$9&lt;8/24</formula>
    </cfRule>
  </conditionalFormatting>
  <conditionalFormatting sqref="Z32:AF32">
    <cfRule type="expression" dxfId="9209" priority="432">
      <formula>Z$9&gt;=20/24</formula>
    </cfRule>
    <cfRule type="expression" dxfId="9208" priority="433">
      <formula>AND(Z$9&gt;=14/24,Z$9&lt;20/24)</formula>
    </cfRule>
    <cfRule type="expression" dxfId="9207" priority="434">
      <formula>AND(Z$9&gt;=8/24,Z$9&lt;14/24)</formula>
    </cfRule>
    <cfRule type="expression" dxfId="9206" priority="435">
      <formula>Z$9&lt;8/24</formula>
    </cfRule>
  </conditionalFormatting>
  <conditionalFormatting sqref="S39:Y39 AB39:AE39">
    <cfRule type="expression" dxfId="9205" priority="428">
      <formula>S$9&gt;=20/24</formula>
    </cfRule>
    <cfRule type="expression" dxfId="9204" priority="429">
      <formula>AND(S$9&gt;=14/24,S$9&lt;20/24)</formula>
    </cfRule>
    <cfRule type="expression" dxfId="9203" priority="430">
      <formula>AND(S$9&gt;=8/24,S$9&lt;14/24)</formula>
    </cfRule>
    <cfRule type="expression" dxfId="9202" priority="431">
      <formula>S$9&lt;8/24</formula>
    </cfRule>
  </conditionalFormatting>
  <conditionalFormatting sqref="S57:AE57">
    <cfRule type="expression" dxfId="9201" priority="424">
      <formula>S$9&gt;=20/24</formula>
    </cfRule>
    <cfRule type="expression" dxfId="9200" priority="425">
      <formula>AND(S$9&gt;=14/24,S$9&lt;20/24)</formula>
    </cfRule>
    <cfRule type="expression" dxfId="9199" priority="426">
      <formula>AND(S$9&gt;=8/24,S$9&lt;14/24)</formula>
    </cfRule>
    <cfRule type="expression" dxfId="9198" priority="427">
      <formula>S$9&lt;8/24</formula>
    </cfRule>
  </conditionalFormatting>
  <conditionalFormatting sqref="S81:AA81">
    <cfRule type="expression" dxfId="9197" priority="420">
      <formula>S$9&gt;=20/24</formula>
    </cfRule>
    <cfRule type="expression" dxfId="9196" priority="421">
      <formula>AND(S$9&gt;=14/24,S$9&lt;20/24)</formula>
    </cfRule>
    <cfRule type="expression" dxfId="9195" priority="422">
      <formula>AND(S$9&gt;=8/24,S$9&lt;14/24)</formula>
    </cfRule>
    <cfRule type="expression" dxfId="9194" priority="423">
      <formula>S$9&lt;8/24</formula>
    </cfRule>
  </conditionalFormatting>
  <conditionalFormatting sqref="U84:AA84">
    <cfRule type="expression" dxfId="9193" priority="416">
      <formula>U$9&gt;=20/24</formula>
    </cfRule>
    <cfRule type="expression" dxfId="9192" priority="417">
      <formula>AND(U$9&gt;=14/24,U$9&lt;20/24)</formula>
    </cfRule>
    <cfRule type="expression" dxfId="9191" priority="418">
      <formula>AND(U$9&gt;=8/24,U$9&lt;14/24)</formula>
    </cfRule>
    <cfRule type="expression" dxfId="9190" priority="419">
      <formula>U$9&lt;8/24</formula>
    </cfRule>
  </conditionalFormatting>
  <conditionalFormatting sqref="S37:AE37">
    <cfRule type="expression" dxfId="9189" priority="396">
      <formula>S$9&gt;=20/24</formula>
    </cfRule>
    <cfRule type="expression" dxfId="9188" priority="397">
      <formula>AND(S$9&gt;=14/24,S$9&lt;20/24)</formula>
    </cfRule>
    <cfRule type="expression" dxfId="9187" priority="398">
      <formula>AND(S$9&gt;=8/24,S$9&lt;14/24)</formula>
    </cfRule>
    <cfRule type="expression" dxfId="9186" priority="399">
      <formula>S$9&lt;8/24</formula>
    </cfRule>
  </conditionalFormatting>
  <conditionalFormatting sqref="Y31:Y32 Y35:AF35">
    <cfRule type="expression" dxfId="9185" priority="392">
      <formula>Y$9&gt;=20/24</formula>
    </cfRule>
    <cfRule type="expression" dxfId="9184" priority="393">
      <formula>AND(Y$9&gt;=14/24,Y$9&lt;20/24)</formula>
    </cfRule>
    <cfRule type="expression" dxfId="9183" priority="394">
      <formula>AND(Y$9&gt;=8/24,Y$9&lt;14/24)</formula>
    </cfRule>
    <cfRule type="expression" dxfId="9182" priority="395">
      <formula>Y$9&lt;8/24</formula>
    </cfRule>
  </conditionalFormatting>
  <conditionalFormatting sqref="Y45:Y48 S42:U42 V43:Y43 AB45:AF48">
    <cfRule type="expression" dxfId="9181" priority="388">
      <formula>S$9&gt;=20/24</formula>
    </cfRule>
    <cfRule type="expression" dxfId="9180" priority="389">
      <formula>AND(S$9&gt;=14/24,S$9&lt;20/24)</formula>
    </cfRule>
    <cfRule type="expression" dxfId="9179" priority="390">
      <formula>AND(S$9&gt;=8/24,S$9&lt;14/24)</formula>
    </cfRule>
    <cfRule type="expression" dxfId="9178" priority="391">
      <formula>S$9&lt;8/24</formula>
    </cfRule>
  </conditionalFormatting>
  <conditionalFormatting sqref="Y49 AB49:AF49">
    <cfRule type="expression" dxfId="9177" priority="384">
      <formula>Y$9&gt;=20/24</formula>
    </cfRule>
    <cfRule type="expression" dxfId="9176" priority="385">
      <formula>AND(Y$9&gt;=14/24,Y$9&lt;20/24)</formula>
    </cfRule>
    <cfRule type="expression" dxfId="9175" priority="386">
      <formula>AND(Y$9&gt;=8/24,Y$9&lt;14/24)</formula>
    </cfRule>
    <cfRule type="expression" dxfId="9174" priority="387">
      <formula>Y$9&lt;8/24</formula>
    </cfRule>
  </conditionalFormatting>
  <conditionalFormatting sqref="Y50 AB50:AF50">
    <cfRule type="expression" dxfId="9173" priority="380">
      <formula>Y$9&gt;=20/24</formula>
    </cfRule>
    <cfRule type="expression" dxfId="9172" priority="381">
      <formula>AND(Y$9&gt;=14/24,Y$9&lt;20/24)</formula>
    </cfRule>
    <cfRule type="expression" dxfId="9171" priority="382">
      <formula>AND(Y$9&gt;=8/24,Y$9&lt;14/24)</formula>
    </cfRule>
    <cfRule type="expression" dxfId="9170" priority="383">
      <formula>Y$9&lt;8/24</formula>
    </cfRule>
  </conditionalFormatting>
  <conditionalFormatting sqref="S60:T67 X60:AE67">
    <cfRule type="expression" dxfId="9169" priority="376">
      <formula>S$9&gt;=20/24</formula>
    </cfRule>
    <cfRule type="expression" dxfId="9168" priority="377">
      <formula>AND(S$9&gt;=14/24,S$9&lt;20/24)</formula>
    </cfRule>
    <cfRule type="expression" dxfId="9167" priority="378">
      <formula>AND(S$9&gt;=8/24,S$9&lt;14/24)</formula>
    </cfRule>
    <cfRule type="expression" dxfId="9166" priority="379">
      <formula>S$9&lt;8/24</formula>
    </cfRule>
  </conditionalFormatting>
  <conditionalFormatting sqref="F62:I62 J62:L67">
    <cfRule type="expression" dxfId="9165" priority="372">
      <formula>F$9&gt;=20/24</formula>
    </cfRule>
    <cfRule type="expression" dxfId="9164" priority="373">
      <formula>AND(F$9&gt;=14/24,F$9&lt;20/24)</formula>
    </cfRule>
    <cfRule type="expression" dxfId="9163" priority="374">
      <formula>AND(F$9&gt;=8/24,F$9&lt;14/24)</formula>
    </cfRule>
    <cfRule type="expression" dxfId="9162" priority="375">
      <formula>F$9&lt;8/24</formula>
    </cfRule>
  </conditionalFormatting>
  <conditionalFormatting sqref="U94:AA97">
    <cfRule type="expression" dxfId="9161" priority="368">
      <formula>U$9&gt;=20/24</formula>
    </cfRule>
    <cfRule type="expression" dxfId="9160" priority="369">
      <formula>AND(U$9&gt;=14/24,U$9&lt;20/24)</formula>
    </cfRule>
    <cfRule type="expression" dxfId="9159" priority="370">
      <formula>AND(U$9&gt;=8/24,U$9&lt;14/24)</formula>
    </cfRule>
    <cfRule type="expression" dxfId="9158" priority="371">
      <formula>U$9&lt;8/24</formula>
    </cfRule>
  </conditionalFormatting>
  <conditionalFormatting sqref="F12:F14 Y18:Z32 Z12:Z17 B11:F11 C51:AG51 B42 B39:C41 B52:AF56 B12:E12 K12:O12 K11:U11 G36:J36 G11:J14 L45 K13:L14 N13:O14 P12:U14 V39:Y42 E39:U44 W11:AF11 V11:V14 W12:X14 B37:AF38 Y43:Y50 V43:X44 Y34:AF35 AB39:AF50 AA12:AF32">
    <cfRule type="expression" dxfId="9157" priority="367">
      <formula>B11&gt;$AG11</formula>
    </cfRule>
  </conditionalFormatting>
  <conditionalFormatting sqref="A100:A156 A84:A97 A11:A14 A16:A32 A45:A72 A80:A82 A74:A78 A35:A43 A169:A199">
    <cfRule type="expression" dxfId="9156" priority="366">
      <formula>$AH11=0</formula>
    </cfRule>
  </conditionalFormatting>
  <conditionalFormatting sqref="U98:AA98">
    <cfRule type="expression" dxfId="9155" priority="362">
      <formula>U$9&gt;=20/24</formula>
    </cfRule>
    <cfRule type="expression" dxfId="9154" priority="363">
      <formula>AND(U$9&gt;=14/24,U$9&lt;20/24)</formula>
    </cfRule>
    <cfRule type="expression" dxfId="9153" priority="364">
      <formula>AND(U$9&gt;=8/24,U$9&lt;14/24)</formula>
    </cfRule>
    <cfRule type="expression" dxfId="9152" priority="365">
      <formula>U$9&lt;8/24</formula>
    </cfRule>
  </conditionalFormatting>
  <conditionalFormatting sqref="A98">
    <cfRule type="expression" dxfId="9151" priority="361">
      <formula>$AH98=0</formula>
    </cfRule>
  </conditionalFormatting>
  <conditionalFormatting sqref="F63:I67">
    <cfRule type="expression" dxfId="9150" priority="353">
      <formula>F$9&gt;=20/24</formula>
    </cfRule>
    <cfRule type="expression" dxfId="9149" priority="354">
      <formula>AND(F$9&gt;=14/24,F$9&lt;20/24)</formula>
    </cfRule>
    <cfRule type="expression" dxfId="9148" priority="355">
      <formula>AND(F$9&gt;=8/24,F$9&lt;14/24)</formula>
    </cfRule>
    <cfRule type="expression" dxfId="9147" priority="356">
      <formula>F$9&lt;8/24</formula>
    </cfRule>
  </conditionalFormatting>
  <conditionalFormatting sqref="M62:R67">
    <cfRule type="expression" dxfId="9146" priority="349">
      <formula>M$9&gt;=20/24</formula>
    </cfRule>
    <cfRule type="expression" dxfId="9145" priority="350">
      <formula>AND(M$9&gt;=14/24,M$9&lt;20/24)</formula>
    </cfRule>
    <cfRule type="expression" dxfId="9144" priority="351">
      <formula>AND(M$9&gt;=8/24,M$9&lt;14/24)</formula>
    </cfRule>
    <cfRule type="expression" dxfId="9143" priority="352">
      <formula>M$9&lt;8/24</formula>
    </cfRule>
  </conditionalFormatting>
  <conditionalFormatting sqref="AL32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9142" priority="344">
      <formula>Z$9&gt;=20/24</formula>
    </cfRule>
    <cfRule type="expression" dxfId="9141" priority="345">
      <formula>AND(Z$9&gt;=14/24,Z$9&lt;20/24)</formula>
    </cfRule>
    <cfRule type="expression" dxfId="9140" priority="346">
      <formula>AND(Z$9&gt;=8/24,Z$9&lt;14/24)</formula>
    </cfRule>
    <cfRule type="expression" dxfId="9139" priority="347">
      <formula>Z$9&lt;8/24</formula>
    </cfRule>
  </conditionalFormatting>
  <conditionalFormatting sqref="Y34">
    <cfRule type="expression" dxfId="9138" priority="336">
      <formula>Y$9&gt;=20/24</formula>
    </cfRule>
    <cfRule type="expression" dxfId="9137" priority="337">
      <formula>AND(Y$9&gt;=14/24,Y$9&lt;20/24)</formula>
    </cfRule>
    <cfRule type="expression" dxfId="9136" priority="338">
      <formula>AND(Y$9&gt;=8/24,Y$9&lt;14/24)</formula>
    </cfRule>
    <cfRule type="expression" dxfId="9135" priority="339">
      <formula>Y$9&lt;8/24</formula>
    </cfRule>
  </conditionalFormatting>
  <conditionalFormatting sqref="A34">
    <cfRule type="expression" dxfId="9134" priority="335">
      <formula>$AH34=0</formula>
    </cfRule>
  </conditionalFormatting>
  <conditionalFormatting sqref="A83">
    <cfRule type="expression" dxfId="9133" priority="334">
      <formula>$AH83=0</formula>
    </cfRule>
  </conditionalFormatting>
  <conditionalFormatting sqref="Z15:AF15">
    <cfRule type="expression" dxfId="9132" priority="330">
      <formula>Z$9&gt;=20/24</formula>
    </cfRule>
    <cfRule type="expression" dxfId="9131" priority="331">
      <formula>AND(Z$9&gt;=14/24,Z$9&lt;20/24)</formula>
    </cfRule>
    <cfRule type="expression" dxfId="9130" priority="332">
      <formula>AND(Z$9&gt;=8/24,Z$9&lt;14/24)</formula>
    </cfRule>
    <cfRule type="expression" dxfId="9129" priority="333">
      <formula>Z$9&lt;8/24</formula>
    </cfRule>
  </conditionalFormatting>
  <conditionalFormatting sqref="O15:X15">
    <cfRule type="expression" dxfId="9128" priority="326">
      <formula>O$9&gt;=20/24</formula>
    </cfRule>
    <cfRule type="expression" dxfId="9127" priority="327">
      <formula>AND(O$9&gt;=14/24,O$9&lt;20/24)</formula>
    </cfRule>
    <cfRule type="expression" dxfId="9126" priority="328">
      <formula>AND(O$9&gt;=8/24,O$9&lt;14/24)</formula>
    </cfRule>
    <cfRule type="expression" dxfId="9125" priority="329">
      <formula>O$9&lt;8/24</formula>
    </cfRule>
  </conditionalFormatting>
  <conditionalFormatting sqref="F15:J15 L15 O15:X15">
    <cfRule type="expression" dxfId="9124" priority="325">
      <formula>F15&gt;$AG15</formula>
    </cfRule>
  </conditionalFormatting>
  <conditionalFormatting sqref="A15">
    <cfRule type="expression" dxfId="9123" priority="324">
      <formula>$AH15=0</formula>
    </cfRule>
  </conditionalFormatting>
  <conditionalFormatting sqref="A163:A168">
    <cfRule type="expression" dxfId="9122" priority="323">
      <formula>$AH163=0</formula>
    </cfRule>
  </conditionalFormatting>
  <conditionalFormatting sqref="A157:A162">
    <cfRule type="expression" dxfId="9121" priority="322">
      <formula>$AH157=0</formula>
    </cfRule>
  </conditionalFormatting>
  <conditionalFormatting sqref="AB44:AE44">
    <cfRule type="expression" dxfId="9120" priority="318">
      <formula>AB$9&gt;=20/24</formula>
    </cfRule>
    <cfRule type="expression" dxfId="9119" priority="319">
      <formula>AND(AB$9&gt;=14/24,AB$9&lt;20/24)</formula>
    </cfRule>
    <cfRule type="expression" dxfId="9118" priority="320">
      <formula>AND(AB$9&gt;=8/24,AB$9&lt;14/24)</formula>
    </cfRule>
    <cfRule type="expression" dxfId="9117" priority="321">
      <formula>AB$9&lt;8/24</formula>
    </cfRule>
  </conditionalFormatting>
  <conditionalFormatting sqref="M44:X44">
    <cfRule type="expression" dxfId="9116" priority="314">
      <formula>M$9&gt;=20/24</formula>
    </cfRule>
    <cfRule type="expression" dxfId="9115" priority="315">
      <formula>AND(M$9&gt;=14/24,M$9&lt;20/24)</formula>
    </cfRule>
    <cfRule type="expression" dxfId="9114" priority="316">
      <formula>AND(M$9&gt;=8/24,M$9&lt;14/24)</formula>
    </cfRule>
    <cfRule type="expression" dxfId="9113" priority="317">
      <formula>M$9&lt;8/24</formula>
    </cfRule>
  </conditionalFormatting>
  <conditionalFormatting sqref="Y44">
    <cfRule type="expression" dxfId="9112" priority="310">
      <formula>Y$9&gt;=20/24</formula>
    </cfRule>
    <cfRule type="expression" dxfId="9111" priority="311">
      <formula>AND(Y$9&gt;=14/24,Y$9&lt;20/24)</formula>
    </cfRule>
    <cfRule type="expression" dxfId="9110" priority="312">
      <formula>AND(Y$9&gt;=8/24,Y$9&lt;14/24)</formula>
    </cfRule>
    <cfRule type="expression" dxfId="9109" priority="313">
      <formula>Y$9&lt;8/24</formula>
    </cfRule>
  </conditionalFormatting>
  <conditionalFormatting sqref="A44">
    <cfRule type="expression" dxfId="9108" priority="309">
      <formula>$AH44=0</formula>
    </cfRule>
  </conditionalFormatting>
  <conditionalFormatting sqref="A79">
    <cfRule type="expression" dxfId="9107" priority="308">
      <formula>$AH79=0</formula>
    </cfRule>
  </conditionalFormatting>
  <conditionalFormatting sqref="A73">
    <cfRule type="expression" dxfId="9106" priority="307">
      <formula>$AH73=0</formula>
    </cfRule>
  </conditionalFormatting>
  <conditionalFormatting sqref="AL34:AL35 AL7:AL31">
    <cfRule type="iconSet" priority="451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9105" priority="303">
      <formula>U$9&gt;=20/24</formula>
    </cfRule>
    <cfRule type="expression" dxfId="9104" priority="304">
      <formula>AND(U$9&gt;=14/24,U$9&lt;20/24)</formula>
    </cfRule>
    <cfRule type="expression" dxfId="9103" priority="305">
      <formula>AND(U$9&gt;=8/24,U$9&lt;14/24)</formula>
    </cfRule>
    <cfRule type="expression" dxfId="9102" priority="306">
      <formula>U$9&lt;8/24</formula>
    </cfRule>
  </conditionalFormatting>
  <conditionalFormatting sqref="U85:W91">
    <cfRule type="expression" dxfId="9101" priority="299">
      <formula>U$9&gt;=20/24</formula>
    </cfRule>
    <cfRule type="expression" dxfId="9100" priority="300">
      <formula>AND(U$9&gt;=14/24,U$9&lt;20/24)</formula>
    </cfRule>
    <cfRule type="expression" dxfId="9099" priority="301">
      <formula>AND(U$9&gt;=8/24,U$9&lt;14/24)</formula>
    </cfRule>
    <cfRule type="expression" dxfId="9098" priority="302">
      <formula>U$9&lt;8/24</formula>
    </cfRule>
  </conditionalFormatting>
  <conditionalFormatting sqref="S85:T91 C84:R91">
    <cfRule type="expression" dxfId="9097" priority="295">
      <formula>C$9&gt;=20/24</formula>
    </cfRule>
    <cfRule type="expression" dxfId="9096" priority="296">
      <formula>AND(C$9&gt;=14/24,C$9&lt;20/24)</formula>
    </cfRule>
    <cfRule type="expression" dxfId="9095" priority="297">
      <formula>AND(C$9&gt;=8/24,C$9&lt;14/24)</formula>
    </cfRule>
    <cfRule type="expression" dxfId="9094" priority="298">
      <formula>C$9&lt;8/24</formula>
    </cfRule>
  </conditionalFormatting>
  <conditionalFormatting sqref="S84:T84">
    <cfRule type="expression" dxfId="9093" priority="291">
      <formula>S$9&gt;=20/24</formula>
    </cfRule>
    <cfRule type="expression" dxfId="9092" priority="292">
      <formula>AND(S$9&gt;=14/24,S$9&lt;20/24)</formula>
    </cfRule>
    <cfRule type="expression" dxfId="9091" priority="293">
      <formula>AND(S$9&gt;=8/24,S$9&lt;14/24)</formula>
    </cfRule>
    <cfRule type="expression" dxfId="9090" priority="294">
      <formula>S$9&lt;8/24</formula>
    </cfRule>
  </conditionalFormatting>
  <conditionalFormatting sqref="C95:M97 C94:F94">
    <cfRule type="expression" dxfId="9089" priority="287">
      <formula>C$9&gt;=20/24</formula>
    </cfRule>
    <cfRule type="expression" dxfId="9088" priority="288">
      <formula>AND(C$9&gt;=14/24,C$9&lt;20/24)</formula>
    </cfRule>
    <cfRule type="expression" dxfId="9087" priority="289">
      <formula>AND(C$9&gt;=8/24,C$9&lt;14/24)</formula>
    </cfRule>
    <cfRule type="expression" dxfId="9086" priority="290">
      <formula>C$9&lt;8/24</formula>
    </cfRule>
  </conditionalFormatting>
  <conditionalFormatting sqref="N95:R97 O94:R94">
    <cfRule type="expression" dxfId="9085" priority="283">
      <formula>N$9&gt;=20/24</formula>
    </cfRule>
    <cfRule type="expression" dxfId="9084" priority="284">
      <formula>AND(N$9&gt;=14/24,N$9&lt;20/24)</formula>
    </cfRule>
    <cfRule type="expression" dxfId="9083" priority="285">
      <formula>AND(N$9&gt;=8/24,N$9&lt;14/24)</formula>
    </cfRule>
    <cfRule type="expression" dxfId="9082" priority="286">
      <formula>N$9&lt;8/24</formula>
    </cfRule>
  </conditionalFormatting>
  <conditionalFormatting sqref="S94:T97">
    <cfRule type="expression" dxfId="9081" priority="279">
      <formula>S$9&gt;=20/24</formula>
    </cfRule>
    <cfRule type="expression" dxfId="9080" priority="280">
      <formula>AND(S$9&gt;=14/24,S$9&lt;20/24)</formula>
    </cfRule>
    <cfRule type="expression" dxfId="9079" priority="281">
      <formula>AND(S$9&gt;=8/24,S$9&lt;14/24)</formula>
    </cfRule>
    <cfRule type="expression" dxfId="9078" priority="282">
      <formula>S$9&lt;8/24</formula>
    </cfRule>
  </conditionalFormatting>
  <conditionalFormatting sqref="C98:M98">
    <cfRule type="expression" dxfId="9077" priority="275">
      <formula>C$9&gt;=20/24</formula>
    </cfRule>
    <cfRule type="expression" dxfId="9076" priority="276">
      <formula>AND(C$9&gt;=14/24,C$9&lt;20/24)</formula>
    </cfRule>
    <cfRule type="expression" dxfId="9075" priority="277">
      <formula>AND(C$9&gt;=8/24,C$9&lt;14/24)</formula>
    </cfRule>
    <cfRule type="expression" dxfId="9074" priority="278">
      <formula>C$9&lt;8/24</formula>
    </cfRule>
  </conditionalFormatting>
  <conditionalFormatting sqref="N98:R98">
    <cfRule type="expression" dxfId="9073" priority="271">
      <formula>N$9&gt;=20/24</formula>
    </cfRule>
    <cfRule type="expression" dxfId="9072" priority="272">
      <formula>AND(N$9&gt;=14/24,N$9&lt;20/24)</formula>
    </cfRule>
    <cfRule type="expression" dxfId="9071" priority="273">
      <formula>AND(N$9&gt;=8/24,N$9&lt;14/24)</formula>
    </cfRule>
    <cfRule type="expression" dxfId="9070" priority="274">
      <formula>N$9&lt;8/24</formula>
    </cfRule>
  </conditionalFormatting>
  <conditionalFormatting sqref="S98:T98">
    <cfRule type="expression" dxfId="9069" priority="267">
      <formula>S$9&gt;=20/24</formula>
    </cfRule>
    <cfRule type="expression" dxfId="9068" priority="268">
      <formula>AND(S$9&gt;=14/24,S$9&lt;20/24)</formula>
    </cfRule>
    <cfRule type="expression" dxfId="9067" priority="269">
      <formula>AND(S$9&gt;=8/24,S$9&lt;14/24)</formula>
    </cfRule>
    <cfRule type="expression" dxfId="9066" priority="270">
      <formula>S$9&lt;8/24</formula>
    </cfRule>
  </conditionalFormatting>
  <conditionalFormatting sqref="M94:N94">
    <cfRule type="expression" dxfId="9065" priority="263">
      <formula>M$9&gt;=20/24</formula>
    </cfRule>
    <cfRule type="expression" dxfId="9064" priority="264">
      <formula>AND(M$9&gt;=14/24,M$9&lt;20/24)</formula>
    </cfRule>
    <cfRule type="expression" dxfId="9063" priority="265">
      <formula>AND(M$9&gt;=8/24,M$9&lt;14/24)</formula>
    </cfRule>
    <cfRule type="expression" dxfId="9062" priority="266">
      <formula>M$9&lt;8/24</formula>
    </cfRule>
  </conditionalFormatting>
  <conditionalFormatting sqref="G94:L94">
    <cfRule type="expression" dxfId="9061" priority="259">
      <formula>G$9&gt;=20/24</formula>
    </cfRule>
    <cfRule type="expression" dxfId="9060" priority="260">
      <formula>AND(G$9&gt;=14/24,G$9&lt;20/24)</formula>
    </cfRule>
    <cfRule type="expression" dxfId="9059" priority="261">
      <formula>AND(G$9&gt;=8/24,G$9&lt;14/24)</formula>
    </cfRule>
    <cfRule type="expression" dxfId="9058" priority="262">
      <formula>G$9&lt;8/24</formula>
    </cfRule>
  </conditionalFormatting>
  <conditionalFormatting sqref="U94:W94">
    <cfRule type="expression" dxfId="9057" priority="255">
      <formula>U$9&gt;=20/24</formula>
    </cfRule>
    <cfRule type="expression" dxfId="9056" priority="256">
      <formula>AND(U$9&gt;=14/24,U$9&lt;20/24)</formula>
    </cfRule>
    <cfRule type="expression" dxfId="9055" priority="257">
      <formula>AND(U$9&gt;=8/24,U$9&lt;14/24)</formula>
    </cfRule>
    <cfRule type="expression" dxfId="9054" priority="258">
      <formula>U$9&lt;8/24</formula>
    </cfRule>
  </conditionalFormatting>
  <conditionalFormatting sqref="N94:T94">
    <cfRule type="expression" dxfId="9053" priority="251">
      <formula>N$9&gt;=20/24</formula>
    </cfRule>
    <cfRule type="expression" dxfId="9052" priority="252">
      <formula>AND(N$9&gt;=14/24,N$9&lt;20/24)</formula>
    </cfRule>
    <cfRule type="expression" dxfId="9051" priority="253">
      <formula>AND(N$9&gt;=8/24,N$9&lt;14/24)</formula>
    </cfRule>
    <cfRule type="expression" dxfId="9050" priority="254">
      <formula>N$9&lt;8/24</formula>
    </cfRule>
  </conditionalFormatting>
  <conditionalFormatting sqref="U99:AA99">
    <cfRule type="expression" dxfId="9049" priority="247">
      <formula>U$9&gt;=20/24</formula>
    </cfRule>
    <cfRule type="expression" dxfId="9048" priority="248">
      <formula>AND(U$9&gt;=14/24,U$9&lt;20/24)</formula>
    </cfRule>
    <cfRule type="expression" dxfId="9047" priority="249">
      <formula>AND(U$9&gt;=8/24,U$9&lt;14/24)</formula>
    </cfRule>
    <cfRule type="expression" dxfId="9046" priority="250">
      <formula>U$9&lt;8/24</formula>
    </cfRule>
  </conditionalFormatting>
  <conditionalFormatting sqref="C99:M99">
    <cfRule type="expression" dxfId="9045" priority="243">
      <formula>C$9&gt;=20/24</formula>
    </cfRule>
    <cfRule type="expression" dxfId="9044" priority="244">
      <formula>AND(C$9&gt;=14/24,C$9&lt;20/24)</formula>
    </cfRule>
    <cfRule type="expression" dxfId="9043" priority="245">
      <formula>AND(C$9&gt;=8/24,C$9&lt;14/24)</formula>
    </cfRule>
    <cfRule type="expression" dxfId="9042" priority="246">
      <formula>C$9&lt;8/24</formula>
    </cfRule>
  </conditionalFormatting>
  <conditionalFormatting sqref="N99:R99">
    <cfRule type="expression" dxfId="9041" priority="239">
      <formula>N$9&gt;=20/24</formula>
    </cfRule>
    <cfRule type="expression" dxfId="9040" priority="240">
      <formula>AND(N$9&gt;=14/24,N$9&lt;20/24)</formula>
    </cfRule>
    <cfRule type="expression" dxfId="9039" priority="241">
      <formula>AND(N$9&gt;=8/24,N$9&lt;14/24)</formula>
    </cfRule>
    <cfRule type="expression" dxfId="9038" priority="242">
      <formula>N$9&lt;8/24</formula>
    </cfRule>
  </conditionalFormatting>
  <conditionalFormatting sqref="S99:T99">
    <cfRule type="expression" dxfId="9037" priority="235">
      <formula>S$9&gt;=20/24</formula>
    </cfRule>
    <cfRule type="expression" dxfId="9036" priority="236">
      <formula>AND(S$9&gt;=14/24,S$9&lt;20/24)</formula>
    </cfRule>
    <cfRule type="expression" dxfId="9035" priority="237">
      <formula>AND(S$9&gt;=8/24,S$9&lt;14/24)</formula>
    </cfRule>
    <cfRule type="expression" dxfId="9034" priority="238">
      <formula>S$9&lt;8/24</formula>
    </cfRule>
  </conditionalFormatting>
  <conditionalFormatting sqref="Y12:Y16">
    <cfRule type="expression" dxfId="9033" priority="231">
      <formula>Y$9&gt;=20/24</formula>
    </cfRule>
    <cfRule type="expression" dxfId="9032" priority="232">
      <formula>AND(Y$9&gt;=14/24,Y$9&lt;20/24)</formula>
    </cfRule>
    <cfRule type="expression" dxfId="9031" priority="233">
      <formula>AND(Y$9&gt;=8/24,Y$9&lt;14/24)</formula>
    </cfRule>
    <cfRule type="expression" dxfId="9030" priority="234">
      <formula>Y$9&lt;8/24</formula>
    </cfRule>
  </conditionalFormatting>
  <conditionalFormatting sqref="Y17">
    <cfRule type="expression" dxfId="9029" priority="227">
      <formula>Y$9&gt;=20/24</formula>
    </cfRule>
    <cfRule type="expression" dxfId="9028" priority="228">
      <formula>AND(Y$9&gt;=14/24,Y$9&lt;20/24)</formula>
    </cfRule>
    <cfRule type="expression" dxfId="9027" priority="229">
      <formula>AND(Y$9&gt;=8/24,Y$9&lt;14/24)</formula>
    </cfRule>
    <cfRule type="expression" dxfId="9026" priority="230">
      <formula>Y$9&lt;8/24</formula>
    </cfRule>
  </conditionalFormatting>
  <conditionalFormatting sqref="Y12:Y13">
    <cfRule type="expression" dxfId="9025" priority="223">
      <formula>Y$9&gt;=20/24</formula>
    </cfRule>
    <cfRule type="expression" dxfId="9024" priority="224">
      <formula>AND(Y$9&gt;=14/24,Y$9&lt;20/24)</formula>
    </cfRule>
    <cfRule type="expression" dxfId="9023" priority="225">
      <formula>AND(Y$9&gt;=8/24,Y$9&lt;14/24)</formula>
    </cfRule>
    <cfRule type="expression" dxfId="9022" priority="226">
      <formula>Y$9&lt;8/24</formula>
    </cfRule>
  </conditionalFormatting>
  <conditionalFormatting sqref="AB58:AE59">
    <cfRule type="expression" dxfId="9021" priority="219">
      <formula>AB$9&gt;=20/24</formula>
    </cfRule>
    <cfRule type="expression" dxfId="9020" priority="220">
      <formula>AND(AB$9&gt;=14/24,AB$9&lt;20/24)</formula>
    </cfRule>
    <cfRule type="expression" dxfId="9019" priority="221">
      <formula>AND(AB$9&gt;=8/24,AB$9&lt;14/24)</formula>
    </cfRule>
    <cfRule type="expression" dxfId="9018" priority="222">
      <formula>AB$9&lt;8/24</formula>
    </cfRule>
  </conditionalFormatting>
  <conditionalFormatting sqref="AL33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017" priority="452">
      <formula>C$9&gt;=20/24</formula>
    </cfRule>
    <cfRule type="expression" dxfId="9016" priority="453">
      <formula>AND(C$9&gt;=14/24,C$9&lt;20/24)</formula>
    </cfRule>
    <cfRule type="expression" dxfId="9015" priority="454">
      <formula>AND(C$9&gt;=8/24,C$9&lt;14/24)</formula>
    </cfRule>
    <cfRule type="expression" dxfId="9014" priority="455">
      <formula>C$9&lt;8/24</formula>
    </cfRule>
  </conditionalFormatting>
  <conditionalFormatting sqref="A200">
    <cfRule type="expression" dxfId="9013" priority="456">
      <formula>$AH200=0</formula>
    </cfRule>
  </conditionalFormatting>
  <conditionalFormatting sqref="AG212">
    <cfRule type="expression" dxfId="9012" priority="457">
      <formula>B$9&gt;=20/24</formula>
    </cfRule>
    <cfRule type="expression" dxfId="9011" priority="458">
      <formula>AND(B$9&gt;=14/24,B$9&lt;20/24)</formula>
    </cfRule>
    <cfRule type="expression" dxfId="9010" priority="459">
      <formula>AND(B$9&gt;=8/24,B$9&lt;14/24)</formula>
    </cfRule>
    <cfRule type="expression" dxfId="9009" priority="460">
      <formula>B$9&lt;8/24</formula>
    </cfRule>
  </conditionalFormatting>
  <conditionalFormatting sqref="S8">
    <cfRule type="expression" dxfId="9008" priority="213">
      <formula>U$9&gt;=20/24</formula>
    </cfRule>
    <cfRule type="expression" dxfId="9007" priority="214">
      <formula>AND(U$9&gt;=14/24,U$9&lt;20/24)</formula>
    </cfRule>
    <cfRule type="expression" dxfId="9006" priority="215">
      <formula>AND(U$9&gt;=8/24,U$9&lt;14/24)</formula>
    </cfRule>
    <cfRule type="expression" dxfId="9005" priority="216">
      <formula>U$9&lt;8/24</formula>
    </cfRule>
  </conditionalFormatting>
  <conditionalFormatting sqref="AB8">
    <cfRule type="expression" dxfId="9004" priority="209">
      <formula>AD$9&gt;=20/24</formula>
    </cfRule>
    <cfRule type="expression" dxfId="9003" priority="210">
      <formula>AND(AD$9&gt;=14/24,AD$9&lt;20/24)</formula>
    </cfRule>
    <cfRule type="expression" dxfId="9002" priority="211">
      <formula>AND(AD$9&gt;=8/24,AD$9&lt;14/24)</formula>
    </cfRule>
    <cfRule type="expression" dxfId="9001" priority="212">
      <formula>AD$9&lt;8/24</formula>
    </cfRule>
  </conditionalFormatting>
  <conditionalFormatting sqref="AH212:AX212">
    <cfRule type="expression" dxfId="9000" priority="461">
      <formula>AG$9&gt;=20/24</formula>
    </cfRule>
    <cfRule type="expression" dxfId="8999" priority="462">
      <formula>AND(AG$9&gt;=14/24,AG$9&lt;20/24)</formula>
    </cfRule>
    <cfRule type="expression" dxfId="8998" priority="463">
      <formula>AND(AG$9&gt;=8/24,AG$9&lt;14/24)</formula>
    </cfRule>
    <cfRule type="expression" dxfId="8997" priority="464">
      <formula>AG$9&lt;8/24</formula>
    </cfRule>
  </conditionalFormatting>
  <conditionalFormatting sqref="T212">
    <cfRule type="expression" dxfId="8996" priority="465">
      <formula>AX$9&gt;=20/24</formula>
    </cfRule>
    <cfRule type="expression" dxfId="8995" priority="466">
      <formula>AND(AX$9&gt;=14/24,AX$9&lt;20/24)</formula>
    </cfRule>
    <cfRule type="expression" dxfId="8994" priority="467">
      <formula>AND(AX$9&gt;=8/24,AX$9&lt;14/24)</formula>
    </cfRule>
    <cfRule type="expression" dxfId="8993" priority="468">
      <formula>AX$9&lt;8/24</formula>
    </cfRule>
  </conditionalFormatting>
  <conditionalFormatting sqref="A99">
    <cfRule type="expression" dxfId="8992" priority="208">
      <formula>$AH99=0</formula>
    </cfRule>
  </conditionalFormatting>
  <conditionalFormatting sqref="Z33:AF33">
    <cfRule type="expression" dxfId="8991" priority="200">
      <formula>Z$9&gt;=20/24</formula>
    </cfRule>
    <cfRule type="expression" dxfId="8990" priority="201">
      <formula>AND(Z$9&gt;=14/24,Z$9&lt;20/24)</formula>
    </cfRule>
    <cfRule type="expression" dxfId="8989" priority="202">
      <formula>AND(Z$9&gt;=8/24,Z$9&lt;14/24)</formula>
    </cfRule>
    <cfRule type="expression" dxfId="8988" priority="203">
      <formula>Z$9&lt;8/24</formula>
    </cfRule>
  </conditionalFormatting>
  <conditionalFormatting sqref="Y33">
    <cfRule type="expression" dxfId="8987" priority="196">
      <formula>Y$9&gt;=20/24</formula>
    </cfRule>
    <cfRule type="expression" dxfId="8986" priority="197">
      <formula>AND(Y$9&gt;=14/24,Y$9&lt;20/24)</formula>
    </cfRule>
    <cfRule type="expression" dxfId="8985" priority="198">
      <formula>AND(Y$9&gt;=8/24,Y$9&lt;14/24)</formula>
    </cfRule>
    <cfRule type="expression" dxfId="8984" priority="199">
      <formula>Y$9&lt;8/24</formula>
    </cfRule>
  </conditionalFormatting>
  <conditionalFormatting sqref="Y33:AF33">
    <cfRule type="expression" dxfId="8983" priority="195">
      <formula>Y33&gt;$AG33</formula>
    </cfRule>
  </conditionalFormatting>
  <conditionalFormatting sqref="B13:B14">
    <cfRule type="expression" dxfId="8982" priority="194">
      <formula>B13&gt;$AG13</formula>
    </cfRule>
  </conditionalFormatting>
  <conditionalFormatting sqref="B36 B16:B30">
    <cfRule type="expression" dxfId="8981" priority="190">
      <formula>B$9&gt;=20/24</formula>
    </cfRule>
    <cfRule type="expression" dxfId="8980" priority="191">
      <formula>AND(B$9&gt;=14/24,B$9&lt;20/24)</formula>
    </cfRule>
    <cfRule type="expression" dxfId="8979" priority="192">
      <formula>AND(B$9&gt;=8/24,B$9&lt;14/24)</formula>
    </cfRule>
    <cfRule type="expression" dxfId="8978" priority="193">
      <formula>B$9&lt;8/24</formula>
    </cfRule>
  </conditionalFormatting>
  <conditionalFormatting sqref="B31:B32 B35">
    <cfRule type="expression" dxfId="8977" priority="186">
      <formula>B$9&gt;=20/24</formula>
    </cfRule>
    <cfRule type="expression" dxfId="8976" priority="187">
      <formula>AND(B$9&gt;=14/24,B$9&lt;20/24)</formula>
    </cfRule>
    <cfRule type="expression" dxfId="8975" priority="188">
      <formula>AND(B$9&gt;=8/24,B$9&lt;14/24)</formula>
    </cfRule>
    <cfRule type="expression" dxfId="8974" priority="189">
      <formula>B$9&lt;8/24</formula>
    </cfRule>
  </conditionalFormatting>
  <conditionalFormatting sqref="B34:B36 B15:B32">
    <cfRule type="expression" dxfId="8973" priority="185">
      <formula>B15&gt;$AG15</formula>
    </cfRule>
  </conditionalFormatting>
  <conditionalFormatting sqref="B34">
    <cfRule type="expression" dxfId="8972" priority="181">
      <formula>B$9&gt;=20/24</formula>
    </cfRule>
    <cfRule type="expression" dxfId="8971" priority="182">
      <formula>AND(B$9&gt;=14/24,B$9&lt;20/24)</formula>
    </cfRule>
    <cfRule type="expression" dxfId="8970" priority="183">
      <formula>AND(B$9&gt;=8/24,B$9&lt;14/24)</formula>
    </cfRule>
    <cfRule type="expression" dxfId="8969" priority="184">
      <formula>B$9&lt;8/24</formula>
    </cfRule>
  </conditionalFormatting>
  <conditionalFormatting sqref="B15">
    <cfRule type="expression" dxfId="8968" priority="177">
      <formula>B$9&gt;=20/24</formula>
    </cfRule>
    <cfRule type="expression" dxfId="8967" priority="178">
      <formula>AND(B$9&gt;=14/24,B$9&lt;20/24)</formula>
    </cfRule>
    <cfRule type="expression" dxfId="8966" priority="179">
      <formula>AND(B$9&gt;=8/24,B$9&lt;14/24)</formula>
    </cfRule>
    <cfRule type="expression" dxfId="8965" priority="180">
      <formula>B$9&lt;8/24</formula>
    </cfRule>
  </conditionalFormatting>
  <conditionalFormatting sqref="B33">
    <cfRule type="expression" dxfId="8964" priority="173">
      <formula>B$9&gt;=20/24</formula>
    </cfRule>
    <cfRule type="expression" dxfId="8963" priority="174">
      <formula>AND(B$9&gt;=14/24,B$9&lt;20/24)</formula>
    </cfRule>
    <cfRule type="expression" dxfId="8962" priority="175">
      <formula>AND(B$9&gt;=8/24,B$9&lt;14/24)</formula>
    </cfRule>
    <cfRule type="expression" dxfId="8961" priority="176">
      <formula>B$9&lt;8/24</formula>
    </cfRule>
  </conditionalFormatting>
  <conditionalFormatting sqref="B33">
    <cfRule type="expression" dxfId="8960" priority="172">
      <formula>B33&gt;$AG33</formula>
    </cfRule>
  </conditionalFormatting>
  <conditionalFormatting sqref="B43:B44 B46:B51 C49:L49">
    <cfRule type="expression" dxfId="8959" priority="171">
      <formula>B43&gt;$AG43</formula>
    </cfRule>
  </conditionalFormatting>
  <conditionalFormatting sqref="C13:C14">
    <cfRule type="expression" dxfId="8958" priority="170">
      <formula>C13&gt;$AG13</formula>
    </cfRule>
  </conditionalFormatting>
  <conditionalFormatting sqref="C36 C16:C30">
    <cfRule type="expression" dxfId="8957" priority="166">
      <formula>C$9&gt;=20/24</formula>
    </cfRule>
    <cfRule type="expression" dxfId="8956" priority="167">
      <formula>AND(C$9&gt;=14/24,C$9&lt;20/24)</formula>
    </cfRule>
    <cfRule type="expression" dxfId="8955" priority="168">
      <formula>AND(C$9&gt;=8/24,C$9&lt;14/24)</formula>
    </cfRule>
    <cfRule type="expression" dxfId="8954" priority="169">
      <formula>C$9&lt;8/24</formula>
    </cfRule>
  </conditionalFormatting>
  <conditionalFormatting sqref="C31:C32 C35">
    <cfRule type="expression" dxfId="8953" priority="162">
      <formula>C$9&gt;=20/24</formula>
    </cfRule>
    <cfRule type="expression" dxfId="8952" priority="163">
      <formula>AND(C$9&gt;=14/24,C$9&lt;20/24)</formula>
    </cfRule>
    <cfRule type="expression" dxfId="8951" priority="164">
      <formula>AND(C$9&gt;=8/24,C$9&lt;14/24)</formula>
    </cfRule>
    <cfRule type="expression" dxfId="8950" priority="165">
      <formula>C$9&lt;8/24</formula>
    </cfRule>
  </conditionalFormatting>
  <conditionalFormatting sqref="C34:C36 C15:C32">
    <cfRule type="expression" dxfId="8949" priority="161">
      <formula>C15&gt;$AG15</formula>
    </cfRule>
  </conditionalFormatting>
  <conditionalFormatting sqref="C34">
    <cfRule type="expression" dxfId="8948" priority="157">
      <formula>C$9&gt;=20/24</formula>
    </cfRule>
    <cfRule type="expression" dxfId="8947" priority="158">
      <formula>AND(C$9&gt;=14/24,C$9&lt;20/24)</formula>
    </cfRule>
    <cfRule type="expression" dxfId="8946" priority="159">
      <formula>AND(C$9&gt;=8/24,C$9&lt;14/24)</formula>
    </cfRule>
    <cfRule type="expression" dxfId="8945" priority="160">
      <formula>C$9&lt;8/24</formula>
    </cfRule>
  </conditionalFormatting>
  <conditionalFormatting sqref="C15">
    <cfRule type="expression" dxfId="8944" priority="153">
      <formula>C$9&gt;=20/24</formula>
    </cfRule>
    <cfRule type="expression" dxfId="8943" priority="154">
      <formula>AND(C$9&gt;=14/24,C$9&lt;20/24)</formula>
    </cfRule>
    <cfRule type="expression" dxfId="8942" priority="155">
      <formula>AND(C$9&gt;=8/24,C$9&lt;14/24)</formula>
    </cfRule>
    <cfRule type="expression" dxfId="8941" priority="156">
      <formula>C$9&lt;8/24</formula>
    </cfRule>
  </conditionalFormatting>
  <conditionalFormatting sqref="C33">
    <cfRule type="expression" dxfId="8940" priority="149">
      <formula>C$9&gt;=20/24</formula>
    </cfRule>
    <cfRule type="expression" dxfId="8939" priority="150">
      <formula>AND(C$9&gt;=14/24,C$9&lt;20/24)</formula>
    </cfRule>
    <cfRule type="expression" dxfId="8938" priority="151">
      <formula>AND(C$9&gt;=8/24,C$9&lt;14/24)</formula>
    </cfRule>
    <cfRule type="expression" dxfId="8937" priority="152">
      <formula>C$9&lt;8/24</formula>
    </cfRule>
  </conditionalFormatting>
  <conditionalFormatting sqref="C33">
    <cfRule type="expression" dxfId="8936" priority="148">
      <formula>C33&gt;$AG33</formula>
    </cfRule>
  </conditionalFormatting>
  <conditionalFormatting sqref="C42">
    <cfRule type="expression" dxfId="8935" priority="147">
      <formula>C42&gt;$AG42</formula>
    </cfRule>
  </conditionalFormatting>
  <conditionalFormatting sqref="C43:C44 C46:C48 C50">
    <cfRule type="expression" dxfId="8934" priority="146">
      <formula>C43&gt;$AG43</formula>
    </cfRule>
  </conditionalFormatting>
  <conditionalFormatting sqref="D13:D14">
    <cfRule type="expression" dxfId="8933" priority="145">
      <formula>D13&gt;$AG13</formula>
    </cfRule>
  </conditionalFormatting>
  <conditionalFormatting sqref="D36 D16:D30">
    <cfRule type="expression" dxfId="8932" priority="141">
      <formula>D$9&gt;=20/24</formula>
    </cfRule>
    <cfRule type="expression" dxfId="8931" priority="142">
      <formula>AND(D$9&gt;=14/24,D$9&lt;20/24)</formula>
    </cfRule>
    <cfRule type="expression" dxfId="8930" priority="143">
      <formula>AND(D$9&gt;=8/24,D$9&lt;14/24)</formula>
    </cfRule>
    <cfRule type="expression" dxfId="8929" priority="144">
      <formula>D$9&lt;8/24</formula>
    </cfRule>
  </conditionalFormatting>
  <conditionalFormatting sqref="D31:D32 D35">
    <cfRule type="expression" dxfId="8928" priority="137">
      <formula>D$9&gt;=20/24</formula>
    </cfRule>
    <cfRule type="expression" dxfId="8927" priority="138">
      <formula>AND(D$9&gt;=14/24,D$9&lt;20/24)</formula>
    </cfRule>
    <cfRule type="expression" dxfId="8926" priority="139">
      <formula>AND(D$9&gt;=8/24,D$9&lt;14/24)</formula>
    </cfRule>
    <cfRule type="expression" dxfId="8925" priority="140">
      <formula>D$9&lt;8/24</formula>
    </cfRule>
  </conditionalFormatting>
  <conditionalFormatting sqref="D34:D36 D15:D32">
    <cfRule type="expression" dxfId="8924" priority="136">
      <formula>D15&gt;$AG15</formula>
    </cfRule>
  </conditionalFormatting>
  <conditionalFormatting sqref="D34">
    <cfRule type="expression" dxfId="8923" priority="132">
      <formula>D$9&gt;=20/24</formula>
    </cfRule>
    <cfRule type="expression" dxfId="8922" priority="133">
      <formula>AND(D$9&gt;=14/24,D$9&lt;20/24)</formula>
    </cfRule>
    <cfRule type="expression" dxfId="8921" priority="134">
      <formula>AND(D$9&gt;=8/24,D$9&lt;14/24)</formula>
    </cfRule>
    <cfRule type="expression" dxfId="8920" priority="135">
      <formula>D$9&lt;8/24</formula>
    </cfRule>
  </conditionalFormatting>
  <conditionalFormatting sqref="D15">
    <cfRule type="expression" dxfId="8919" priority="128">
      <formula>D$9&gt;=20/24</formula>
    </cfRule>
    <cfRule type="expression" dxfId="8918" priority="129">
      <formula>AND(D$9&gt;=14/24,D$9&lt;20/24)</formula>
    </cfRule>
    <cfRule type="expression" dxfId="8917" priority="130">
      <formula>AND(D$9&gt;=8/24,D$9&lt;14/24)</formula>
    </cfRule>
    <cfRule type="expression" dxfId="8916" priority="131">
      <formula>D$9&lt;8/24</formula>
    </cfRule>
  </conditionalFormatting>
  <conditionalFormatting sqref="D33">
    <cfRule type="expression" dxfId="8915" priority="124">
      <formula>D$9&gt;=20/24</formula>
    </cfRule>
    <cfRule type="expression" dxfId="8914" priority="125">
      <formula>AND(D$9&gt;=14/24,D$9&lt;20/24)</formula>
    </cfRule>
    <cfRule type="expression" dxfId="8913" priority="126">
      <formula>AND(D$9&gt;=8/24,D$9&lt;14/24)</formula>
    </cfRule>
    <cfRule type="expression" dxfId="8912" priority="127">
      <formula>D$9&lt;8/24</formula>
    </cfRule>
  </conditionalFormatting>
  <conditionalFormatting sqref="D33">
    <cfRule type="expression" dxfId="8911" priority="123">
      <formula>D33&gt;$AG33</formula>
    </cfRule>
  </conditionalFormatting>
  <conditionalFormatting sqref="D39:D41">
    <cfRule type="expression" dxfId="8910" priority="122">
      <formula>D39&gt;$AG39</formula>
    </cfRule>
  </conditionalFormatting>
  <conditionalFormatting sqref="D42">
    <cfRule type="expression" dxfId="8909" priority="121">
      <formula>D42&gt;$AG42</formula>
    </cfRule>
  </conditionalFormatting>
  <conditionalFormatting sqref="D43:D44 D46:D48 D50">
    <cfRule type="expression" dxfId="8908" priority="120">
      <formula>D43&gt;$AG43</formula>
    </cfRule>
  </conditionalFormatting>
  <conditionalFormatting sqref="E13:E14">
    <cfRule type="expression" dxfId="8907" priority="119">
      <formula>E13&gt;$AG13</formula>
    </cfRule>
  </conditionalFormatting>
  <conditionalFormatting sqref="E36:F36 E16:J30">
    <cfRule type="expression" dxfId="8906" priority="115">
      <formula>E$9&gt;=20/24</formula>
    </cfRule>
    <cfRule type="expression" dxfId="8905" priority="116">
      <formula>AND(E$9&gt;=14/24,E$9&lt;20/24)</formula>
    </cfRule>
    <cfRule type="expression" dxfId="8904" priority="117">
      <formula>AND(E$9&gt;=8/24,E$9&lt;14/24)</formula>
    </cfRule>
    <cfRule type="expression" dxfId="8903" priority="118">
      <formula>E$9&lt;8/24</formula>
    </cfRule>
  </conditionalFormatting>
  <conditionalFormatting sqref="E31:J32 E35:J35">
    <cfRule type="expression" dxfId="8902" priority="111">
      <formula>E$9&gt;=20/24</formula>
    </cfRule>
    <cfRule type="expression" dxfId="8901" priority="112">
      <formula>AND(E$9&gt;=14/24,E$9&lt;20/24)</formula>
    </cfRule>
    <cfRule type="expression" dxfId="8900" priority="113">
      <formula>AND(E$9&gt;=8/24,E$9&lt;14/24)</formula>
    </cfRule>
    <cfRule type="expression" dxfId="8899" priority="114">
      <formula>E$9&lt;8/24</formula>
    </cfRule>
  </conditionalFormatting>
  <conditionalFormatting sqref="E15:E32 E34:F36 G34:J35 F16:J32">
    <cfRule type="expression" dxfId="8898" priority="110">
      <formula>E15&gt;$AG15</formula>
    </cfRule>
  </conditionalFormatting>
  <conditionalFormatting sqref="E34:J34">
    <cfRule type="expression" dxfId="8897" priority="106">
      <formula>E$9&gt;=20/24</formula>
    </cfRule>
    <cfRule type="expression" dxfId="8896" priority="107">
      <formula>AND(E$9&gt;=14/24,E$9&lt;20/24)</formula>
    </cfRule>
    <cfRule type="expression" dxfId="8895" priority="108">
      <formula>AND(E$9&gt;=8/24,E$9&lt;14/24)</formula>
    </cfRule>
    <cfRule type="expression" dxfId="8894" priority="109">
      <formula>E$9&lt;8/24</formula>
    </cfRule>
  </conditionalFormatting>
  <conditionalFormatting sqref="E15">
    <cfRule type="expression" dxfId="8893" priority="102">
      <formula>E$9&gt;=20/24</formula>
    </cfRule>
    <cfRule type="expression" dxfId="8892" priority="103">
      <formula>AND(E$9&gt;=14/24,E$9&lt;20/24)</formula>
    </cfRule>
    <cfRule type="expression" dxfId="8891" priority="104">
      <formula>AND(E$9&gt;=8/24,E$9&lt;14/24)</formula>
    </cfRule>
    <cfRule type="expression" dxfId="8890" priority="105">
      <formula>E$9&lt;8/24</formula>
    </cfRule>
  </conditionalFormatting>
  <conditionalFormatting sqref="E33:J33">
    <cfRule type="expression" dxfId="8889" priority="98">
      <formula>E$9&gt;=20/24</formula>
    </cfRule>
    <cfRule type="expression" dxfId="8888" priority="99">
      <formula>AND(E$9&gt;=14/24,E$9&lt;20/24)</formula>
    </cfRule>
    <cfRule type="expression" dxfId="8887" priority="100">
      <formula>AND(E$9&gt;=8/24,E$9&lt;14/24)</formula>
    </cfRule>
    <cfRule type="expression" dxfId="8886" priority="101">
      <formula>E$9&lt;8/24</formula>
    </cfRule>
  </conditionalFormatting>
  <conditionalFormatting sqref="E33:J33">
    <cfRule type="expression" dxfId="8885" priority="97">
      <formula>E33&gt;$AG33</formula>
    </cfRule>
  </conditionalFormatting>
  <conditionalFormatting sqref="E46:F48 B45:F45 G45:J48 E50:J50">
    <cfRule type="expression" dxfId="8884" priority="96">
      <formula>B45&gt;$AG45</formula>
    </cfRule>
  </conditionalFormatting>
  <conditionalFormatting sqref="K36">
    <cfRule type="expression" dxfId="8883" priority="92">
      <formula>K$9&gt;=20/24</formula>
    </cfRule>
    <cfRule type="expression" dxfId="8882" priority="93">
      <formula>AND(K$9&gt;=14/24,K$9&lt;20/24)</formula>
    </cfRule>
    <cfRule type="expression" dxfId="8881" priority="94">
      <formula>AND(K$9&gt;=8/24,K$9&lt;14/24)</formula>
    </cfRule>
    <cfRule type="expression" dxfId="8880" priority="95">
      <formula>K$9&lt;8/24</formula>
    </cfRule>
  </conditionalFormatting>
  <conditionalFormatting sqref="K36">
    <cfRule type="expression" dxfId="8879" priority="91">
      <formula>K36&gt;$AG36</formula>
    </cfRule>
  </conditionalFormatting>
  <conditionalFormatting sqref="K15">
    <cfRule type="expression" dxfId="8878" priority="90">
      <formula>K15&gt;$AG15</formula>
    </cfRule>
  </conditionalFormatting>
  <conditionalFormatting sqref="K16:K30">
    <cfRule type="expression" dxfId="8877" priority="86">
      <formula>K$9&gt;=20/24</formula>
    </cfRule>
    <cfRule type="expression" dxfId="8876" priority="87">
      <formula>AND(K$9&gt;=14/24,K$9&lt;20/24)</formula>
    </cfRule>
    <cfRule type="expression" dxfId="8875" priority="88">
      <formula>AND(K$9&gt;=8/24,K$9&lt;14/24)</formula>
    </cfRule>
    <cfRule type="expression" dxfId="8874" priority="89">
      <formula>K$9&lt;8/24</formula>
    </cfRule>
  </conditionalFormatting>
  <conditionalFormatting sqref="K31:K32 K35">
    <cfRule type="expression" dxfId="8873" priority="82">
      <formula>K$9&gt;=20/24</formula>
    </cfRule>
    <cfRule type="expression" dxfId="8872" priority="83">
      <formula>AND(K$9&gt;=14/24,K$9&lt;20/24)</formula>
    </cfRule>
    <cfRule type="expression" dxfId="8871" priority="84">
      <formula>AND(K$9&gt;=8/24,K$9&lt;14/24)</formula>
    </cfRule>
    <cfRule type="expression" dxfId="8870" priority="85">
      <formula>K$9&lt;8/24</formula>
    </cfRule>
  </conditionalFormatting>
  <conditionalFormatting sqref="K34:K35 K16:K32">
    <cfRule type="expression" dxfId="8869" priority="81">
      <formula>K16&gt;$AG16</formula>
    </cfRule>
  </conditionalFormatting>
  <conditionalFormatting sqref="K34">
    <cfRule type="expression" dxfId="8868" priority="77">
      <formula>K$9&gt;=20/24</formula>
    </cfRule>
    <cfRule type="expression" dxfId="8867" priority="78">
      <formula>AND(K$9&gt;=14/24,K$9&lt;20/24)</formula>
    </cfRule>
    <cfRule type="expression" dxfId="8866" priority="79">
      <formula>AND(K$9&gt;=8/24,K$9&lt;14/24)</formula>
    </cfRule>
    <cfRule type="expression" dxfId="8865" priority="80">
      <formula>K$9&lt;8/24</formula>
    </cfRule>
  </conditionalFormatting>
  <conditionalFormatting sqref="K33">
    <cfRule type="expression" dxfId="8864" priority="73">
      <formula>K$9&gt;=20/24</formula>
    </cfRule>
    <cfRule type="expression" dxfId="8863" priority="74">
      <formula>AND(K$9&gt;=14/24,K$9&lt;20/24)</formula>
    </cfRule>
    <cfRule type="expression" dxfId="8862" priority="75">
      <formula>AND(K$9&gt;=8/24,K$9&lt;14/24)</formula>
    </cfRule>
    <cfRule type="expression" dxfId="8861" priority="76">
      <formula>K$9&lt;8/24</formula>
    </cfRule>
  </conditionalFormatting>
  <conditionalFormatting sqref="K33">
    <cfRule type="expression" dxfId="8860" priority="72">
      <formula>K33&gt;$AG33</formula>
    </cfRule>
  </conditionalFormatting>
  <conditionalFormatting sqref="K45:K48 K50">
    <cfRule type="expression" dxfId="8859" priority="71">
      <formula>K45&gt;$AG45</formula>
    </cfRule>
  </conditionalFormatting>
  <conditionalFormatting sqref="L36">
    <cfRule type="expression" dxfId="8858" priority="67">
      <formula>L$9&gt;=20/24</formula>
    </cfRule>
    <cfRule type="expression" dxfId="8857" priority="68">
      <formula>AND(L$9&gt;=14/24,L$9&lt;20/24)</formula>
    </cfRule>
    <cfRule type="expression" dxfId="8856" priority="69">
      <formula>AND(L$9&gt;=8/24,L$9&lt;14/24)</formula>
    </cfRule>
    <cfRule type="expression" dxfId="8855" priority="70">
      <formula>L$9&lt;8/24</formula>
    </cfRule>
  </conditionalFormatting>
  <conditionalFormatting sqref="L36">
    <cfRule type="expression" dxfId="8854" priority="66">
      <formula>L36&gt;$AG36</formula>
    </cfRule>
  </conditionalFormatting>
  <conditionalFormatting sqref="L16:L30">
    <cfRule type="expression" dxfId="8853" priority="62">
      <formula>L$9&gt;=20/24</formula>
    </cfRule>
    <cfRule type="expression" dxfId="8852" priority="63">
      <formula>AND(L$9&gt;=14/24,L$9&lt;20/24)</formula>
    </cfRule>
    <cfRule type="expression" dxfId="8851" priority="64">
      <formula>AND(L$9&gt;=8/24,L$9&lt;14/24)</formula>
    </cfRule>
    <cfRule type="expression" dxfId="8850" priority="65">
      <formula>L$9&lt;8/24</formula>
    </cfRule>
  </conditionalFormatting>
  <conditionalFormatting sqref="L31:L32 L35">
    <cfRule type="expression" dxfId="8849" priority="58">
      <formula>L$9&gt;=20/24</formula>
    </cfRule>
    <cfRule type="expression" dxfId="8848" priority="59">
      <formula>AND(L$9&gt;=14/24,L$9&lt;20/24)</formula>
    </cfRule>
    <cfRule type="expression" dxfId="8847" priority="60">
      <formula>AND(L$9&gt;=8/24,L$9&lt;14/24)</formula>
    </cfRule>
    <cfRule type="expression" dxfId="8846" priority="61">
      <formula>L$9&lt;8/24</formula>
    </cfRule>
  </conditionalFormatting>
  <conditionalFormatting sqref="L34:L35 L16:L32">
    <cfRule type="expression" dxfId="8845" priority="57">
      <formula>L16&gt;$AG16</formula>
    </cfRule>
  </conditionalFormatting>
  <conditionalFormatting sqref="L34">
    <cfRule type="expression" dxfId="8844" priority="53">
      <formula>L$9&gt;=20/24</formula>
    </cfRule>
    <cfRule type="expression" dxfId="8843" priority="54">
      <formula>AND(L$9&gt;=14/24,L$9&lt;20/24)</formula>
    </cfRule>
    <cfRule type="expression" dxfId="8842" priority="55">
      <formula>AND(L$9&gt;=8/24,L$9&lt;14/24)</formula>
    </cfRule>
    <cfRule type="expression" dxfId="8841" priority="56">
      <formula>L$9&lt;8/24</formula>
    </cfRule>
  </conditionalFormatting>
  <conditionalFormatting sqref="L33">
    <cfRule type="expression" dxfId="8840" priority="49">
      <formula>L$9&gt;=20/24</formula>
    </cfRule>
    <cfRule type="expression" dxfId="8839" priority="50">
      <formula>AND(L$9&gt;=14/24,L$9&lt;20/24)</formula>
    </cfRule>
    <cfRule type="expression" dxfId="8838" priority="51">
      <formula>AND(L$9&gt;=8/24,L$9&lt;14/24)</formula>
    </cfRule>
    <cfRule type="expression" dxfId="8837" priority="52">
      <formula>L$9&lt;8/24</formula>
    </cfRule>
  </conditionalFormatting>
  <conditionalFormatting sqref="L33">
    <cfRule type="expression" dxfId="8836" priority="48">
      <formula>L33&gt;$AG33</formula>
    </cfRule>
  </conditionalFormatting>
  <conditionalFormatting sqref="L46:L48 L50">
    <cfRule type="expression" dxfId="8835" priority="47">
      <formula>L46&gt;$AG46</formula>
    </cfRule>
  </conditionalFormatting>
  <conditionalFormatting sqref="M13:M14">
    <cfRule type="expression" dxfId="8834" priority="46">
      <formula>M13&gt;$AG13</formula>
    </cfRule>
  </conditionalFormatting>
  <conditionalFormatting sqref="M15:N15">
    <cfRule type="expression" dxfId="8833" priority="45">
      <formula>M15&gt;$AG15</formula>
    </cfRule>
  </conditionalFormatting>
  <conditionalFormatting sqref="M36:AF36">
    <cfRule type="expression" dxfId="8832" priority="41">
      <formula>M$9&gt;=20/24</formula>
    </cfRule>
    <cfRule type="expression" dxfId="8831" priority="42">
      <formula>AND(M$9&gt;=14/24,M$9&lt;20/24)</formula>
    </cfRule>
    <cfRule type="expression" dxfId="8830" priority="43">
      <formula>AND(M$9&gt;=8/24,M$9&lt;14/24)</formula>
    </cfRule>
    <cfRule type="expression" dxfId="8829" priority="44">
      <formula>M$9&lt;8/24</formula>
    </cfRule>
  </conditionalFormatting>
  <conditionalFormatting sqref="M36:AF36">
    <cfRule type="expression" dxfId="8828" priority="40">
      <formula>M36&gt;$AG36</formula>
    </cfRule>
  </conditionalFormatting>
  <conditionalFormatting sqref="M16:X30">
    <cfRule type="expression" dxfId="8827" priority="36">
      <formula>M$9&gt;=20/24</formula>
    </cfRule>
    <cfRule type="expression" dxfId="8826" priority="37">
      <formula>AND(M$9&gt;=14/24,M$9&lt;20/24)</formula>
    </cfRule>
    <cfRule type="expression" dxfId="8825" priority="38">
      <formula>AND(M$9&gt;=8/24,M$9&lt;14/24)</formula>
    </cfRule>
    <cfRule type="expression" dxfId="8824" priority="39">
      <formula>M$9&lt;8/24</formula>
    </cfRule>
  </conditionalFormatting>
  <conditionalFormatting sqref="M31:X32 M35:X35">
    <cfRule type="expression" dxfId="8823" priority="32">
      <formula>M$9&gt;=20/24</formula>
    </cfRule>
    <cfRule type="expression" dxfId="8822" priority="33">
      <formula>AND(M$9&gt;=14/24,M$9&lt;20/24)</formula>
    </cfRule>
    <cfRule type="expression" dxfId="8821" priority="34">
      <formula>AND(M$9&gt;=8/24,M$9&lt;14/24)</formula>
    </cfRule>
    <cfRule type="expression" dxfId="8820" priority="35">
      <formula>M$9&lt;8/24</formula>
    </cfRule>
  </conditionalFormatting>
  <conditionalFormatting sqref="M34:X35 M16:X32">
    <cfRule type="expression" dxfId="8819" priority="31">
      <formula>M16&gt;$AG16</formula>
    </cfRule>
  </conditionalFormatting>
  <conditionalFormatting sqref="M34:X34">
    <cfRule type="expression" dxfId="8818" priority="27">
      <formula>M$9&gt;=20/24</formula>
    </cfRule>
    <cfRule type="expression" dxfId="8817" priority="28">
      <formula>AND(M$9&gt;=14/24,M$9&lt;20/24)</formula>
    </cfRule>
    <cfRule type="expression" dxfId="8816" priority="29">
      <formula>AND(M$9&gt;=8/24,M$9&lt;14/24)</formula>
    </cfRule>
    <cfRule type="expression" dxfId="8815" priority="30">
      <formula>M$9&lt;8/24</formula>
    </cfRule>
  </conditionalFormatting>
  <conditionalFormatting sqref="M33:X33">
    <cfRule type="expression" dxfId="8814" priority="23">
      <formula>M$9&gt;=20/24</formula>
    </cfRule>
    <cfRule type="expression" dxfId="8813" priority="24">
      <formula>AND(M$9&gt;=14/24,M$9&lt;20/24)</formula>
    </cfRule>
    <cfRule type="expression" dxfId="8812" priority="25">
      <formula>AND(M$9&gt;=8/24,M$9&lt;14/24)</formula>
    </cfRule>
    <cfRule type="expression" dxfId="8811" priority="26">
      <formula>M$9&lt;8/24</formula>
    </cfRule>
  </conditionalFormatting>
  <conditionalFormatting sqref="M33:X33">
    <cfRule type="expression" dxfId="8810" priority="22">
      <formula>M33&gt;$AG33</formula>
    </cfRule>
  </conditionalFormatting>
  <conditionalFormatting sqref="M45:X45">
    <cfRule type="expression" dxfId="8809" priority="21">
      <formula>M45&gt;$AG45</formula>
    </cfRule>
  </conditionalFormatting>
  <conditionalFormatting sqref="M46:X50">
    <cfRule type="expression" dxfId="8808" priority="20">
      <formula>M46&gt;$AG46</formula>
    </cfRule>
  </conditionalFormatting>
  <conditionalFormatting sqref="Z40:AA42">
    <cfRule type="expression" dxfId="8807" priority="16">
      <formula>Z$9&gt;=20/24</formula>
    </cfRule>
    <cfRule type="expression" dxfId="8806" priority="17">
      <formula>AND(Z$9&gt;=14/24,Z$9&lt;20/24)</formula>
    </cfRule>
    <cfRule type="expression" dxfId="8805" priority="18">
      <formula>AND(Z$9&gt;=8/24,Z$9&lt;14/24)</formula>
    </cfRule>
    <cfRule type="expression" dxfId="8804" priority="19">
      <formula>Z$9&lt;8/24</formula>
    </cfRule>
  </conditionalFormatting>
  <conditionalFormatting sqref="Z39:AA39">
    <cfRule type="expression" dxfId="8803" priority="12">
      <formula>Z$9&gt;=20/24</formula>
    </cfRule>
    <cfRule type="expression" dxfId="8802" priority="13">
      <formula>AND(Z$9&gt;=14/24,Z$9&lt;20/24)</formula>
    </cfRule>
    <cfRule type="expression" dxfId="8801" priority="14">
      <formula>AND(Z$9&gt;=8/24,Z$9&lt;14/24)</formula>
    </cfRule>
    <cfRule type="expression" dxfId="8800" priority="15">
      <formula>Z$9&lt;8/24</formula>
    </cfRule>
  </conditionalFormatting>
  <conditionalFormatting sqref="Z43:AA43">
    <cfRule type="expression" dxfId="8799" priority="8">
      <formula>Z$9&gt;=20/24</formula>
    </cfRule>
    <cfRule type="expression" dxfId="8798" priority="9">
      <formula>AND(Z$9&gt;=14/24,Z$9&lt;20/24)</formula>
    </cfRule>
    <cfRule type="expression" dxfId="8797" priority="10">
      <formula>AND(Z$9&gt;=8/24,Z$9&lt;14/24)</formula>
    </cfRule>
    <cfRule type="expression" dxfId="8796" priority="11">
      <formula>Z$9&lt;8/24</formula>
    </cfRule>
  </conditionalFormatting>
  <conditionalFormatting sqref="Z39:AA44">
    <cfRule type="expression" dxfId="8795" priority="7">
      <formula>Z39&gt;$AG39</formula>
    </cfRule>
  </conditionalFormatting>
  <conditionalFormatting sqref="Z44:AA44">
    <cfRule type="expression" dxfId="8794" priority="3">
      <formula>Z$9&gt;=20/24</formula>
    </cfRule>
    <cfRule type="expression" dxfId="8793" priority="4">
      <formula>AND(Z$9&gt;=14/24,Z$9&lt;20/24)</formula>
    </cfRule>
    <cfRule type="expression" dxfId="8792" priority="5">
      <formula>AND(Z$9&gt;=8/24,Z$9&lt;14/24)</formula>
    </cfRule>
    <cfRule type="expression" dxfId="8791" priority="6">
      <formula>Z$9&lt;8/24</formula>
    </cfRule>
  </conditionalFormatting>
  <conditionalFormatting sqref="Z45:AA45">
    <cfRule type="expression" dxfId="8790" priority="2">
      <formula>Z45&gt;$AG45</formula>
    </cfRule>
  </conditionalFormatting>
  <conditionalFormatting sqref="Z46:AA50">
    <cfRule type="expression" dxfId="8789" priority="1">
      <formula>Z46&gt;$AG46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8" id="{CF2A1E22-21F2-48BD-96E5-1314902594F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I60" sqref="I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2078/10/11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361.3</v>
      </c>
      <c r="C5" s="32">
        <f t="shared" si="0"/>
        <v>350.59999999999997</v>
      </c>
      <c r="D5" s="32">
        <f t="shared" si="0"/>
        <v>338</v>
      </c>
      <c r="E5" s="32">
        <f t="shared" si="0"/>
        <v>324.3</v>
      </c>
      <c r="F5" s="32">
        <f t="shared" si="0"/>
        <v>363</v>
      </c>
      <c r="G5" s="32">
        <f t="shared" si="0"/>
        <v>385</v>
      </c>
      <c r="H5" s="32">
        <f t="shared" si="0"/>
        <v>439.9</v>
      </c>
      <c r="I5" s="32">
        <f t="shared" si="0"/>
        <v>526.9</v>
      </c>
      <c r="J5" s="32">
        <f t="shared" si="0"/>
        <v>522.6</v>
      </c>
      <c r="K5" s="32">
        <f t="shared" si="0"/>
        <v>535.70000000000005</v>
      </c>
      <c r="L5" s="32">
        <f t="shared" si="0"/>
        <v>282.2</v>
      </c>
      <c r="M5" s="32">
        <f t="shared" si="0"/>
        <v>282.2</v>
      </c>
      <c r="N5" s="32">
        <f t="shared" si="0"/>
        <v>285.30000000000007</v>
      </c>
      <c r="O5" s="32">
        <f t="shared" si="0"/>
        <v>384.29999999999995</v>
      </c>
      <c r="P5" s="32">
        <f t="shared" si="0"/>
        <v>594.4</v>
      </c>
      <c r="Q5" s="32">
        <f t="shared" si="0"/>
        <v>539.69999999999993</v>
      </c>
      <c r="R5" s="32">
        <f t="shared" si="0"/>
        <v>527.5</v>
      </c>
      <c r="S5" s="32">
        <f t="shared" si="0"/>
        <v>521.5</v>
      </c>
      <c r="T5" s="32">
        <f t="shared" si="0"/>
        <v>523.4</v>
      </c>
      <c r="U5" s="32">
        <f t="shared" si="0"/>
        <v>493.70000000000005</v>
      </c>
      <c r="V5" s="32">
        <f t="shared" si="0"/>
        <v>327</v>
      </c>
      <c r="W5" s="32">
        <f t="shared" si="0"/>
        <v>439.79999999999995</v>
      </c>
      <c r="X5" s="32">
        <f t="shared" si="0"/>
        <v>381</v>
      </c>
      <c r="Y5" s="32">
        <f t="shared" si="0"/>
        <v>352.4</v>
      </c>
      <c r="Z5" s="32">
        <f t="shared" si="0"/>
        <v>286.7</v>
      </c>
      <c r="AA5" s="32">
        <f t="shared" si="0"/>
        <v>486.79999999999995</v>
      </c>
      <c r="AB5" s="32">
        <f t="shared" si="0"/>
        <v>428</v>
      </c>
      <c r="AC5" s="32">
        <f t="shared" si="0"/>
        <v>422.80000000000007</v>
      </c>
      <c r="AD5" s="32">
        <f t="shared" si="0"/>
        <v>380.40000000000003</v>
      </c>
      <c r="AE5" s="32">
        <f t="shared" si="0"/>
        <v>371.6</v>
      </c>
      <c r="AF5" s="32">
        <f>B68</f>
        <v>365.2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1530MW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Load=912</v>
      </c>
      <c r="B7" s="37">
        <f>B75</f>
        <v>969.54</v>
      </c>
      <c r="C7" s="37">
        <f t="shared" ref="C7:AF7" si="1">C75</f>
        <v>938.04</v>
      </c>
      <c r="D7" s="37">
        <f t="shared" si="1"/>
        <v>925.93999999999994</v>
      </c>
      <c r="E7" s="37">
        <f t="shared" si="1"/>
        <v>912.44</v>
      </c>
      <c r="F7" s="37">
        <f t="shared" si="1"/>
        <v>924.04</v>
      </c>
      <c r="G7" s="37">
        <f t="shared" si="1"/>
        <v>959.74</v>
      </c>
      <c r="H7" s="37">
        <f t="shared" si="1"/>
        <v>987.83999999999992</v>
      </c>
      <c r="I7" s="37">
        <f t="shared" si="1"/>
        <v>1080.04</v>
      </c>
      <c r="J7" s="37">
        <f t="shared" si="1"/>
        <v>1217.74</v>
      </c>
      <c r="K7" s="37">
        <f t="shared" si="1"/>
        <v>1266.74</v>
      </c>
      <c r="L7" s="37">
        <f t="shared" si="1"/>
        <v>1391.8400000000001</v>
      </c>
      <c r="M7" s="37">
        <f t="shared" si="1"/>
        <v>1509.74</v>
      </c>
      <c r="N7" s="37">
        <f t="shared" si="1"/>
        <v>1529.74</v>
      </c>
      <c r="O7" s="37">
        <f t="shared" si="1"/>
        <v>1442.44</v>
      </c>
      <c r="P7" s="37">
        <f t="shared" si="1"/>
        <v>1451.74</v>
      </c>
      <c r="Q7" s="37">
        <f t="shared" si="1"/>
        <v>1376.94</v>
      </c>
      <c r="R7" s="37">
        <f t="shared" si="1"/>
        <v>1292.7399999999998</v>
      </c>
      <c r="S7" s="37">
        <f t="shared" si="1"/>
        <v>1295.54</v>
      </c>
      <c r="T7" s="37">
        <f t="shared" si="1"/>
        <v>1302.3399999999999</v>
      </c>
      <c r="U7" s="37">
        <f t="shared" si="1"/>
        <v>1307.6400000000001</v>
      </c>
      <c r="V7" s="37">
        <f t="shared" si="1"/>
        <v>1364.8400000000001</v>
      </c>
      <c r="W7" s="37">
        <f t="shared" si="1"/>
        <v>1439.34</v>
      </c>
      <c r="X7" s="37">
        <f t="shared" si="1"/>
        <v>1563.24</v>
      </c>
      <c r="Y7" s="37">
        <f t="shared" si="1"/>
        <v>1672.44</v>
      </c>
      <c r="Z7" s="37">
        <f t="shared" si="1"/>
        <v>1633.3400000000001</v>
      </c>
      <c r="AA7" s="37">
        <f t="shared" si="1"/>
        <v>1558.3400000000001</v>
      </c>
      <c r="AB7" s="37">
        <f t="shared" si="1"/>
        <v>1476.2399999999998</v>
      </c>
      <c r="AC7" s="37">
        <f t="shared" si="1"/>
        <v>1374.34</v>
      </c>
      <c r="AD7" s="37">
        <f t="shared" si="1"/>
        <v>1287.0400000000002</v>
      </c>
      <c r="AE7" s="37">
        <f t="shared" si="1"/>
        <v>1127.04</v>
      </c>
      <c r="AF7" s="37">
        <f t="shared" si="1"/>
        <v>983.83999999999992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30</v>
      </c>
      <c r="D11" s="49">
        <v>30</v>
      </c>
      <c r="E11" s="49">
        <v>30</v>
      </c>
      <c r="F11" s="49">
        <v>50</v>
      </c>
      <c r="G11" s="49">
        <v>15</v>
      </c>
      <c r="H11" s="49">
        <v>15</v>
      </c>
      <c r="I11" s="49">
        <v>15</v>
      </c>
      <c r="J11" s="49">
        <v>15</v>
      </c>
      <c r="K11" s="49">
        <v>15</v>
      </c>
      <c r="L11" s="49">
        <v>50</v>
      </c>
      <c r="M11" s="50">
        <v>300</v>
      </c>
      <c r="N11" s="50">
        <v>320</v>
      </c>
      <c r="O11" s="50">
        <v>300</v>
      </c>
      <c r="P11" s="50">
        <v>228</v>
      </c>
      <c r="Q11" s="50">
        <v>15</v>
      </c>
      <c r="R11" s="177">
        <v>15</v>
      </c>
      <c r="S11" s="50">
        <v>35</v>
      </c>
      <c r="T11" s="50">
        <v>40</v>
      </c>
      <c r="U11" s="50">
        <v>40</v>
      </c>
      <c r="V11" s="50">
        <v>40</v>
      </c>
      <c r="W11" s="50">
        <v>200</v>
      </c>
      <c r="X11" s="50">
        <v>200</v>
      </c>
      <c r="Y11" s="50">
        <v>360</v>
      </c>
      <c r="Z11" s="51">
        <v>350</v>
      </c>
      <c r="AA11" s="51">
        <v>350</v>
      </c>
      <c r="AB11" s="50">
        <v>100</v>
      </c>
      <c r="AC11" s="50">
        <v>100</v>
      </c>
      <c r="AD11" s="50">
        <v>80</v>
      </c>
      <c r="AE11" s="50">
        <v>40</v>
      </c>
      <c r="AF11" s="49">
        <v>20</v>
      </c>
      <c r="AG11" s="52">
        <v>456</v>
      </c>
      <c r="AH11" s="53">
        <f>MAX(B11:AF11)</f>
        <v>360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37</v>
      </c>
      <c r="C12" s="49">
        <v>37</v>
      </c>
      <c r="D12" s="49">
        <v>37</v>
      </c>
      <c r="E12" s="49">
        <v>37</v>
      </c>
      <c r="F12" s="49">
        <v>37</v>
      </c>
      <c r="G12" s="49">
        <v>37</v>
      </c>
      <c r="H12" s="49">
        <v>37</v>
      </c>
      <c r="I12" s="49">
        <v>37</v>
      </c>
      <c r="J12" s="49">
        <v>37</v>
      </c>
      <c r="K12" s="49">
        <v>37</v>
      </c>
      <c r="L12" s="49">
        <v>37</v>
      </c>
      <c r="M12" s="49">
        <v>37</v>
      </c>
      <c r="N12" s="49">
        <v>37</v>
      </c>
      <c r="O12" s="49">
        <v>38</v>
      </c>
      <c r="P12" s="49">
        <v>38</v>
      </c>
      <c r="Q12" s="49">
        <v>38</v>
      </c>
      <c r="R12" s="49">
        <v>38</v>
      </c>
      <c r="S12" s="49">
        <v>38</v>
      </c>
      <c r="T12" s="49">
        <v>38</v>
      </c>
      <c r="U12" s="49">
        <v>38</v>
      </c>
      <c r="V12" s="49">
        <v>38</v>
      </c>
      <c r="W12" s="49">
        <v>38</v>
      </c>
      <c r="X12" s="49">
        <v>38</v>
      </c>
      <c r="Y12" s="57">
        <v>38</v>
      </c>
      <c r="Z12" s="50">
        <v>38</v>
      </c>
      <c r="AA12" s="50">
        <v>38</v>
      </c>
      <c r="AB12" s="50">
        <v>38</v>
      </c>
      <c r="AC12" s="50">
        <v>38</v>
      </c>
      <c r="AD12" s="50">
        <v>38</v>
      </c>
      <c r="AE12" s="50">
        <v>38</v>
      </c>
      <c r="AF12" s="50">
        <v>38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37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19.3</v>
      </c>
      <c r="C13" s="49">
        <v>19.3</v>
      </c>
      <c r="D13" s="49">
        <v>19.3</v>
      </c>
      <c r="E13" s="49">
        <v>19.3</v>
      </c>
      <c r="F13" s="49">
        <v>19.3</v>
      </c>
      <c r="G13" s="49">
        <v>19.3</v>
      </c>
      <c r="H13" s="49">
        <v>19.3</v>
      </c>
      <c r="I13" s="49">
        <v>19.3</v>
      </c>
      <c r="J13" s="49">
        <v>19.3</v>
      </c>
      <c r="K13" s="49">
        <v>19.3</v>
      </c>
      <c r="L13" s="49">
        <v>19.3</v>
      </c>
      <c r="M13" s="49">
        <v>19.3</v>
      </c>
      <c r="N13" s="49">
        <v>19.3</v>
      </c>
      <c r="O13" s="49">
        <v>21.2</v>
      </c>
      <c r="P13" s="49">
        <v>21.9</v>
      </c>
      <c r="Q13" s="49">
        <v>21.9</v>
      </c>
      <c r="R13" s="49">
        <v>22</v>
      </c>
      <c r="S13" s="49">
        <v>22</v>
      </c>
      <c r="T13" s="49">
        <v>22</v>
      </c>
      <c r="U13" s="49">
        <v>22</v>
      </c>
      <c r="V13" s="49">
        <v>22</v>
      </c>
      <c r="W13" s="49">
        <v>22</v>
      </c>
      <c r="X13" s="49">
        <v>22</v>
      </c>
      <c r="Y13" s="57">
        <v>22</v>
      </c>
      <c r="Z13" s="50">
        <v>22</v>
      </c>
      <c r="AA13" s="50">
        <v>22</v>
      </c>
      <c r="AB13" s="50">
        <v>22</v>
      </c>
      <c r="AC13" s="50">
        <v>19.2</v>
      </c>
      <c r="AD13" s="50">
        <v>20.399999999999999</v>
      </c>
      <c r="AE13" s="50">
        <v>20.399999999999999</v>
      </c>
      <c r="AF13" s="50">
        <v>21.4</v>
      </c>
      <c r="AG13" s="58">
        <v>52.4</v>
      </c>
      <c r="AH13" s="53">
        <f t="shared" si="2"/>
        <v>22</v>
      </c>
      <c r="AI13" s="54">
        <f t="shared" si="3"/>
        <v>19.2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39.700000000000003</v>
      </c>
      <c r="C14" s="49">
        <v>39.700000000000003</v>
      </c>
      <c r="D14" s="49">
        <v>39.700000000000003</v>
      </c>
      <c r="E14" s="49">
        <v>39.700000000000003</v>
      </c>
      <c r="F14" s="49">
        <v>39.700000000000003</v>
      </c>
      <c r="G14" s="49">
        <v>39.700000000000003</v>
      </c>
      <c r="H14" s="49">
        <v>39.700000000000003</v>
      </c>
      <c r="I14" s="49">
        <v>39.700000000000003</v>
      </c>
      <c r="J14" s="49">
        <v>39.700000000000003</v>
      </c>
      <c r="K14" s="49">
        <v>39.700000000000003</v>
      </c>
      <c r="L14" s="49">
        <v>39.700000000000003</v>
      </c>
      <c r="M14" s="50">
        <v>39.700000000000003</v>
      </c>
      <c r="N14" s="50">
        <v>39.700000000000003</v>
      </c>
      <c r="O14" s="50">
        <v>39.5</v>
      </c>
      <c r="P14" s="50">
        <v>39.4</v>
      </c>
      <c r="Q14" s="50">
        <v>39.4</v>
      </c>
      <c r="R14" s="50">
        <v>40.200000000000003</v>
      </c>
      <c r="S14" s="50">
        <v>40.200000000000003</v>
      </c>
      <c r="T14" s="50">
        <v>40.200000000000003</v>
      </c>
      <c r="U14" s="50">
        <v>40.200000000000003</v>
      </c>
      <c r="V14" s="50">
        <v>40.200000000000003</v>
      </c>
      <c r="W14" s="50">
        <v>40.200000000000003</v>
      </c>
      <c r="X14" s="50">
        <v>40.200000000000003</v>
      </c>
      <c r="Y14" s="59">
        <v>40.200000000000003</v>
      </c>
      <c r="Z14" s="50">
        <v>40.200000000000003</v>
      </c>
      <c r="AA14" s="50">
        <v>40.200000000000003</v>
      </c>
      <c r="AB14" s="50">
        <v>40.200000000000003</v>
      </c>
      <c r="AC14" s="50">
        <v>40.200000000000003</v>
      </c>
      <c r="AD14" s="50">
        <v>40.200000000000003</v>
      </c>
      <c r="AE14" s="50">
        <v>40.200000000000003</v>
      </c>
      <c r="AF14" s="50">
        <v>40</v>
      </c>
      <c r="AG14" s="58">
        <v>50</v>
      </c>
      <c r="AH14" s="53">
        <f t="shared" si="2"/>
        <v>40.200000000000003</v>
      </c>
      <c r="AI14" s="54">
        <f t="shared" si="3"/>
        <v>39.4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22.9</v>
      </c>
      <c r="C15" s="60">
        <v>22.9</v>
      </c>
      <c r="D15" s="60">
        <v>22.9</v>
      </c>
      <c r="E15" s="60">
        <v>22.9</v>
      </c>
      <c r="F15" s="60">
        <v>22.9</v>
      </c>
      <c r="G15" s="60">
        <v>22.9</v>
      </c>
      <c r="H15" s="60">
        <v>22.9</v>
      </c>
      <c r="I15" s="60">
        <v>22.9</v>
      </c>
      <c r="J15" s="60">
        <v>22.9</v>
      </c>
      <c r="K15" s="60">
        <v>22.9</v>
      </c>
      <c r="L15" s="60">
        <v>22.9</v>
      </c>
      <c r="M15" s="50">
        <v>22.9</v>
      </c>
      <c r="N15" s="50">
        <v>22.9</v>
      </c>
      <c r="O15" s="50">
        <v>21.1</v>
      </c>
      <c r="P15" s="50">
        <v>22.3</v>
      </c>
      <c r="Q15" s="50">
        <v>22.3</v>
      </c>
      <c r="R15" s="50">
        <v>21</v>
      </c>
      <c r="S15" s="50">
        <v>21</v>
      </c>
      <c r="T15" s="50">
        <v>21</v>
      </c>
      <c r="U15" s="50">
        <v>21</v>
      </c>
      <c r="V15" s="50">
        <v>21</v>
      </c>
      <c r="W15" s="50">
        <v>21</v>
      </c>
      <c r="X15" s="50">
        <v>21</v>
      </c>
      <c r="Y15" s="59">
        <v>21</v>
      </c>
      <c r="Z15" s="50">
        <v>21</v>
      </c>
      <c r="AA15" s="50">
        <v>21</v>
      </c>
      <c r="AB15" s="50">
        <v>21</v>
      </c>
      <c r="AC15" s="50">
        <v>23.3</v>
      </c>
      <c r="AD15" s="50">
        <v>23.3</v>
      </c>
      <c r="AE15" s="50">
        <v>23.3</v>
      </c>
      <c r="AF15" s="50">
        <v>22.9</v>
      </c>
      <c r="AG15" s="61">
        <v>45</v>
      </c>
      <c r="AH15" s="53">
        <f t="shared" si="2"/>
        <v>23.3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9.8000000000000007</v>
      </c>
      <c r="C19" s="49">
        <v>9.8000000000000007</v>
      </c>
      <c r="D19" s="49">
        <v>9.8000000000000007</v>
      </c>
      <c r="E19" s="49">
        <v>9.8000000000000007</v>
      </c>
      <c r="F19" s="49">
        <v>9.8000000000000007</v>
      </c>
      <c r="G19" s="49">
        <v>9.8000000000000007</v>
      </c>
      <c r="H19" s="49">
        <v>9.8000000000000007</v>
      </c>
      <c r="I19" s="49">
        <v>9.8000000000000007</v>
      </c>
      <c r="J19" s="49">
        <v>9.8000000000000007</v>
      </c>
      <c r="K19" s="49">
        <v>9.8000000000000007</v>
      </c>
      <c r="L19" s="49">
        <v>9.8000000000000007</v>
      </c>
      <c r="M19" s="50">
        <v>9.8000000000000007</v>
      </c>
      <c r="N19" s="50">
        <v>9.8000000000000007</v>
      </c>
      <c r="O19" s="50">
        <v>9.8000000000000007</v>
      </c>
      <c r="P19" s="50">
        <v>9.8000000000000007</v>
      </c>
      <c r="Q19" s="50">
        <v>9.8000000000000007</v>
      </c>
      <c r="R19" s="50">
        <v>9.8000000000000007</v>
      </c>
      <c r="S19" s="50">
        <v>9.8000000000000007</v>
      </c>
      <c r="T19" s="50">
        <v>9.8000000000000007</v>
      </c>
      <c r="U19" s="50">
        <v>9.8000000000000007</v>
      </c>
      <c r="V19" s="50">
        <v>9.8000000000000007</v>
      </c>
      <c r="W19" s="50">
        <v>9.8000000000000007</v>
      </c>
      <c r="X19" s="50">
        <v>9.8000000000000007</v>
      </c>
      <c r="Y19" s="50">
        <v>9.8000000000000007</v>
      </c>
      <c r="Z19" s="50">
        <v>9.8000000000000007</v>
      </c>
      <c r="AA19" s="50">
        <v>9.8000000000000007</v>
      </c>
      <c r="AB19" s="50">
        <v>9.8000000000000007</v>
      </c>
      <c r="AC19" s="50">
        <v>9.8000000000000007</v>
      </c>
      <c r="AD19" s="50">
        <v>9.8000000000000007</v>
      </c>
      <c r="AE19" s="50">
        <v>9.8000000000000007</v>
      </c>
      <c r="AF19" s="50">
        <v>9.8000000000000007</v>
      </c>
      <c r="AG19" s="58">
        <v>30</v>
      </c>
      <c r="AH19" s="53">
        <f t="shared" si="2"/>
        <v>9.8000000000000007</v>
      </c>
      <c r="AI19" s="54">
        <f t="shared" si="3"/>
        <v>9.8000000000000007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12.3</v>
      </c>
      <c r="C22" s="49">
        <v>12.3</v>
      </c>
      <c r="D22" s="49">
        <v>12.3</v>
      </c>
      <c r="E22" s="49">
        <v>12.3</v>
      </c>
      <c r="F22" s="49">
        <v>12.3</v>
      </c>
      <c r="G22" s="49">
        <v>12.3</v>
      </c>
      <c r="H22" s="49">
        <v>12.3</v>
      </c>
      <c r="I22" s="49">
        <v>12.3</v>
      </c>
      <c r="J22" s="49">
        <v>12.3</v>
      </c>
      <c r="K22" s="49">
        <v>12.3</v>
      </c>
      <c r="L22" s="49">
        <v>12.3</v>
      </c>
      <c r="M22" s="50">
        <v>12.3</v>
      </c>
      <c r="N22" s="50">
        <v>12.3</v>
      </c>
      <c r="O22" s="50">
        <v>12.3</v>
      </c>
      <c r="P22" s="50">
        <v>12.3</v>
      </c>
      <c r="Q22" s="50">
        <v>12.3</v>
      </c>
      <c r="R22" s="50">
        <v>12.3</v>
      </c>
      <c r="S22" s="50">
        <v>12.3</v>
      </c>
      <c r="T22" s="50">
        <v>12.3</v>
      </c>
      <c r="U22" s="50">
        <v>12.3</v>
      </c>
      <c r="V22" s="50">
        <v>12.3</v>
      </c>
      <c r="W22" s="50">
        <v>12.3</v>
      </c>
      <c r="X22" s="50">
        <v>12.3</v>
      </c>
      <c r="Y22" s="50">
        <v>18.7</v>
      </c>
      <c r="Z22" s="50">
        <v>18.7</v>
      </c>
      <c r="AA22" s="50">
        <v>18.7</v>
      </c>
      <c r="AB22" s="50">
        <v>18.7</v>
      </c>
      <c r="AC22" s="50">
        <v>18.7</v>
      </c>
      <c r="AD22" s="50">
        <v>10.6</v>
      </c>
      <c r="AE22" s="50">
        <v>10.6</v>
      </c>
      <c r="AF22" s="50">
        <v>11.1</v>
      </c>
      <c r="AG22" s="58">
        <v>25</v>
      </c>
      <c r="AH22" s="53">
        <f t="shared" si="2"/>
        <v>18.7</v>
      </c>
      <c r="AI22" s="54">
        <f t="shared" si="3"/>
        <v>10.6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11</v>
      </c>
      <c r="C24" s="49">
        <v>11</v>
      </c>
      <c r="D24" s="49">
        <v>11</v>
      </c>
      <c r="E24" s="49">
        <v>11</v>
      </c>
      <c r="F24" s="49">
        <v>11</v>
      </c>
      <c r="G24" s="49">
        <v>11</v>
      </c>
      <c r="H24" s="49">
        <v>11</v>
      </c>
      <c r="I24" s="49">
        <v>11</v>
      </c>
      <c r="J24" s="49">
        <v>11</v>
      </c>
      <c r="K24" s="49">
        <v>11</v>
      </c>
      <c r="L24" s="49">
        <v>11</v>
      </c>
      <c r="M24" s="50">
        <v>11</v>
      </c>
      <c r="N24" s="50">
        <v>11</v>
      </c>
      <c r="O24" s="50">
        <v>11</v>
      </c>
      <c r="P24" s="50">
        <v>11</v>
      </c>
      <c r="Q24" s="50">
        <v>11</v>
      </c>
      <c r="R24" s="50">
        <v>11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11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170</v>
      </c>
      <c r="C36" s="60">
        <v>170</v>
      </c>
      <c r="D36" s="60">
        <v>170</v>
      </c>
      <c r="E36" s="60">
        <v>170</v>
      </c>
      <c r="F36" s="60">
        <v>170</v>
      </c>
      <c r="G36" s="60">
        <v>170</v>
      </c>
      <c r="H36" s="60">
        <v>170</v>
      </c>
      <c r="I36" s="60">
        <v>170</v>
      </c>
      <c r="J36" s="60">
        <v>170</v>
      </c>
      <c r="K36" s="60">
        <v>170</v>
      </c>
      <c r="L36" s="60">
        <v>170</v>
      </c>
      <c r="M36" s="60">
        <v>170</v>
      </c>
      <c r="N36" s="60">
        <v>170</v>
      </c>
      <c r="O36" s="60">
        <v>170</v>
      </c>
      <c r="P36" s="60">
        <v>170</v>
      </c>
      <c r="Q36" s="60">
        <v>170</v>
      </c>
      <c r="R36" s="60">
        <v>170</v>
      </c>
      <c r="S36" s="60">
        <v>170</v>
      </c>
      <c r="T36" s="60">
        <v>170</v>
      </c>
      <c r="U36" s="60">
        <v>170</v>
      </c>
      <c r="V36" s="60">
        <v>170</v>
      </c>
      <c r="W36" s="60">
        <v>170</v>
      </c>
      <c r="X36" s="60">
        <v>170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170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50.4</v>
      </c>
      <c r="C37" s="60">
        <f>18.9+35.5</f>
        <v>54.4</v>
      </c>
      <c r="D37" s="60">
        <f>18.5+34.6</f>
        <v>53.1</v>
      </c>
      <c r="E37" s="60">
        <f>18.6+34.3</f>
        <v>52.9</v>
      </c>
      <c r="F37" s="60">
        <f>34.5+19</f>
        <v>53.5</v>
      </c>
      <c r="G37" s="60">
        <f>34.3+18.8</f>
        <v>53.099999999999994</v>
      </c>
      <c r="H37" s="60">
        <f>33.9+18.7</f>
        <v>52.599999999999994</v>
      </c>
      <c r="I37" s="60">
        <f>33.2+18.4</f>
        <v>51.6</v>
      </c>
      <c r="J37" s="60">
        <f>33.2+18.4</f>
        <v>51.6</v>
      </c>
      <c r="K37" s="60">
        <f>30+17.5</f>
        <v>47.5</v>
      </c>
      <c r="L37" s="60">
        <f>28.1+13.2</f>
        <v>41.3</v>
      </c>
      <c r="M37" s="69">
        <v>51.6</v>
      </c>
      <c r="N37" s="69">
        <v>51.6</v>
      </c>
      <c r="O37" s="69">
        <f>32.8+17.7</f>
        <v>50.5</v>
      </c>
      <c r="P37" s="69">
        <f>33.1+17.9</f>
        <v>51</v>
      </c>
      <c r="Q37" s="69">
        <f>31.7+17.6</f>
        <v>49.3</v>
      </c>
      <c r="R37" s="69">
        <f>31.2+17.3</f>
        <v>48.5</v>
      </c>
      <c r="S37" s="69">
        <v>49.3</v>
      </c>
      <c r="T37" s="69">
        <v>49.8</v>
      </c>
      <c r="U37" s="69">
        <v>49.1</v>
      </c>
      <c r="V37" s="69">
        <v>49.3</v>
      </c>
      <c r="W37" s="69">
        <v>46.7</v>
      </c>
      <c r="X37" s="69">
        <v>43</v>
      </c>
      <c r="Y37" s="69">
        <v>48.8</v>
      </c>
      <c r="Z37" s="69">
        <v>48.8</v>
      </c>
      <c r="AA37" s="69">
        <v>48.8</v>
      </c>
      <c r="AB37" s="69">
        <f>16.5+30</f>
        <v>46.5</v>
      </c>
      <c r="AC37" s="69">
        <f>15.8+29.3</f>
        <v>45.1</v>
      </c>
      <c r="AD37" s="69">
        <f>17.8+32.3</f>
        <v>50.099999999999994</v>
      </c>
      <c r="AE37" s="69">
        <f>18+33.5</f>
        <v>51.5</v>
      </c>
      <c r="AF37" s="60">
        <f>18.5+33.2</f>
        <v>51.7</v>
      </c>
      <c r="AG37" s="66">
        <v>240</v>
      </c>
      <c r="AH37" s="53">
        <f t="shared" si="2"/>
        <v>54.4</v>
      </c>
      <c r="AI37" s="54">
        <f t="shared" si="3"/>
        <v>41.3</v>
      </c>
      <c r="AK37" s="55"/>
    </row>
    <row r="38" spans="1:88" ht="15.75" thickBot="1" x14ac:dyDescent="0.3">
      <c r="A38" s="70" t="s">
        <v>46</v>
      </c>
      <c r="B38" s="71">
        <f>SUM(B11:B36)</f>
        <v>452</v>
      </c>
      <c r="C38" s="71">
        <f t="shared" ref="C38:AF38" si="4">SUM(C11:C36)</f>
        <v>452</v>
      </c>
      <c r="D38" s="71">
        <f t="shared" si="4"/>
        <v>452</v>
      </c>
      <c r="E38" s="71">
        <f t="shared" si="4"/>
        <v>452</v>
      </c>
      <c r="F38" s="71">
        <f t="shared" si="4"/>
        <v>472</v>
      </c>
      <c r="G38" s="71">
        <f t="shared" si="4"/>
        <v>437</v>
      </c>
      <c r="H38" s="71">
        <f t="shared" si="4"/>
        <v>437</v>
      </c>
      <c r="I38" s="71">
        <f t="shared" si="4"/>
        <v>437</v>
      </c>
      <c r="J38" s="71">
        <f t="shared" si="4"/>
        <v>437</v>
      </c>
      <c r="K38" s="71">
        <f t="shared" si="4"/>
        <v>437</v>
      </c>
      <c r="L38" s="71">
        <f t="shared" si="4"/>
        <v>472</v>
      </c>
      <c r="M38" s="71">
        <f t="shared" si="4"/>
        <v>722</v>
      </c>
      <c r="N38" s="71">
        <f t="shared" si="4"/>
        <v>742</v>
      </c>
      <c r="O38" s="71">
        <f t="shared" si="4"/>
        <v>722.90000000000009</v>
      </c>
      <c r="P38" s="71">
        <f t="shared" si="4"/>
        <v>652.70000000000005</v>
      </c>
      <c r="Q38" s="71">
        <f t="shared" si="4"/>
        <v>439.7</v>
      </c>
      <c r="R38" s="71">
        <f t="shared" si="4"/>
        <v>439.3</v>
      </c>
      <c r="S38" s="71">
        <f t="shared" si="4"/>
        <v>459.3</v>
      </c>
      <c r="T38" s="71">
        <f t="shared" si="4"/>
        <v>464.3</v>
      </c>
      <c r="U38" s="71">
        <f t="shared" si="4"/>
        <v>464.3</v>
      </c>
      <c r="V38" s="71">
        <f t="shared" si="4"/>
        <v>464.3</v>
      </c>
      <c r="W38" s="71">
        <f t="shared" si="4"/>
        <v>624.29999999999995</v>
      </c>
      <c r="X38" s="71">
        <f t="shared" si="4"/>
        <v>624.29999999999995</v>
      </c>
      <c r="Y38" s="71">
        <f t="shared" si="4"/>
        <v>780.70000000000016</v>
      </c>
      <c r="Z38" s="71">
        <f t="shared" si="4"/>
        <v>770.70000000000016</v>
      </c>
      <c r="AA38" s="71">
        <f t="shared" si="4"/>
        <v>770.70000000000016</v>
      </c>
      <c r="AB38" s="71">
        <f t="shared" si="4"/>
        <v>520.69999999999993</v>
      </c>
      <c r="AC38" s="71">
        <f t="shared" si="4"/>
        <v>520.19999999999993</v>
      </c>
      <c r="AD38" s="71">
        <f t="shared" si="4"/>
        <v>493.3</v>
      </c>
      <c r="AE38" s="71">
        <f t="shared" si="4"/>
        <v>453.3</v>
      </c>
      <c r="AF38" s="71">
        <f t="shared" si="4"/>
        <v>434.2</v>
      </c>
      <c r="AG38" s="66">
        <f>SUM(AG11:AG37)</f>
        <v>1492.8299999999997</v>
      </c>
      <c r="AH38" s="53">
        <f t="shared" si="2"/>
        <v>780.70000000000016</v>
      </c>
      <c r="AI38" s="54">
        <f t="shared" si="3"/>
        <v>434.2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31.1</v>
      </c>
      <c r="J39" s="60">
        <v>43.6</v>
      </c>
      <c r="K39" s="60">
        <v>81.599999999999994</v>
      </c>
      <c r="L39" s="60">
        <v>132.4</v>
      </c>
      <c r="M39" s="50">
        <v>142</v>
      </c>
      <c r="N39" s="50">
        <v>142</v>
      </c>
      <c r="O39" s="50">
        <v>136.1</v>
      </c>
      <c r="P39" s="50">
        <v>135.4</v>
      </c>
      <c r="Q39" s="50">
        <v>96.4</v>
      </c>
      <c r="R39" s="50">
        <v>91.5</v>
      </c>
      <c r="S39" s="50">
        <v>97.2</v>
      </c>
      <c r="T39" s="50">
        <v>80.8</v>
      </c>
      <c r="U39" s="50">
        <v>71.099999999999994</v>
      </c>
      <c r="V39" s="50">
        <v>111.6</v>
      </c>
      <c r="W39" s="50">
        <v>145.19999999999999</v>
      </c>
      <c r="X39" s="50">
        <v>144.69999999999999</v>
      </c>
      <c r="Y39" s="50">
        <v>144.69999999999999</v>
      </c>
      <c r="Z39" s="50">
        <v>144.69999999999999</v>
      </c>
      <c r="AA39" s="50">
        <v>144.69999999999999</v>
      </c>
      <c r="AB39" s="50">
        <v>121.2</v>
      </c>
      <c r="AC39" s="50">
        <v>121.5</v>
      </c>
      <c r="AD39" s="50">
        <v>94.9</v>
      </c>
      <c r="AE39" s="50">
        <v>70.099999999999994</v>
      </c>
      <c r="AF39" s="49">
        <v>30</v>
      </c>
      <c r="AG39" s="61">
        <v>144</v>
      </c>
      <c r="AH39" s="53">
        <f t="shared" si="2"/>
        <v>145.19999999999999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22.3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30.6</v>
      </c>
      <c r="K40" s="60">
        <v>35</v>
      </c>
      <c r="L40" s="60">
        <v>60.7</v>
      </c>
      <c r="M40" s="72">
        <v>71</v>
      </c>
      <c r="N40" s="72">
        <v>71</v>
      </c>
      <c r="O40" s="72">
        <v>52</v>
      </c>
      <c r="P40" s="72">
        <v>52.2</v>
      </c>
      <c r="Q40" s="72">
        <v>46</v>
      </c>
      <c r="R40" s="72">
        <v>46.4</v>
      </c>
      <c r="S40" s="72">
        <v>35.299999999999997</v>
      </c>
      <c r="T40" s="72">
        <v>29.8</v>
      </c>
      <c r="U40" s="72">
        <v>24.8</v>
      </c>
      <c r="V40" s="72">
        <v>59.7</v>
      </c>
      <c r="W40" s="72">
        <v>66.099999999999994</v>
      </c>
      <c r="X40" s="72">
        <v>70</v>
      </c>
      <c r="Y40" s="72">
        <v>70</v>
      </c>
      <c r="Z40" s="72">
        <v>70</v>
      </c>
      <c r="AA40" s="72">
        <v>70</v>
      </c>
      <c r="AB40" s="72">
        <v>60</v>
      </c>
      <c r="AC40" s="72">
        <v>54.2</v>
      </c>
      <c r="AD40" s="72">
        <v>60.5</v>
      </c>
      <c r="AE40" s="72">
        <v>34.799999999999997</v>
      </c>
      <c r="AF40" s="60">
        <v>22.2</v>
      </c>
      <c r="AG40" s="66">
        <v>70</v>
      </c>
      <c r="AH40" s="53">
        <f t="shared" si="2"/>
        <v>71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22.8</v>
      </c>
      <c r="C41" s="60">
        <v>17.7</v>
      </c>
      <c r="D41" s="60">
        <v>17.600000000000001</v>
      </c>
      <c r="E41" s="60">
        <v>17.7</v>
      </c>
      <c r="F41" s="60">
        <v>23</v>
      </c>
      <c r="G41" s="60">
        <v>55</v>
      </c>
      <c r="H41" s="60">
        <v>51.1</v>
      </c>
      <c r="I41" s="60">
        <v>52.3</v>
      </c>
      <c r="J41" s="60">
        <v>52.3</v>
      </c>
      <c r="K41" s="60">
        <v>62.6</v>
      </c>
      <c r="L41" s="60">
        <v>60</v>
      </c>
      <c r="M41" s="72">
        <v>68.5</v>
      </c>
      <c r="N41" s="72">
        <v>68.5</v>
      </c>
      <c r="O41" s="72">
        <v>60.8</v>
      </c>
      <c r="P41" s="72">
        <v>61.1</v>
      </c>
      <c r="Q41" s="72">
        <v>33.1</v>
      </c>
      <c r="R41" s="72">
        <v>22.3</v>
      </c>
      <c r="S41" s="72">
        <v>22.5</v>
      </c>
      <c r="T41" s="72">
        <v>17</v>
      </c>
      <c r="U41" s="72">
        <v>22.7</v>
      </c>
      <c r="V41" s="72">
        <v>48.8</v>
      </c>
      <c r="W41" s="72">
        <v>66.2</v>
      </c>
      <c r="X41" s="72">
        <v>68.2</v>
      </c>
      <c r="Y41" s="72">
        <v>68.2</v>
      </c>
      <c r="Z41" s="72">
        <v>68.2</v>
      </c>
      <c r="AA41" s="72">
        <v>68.2</v>
      </c>
      <c r="AB41" s="72">
        <v>66.900000000000006</v>
      </c>
      <c r="AC41" s="72">
        <v>52.6</v>
      </c>
      <c r="AD41" s="72">
        <v>60.1</v>
      </c>
      <c r="AE41" s="72">
        <v>46.1</v>
      </c>
      <c r="AF41" s="60">
        <v>18.2</v>
      </c>
      <c r="AG41" s="66">
        <v>69</v>
      </c>
      <c r="AH41" s="53">
        <f t="shared" si="2"/>
        <v>68.5</v>
      </c>
      <c r="AI41" s="54">
        <f t="shared" si="3"/>
        <v>17</v>
      </c>
      <c r="AK41" s="55"/>
    </row>
    <row r="42" spans="1:88" x14ac:dyDescent="0.25">
      <c r="A42" s="65" t="s">
        <v>50</v>
      </c>
      <c r="B42" s="60">
        <v>55.9</v>
      </c>
      <c r="C42" s="60">
        <v>55.7</v>
      </c>
      <c r="D42" s="60">
        <v>54.4</v>
      </c>
      <c r="E42" s="60">
        <v>53.4</v>
      </c>
      <c r="F42" s="60">
        <v>53.4</v>
      </c>
      <c r="G42" s="60">
        <v>53.4</v>
      </c>
      <c r="H42" s="60">
        <v>53.4</v>
      </c>
      <c r="I42" s="60">
        <v>53.4</v>
      </c>
      <c r="J42" s="60">
        <v>53.4</v>
      </c>
      <c r="K42" s="60">
        <v>53.4</v>
      </c>
      <c r="L42" s="60">
        <v>53.7</v>
      </c>
      <c r="M42" s="72">
        <v>55.2</v>
      </c>
      <c r="N42" s="72">
        <v>55.2</v>
      </c>
      <c r="O42" s="72">
        <v>53.4</v>
      </c>
      <c r="P42" s="72">
        <v>53.4</v>
      </c>
      <c r="Q42" s="72">
        <v>51.4</v>
      </c>
      <c r="R42" s="72">
        <v>51.4</v>
      </c>
      <c r="S42" s="72">
        <v>51.6</v>
      </c>
      <c r="T42" s="72">
        <v>51.9</v>
      </c>
      <c r="U42" s="72">
        <v>51.9</v>
      </c>
      <c r="V42" s="72">
        <v>52.1</v>
      </c>
      <c r="W42" s="72">
        <v>52.1</v>
      </c>
      <c r="X42" s="72">
        <v>52.1</v>
      </c>
      <c r="Y42" s="72">
        <v>52.1</v>
      </c>
      <c r="Z42" s="72">
        <v>52.1</v>
      </c>
      <c r="AA42" s="72">
        <v>52.1</v>
      </c>
      <c r="AB42" s="72">
        <v>52.1</v>
      </c>
      <c r="AC42" s="72">
        <v>52.4</v>
      </c>
      <c r="AD42" s="72">
        <v>54.1</v>
      </c>
      <c r="AE42" s="72">
        <v>55.9</v>
      </c>
      <c r="AF42" s="60">
        <v>55.9</v>
      </c>
      <c r="AG42" s="66">
        <v>60</v>
      </c>
      <c r="AH42" s="53">
        <f t="shared" si="2"/>
        <v>55.9</v>
      </c>
      <c r="AI42" s="54">
        <f t="shared" si="3"/>
        <v>51.4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10</v>
      </c>
      <c r="I43" s="60">
        <v>15</v>
      </c>
      <c r="J43" s="60">
        <v>22.6</v>
      </c>
      <c r="K43" s="60">
        <v>23.2</v>
      </c>
      <c r="L43" s="60">
        <v>26</v>
      </c>
      <c r="M43" s="50">
        <v>30</v>
      </c>
      <c r="N43" s="50">
        <v>30</v>
      </c>
      <c r="O43" s="50">
        <v>23.3</v>
      </c>
      <c r="P43" s="50">
        <v>9.3000000000000007</v>
      </c>
      <c r="Q43" s="50">
        <v>9.3000000000000007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10.199999999999999</v>
      </c>
      <c r="X43" s="50">
        <v>21.7</v>
      </c>
      <c r="Y43" s="50">
        <v>28.6</v>
      </c>
      <c r="Z43" s="72">
        <v>28.6</v>
      </c>
      <c r="AA43" s="72">
        <v>28.6</v>
      </c>
      <c r="AB43" s="72">
        <v>28</v>
      </c>
      <c r="AC43" s="72">
        <v>15</v>
      </c>
      <c r="AD43" s="72">
        <v>9.3000000000000007</v>
      </c>
      <c r="AE43" s="72">
        <v>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79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4.0999999999999996</v>
      </c>
      <c r="C46" s="60">
        <v>4.0999999999999996</v>
      </c>
      <c r="D46" s="60">
        <v>4.0999999999999996</v>
      </c>
      <c r="E46" s="60">
        <v>4.0999999999999996</v>
      </c>
      <c r="F46" s="60">
        <v>4.0999999999999996</v>
      </c>
      <c r="G46" s="60">
        <v>4.0999999999999996</v>
      </c>
      <c r="H46" s="60">
        <v>4.0999999999999996</v>
      </c>
      <c r="I46" s="60">
        <v>4.0999999999999996</v>
      </c>
      <c r="J46" s="60">
        <v>4.0999999999999996</v>
      </c>
      <c r="K46" s="60">
        <v>4.0999999999999996</v>
      </c>
      <c r="L46" s="60">
        <v>4.0999999999999996</v>
      </c>
      <c r="M46" s="50">
        <v>4.0999999999999996</v>
      </c>
      <c r="N46" s="50">
        <v>4.0999999999999996</v>
      </c>
      <c r="O46" s="50">
        <v>4.0999999999999996</v>
      </c>
      <c r="P46" s="50">
        <v>4.0999999999999996</v>
      </c>
      <c r="Q46" s="50">
        <v>4.0999999999999996</v>
      </c>
      <c r="R46" s="50">
        <v>4.0999999999999996</v>
      </c>
      <c r="S46" s="50">
        <v>4.0999999999999996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4.0999999999999996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79">
        <v>5</v>
      </c>
      <c r="E48" s="79">
        <v>5</v>
      </c>
      <c r="F48" s="79">
        <v>5</v>
      </c>
      <c r="G48" s="79">
        <v>5</v>
      </c>
      <c r="H48" s="79">
        <v>5</v>
      </c>
      <c r="I48" s="79">
        <v>5</v>
      </c>
      <c r="J48" s="79">
        <v>5</v>
      </c>
      <c r="K48" s="79">
        <v>5</v>
      </c>
      <c r="L48" s="79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60">
        <v>5.7</v>
      </c>
      <c r="C49" s="60">
        <v>5.7</v>
      </c>
      <c r="D49" s="60">
        <v>5.7</v>
      </c>
      <c r="E49" s="60">
        <v>5.7</v>
      </c>
      <c r="F49" s="60">
        <v>5.7</v>
      </c>
      <c r="G49" s="60">
        <v>5.7</v>
      </c>
      <c r="H49" s="60">
        <v>5.7</v>
      </c>
      <c r="I49" s="60">
        <v>5.7</v>
      </c>
      <c r="J49" s="60">
        <v>5.7</v>
      </c>
      <c r="K49" s="60">
        <v>5.7</v>
      </c>
      <c r="L49" s="60">
        <v>5.7</v>
      </c>
      <c r="M49" s="50">
        <v>5.7</v>
      </c>
      <c r="N49" s="50">
        <v>5.7</v>
      </c>
      <c r="O49" s="50">
        <v>5.7</v>
      </c>
      <c r="P49" s="50">
        <v>5.7</v>
      </c>
      <c r="Q49" s="50">
        <v>5.7</v>
      </c>
      <c r="R49" s="50">
        <v>5.7</v>
      </c>
      <c r="S49" s="50">
        <v>5.7</v>
      </c>
      <c r="T49" s="50">
        <v>5.7</v>
      </c>
      <c r="U49" s="50">
        <v>5.7</v>
      </c>
      <c r="V49" s="50">
        <v>5.7</v>
      </c>
      <c r="W49" s="50">
        <v>5.7</v>
      </c>
      <c r="X49" s="50">
        <v>5.7</v>
      </c>
      <c r="Y49" s="50">
        <v>5.7</v>
      </c>
      <c r="Z49" s="50">
        <v>5.7</v>
      </c>
      <c r="AA49" s="50">
        <v>5.7</v>
      </c>
      <c r="AB49" s="50">
        <v>5.7</v>
      </c>
      <c r="AC49" s="50">
        <v>5.7</v>
      </c>
      <c r="AD49" s="50">
        <v>5.7</v>
      </c>
      <c r="AE49" s="50">
        <v>5.7</v>
      </c>
      <c r="AF49" s="50">
        <v>5.7</v>
      </c>
      <c r="AG49" s="66">
        <v>10.050000000000001</v>
      </c>
      <c r="AH49" s="53">
        <f t="shared" si="2"/>
        <v>5.7</v>
      </c>
      <c r="AI49" s="54">
        <f t="shared" si="3"/>
        <v>5.7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152.33999999999997</v>
      </c>
      <c r="C52" s="71">
        <f t="shared" ref="C52:AF52" si="6">SUM(C39:C51)</f>
        <v>124.74000000000001</v>
      </c>
      <c r="D52" s="71">
        <f t="shared" si="6"/>
        <v>123.34</v>
      </c>
      <c r="E52" s="71">
        <f t="shared" si="6"/>
        <v>122.44</v>
      </c>
      <c r="F52" s="71">
        <f t="shared" si="6"/>
        <v>127.74000000000001</v>
      </c>
      <c r="G52" s="71">
        <f t="shared" si="6"/>
        <v>159.73999999999998</v>
      </c>
      <c r="H52" s="71">
        <f t="shared" si="6"/>
        <v>165.83999999999997</v>
      </c>
      <c r="I52" s="71">
        <f t="shared" si="6"/>
        <v>203.14</v>
      </c>
      <c r="J52" s="71">
        <f t="shared" si="6"/>
        <v>253.83999999999997</v>
      </c>
      <c r="K52" s="71">
        <f t="shared" si="6"/>
        <v>307.14</v>
      </c>
      <c r="L52" s="71">
        <f t="shared" si="6"/>
        <v>384.14000000000004</v>
      </c>
      <c r="M52" s="71">
        <f t="shared" si="6"/>
        <v>418.04</v>
      </c>
      <c r="N52" s="71">
        <f t="shared" si="6"/>
        <v>418.04</v>
      </c>
      <c r="O52" s="71">
        <f t="shared" si="6"/>
        <v>376.94</v>
      </c>
      <c r="P52" s="71">
        <f t="shared" si="6"/>
        <v>362.74000000000007</v>
      </c>
      <c r="Q52" s="71">
        <f t="shared" si="6"/>
        <v>287.54000000000002</v>
      </c>
      <c r="R52" s="71">
        <f t="shared" si="6"/>
        <v>262.94</v>
      </c>
      <c r="S52" s="71">
        <f t="shared" si="6"/>
        <v>257.94</v>
      </c>
      <c r="T52" s="71">
        <f t="shared" si="6"/>
        <v>231.23999999999998</v>
      </c>
      <c r="U52" s="71">
        <f t="shared" si="6"/>
        <v>222.23999999999998</v>
      </c>
      <c r="V52" s="71">
        <f t="shared" si="6"/>
        <v>323.94000000000005</v>
      </c>
      <c r="W52" s="71">
        <f t="shared" si="6"/>
        <v>391.54</v>
      </c>
      <c r="X52" s="71">
        <f t="shared" si="6"/>
        <v>408.44</v>
      </c>
      <c r="Y52" s="71">
        <f t="shared" si="6"/>
        <v>415.34000000000003</v>
      </c>
      <c r="Z52" s="71">
        <f t="shared" si="6"/>
        <v>415.34000000000003</v>
      </c>
      <c r="AA52" s="71">
        <f t="shared" si="6"/>
        <v>415.34000000000003</v>
      </c>
      <c r="AB52" s="71">
        <f t="shared" si="6"/>
        <v>379.94</v>
      </c>
      <c r="AC52" s="71">
        <f t="shared" si="6"/>
        <v>347.44</v>
      </c>
      <c r="AD52" s="71">
        <f t="shared" si="6"/>
        <v>330.64000000000004</v>
      </c>
      <c r="AE52" s="71">
        <f t="shared" si="6"/>
        <v>258.64</v>
      </c>
      <c r="AF52" s="71">
        <f t="shared" si="6"/>
        <v>178.04</v>
      </c>
      <c r="AG52" s="76">
        <f>SUM(AG39:AG51)</f>
        <v>489.91</v>
      </c>
      <c r="AH52" s="53">
        <f t="shared" si="2"/>
        <v>418.04</v>
      </c>
      <c r="AI52" s="54">
        <f t="shared" si="3"/>
        <v>122.44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77">
        <v>55</v>
      </c>
      <c r="N53" s="77">
        <v>55</v>
      </c>
      <c r="O53" s="77">
        <v>30</v>
      </c>
      <c r="P53" s="77">
        <v>30.3</v>
      </c>
      <c r="Q53" s="50">
        <v>29.8</v>
      </c>
      <c r="R53" s="50">
        <v>29.8</v>
      </c>
      <c r="S53" s="50">
        <v>29.8</v>
      </c>
      <c r="T53" s="50">
        <v>49.3</v>
      </c>
      <c r="U53" s="50">
        <v>59.3</v>
      </c>
      <c r="V53" s="50">
        <v>50</v>
      </c>
      <c r="W53" s="50">
        <v>59.4</v>
      </c>
      <c r="X53" s="50">
        <v>59.3</v>
      </c>
      <c r="Y53" s="50">
        <v>58</v>
      </c>
      <c r="Z53" s="50">
        <v>56.5</v>
      </c>
      <c r="AA53" s="50">
        <v>50.1</v>
      </c>
      <c r="AB53" s="50">
        <v>53.6</v>
      </c>
      <c r="AC53" s="50">
        <v>44.8</v>
      </c>
      <c r="AD53" s="50">
        <v>20</v>
      </c>
      <c r="AE53" s="50">
        <v>20</v>
      </c>
      <c r="AF53" s="50">
        <v>0</v>
      </c>
      <c r="AG53" s="61">
        <v>60</v>
      </c>
      <c r="AH53" s="53">
        <f t="shared" si="2"/>
        <v>59.4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77">
        <v>23.5</v>
      </c>
      <c r="N54" s="77">
        <v>23.5</v>
      </c>
      <c r="O54" s="77">
        <v>20</v>
      </c>
      <c r="P54" s="77">
        <v>15.9</v>
      </c>
      <c r="Q54" s="72">
        <v>18.7</v>
      </c>
      <c r="R54" s="72">
        <v>15.4</v>
      </c>
      <c r="S54" s="72">
        <v>15.4</v>
      </c>
      <c r="T54" s="50">
        <v>26.4</v>
      </c>
      <c r="U54" s="50">
        <v>28.1</v>
      </c>
      <c r="V54" s="72">
        <v>24.1</v>
      </c>
      <c r="W54" s="72">
        <v>27.2</v>
      </c>
      <c r="X54" s="72">
        <v>23</v>
      </c>
      <c r="Y54" s="72">
        <v>27.4</v>
      </c>
      <c r="Z54" s="72">
        <v>28.1</v>
      </c>
      <c r="AA54" s="72">
        <v>26</v>
      </c>
      <c r="AB54" s="72">
        <v>25.8</v>
      </c>
      <c r="AC54" s="72">
        <v>24.8</v>
      </c>
      <c r="AD54" s="72">
        <v>14.9</v>
      </c>
      <c r="AE54" s="72">
        <v>10.8</v>
      </c>
      <c r="AF54" s="72">
        <v>0</v>
      </c>
      <c r="AG54" s="66">
        <v>32</v>
      </c>
      <c r="AH54" s="53">
        <f t="shared" si="2"/>
        <v>28.1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80">
        <v>9</v>
      </c>
      <c r="N55" s="80">
        <v>9</v>
      </c>
      <c r="O55" s="80">
        <v>7.3</v>
      </c>
      <c r="P55" s="80">
        <v>5.8</v>
      </c>
      <c r="Q55" s="78">
        <v>6.8</v>
      </c>
      <c r="R55" s="78">
        <v>5.6</v>
      </c>
      <c r="S55" s="78">
        <v>5.6</v>
      </c>
      <c r="T55" s="50">
        <v>9.6</v>
      </c>
      <c r="U55" s="50">
        <v>10.3</v>
      </c>
      <c r="V55" s="78">
        <v>8.8000000000000007</v>
      </c>
      <c r="W55" s="78">
        <v>9.9</v>
      </c>
      <c r="X55" s="78">
        <v>8.4</v>
      </c>
      <c r="Y55" s="78">
        <v>10</v>
      </c>
      <c r="Z55" s="78">
        <v>10.3</v>
      </c>
      <c r="AA55" s="78">
        <v>9.5</v>
      </c>
      <c r="AB55" s="78">
        <v>9.4</v>
      </c>
      <c r="AC55" s="78">
        <v>9.1</v>
      </c>
      <c r="AD55" s="78">
        <v>5.4</v>
      </c>
      <c r="AE55" s="78">
        <v>3.9</v>
      </c>
      <c r="AF55" s="78">
        <v>0</v>
      </c>
      <c r="AG55" s="81">
        <v>14</v>
      </c>
      <c r="AH55" s="53">
        <f t="shared" si="2"/>
        <v>10.3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0</v>
      </c>
      <c r="M56" s="71">
        <f t="shared" si="7"/>
        <v>87.5</v>
      </c>
      <c r="N56" s="71">
        <f t="shared" si="7"/>
        <v>87.5</v>
      </c>
      <c r="O56" s="71">
        <f t="shared" si="7"/>
        <v>57.3</v>
      </c>
      <c r="P56" s="71">
        <f t="shared" si="7"/>
        <v>52</v>
      </c>
      <c r="Q56" s="71">
        <f t="shared" si="7"/>
        <v>55.3</v>
      </c>
      <c r="R56" s="71">
        <f t="shared" si="7"/>
        <v>50.800000000000004</v>
      </c>
      <c r="S56" s="71">
        <f t="shared" si="7"/>
        <v>50.800000000000004</v>
      </c>
      <c r="T56" s="71">
        <f t="shared" si="7"/>
        <v>85.299999999999983</v>
      </c>
      <c r="U56" s="71">
        <f t="shared" si="7"/>
        <v>97.7</v>
      </c>
      <c r="V56" s="71">
        <f t="shared" si="7"/>
        <v>82.899999999999991</v>
      </c>
      <c r="W56" s="71">
        <f t="shared" si="7"/>
        <v>96.5</v>
      </c>
      <c r="X56" s="71">
        <f t="shared" si="7"/>
        <v>90.7</v>
      </c>
      <c r="Y56" s="71">
        <f t="shared" si="7"/>
        <v>95.4</v>
      </c>
      <c r="Z56" s="71">
        <f t="shared" si="7"/>
        <v>94.899999999999991</v>
      </c>
      <c r="AA56" s="71">
        <f t="shared" si="7"/>
        <v>85.6</v>
      </c>
      <c r="AB56" s="71">
        <f t="shared" si="7"/>
        <v>88.800000000000011</v>
      </c>
      <c r="AC56" s="71">
        <f t="shared" si="7"/>
        <v>78.699999999999989</v>
      </c>
      <c r="AD56" s="71">
        <f t="shared" si="7"/>
        <v>40.299999999999997</v>
      </c>
      <c r="AE56" s="71">
        <f t="shared" si="7"/>
        <v>34.700000000000003</v>
      </c>
      <c r="AF56" s="71">
        <f t="shared" si="7"/>
        <v>0</v>
      </c>
      <c r="AG56" s="76">
        <f>SUM(AG53:AG55)</f>
        <v>106</v>
      </c>
      <c r="AH56" s="53">
        <f t="shared" si="2"/>
        <v>97.7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63.2</v>
      </c>
      <c r="C57" s="50">
        <v>62.5</v>
      </c>
      <c r="D57" s="50">
        <v>61.7</v>
      </c>
      <c r="E57" s="50">
        <v>58.9</v>
      </c>
      <c r="F57" s="50">
        <v>59.3</v>
      </c>
      <c r="G57" s="50">
        <v>63</v>
      </c>
      <c r="H57" s="50">
        <v>60</v>
      </c>
      <c r="I57" s="50">
        <v>71.900000000000006</v>
      </c>
      <c r="J57" s="50">
        <v>65.900000000000006</v>
      </c>
      <c r="K57" s="50">
        <v>71.5</v>
      </c>
      <c r="L57" s="50">
        <v>70.099999999999994</v>
      </c>
      <c r="M57" s="50">
        <v>72</v>
      </c>
      <c r="N57" s="50">
        <v>72</v>
      </c>
      <c r="O57" s="50">
        <v>72.900000000000006</v>
      </c>
      <c r="P57" s="50">
        <v>76.900000000000006</v>
      </c>
      <c r="Q57" s="50">
        <v>78.8</v>
      </c>
      <c r="R57" s="50">
        <v>71.2</v>
      </c>
      <c r="S57" s="50">
        <v>72.2</v>
      </c>
      <c r="T57" s="50">
        <v>74.8</v>
      </c>
      <c r="U57" s="50">
        <v>68.2</v>
      </c>
      <c r="V57" s="50">
        <v>71.599999999999994</v>
      </c>
      <c r="W57" s="50">
        <v>69.8</v>
      </c>
      <c r="X57" s="50">
        <v>67.3</v>
      </c>
      <c r="Y57" s="50">
        <v>78</v>
      </c>
      <c r="Z57" s="50">
        <v>73.3</v>
      </c>
      <c r="AA57" s="50">
        <v>72.900000000000006</v>
      </c>
      <c r="AB57" s="50">
        <v>65.099999999999994</v>
      </c>
      <c r="AC57" s="50">
        <v>73.2</v>
      </c>
      <c r="AD57" s="50">
        <v>66.599999999999994</v>
      </c>
      <c r="AE57" s="50">
        <v>67.3</v>
      </c>
      <c r="AF57" s="50">
        <v>65.099999999999994</v>
      </c>
      <c r="AG57" s="61"/>
      <c r="AH57" s="53">
        <f t="shared" si="2"/>
        <v>78.8</v>
      </c>
      <c r="AI57" s="54">
        <f t="shared" si="3"/>
        <v>58.9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76.900000000000006</v>
      </c>
      <c r="N58" s="50">
        <v>76.900000000000006</v>
      </c>
      <c r="O58" s="50">
        <v>76.7</v>
      </c>
      <c r="P58" s="50">
        <v>0</v>
      </c>
      <c r="Q58" s="50">
        <v>45.6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95.3</v>
      </c>
      <c r="Y58" s="82">
        <v>161</v>
      </c>
      <c r="Z58" s="82">
        <v>153</v>
      </c>
      <c r="AA58" s="82">
        <v>83.1</v>
      </c>
      <c r="AB58" s="72">
        <v>51.3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161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302</v>
      </c>
      <c r="C59" s="72">
        <v>298.8</v>
      </c>
      <c r="D59" s="72">
        <v>288.89999999999998</v>
      </c>
      <c r="E59" s="72">
        <v>279.10000000000002</v>
      </c>
      <c r="F59" s="72">
        <v>265</v>
      </c>
      <c r="G59" s="72">
        <v>300</v>
      </c>
      <c r="H59" s="50">
        <v>325</v>
      </c>
      <c r="I59" s="50">
        <v>327</v>
      </c>
      <c r="J59" s="50">
        <v>341.2</v>
      </c>
      <c r="K59" s="50">
        <v>330</v>
      </c>
      <c r="L59" s="50">
        <v>345</v>
      </c>
      <c r="M59" s="72">
        <v>0</v>
      </c>
      <c r="N59" s="72">
        <v>0</v>
      </c>
      <c r="O59" s="72">
        <v>0</v>
      </c>
      <c r="P59" s="72">
        <v>172.2</v>
      </c>
      <c r="Q59" s="72">
        <v>335</v>
      </c>
      <c r="R59" s="72">
        <v>336.7</v>
      </c>
      <c r="S59" s="72">
        <v>329</v>
      </c>
      <c r="T59" s="72">
        <v>319</v>
      </c>
      <c r="U59" s="72">
        <v>333</v>
      </c>
      <c r="V59" s="72">
        <v>296.60000000000002</v>
      </c>
      <c r="W59" s="72">
        <v>127</v>
      </c>
      <c r="X59" s="83">
        <v>150.1</v>
      </c>
      <c r="Y59" s="83">
        <v>0</v>
      </c>
      <c r="Z59" s="83">
        <v>-14</v>
      </c>
      <c r="AA59" s="83">
        <v>0</v>
      </c>
      <c r="AB59" s="72">
        <v>247</v>
      </c>
      <c r="AC59" s="72">
        <v>239.6</v>
      </c>
      <c r="AD59" s="72">
        <v>305.60000000000002</v>
      </c>
      <c r="AE59" s="72">
        <v>313.10000000000002</v>
      </c>
      <c r="AF59" s="72">
        <v>306.5</v>
      </c>
      <c r="AG59" s="84"/>
      <c r="AH59" s="53">
        <f t="shared" si="2"/>
        <v>345</v>
      </c>
      <c r="AI59" s="54">
        <f t="shared" si="3"/>
        <v>-14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41</v>
      </c>
      <c r="J60" s="57">
        <v>44.2</v>
      </c>
      <c r="K60" s="57">
        <v>49.9</v>
      </c>
      <c r="L60" s="57">
        <v>55.6</v>
      </c>
      <c r="M60" s="72">
        <v>55</v>
      </c>
      <c r="N60" s="72">
        <v>55</v>
      </c>
      <c r="O60" s="72">
        <v>56.3</v>
      </c>
      <c r="P60" s="72">
        <v>56.8</v>
      </c>
      <c r="Q60" s="72">
        <v>55.2</v>
      </c>
      <c r="R60" s="72">
        <v>52.7</v>
      </c>
      <c r="S60" s="72">
        <v>50.4</v>
      </c>
      <c r="T60" s="72">
        <v>54.8</v>
      </c>
      <c r="U60" s="72">
        <v>49.1</v>
      </c>
      <c r="V60" s="72">
        <v>55.3</v>
      </c>
      <c r="W60" s="72">
        <v>51.4</v>
      </c>
      <c r="X60" s="72">
        <v>52</v>
      </c>
      <c r="Y60" s="72">
        <v>56</v>
      </c>
      <c r="Z60" s="72">
        <v>56</v>
      </c>
      <c r="AA60" s="72">
        <v>53.6</v>
      </c>
      <c r="AB60" s="72">
        <v>51.9</v>
      </c>
      <c r="AC60" s="72">
        <v>50.8</v>
      </c>
      <c r="AD60" s="72">
        <v>50.6</v>
      </c>
      <c r="AE60" s="72">
        <v>0</v>
      </c>
      <c r="AF60" s="57">
        <v>0</v>
      </c>
      <c r="AG60" s="84"/>
      <c r="AH60" s="53">
        <f t="shared" si="2"/>
        <v>56.8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75.599999999999994</v>
      </c>
      <c r="K61" s="57">
        <v>71.2</v>
      </c>
      <c r="L61" s="57">
        <v>65</v>
      </c>
      <c r="M61" s="50">
        <v>78.3</v>
      </c>
      <c r="N61" s="50">
        <v>78.3</v>
      </c>
      <c r="O61" s="50">
        <v>79.400000000000006</v>
      </c>
      <c r="P61" s="50">
        <v>78.400000000000006</v>
      </c>
      <c r="Q61" s="50">
        <v>79.8</v>
      </c>
      <c r="R61" s="50">
        <v>79.099999999999994</v>
      </c>
      <c r="S61" s="50">
        <v>75.900000000000006</v>
      </c>
      <c r="T61" s="50">
        <v>72.900000000000006</v>
      </c>
      <c r="U61" s="50">
        <v>73.099999999999994</v>
      </c>
      <c r="V61" s="50">
        <v>70.2</v>
      </c>
      <c r="W61" s="50">
        <v>78.8</v>
      </c>
      <c r="X61" s="50">
        <v>75.099999999999994</v>
      </c>
      <c r="Y61" s="50">
        <v>86</v>
      </c>
      <c r="Z61" s="50">
        <v>84.1</v>
      </c>
      <c r="AA61" s="50">
        <v>77.099999999999994</v>
      </c>
      <c r="AB61" s="50">
        <v>71.5</v>
      </c>
      <c r="AC61" s="50">
        <v>64.400000000000006</v>
      </c>
      <c r="AD61" s="50">
        <v>0</v>
      </c>
      <c r="AE61" s="50">
        <v>0</v>
      </c>
      <c r="AF61" s="50">
        <v>0</v>
      </c>
      <c r="AG61" s="84"/>
      <c r="AH61" s="53">
        <f t="shared" si="2"/>
        <v>86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72">
        <v>0</v>
      </c>
      <c r="N63" s="72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72">
        <v>0</v>
      </c>
      <c r="N64" s="72">
        <v>0</v>
      </c>
      <c r="O64" s="59">
        <v>0</v>
      </c>
      <c r="P64" s="59">
        <v>0</v>
      </c>
      <c r="Q64" s="59">
        <v>0</v>
      </c>
      <c r="R64" s="59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72">
        <v>0</v>
      </c>
      <c r="N65" s="72">
        <v>0</v>
      </c>
      <c r="O65" s="59">
        <v>0</v>
      </c>
      <c r="P65" s="59">
        <v>0</v>
      </c>
      <c r="Q65" s="59">
        <v>0</v>
      </c>
      <c r="R65" s="59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59">
        <v>0</v>
      </c>
      <c r="P66" s="59">
        <v>0</v>
      </c>
      <c r="Q66" s="59">
        <v>0</v>
      </c>
      <c r="R66" s="59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72">
        <v>0</v>
      </c>
      <c r="N67" s="72">
        <v>0</v>
      </c>
      <c r="O67" s="59">
        <v>0</v>
      </c>
      <c r="P67" s="59">
        <v>0</v>
      </c>
      <c r="Q67" s="59">
        <v>0</v>
      </c>
      <c r="R67" s="59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365.2</v>
      </c>
      <c r="C68" s="71">
        <f>SUM(C57:C67)</f>
        <v>361.3</v>
      </c>
      <c r="D68" s="71">
        <f t="shared" ref="D68:AF68" si="8">SUM(D57:D67)</f>
        <v>350.59999999999997</v>
      </c>
      <c r="E68" s="71">
        <f t="shared" si="8"/>
        <v>338</v>
      </c>
      <c r="F68" s="71">
        <f t="shared" si="8"/>
        <v>324.3</v>
      </c>
      <c r="G68" s="71">
        <f t="shared" si="8"/>
        <v>363</v>
      </c>
      <c r="H68" s="71">
        <f t="shared" si="8"/>
        <v>385</v>
      </c>
      <c r="I68" s="71">
        <f t="shared" si="8"/>
        <v>439.9</v>
      </c>
      <c r="J68" s="71">
        <f t="shared" si="8"/>
        <v>526.9</v>
      </c>
      <c r="K68" s="71">
        <f t="shared" si="8"/>
        <v>522.6</v>
      </c>
      <c r="L68" s="71">
        <f t="shared" si="8"/>
        <v>535.70000000000005</v>
      </c>
      <c r="M68" s="71">
        <f t="shared" si="8"/>
        <v>282.2</v>
      </c>
      <c r="N68" s="71">
        <f t="shared" si="8"/>
        <v>282.2</v>
      </c>
      <c r="O68" s="71">
        <f t="shared" si="8"/>
        <v>285.30000000000007</v>
      </c>
      <c r="P68" s="71">
        <f t="shared" si="8"/>
        <v>384.29999999999995</v>
      </c>
      <c r="Q68" s="71">
        <f t="shared" si="8"/>
        <v>594.4</v>
      </c>
      <c r="R68" s="71">
        <f t="shared" si="8"/>
        <v>539.69999999999993</v>
      </c>
      <c r="S68" s="71">
        <f t="shared" si="8"/>
        <v>527.5</v>
      </c>
      <c r="T68" s="71">
        <f t="shared" si="8"/>
        <v>521.5</v>
      </c>
      <c r="U68" s="71">
        <f t="shared" si="8"/>
        <v>523.4</v>
      </c>
      <c r="V68" s="71">
        <f t="shared" si="8"/>
        <v>493.70000000000005</v>
      </c>
      <c r="W68" s="71">
        <f t="shared" si="8"/>
        <v>327</v>
      </c>
      <c r="X68" s="71">
        <f t="shared" si="8"/>
        <v>439.79999999999995</v>
      </c>
      <c r="Y68" s="71">
        <f t="shared" si="8"/>
        <v>381</v>
      </c>
      <c r="Z68" s="71">
        <f t="shared" si="8"/>
        <v>352.4</v>
      </c>
      <c r="AA68" s="71">
        <f t="shared" si="8"/>
        <v>286.7</v>
      </c>
      <c r="AB68" s="71">
        <f t="shared" si="8"/>
        <v>486.79999999999995</v>
      </c>
      <c r="AC68" s="71">
        <f t="shared" si="8"/>
        <v>428</v>
      </c>
      <c r="AD68" s="71">
        <f t="shared" si="8"/>
        <v>422.80000000000007</v>
      </c>
      <c r="AE68" s="71">
        <f t="shared" si="8"/>
        <v>380.40000000000003</v>
      </c>
      <c r="AF68" s="71">
        <f t="shared" si="8"/>
        <v>371.6</v>
      </c>
      <c r="AG68" s="76">
        <f>SUM(AG57:AG67)</f>
        <v>0</v>
      </c>
      <c r="AH68" s="53">
        <f t="shared" si="2"/>
        <v>594.4</v>
      </c>
      <c r="AI68" s="54">
        <f t="shared" si="3"/>
        <v>282.2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969.54</v>
      </c>
      <c r="C73" s="88">
        <f>C68+C56+C52+C38+C72</f>
        <v>938.04</v>
      </c>
      <c r="D73" s="88">
        <f t="shared" ref="D73:AG73" si="10">D68+D56+D52+D38+D72</f>
        <v>925.93999999999994</v>
      </c>
      <c r="E73" s="88">
        <f t="shared" si="10"/>
        <v>912.44</v>
      </c>
      <c r="F73" s="88">
        <f t="shared" si="10"/>
        <v>924.04</v>
      </c>
      <c r="G73" s="88">
        <f t="shared" si="10"/>
        <v>959.74</v>
      </c>
      <c r="H73" s="88">
        <f t="shared" si="10"/>
        <v>987.83999999999992</v>
      </c>
      <c r="I73" s="88">
        <f t="shared" si="10"/>
        <v>1080.04</v>
      </c>
      <c r="J73" s="88">
        <f t="shared" si="10"/>
        <v>1217.74</v>
      </c>
      <c r="K73" s="88">
        <f t="shared" si="10"/>
        <v>1266.74</v>
      </c>
      <c r="L73" s="88">
        <f t="shared" si="10"/>
        <v>1391.8400000000001</v>
      </c>
      <c r="M73" s="88">
        <f t="shared" si="10"/>
        <v>1509.74</v>
      </c>
      <c r="N73" s="88">
        <f t="shared" si="10"/>
        <v>1529.74</v>
      </c>
      <c r="O73" s="88">
        <f t="shared" si="10"/>
        <v>1442.44</v>
      </c>
      <c r="P73" s="88">
        <f t="shared" si="10"/>
        <v>1451.74</v>
      </c>
      <c r="Q73" s="88">
        <f t="shared" si="10"/>
        <v>1376.94</v>
      </c>
      <c r="R73" s="88">
        <f t="shared" si="10"/>
        <v>1292.7399999999998</v>
      </c>
      <c r="S73" s="88">
        <f t="shared" si="10"/>
        <v>1295.54</v>
      </c>
      <c r="T73" s="88">
        <f t="shared" si="10"/>
        <v>1302.3399999999999</v>
      </c>
      <c r="U73" s="88">
        <f t="shared" si="10"/>
        <v>1307.6400000000001</v>
      </c>
      <c r="V73" s="88">
        <f t="shared" si="10"/>
        <v>1364.8400000000001</v>
      </c>
      <c r="W73" s="88">
        <f t="shared" si="10"/>
        <v>1439.34</v>
      </c>
      <c r="X73" s="88">
        <f t="shared" si="10"/>
        <v>1563.24</v>
      </c>
      <c r="Y73" s="88">
        <f t="shared" si="10"/>
        <v>1672.44</v>
      </c>
      <c r="Z73" s="88">
        <f t="shared" si="10"/>
        <v>1633.3400000000001</v>
      </c>
      <c r="AA73" s="88">
        <f t="shared" si="10"/>
        <v>1558.3400000000001</v>
      </c>
      <c r="AB73" s="88">
        <f t="shared" si="10"/>
        <v>1476.2399999999998</v>
      </c>
      <c r="AC73" s="88">
        <f t="shared" si="10"/>
        <v>1374.34</v>
      </c>
      <c r="AD73" s="88">
        <f t="shared" si="10"/>
        <v>1287.0400000000002</v>
      </c>
      <c r="AE73" s="88">
        <f t="shared" si="10"/>
        <v>1127.04</v>
      </c>
      <c r="AF73" s="88">
        <f t="shared" si="10"/>
        <v>983.83999999999992</v>
      </c>
      <c r="AG73" s="88">
        <f t="shared" si="10"/>
        <v>2144.14</v>
      </c>
      <c r="AH73" s="53">
        <f t="shared" si="2"/>
        <v>1672.44</v>
      </c>
      <c r="AI73" s="54">
        <f t="shared" si="3"/>
        <v>912.44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969.54</v>
      </c>
      <c r="C75" s="88">
        <f>C73+C74</f>
        <v>938.04</v>
      </c>
      <c r="D75" s="88">
        <f t="shared" ref="D75:AF75" si="11">D72+D68+D56+D52+D38+D74</f>
        <v>925.93999999999994</v>
      </c>
      <c r="E75" s="88">
        <f t="shared" si="11"/>
        <v>912.44</v>
      </c>
      <c r="F75" s="88">
        <f t="shared" si="11"/>
        <v>924.04</v>
      </c>
      <c r="G75" s="88">
        <f t="shared" si="11"/>
        <v>959.74</v>
      </c>
      <c r="H75" s="88">
        <f t="shared" si="11"/>
        <v>987.83999999999992</v>
      </c>
      <c r="I75" s="88">
        <f t="shared" si="11"/>
        <v>1080.04</v>
      </c>
      <c r="J75" s="88">
        <f t="shared" si="11"/>
        <v>1217.74</v>
      </c>
      <c r="K75" s="88">
        <f t="shared" si="11"/>
        <v>1266.74</v>
      </c>
      <c r="L75" s="88">
        <f t="shared" si="11"/>
        <v>1391.8400000000001</v>
      </c>
      <c r="M75" s="88">
        <f t="shared" si="11"/>
        <v>1509.74</v>
      </c>
      <c r="N75" s="88">
        <f t="shared" si="11"/>
        <v>1529.74</v>
      </c>
      <c r="O75" s="88">
        <f t="shared" si="11"/>
        <v>1442.44</v>
      </c>
      <c r="P75" s="88">
        <f t="shared" si="11"/>
        <v>1451.74</v>
      </c>
      <c r="Q75" s="88">
        <f t="shared" si="11"/>
        <v>1376.94</v>
      </c>
      <c r="R75" s="88">
        <f t="shared" si="11"/>
        <v>1292.7399999999998</v>
      </c>
      <c r="S75" s="88">
        <f t="shared" si="11"/>
        <v>1295.54</v>
      </c>
      <c r="T75" s="88">
        <f t="shared" si="11"/>
        <v>1302.3399999999999</v>
      </c>
      <c r="U75" s="88">
        <f t="shared" si="11"/>
        <v>1307.6400000000001</v>
      </c>
      <c r="V75" s="88">
        <f t="shared" si="11"/>
        <v>1364.8400000000001</v>
      </c>
      <c r="W75" s="88">
        <f t="shared" si="11"/>
        <v>1439.34</v>
      </c>
      <c r="X75" s="88">
        <f t="shared" si="11"/>
        <v>1563.24</v>
      </c>
      <c r="Y75" s="88">
        <f t="shared" si="11"/>
        <v>1672.44</v>
      </c>
      <c r="Z75" s="88">
        <f t="shared" si="11"/>
        <v>1633.3400000000001</v>
      </c>
      <c r="AA75" s="88">
        <f t="shared" si="11"/>
        <v>1558.3400000000001</v>
      </c>
      <c r="AB75" s="88">
        <f t="shared" si="11"/>
        <v>1476.2399999999998</v>
      </c>
      <c r="AC75" s="88">
        <f t="shared" si="11"/>
        <v>1374.34</v>
      </c>
      <c r="AD75" s="88">
        <f t="shared" si="11"/>
        <v>1287.0400000000002</v>
      </c>
      <c r="AE75" s="88">
        <f t="shared" si="11"/>
        <v>1127.04</v>
      </c>
      <c r="AF75" s="88">
        <f t="shared" si="11"/>
        <v>983.83999999999992</v>
      </c>
      <c r="AG75" s="76">
        <f>AG72+AG68+AG56+AG52+AG38+AG74</f>
        <v>2144.14</v>
      </c>
      <c r="AH75" s="53">
        <f t="shared" si="2"/>
        <v>1672.44</v>
      </c>
      <c r="AI75" s="54">
        <f t="shared" si="3"/>
        <v>912.44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14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14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14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14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1939.08</v>
      </c>
      <c r="C83" s="71">
        <f t="shared" ref="C83:AG83" si="20">SUM(C70:C82)</f>
        <v>1876.08</v>
      </c>
      <c r="D83" s="71">
        <f t="shared" si="20"/>
        <v>1851.8799999999999</v>
      </c>
      <c r="E83" s="71">
        <f t="shared" si="20"/>
        <v>1824.88</v>
      </c>
      <c r="F83" s="71">
        <f t="shared" si="20"/>
        <v>1848.08</v>
      </c>
      <c r="G83" s="71">
        <f t="shared" si="20"/>
        <v>1919.48</v>
      </c>
      <c r="H83" s="71">
        <f t="shared" si="20"/>
        <v>1975.6799999999998</v>
      </c>
      <c r="I83" s="71">
        <f t="shared" si="20"/>
        <v>2160.08</v>
      </c>
      <c r="J83" s="71">
        <f t="shared" si="20"/>
        <v>2435.48</v>
      </c>
      <c r="K83" s="71">
        <f t="shared" si="20"/>
        <v>2533.48</v>
      </c>
      <c r="L83" s="71">
        <f t="shared" si="20"/>
        <v>2783.6800000000003</v>
      </c>
      <c r="M83" s="71">
        <f t="shared" si="20"/>
        <v>3019.48</v>
      </c>
      <c r="N83" s="71">
        <f t="shared" si="20"/>
        <v>3059.48</v>
      </c>
      <c r="O83" s="71">
        <f t="shared" si="20"/>
        <v>2884.88</v>
      </c>
      <c r="P83" s="71">
        <f t="shared" si="20"/>
        <v>2903.48</v>
      </c>
      <c r="Q83" s="71">
        <f t="shared" si="20"/>
        <v>2753.88</v>
      </c>
      <c r="R83" s="71">
        <f t="shared" si="20"/>
        <v>2585.4799999999996</v>
      </c>
      <c r="S83" s="71">
        <f t="shared" si="20"/>
        <v>2591.08</v>
      </c>
      <c r="T83" s="71">
        <f t="shared" si="20"/>
        <v>2604.6799999999998</v>
      </c>
      <c r="U83" s="71">
        <f t="shared" si="20"/>
        <v>2615.2800000000002</v>
      </c>
      <c r="V83" s="71">
        <f t="shared" si="20"/>
        <v>2729.6800000000003</v>
      </c>
      <c r="W83" s="71">
        <f t="shared" si="20"/>
        <v>2878.68</v>
      </c>
      <c r="X83" s="71">
        <f t="shared" si="20"/>
        <v>3126.48</v>
      </c>
      <c r="Y83" s="71">
        <f t="shared" si="20"/>
        <v>3344.88</v>
      </c>
      <c r="Z83" s="71">
        <f t="shared" si="20"/>
        <v>3294.6800000000003</v>
      </c>
      <c r="AA83" s="71">
        <f t="shared" si="20"/>
        <v>3116.6800000000003</v>
      </c>
      <c r="AB83" s="71">
        <f t="shared" si="20"/>
        <v>2952.4799999999996</v>
      </c>
      <c r="AC83" s="71">
        <f t="shared" si="20"/>
        <v>2748.68</v>
      </c>
      <c r="AD83" s="71">
        <f t="shared" si="20"/>
        <v>2574.0800000000004</v>
      </c>
      <c r="AE83" s="71">
        <f t="shared" si="20"/>
        <v>2254.08</v>
      </c>
      <c r="AF83" s="71">
        <f t="shared" si="20"/>
        <v>1967.6799999999998</v>
      </c>
      <c r="AG83" s="76">
        <f t="shared" si="20"/>
        <v>4360.08</v>
      </c>
      <c r="AH83" s="53">
        <f t="shared" si="13"/>
        <v>3344.88</v>
      </c>
      <c r="AI83" s="54">
        <f t="shared" si="14"/>
        <v>1824.88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50.027000000000001</v>
      </c>
      <c r="C84" s="95">
        <v>50.027999999999999</v>
      </c>
      <c r="D84" s="95">
        <v>49.954000000000001</v>
      </c>
      <c r="E84" s="95">
        <v>50.023000000000003</v>
      </c>
      <c r="F84" s="95">
        <v>50.061999999999998</v>
      </c>
      <c r="G84" s="95">
        <v>50.04</v>
      </c>
      <c r="H84" s="95">
        <v>50.030999999999999</v>
      </c>
      <c r="I84" s="95">
        <v>50.057000000000002</v>
      </c>
      <c r="J84" s="95">
        <v>50.01</v>
      </c>
      <c r="K84" s="95">
        <v>50.003999999999998</v>
      </c>
      <c r="L84" s="95">
        <v>49.969000000000001</v>
      </c>
      <c r="M84" s="95">
        <v>50</v>
      </c>
      <c r="N84" s="95">
        <v>50</v>
      </c>
      <c r="O84" s="95">
        <v>49.991</v>
      </c>
      <c r="P84" s="95">
        <v>50.000999999999998</v>
      </c>
      <c r="Q84" s="95">
        <v>49.96</v>
      </c>
      <c r="R84" s="95">
        <v>49.984000000000002</v>
      </c>
      <c r="S84" s="95">
        <v>49.99</v>
      </c>
      <c r="T84" s="95">
        <v>50.015999999999998</v>
      </c>
      <c r="U84" s="95">
        <v>49.932000000000002</v>
      </c>
      <c r="V84" s="95">
        <v>49.98</v>
      </c>
      <c r="W84" s="95">
        <v>50.085999999999999</v>
      </c>
      <c r="X84" s="95">
        <v>49.938000000000002</v>
      </c>
      <c r="Y84" s="95">
        <v>49.875</v>
      </c>
      <c r="Z84" s="95">
        <v>50.009</v>
      </c>
      <c r="AA84" s="95">
        <v>49.984999999999999</v>
      </c>
      <c r="AB84" s="95">
        <v>50.046999999999997</v>
      </c>
      <c r="AC84" s="95">
        <v>50.027000000000001</v>
      </c>
      <c r="AD84" s="95">
        <v>49.932000000000002</v>
      </c>
      <c r="AE84" s="95">
        <v>50.02</v>
      </c>
      <c r="AF84" s="95">
        <v>50.01</v>
      </c>
      <c r="AG84" s="96"/>
      <c r="AH84" s="53">
        <f t="shared" si="13"/>
        <v>50.085999999999999</v>
      </c>
      <c r="AI84" s="54">
        <f t="shared" si="14"/>
        <v>49.875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125.8</v>
      </c>
      <c r="C85" s="98">
        <v>125.8</v>
      </c>
      <c r="D85" s="98">
        <v>125.8</v>
      </c>
      <c r="E85" s="98">
        <v>125.8</v>
      </c>
      <c r="F85" s="72">
        <v>126.9</v>
      </c>
      <c r="G85" s="72">
        <v>124.3</v>
      </c>
      <c r="H85" s="72">
        <v>123.5</v>
      </c>
      <c r="I85" s="72">
        <v>125.7</v>
      </c>
      <c r="J85" s="72">
        <v>125.7</v>
      </c>
      <c r="K85" s="72">
        <v>124.1</v>
      </c>
      <c r="L85" s="72">
        <v>124</v>
      </c>
      <c r="M85" s="72">
        <v>124</v>
      </c>
      <c r="N85" s="72">
        <v>124</v>
      </c>
      <c r="O85" s="72">
        <v>123.9</v>
      </c>
      <c r="P85" s="72">
        <v>122.9</v>
      </c>
      <c r="Q85" s="72">
        <v>123</v>
      </c>
      <c r="R85" s="72">
        <v>123.7</v>
      </c>
      <c r="S85" s="72">
        <v>124.5</v>
      </c>
      <c r="T85" s="72">
        <v>125.1</v>
      </c>
      <c r="U85" s="99">
        <v>124.4</v>
      </c>
      <c r="V85" s="99">
        <v>125.7</v>
      </c>
      <c r="W85" s="99">
        <v>124.2</v>
      </c>
      <c r="X85" s="99">
        <v>123.7</v>
      </c>
      <c r="Y85" s="99">
        <v>121.6</v>
      </c>
      <c r="Z85" s="99">
        <v>124.8</v>
      </c>
      <c r="AA85" s="99">
        <v>125</v>
      </c>
      <c r="AB85" s="72">
        <v>126.1</v>
      </c>
      <c r="AC85" s="72">
        <v>126.1</v>
      </c>
      <c r="AD85" s="72">
        <v>123.8</v>
      </c>
      <c r="AE85" s="72">
        <v>125.2</v>
      </c>
      <c r="AF85" s="72">
        <v>125.2</v>
      </c>
      <c r="AG85" s="100"/>
      <c r="AH85" s="53">
        <f t="shared" si="13"/>
        <v>126.9</v>
      </c>
      <c r="AI85" s="54">
        <f t="shared" si="14"/>
        <v>121.6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129.6</v>
      </c>
      <c r="C86" s="98">
        <v>129.6</v>
      </c>
      <c r="D86" s="98">
        <v>129.6</v>
      </c>
      <c r="E86" s="98">
        <v>129.6</v>
      </c>
      <c r="F86" s="72">
        <v>130.30000000000001</v>
      </c>
      <c r="G86" s="72">
        <v>129.1</v>
      </c>
      <c r="H86" s="72">
        <v>128.19999999999999</v>
      </c>
      <c r="I86" s="72">
        <v>129.69999999999999</v>
      </c>
      <c r="J86" s="72">
        <v>129.19999999999999</v>
      </c>
      <c r="K86" s="72">
        <v>127.3</v>
      </c>
      <c r="L86" s="72">
        <v>126.4</v>
      </c>
      <c r="M86" s="72">
        <v>126</v>
      </c>
      <c r="N86" s="72">
        <v>126</v>
      </c>
      <c r="O86" s="72">
        <v>125.5</v>
      </c>
      <c r="P86" s="72">
        <v>125.3</v>
      </c>
      <c r="Q86" s="72">
        <v>125.3</v>
      </c>
      <c r="R86" s="72">
        <v>126</v>
      </c>
      <c r="S86" s="72">
        <v>126.8</v>
      </c>
      <c r="T86" s="72">
        <v>127.1</v>
      </c>
      <c r="U86" s="99">
        <v>126.6</v>
      </c>
      <c r="V86" s="99">
        <v>127.7</v>
      </c>
      <c r="W86" s="99">
        <v>125.7</v>
      </c>
      <c r="X86" s="99">
        <v>125.3</v>
      </c>
      <c r="Y86" s="99">
        <v>123.7</v>
      </c>
      <c r="Z86" s="99">
        <v>126</v>
      </c>
      <c r="AA86" s="99">
        <v>126.7</v>
      </c>
      <c r="AB86" s="72">
        <v>127.9</v>
      </c>
      <c r="AC86" s="72">
        <v>127.9</v>
      </c>
      <c r="AD86" s="72">
        <v>126.8</v>
      </c>
      <c r="AE86" s="72">
        <v>129.1</v>
      </c>
      <c r="AF86" s="72">
        <v>129.1</v>
      </c>
      <c r="AG86" s="100"/>
      <c r="AH86" s="53">
        <f t="shared" si="13"/>
        <v>130.30000000000001</v>
      </c>
      <c r="AI86" s="54">
        <f t="shared" si="14"/>
        <v>123.7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128.19999999999999</v>
      </c>
      <c r="C87" s="98">
        <v>128.19999999999999</v>
      </c>
      <c r="D87" s="98">
        <v>128.19999999999999</v>
      </c>
      <c r="E87" s="98">
        <v>128.19999999999999</v>
      </c>
      <c r="F87" s="72">
        <v>129.9</v>
      </c>
      <c r="G87" s="72">
        <v>128.5</v>
      </c>
      <c r="H87" s="72">
        <v>128</v>
      </c>
      <c r="I87" s="72">
        <v>129.69999999999999</v>
      </c>
      <c r="J87" s="72">
        <v>127.9</v>
      </c>
      <c r="K87" s="72">
        <v>130.1</v>
      </c>
      <c r="L87" s="72">
        <v>126.5</v>
      </c>
      <c r="M87" s="72">
        <v>130</v>
      </c>
      <c r="N87" s="72">
        <v>130</v>
      </c>
      <c r="O87" s="72">
        <v>129.30000000000001</v>
      </c>
      <c r="P87" s="72">
        <v>126.8</v>
      </c>
      <c r="Q87" s="72">
        <v>131.4</v>
      </c>
      <c r="R87" s="72">
        <v>128.69999999999999</v>
      </c>
      <c r="S87" s="72">
        <v>128.1</v>
      </c>
      <c r="T87" s="72">
        <v>129.19999999999999</v>
      </c>
      <c r="U87" s="72">
        <v>128.80000000000001</v>
      </c>
      <c r="V87" s="72">
        <v>128.69999999999999</v>
      </c>
      <c r="W87" s="72">
        <v>126.3</v>
      </c>
      <c r="X87" s="99">
        <v>129.6</v>
      </c>
      <c r="Y87" s="99">
        <v>122.2</v>
      </c>
      <c r="Z87" s="99">
        <v>125.6</v>
      </c>
      <c r="AA87" s="99">
        <v>127.7</v>
      </c>
      <c r="AB87" s="72">
        <v>129.6</v>
      </c>
      <c r="AC87" s="72">
        <v>129.6</v>
      </c>
      <c r="AD87" s="72">
        <v>128.30000000000001</v>
      </c>
      <c r="AE87" s="72">
        <v>130.5</v>
      </c>
      <c r="AF87" s="72">
        <v>130.5</v>
      </c>
      <c r="AG87" s="100"/>
      <c r="AH87" s="53">
        <f t="shared" si="13"/>
        <v>131.4</v>
      </c>
      <c r="AI87" s="54">
        <f t="shared" si="14"/>
        <v>122.2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130.4</v>
      </c>
      <c r="C88" s="98">
        <v>130.4</v>
      </c>
      <c r="D88" s="98">
        <v>130.4</v>
      </c>
      <c r="E88" s="98">
        <v>130.4</v>
      </c>
      <c r="F88" s="72">
        <v>132.30000000000001</v>
      </c>
      <c r="G88" s="72">
        <v>130.9</v>
      </c>
      <c r="H88" s="72">
        <v>129.30000000000001</v>
      </c>
      <c r="I88" s="72">
        <v>131.9</v>
      </c>
      <c r="J88" s="72">
        <v>130</v>
      </c>
      <c r="K88" s="72">
        <v>131.5</v>
      </c>
      <c r="L88" s="72">
        <v>130.6</v>
      </c>
      <c r="M88" s="72">
        <v>134</v>
      </c>
      <c r="N88" s="72">
        <v>134</v>
      </c>
      <c r="O88" s="72">
        <v>131.1</v>
      </c>
      <c r="P88" s="72">
        <v>129.30000000000001</v>
      </c>
      <c r="Q88" s="72">
        <v>133.69999999999999</v>
      </c>
      <c r="R88" s="72">
        <v>131.69999999999999</v>
      </c>
      <c r="S88" s="72">
        <v>131.19999999999999</v>
      </c>
      <c r="T88" s="72">
        <v>131.69999999999999</v>
      </c>
      <c r="U88" s="72">
        <v>131.1</v>
      </c>
      <c r="V88" s="72">
        <v>133</v>
      </c>
      <c r="W88" s="72">
        <v>131.1</v>
      </c>
      <c r="X88" s="99">
        <v>133.1</v>
      </c>
      <c r="Y88" s="99">
        <v>128.19999999999999</v>
      </c>
      <c r="Z88" s="99">
        <v>133</v>
      </c>
      <c r="AA88" s="99">
        <v>131.5</v>
      </c>
      <c r="AB88" s="72">
        <v>134</v>
      </c>
      <c r="AC88" s="72">
        <v>134</v>
      </c>
      <c r="AD88" s="72">
        <v>132.1</v>
      </c>
      <c r="AE88" s="72">
        <v>133.9</v>
      </c>
      <c r="AF88" s="72">
        <v>133.9</v>
      </c>
      <c r="AG88" s="100"/>
      <c r="AH88" s="53">
        <f t="shared" si="13"/>
        <v>134</v>
      </c>
      <c r="AI88" s="54">
        <f t="shared" si="14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130.69999999999999</v>
      </c>
      <c r="C89" s="102">
        <v>129.69999999999999</v>
      </c>
      <c r="D89" s="102">
        <v>129.69999999999999</v>
      </c>
      <c r="E89" s="102">
        <v>129.69999999999999</v>
      </c>
      <c r="F89" s="103">
        <v>129.69999999999999</v>
      </c>
      <c r="G89" s="103">
        <v>126</v>
      </c>
      <c r="H89" s="103">
        <v>129.4</v>
      </c>
      <c r="I89" s="103">
        <v>133.5</v>
      </c>
      <c r="J89" s="103">
        <v>131.80000000000001</v>
      </c>
      <c r="K89" s="103">
        <v>133.30000000000001</v>
      </c>
      <c r="L89" s="103">
        <v>136.30000000000001</v>
      </c>
      <c r="M89" s="103">
        <v>131</v>
      </c>
      <c r="N89" s="103">
        <v>131</v>
      </c>
      <c r="O89" s="103">
        <v>134.69999999999999</v>
      </c>
      <c r="P89" s="103">
        <v>135.4</v>
      </c>
      <c r="Q89" s="103">
        <v>134.30000000000001</v>
      </c>
      <c r="R89" s="103">
        <v>132.19999999999999</v>
      </c>
      <c r="S89" s="103">
        <v>130.6</v>
      </c>
      <c r="T89" s="103">
        <v>133</v>
      </c>
      <c r="U89" s="103">
        <v>131.9</v>
      </c>
      <c r="V89" s="103">
        <v>134.69999999999999</v>
      </c>
      <c r="W89" s="103">
        <v>135.69999999999999</v>
      </c>
      <c r="X89" s="99">
        <v>135</v>
      </c>
      <c r="Y89" s="99">
        <v>132.30000000000001</v>
      </c>
      <c r="Z89" s="99">
        <v>134.30000000000001</v>
      </c>
      <c r="AA89" s="99">
        <v>134.5</v>
      </c>
      <c r="AB89" s="103">
        <v>133.1</v>
      </c>
      <c r="AC89" s="103">
        <v>133.1</v>
      </c>
      <c r="AD89" s="103">
        <v>133.30000000000001</v>
      </c>
      <c r="AE89" s="103">
        <v>131</v>
      </c>
      <c r="AF89" s="103">
        <v>127.8</v>
      </c>
      <c r="AG89" s="104"/>
      <c r="AH89" s="53">
        <f t="shared" si="13"/>
        <v>136.30000000000001</v>
      </c>
      <c r="AI89" s="54">
        <f t="shared" si="14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137.1</v>
      </c>
      <c r="C90" s="98">
        <v>137.1</v>
      </c>
      <c r="D90" s="98">
        <v>137.1</v>
      </c>
      <c r="E90" s="98">
        <v>138.6</v>
      </c>
      <c r="F90" s="72">
        <v>139.19999999999999</v>
      </c>
      <c r="G90" s="72">
        <v>138.6</v>
      </c>
      <c r="H90" s="72">
        <v>138.69999999999999</v>
      </c>
      <c r="I90" s="72">
        <v>134.1</v>
      </c>
      <c r="J90" s="72">
        <v>132.1</v>
      </c>
      <c r="K90" s="72">
        <v>129.5</v>
      </c>
      <c r="L90" s="72">
        <v>130.1</v>
      </c>
      <c r="M90" s="72">
        <v>129</v>
      </c>
      <c r="N90" s="72">
        <v>129</v>
      </c>
      <c r="O90" s="72">
        <v>132.30000000000001</v>
      </c>
      <c r="P90" s="72">
        <v>133.4</v>
      </c>
      <c r="Q90" s="72">
        <v>128.19999999999999</v>
      </c>
      <c r="R90" s="72">
        <v>131.69999999999999</v>
      </c>
      <c r="S90" s="72">
        <v>130.9</v>
      </c>
      <c r="T90" s="72">
        <v>131.6</v>
      </c>
      <c r="U90" s="72">
        <v>134.9</v>
      </c>
      <c r="V90" s="72">
        <v>135.1</v>
      </c>
      <c r="W90" s="72">
        <v>133.69999999999999</v>
      </c>
      <c r="X90" s="99">
        <v>130.69999999999999</v>
      </c>
      <c r="Y90" s="99">
        <v>131.6</v>
      </c>
      <c r="Z90" s="99">
        <v>135.69999999999999</v>
      </c>
      <c r="AA90" s="99">
        <v>136.19999999999999</v>
      </c>
      <c r="AB90" s="72">
        <v>132</v>
      </c>
      <c r="AC90" s="72">
        <v>132</v>
      </c>
      <c r="AD90" s="72">
        <v>132.9</v>
      </c>
      <c r="AE90" s="72">
        <v>135.5</v>
      </c>
      <c r="AF90" s="72">
        <v>136.69999999999999</v>
      </c>
      <c r="AG90" s="100"/>
      <c r="AH90" s="53">
        <f t="shared" si="13"/>
        <v>139.19999999999999</v>
      </c>
      <c r="AI90" s="54">
        <f t="shared" si="14"/>
        <v>128.19999999999999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217.93999999999994</v>
      </c>
      <c r="C93" s="113">
        <f>SUM(C15,C18,C21:C22,C42,C44:C45,C47,C49,C94:C97,C102,C108,C114,C123,C125,C137,C144,C147:C148,C155,C157,C159,C163:C165,C167:C169,C174,C180:C181,C183:C185,C193,C198)</f>
        <v>192.33999999999997</v>
      </c>
      <c r="D93" s="113">
        <f t="shared" ref="D93:AF93" si="21">SUM(D15,D18,D21:D22,D42,D44:D45,D47,D49,D94:D97,D102,D108,D114,D123,D125,D137,D144,D147:D148,D155,D157,D159,D163:D165,D167:D169,D174,D180:D181,D183:D185,D193,D198)</f>
        <v>186.13999999999993</v>
      </c>
      <c r="E93" s="113">
        <f t="shared" si="21"/>
        <v>184.73999999999995</v>
      </c>
      <c r="F93" s="113">
        <f t="shared" si="21"/>
        <v>189.93999999999994</v>
      </c>
      <c r="G93" s="112">
        <f t="shared" si="21"/>
        <v>209.13999999999993</v>
      </c>
      <c r="H93" s="112">
        <f t="shared" si="21"/>
        <v>228.73999999999995</v>
      </c>
      <c r="I93" s="112">
        <f t="shared" si="21"/>
        <v>257.23999999999995</v>
      </c>
      <c r="J93" s="112">
        <f t="shared" si="21"/>
        <v>309.94000000000005</v>
      </c>
      <c r="K93" s="112">
        <f t="shared" si="21"/>
        <v>337.44</v>
      </c>
      <c r="L93" s="112">
        <f t="shared" si="21"/>
        <v>408.54</v>
      </c>
      <c r="M93" s="112">
        <f t="shared" si="21"/>
        <v>441.34</v>
      </c>
      <c r="N93" s="112">
        <f t="shared" si="21"/>
        <v>441.34</v>
      </c>
      <c r="O93" s="112">
        <f t="shared" si="21"/>
        <v>432.08000000000004</v>
      </c>
      <c r="P93" s="112">
        <f t="shared" si="21"/>
        <v>429.44000000000005</v>
      </c>
      <c r="Q93" s="112">
        <f t="shared" si="21"/>
        <v>412.74</v>
      </c>
      <c r="R93" s="112">
        <f t="shared" si="21"/>
        <v>401.84000000000003</v>
      </c>
      <c r="S93" s="112">
        <f t="shared" si="21"/>
        <v>395.64</v>
      </c>
      <c r="T93" s="112">
        <f t="shared" si="21"/>
        <v>396.54</v>
      </c>
      <c r="U93" s="112">
        <f t="shared" si="21"/>
        <v>397.04000000000008</v>
      </c>
      <c r="V93" s="112">
        <f t="shared" si="21"/>
        <v>406.54</v>
      </c>
      <c r="W93" s="112">
        <f t="shared" si="21"/>
        <v>436.24</v>
      </c>
      <c r="X93" s="112">
        <f t="shared" si="21"/>
        <v>488.84000000000009</v>
      </c>
      <c r="Y93" s="112">
        <f t="shared" si="21"/>
        <v>526.54</v>
      </c>
      <c r="Z93" s="112">
        <f t="shared" si="21"/>
        <v>523.63999999999987</v>
      </c>
      <c r="AA93" s="112">
        <f t="shared" si="21"/>
        <v>504.34</v>
      </c>
      <c r="AB93" s="112">
        <f t="shared" si="21"/>
        <v>483.94000000000005</v>
      </c>
      <c r="AC93" s="112">
        <f t="shared" si="21"/>
        <v>460.94000000000005</v>
      </c>
      <c r="AD93" s="112">
        <f t="shared" si="21"/>
        <v>393.44</v>
      </c>
      <c r="AE93" s="112">
        <f t="shared" si="21"/>
        <v>328.04</v>
      </c>
      <c r="AF93" s="112">
        <f t="shared" si="21"/>
        <v>249.03999999999996</v>
      </c>
      <c r="AG93" s="114"/>
      <c r="AH93" s="53">
        <f>MAX(C93:AF93)</f>
        <v>526.54</v>
      </c>
      <c r="AI93" s="54">
        <f>MIN(C93:AF93)</f>
        <v>184.73999999999995</v>
      </c>
    </row>
    <row r="94" spans="1:88" x14ac:dyDescent="0.25">
      <c r="A94" s="115" t="s">
        <v>98</v>
      </c>
      <c r="B94" s="116">
        <v>-15.5</v>
      </c>
      <c r="C94" s="57">
        <v>-35.799999999999997</v>
      </c>
      <c r="D94" s="57">
        <v>-34.4</v>
      </c>
      <c r="E94" s="57">
        <v>-32.299999999999997</v>
      </c>
      <c r="F94" s="57">
        <v>-31.5</v>
      </c>
      <c r="G94" s="117">
        <v>-10.4</v>
      </c>
      <c r="H94" s="117">
        <v>-9.8000000000000007</v>
      </c>
      <c r="I94" s="117">
        <v>12.5</v>
      </c>
      <c r="J94" s="117">
        <v>19.8</v>
      </c>
      <c r="K94" s="117">
        <v>36.700000000000003</v>
      </c>
      <c r="L94" s="117">
        <v>57</v>
      </c>
      <c r="M94" s="118">
        <v>67.599999999999994</v>
      </c>
      <c r="N94" s="118">
        <v>67.599999999999994</v>
      </c>
      <c r="O94" s="117">
        <v>62.1</v>
      </c>
      <c r="P94" s="117">
        <v>49.4</v>
      </c>
      <c r="Q94" s="117">
        <v>34</v>
      </c>
      <c r="R94" s="117">
        <v>39.1</v>
      </c>
      <c r="S94" s="117">
        <v>32.200000000000003</v>
      </c>
      <c r="T94" s="117">
        <v>23.8</v>
      </c>
      <c r="U94" s="118">
        <v>17</v>
      </c>
      <c r="V94" s="118">
        <v>51.7</v>
      </c>
      <c r="W94" s="118">
        <v>79.5</v>
      </c>
      <c r="X94" s="117">
        <v>72.400000000000006</v>
      </c>
      <c r="Y94" s="117">
        <v>59.6</v>
      </c>
      <c r="Z94" s="117">
        <v>65.2</v>
      </c>
      <c r="AA94" s="117">
        <v>70</v>
      </c>
      <c r="AB94" s="118">
        <v>67.099999999999994</v>
      </c>
      <c r="AC94" s="118">
        <v>63.9</v>
      </c>
      <c r="AD94" s="118">
        <v>67.900000000000006</v>
      </c>
      <c r="AE94" s="118">
        <v>27.5</v>
      </c>
      <c r="AF94" s="118">
        <v>-0.8</v>
      </c>
      <c r="AG94" s="119">
        <v>75</v>
      </c>
      <c r="AH94" s="53">
        <f t="shared" ref="AH94:AH99" si="22">IF(ABS(MAX(C94:AF94))&gt;ABS(MIN(C94:AF94)),MAX(C94:AF94),MIN(C94:AF94))</f>
        <v>79.5</v>
      </c>
      <c r="AI94" s="120">
        <f t="shared" ref="AI94:AI99" si="23">INDEX($C$9:$AF$9,1,MATCH(AH94,C94:AF94,0))</f>
        <v>0.72916666666666663</v>
      </c>
    </row>
    <row r="95" spans="1:88" x14ac:dyDescent="0.25">
      <c r="A95" s="121" t="s">
        <v>99</v>
      </c>
      <c r="B95" s="122">
        <v>-47</v>
      </c>
      <c r="C95" s="59">
        <v>-50</v>
      </c>
      <c r="D95" s="59">
        <v>-53</v>
      </c>
      <c r="E95" s="59">
        <v>-58</v>
      </c>
      <c r="F95" s="59">
        <v>-52</v>
      </c>
      <c r="G95" s="59">
        <v>-35</v>
      </c>
      <c r="H95" s="59">
        <v>-26</v>
      </c>
      <c r="I95" s="59">
        <v>-20</v>
      </c>
      <c r="J95" s="59">
        <v>11</v>
      </c>
      <c r="K95" s="59">
        <v>20</v>
      </c>
      <c r="L95" s="59">
        <v>42</v>
      </c>
      <c r="M95" s="59">
        <v>47</v>
      </c>
      <c r="N95" s="59">
        <v>47</v>
      </c>
      <c r="O95" s="59">
        <v>45.24</v>
      </c>
      <c r="P95" s="59">
        <v>59.8</v>
      </c>
      <c r="Q95" s="59">
        <v>55.9</v>
      </c>
      <c r="R95" s="59">
        <v>46.6</v>
      </c>
      <c r="S95" s="59">
        <v>46.3</v>
      </c>
      <c r="T95" s="59">
        <v>50.1</v>
      </c>
      <c r="U95" s="59">
        <v>55.5</v>
      </c>
      <c r="V95" s="59">
        <v>29.6</v>
      </c>
      <c r="W95" s="59">
        <v>55</v>
      </c>
      <c r="X95" s="59">
        <v>84</v>
      </c>
      <c r="Y95" s="59">
        <v>104.5</v>
      </c>
      <c r="Z95" s="59">
        <v>99</v>
      </c>
      <c r="AA95" s="59">
        <v>86.8</v>
      </c>
      <c r="AB95" s="72">
        <v>83.3</v>
      </c>
      <c r="AC95" s="72">
        <v>73</v>
      </c>
      <c r="AD95" s="72">
        <v>20</v>
      </c>
      <c r="AE95" s="72">
        <v>-2.9</v>
      </c>
      <c r="AF95" s="72">
        <v>-27</v>
      </c>
      <c r="AG95" s="119">
        <v>240</v>
      </c>
      <c r="AH95" s="53">
        <f t="shared" si="22"/>
        <v>104.5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12.1</v>
      </c>
      <c r="C96" s="59">
        <v>12.2</v>
      </c>
      <c r="D96" s="59">
        <v>12.2</v>
      </c>
      <c r="E96" s="59">
        <v>12.2</v>
      </c>
      <c r="F96" s="59">
        <v>12.2</v>
      </c>
      <c r="G96" s="59">
        <v>-6.2</v>
      </c>
      <c r="H96" s="59">
        <v>-6.1</v>
      </c>
      <c r="I96" s="59">
        <v>-2.7</v>
      </c>
      <c r="J96" s="59">
        <v>6</v>
      </c>
      <c r="K96" s="59">
        <v>6</v>
      </c>
      <c r="L96" s="59">
        <v>30.5</v>
      </c>
      <c r="M96" s="59">
        <v>45.2</v>
      </c>
      <c r="N96" s="59">
        <v>45.2</v>
      </c>
      <c r="O96" s="59">
        <v>34.700000000000003</v>
      </c>
      <c r="P96" s="59">
        <v>34.700000000000003</v>
      </c>
      <c r="Q96" s="59">
        <v>29.9</v>
      </c>
      <c r="R96" s="59">
        <v>28.9</v>
      </c>
      <c r="S96" s="59">
        <v>31.5</v>
      </c>
      <c r="T96" s="59">
        <v>38.6</v>
      </c>
      <c r="U96" s="59">
        <v>43.8</v>
      </c>
      <c r="V96" s="59">
        <v>39.700000000000003</v>
      </c>
      <c r="W96" s="59">
        <v>53</v>
      </c>
      <c r="X96" s="59">
        <v>61.6</v>
      </c>
      <c r="Y96" s="59">
        <v>67.5</v>
      </c>
      <c r="Z96" s="59">
        <v>66.7</v>
      </c>
      <c r="AA96" s="59">
        <v>60.4</v>
      </c>
      <c r="AB96" s="72">
        <v>58.2</v>
      </c>
      <c r="AC96" s="72">
        <v>55.2</v>
      </c>
      <c r="AD96" s="72">
        <v>31.4</v>
      </c>
      <c r="AE96" s="72">
        <v>32.299999999999997</v>
      </c>
      <c r="AF96" s="72">
        <v>12.2</v>
      </c>
      <c r="AG96" s="119">
        <v>60</v>
      </c>
      <c r="AH96" s="53">
        <f t="shared" si="22"/>
        <v>67.5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91.1</v>
      </c>
      <c r="C97" s="62">
        <v>88.9</v>
      </c>
      <c r="D97" s="62">
        <v>85.6</v>
      </c>
      <c r="E97" s="62">
        <v>88.1</v>
      </c>
      <c r="F97" s="62">
        <v>86.5</v>
      </c>
      <c r="G97" s="62">
        <v>86</v>
      </c>
      <c r="H97" s="62">
        <v>95.9</v>
      </c>
      <c r="I97" s="62">
        <v>92.7</v>
      </c>
      <c r="J97" s="62">
        <v>98.4</v>
      </c>
      <c r="K97" s="62">
        <v>100</v>
      </c>
      <c r="L97" s="62">
        <v>104</v>
      </c>
      <c r="M97" s="62">
        <v>105</v>
      </c>
      <c r="N97" s="62">
        <v>105</v>
      </c>
      <c r="O97" s="62">
        <v>117.1</v>
      </c>
      <c r="P97" s="62">
        <v>111.4</v>
      </c>
      <c r="Q97" s="62">
        <v>120.8</v>
      </c>
      <c r="R97" s="62">
        <v>116.4</v>
      </c>
      <c r="S97" s="62">
        <v>114.6</v>
      </c>
      <c r="T97" s="62">
        <v>112.7</v>
      </c>
      <c r="U97" s="62">
        <v>109.4</v>
      </c>
      <c r="V97" s="62">
        <v>114</v>
      </c>
      <c r="W97" s="62">
        <v>77.2</v>
      </c>
      <c r="X97" s="62">
        <v>99.3</v>
      </c>
      <c r="Y97" s="62">
        <v>117</v>
      </c>
      <c r="Z97" s="62">
        <v>114.8</v>
      </c>
      <c r="AA97" s="62">
        <v>109.2</v>
      </c>
      <c r="AB97" s="125">
        <v>97.4</v>
      </c>
      <c r="AC97" s="125">
        <v>88.3</v>
      </c>
      <c r="AD97" s="125">
        <v>100</v>
      </c>
      <c r="AE97" s="125">
        <v>95.2</v>
      </c>
      <c r="AF97" s="125">
        <v>88.6</v>
      </c>
      <c r="AG97" s="126">
        <v>120</v>
      </c>
      <c r="AH97" s="53">
        <f t="shared" si="22"/>
        <v>120.8</v>
      </c>
      <c r="AI97" s="120">
        <f t="shared" si="23"/>
        <v>0.5</v>
      </c>
    </row>
    <row r="98" spans="1:37" x14ac:dyDescent="0.25">
      <c r="A98" s="123" t="s">
        <v>102</v>
      </c>
      <c r="B98" s="124">
        <v>89.8</v>
      </c>
      <c r="C98" s="62">
        <v>97.5</v>
      </c>
      <c r="D98" s="62">
        <v>95.9</v>
      </c>
      <c r="E98" s="62">
        <v>99.3</v>
      </c>
      <c r="F98" s="62">
        <v>93.8</v>
      </c>
      <c r="G98" s="62">
        <v>92.2</v>
      </c>
      <c r="H98" s="62">
        <v>95.1</v>
      </c>
      <c r="I98" s="62">
        <v>92.8</v>
      </c>
      <c r="J98" s="62">
        <v>81.400000000000006</v>
      </c>
      <c r="K98" s="62">
        <v>82</v>
      </c>
      <c r="L98" s="62">
        <v>76.8</v>
      </c>
      <c r="M98" s="62">
        <v>62</v>
      </c>
      <c r="N98" s="62">
        <v>62</v>
      </c>
      <c r="O98" s="62">
        <v>74.2</v>
      </c>
      <c r="P98" s="62">
        <v>91.8</v>
      </c>
      <c r="Q98" s="62">
        <v>95.3</v>
      </c>
      <c r="R98" s="62">
        <v>83.9</v>
      </c>
      <c r="S98" s="62">
        <v>80.7</v>
      </c>
      <c r="T98" s="62">
        <v>80.3</v>
      </c>
      <c r="U98" s="62">
        <v>85.5</v>
      </c>
      <c r="V98" s="62">
        <v>51.5</v>
      </c>
      <c r="W98" s="62">
        <v>54</v>
      </c>
      <c r="X98" s="62">
        <v>88.3</v>
      </c>
      <c r="Y98" s="62">
        <v>116</v>
      </c>
      <c r="Z98" s="62">
        <v>100.5</v>
      </c>
      <c r="AA98" s="62">
        <v>88.5</v>
      </c>
      <c r="AB98" s="125">
        <v>83</v>
      </c>
      <c r="AC98" s="125">
        <v>73.2</v>
      </c>
      <c r="AD98" s="125">
        <v>89.9</v>
      </c>
      <c r="AE98" s="125">
        <v>92.9</v>
      </c>
      <c r="AF98" s="125">
        <v>88.4</v>
      </c>
      <c r="AG98" s="126"/>
      <c r="AH98" s="53">
        <f t="shared" si="22"/>
        <v>116</v>
      </c>
      <c r="AI98" s="120">
        <f t="shared" si="23"/>
        <v>0.77083333333333337</v>
      </c>
    </row>
    <row r="99" spans="1:37" ht="15.75" thickBot="1" x14ac:dyDescent="0.3">
      <c r="A99" s="123" t="s">
        <v>103</v>
      </c>
      <c r="B99" s="124">
        <v>73.900000000000006</v>
      </c>
      <c r="C99" s="62">
        <v>77.099999999999994</v>
      </c>
      <c r="D99" s="62">
        <v>74.8</v>
      </c>
      <c r="E99" s="62">
        <v>72.7</v>
      </c>
      <c r="F99" s="62">
        <v>74.2</v>
      </c>
      <c r="G99" s="62">
        <v>74.5</v>
      </c>
      <c r="H99" s="62">
        <v>66.400000000000006</v>
      </c>
      <c r="I99" s="62">
        <v>33.799999999999997</v>
      </c>
      <c r="J99" s="62">
        <v>40.4</v>
      </c>
      <c r="K99" s="62">
        <v>27.8</v>
      </c>
      <c r="L99" s="62">
        <v>14.2</v>
      </c>
      <c r="M99" s="62">
        <v>9</v>
      </c>
      <c r="N99" s="62">
        <v>9</v>
      </c>
      <c r="O99" s="62">
        <v>7.8</v>
      </c>
      <c r="P99" s="62">
        <v>25</v>
      </c>
      <c r="Q99" s="62">
        <v>28.5</v>
      </c>
      <c r="R99" s="62">
        <v>17.7</v>
      </c>
      <c r="S99" s="62">
        <v>22.6</v>
      </c>
      <c r="T99" s="62">
        <v>24.7</v>
      </c>
      <c r="U99" s="62">
        <v>29</v>
      </c>
      <c r="V99" s="62">
        <v>14.2</v>
      </c>
      <c r="W99" s="62">
        <v>-1.5</v>
      </c>
      <c r="X99" s="62">
        <v>9</v>
      </c>
      <c r="Y99" s="62">
        <v>21.1</v>
      </c>
      <c r="Z99" s="62">
        <v>17.3</v>
      </c>
      <c r="AA99" s="62">
        <v>14</v>
      </c>
      <c r="AB99" s="125">
        <v>13.9</v>
      </c>
      <c r="AC99" s="125">
        <v>10.8</v>
      </c>
      <c r="AD99" s="125">
        <v>10</v>
      </c>
      <c r="AE99" s="125">
        <v>42.3</v>
      </c>
      <c r="AF99" s="125">
        <v>53.3</v>
      </c>
      <c r="AG99" s="127"/>
      <c r="AH99" s="53">
        <f t="shared" si="22"/>
        <v>77.099999999999994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1529.74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2078/10/11)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969.54</v>
      </c>
      <c r="U213" s="173">
        <f t="shared" si="60"/>
        <v>938.04</v>
      </c>
      <c r="V213" s="173">
        <f t="shared" si="60"/>
        <v>925.93999999999994</v>
      </c>
      <c r="W213" s="173">
        <f t="shared" si="60"/>
        <v>912.44</v>
      </c>
      <c r="X213" s="173">
        <f t="shared" si="60"/>
        <v>924.04</v>
      </c>
      <c r="Y213" s="173">
        <f t="shared" si="60"/>
        <v>959.74</v>
      </c>
      <c r="Z213" s="173">
        <f t="shared" si="60"/>
        <v>987.83999999999992</v>
      </c>
      <c r="AA213" s="173">
        <f t="shared" si="60"/>
        <v>1080.04</v>
      </c>
      <c r="AB213" s="173">
        <f t="shared" si="60"/>
        <v>1217.74</v>
      </c>
      <c r="AC213" s="173">
        <f t="shared" si="60"/>
        <v>1266.74</v>
      </c>
      <c r="AD213" s="173">
        <f t="shared" si="60"/>
        <v>1391.8400000000001</v>
      </c>
      <c r="AE213" s="173">
        <f t="shared" si="60"/>
        <v>1509.74</v>
      </c>
      <c r="AF213" s="173">
        <f t="shared" si="60"/>
        <v>1529.74</v>
      </c>
      <c r="AG213" s="173">
        <f t="shared" si="60"/>
        <v>1442.44</v>
      </c>
      <c r="AH213" s="173">
        <f t="shared" si="60"/>
        <v>1451.74</v>
      </c>
      <c r="AI213" s="173">
        <f t="shared" si="60"/>
        <v>1376.94</v>
      </c>
      <c r="AJ213" s="173">
        <f t="shared" si="60"/>
        <v>1292.7399999999998</v>
      </c>
      <c r="AK213" s="173">
        <f t="shared" si="60"/>
        <v>1295.54</v>
      </c>
      <c r="AL213" s="173">
        <f t="shared" si="60"/>
        <v>1302.3399999999999</v>
      </c>
      <c r="AM213" s="173">
        <f t="shared" si="60"/>
        <v>1307.6400000000001</v>
      </c>
      <c r="AN213" s="173">
        <f t="shared" si="60"/>
        <v>1364.8400000000001</v>
      </c>
      <c r="AO213" s="173">
        <f t="shared" si="60"/>
        <v>1439.34</v>
      </c>
      <c r="AP213" s="173">
        <f t="shared" si="60"/>
        <v>1563.24</v>
      </c>
      <c r="AQ213" s="173">
        <f t="shared" si="60"/>
        <v>1672.44</v>
      </c>
      <c r="AR213" s="173">
        <f t="shared" si="60"/>
        <v>1633.3400000000001</v>
      </c>
      <c r="AS213" s="173">
        <f t="shared" si="60"/>
        <v>1558.3400000000001</v>
      </c>
      <c r="AT213" s="173">
        <f t="shared" si="60"/>
        <v>1476.2399999999998</v>
      </c>
      <c r="AU213" s="173">
        <f t="shared" si="60"/>
        <v>1374.34</v>
      </c>
      <c r="AV213" s="173">
        <f t="shared" si="60"/>
        <v>1287.0400000000002</v>
      </c>
      <c r="AW213" s="173">
        <f t="shared" si="60"/>
        <v>1127.04</v>
      </c>
      <c r="AX213" s="173">
        <f t="shared" si="60"/>
        <v>983.83999999999992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M37 C57:L59 C63:D67 P39:R39 P40:Q42 R42 M12:M14 R40:T41 M11:U11 M58:M59 M16:M32 X85:AA91 AB81:AF81 B81:R81 C56:AF56 B82:AF83 D193:AF199 B193:B199 C68:AF72 B84:B91 B73:AF80 B9:AF10 B191:AF191 AF57:AF67 B53:B72 AG73 AB94:AF99 B94:B99 U212:AF212 C85:E90 C60:M61 Y18:Y30 O12:P14 O37:R37 M39:O42 O58:W59 O60:R67 M53:AF55 R12:U13 V11:X13 U40:Y42 N45:X48 Z16:AA31 Y11:AE11 B36:AA36 Z40:AE43 Z12:AA14 AC16:AF22 AC12:AF14 AB84:AF91">
    <cfRule type="expression" dxfId="8787" priority="439">
      <formula>B$9&gt;=20/24</formula>
    </cfRule>
    <cfRule type="expression" dxfId="8786" priority="440">
      <formula>AND(B$9&gt;=14/24,B$9&lt;20/24)</formula>
    </cfRule>
    <cfRule type="expression" dxfId="8785" priority="441">
      <formula>AND(B$9&gt;=8/24,B$9&lt;14/24)</formula>
    </cfRule>
    <cfRule type="expression" dxfId="8784" priority="442">
      <formula>B$9&lt;8/24</formula>
    </cfRule>
  </conditionalFormatting>
  <conditionalFormatting sqref="AL4:AL6">
    <cfRule type="iconSet" priority="438">
      <iconSet iconSet="3TrafficLights2" reverse="1">
        <cfvo type="percent" val="0"/>
        <cfvo type="num" val="1"/>
        <cfvo type="num" val="1"/>
      </iconSet>
    </cfRule>
  </conditionalFormatting>
  <conditionalFormatting sqref="M57 O57:R57">
    <cfRule type="expression" dxfId="8783" priority="434">
      <formula>M$9&gt;=20/24</formula>
    </cfRule>
    <cfRule type="expression" dxfId="8782" priority="435">
      <formula>AND(M$9&gt;=14/24,M$9&lt;20/24)</formula>
    </cfRule>
    <cfRule type="expression" dxfId="8781" priority="436">
      <formula>AND(M$9&gt;=8/24,M$9&lt;14/24)</formula>
    </cfRule>
    <cfRule type="expression" dxfId="8780" priority="437">
      <formula>M$9&lt;8/24</formula>
    </cfRule>
  </conditionalFormatting>
  <conditionalFormatting sqref="M43:R43">
    <cfRule type="expression" dxfId="8779" priority="430">
      <formula>M$9&gt;=20/24</formula>
    </cfRule>
    <cfRule type="expression" dxfId="8778" priority="431">
      <formula>AND(M$9&gt;=14/24,M$9&lt;20/24)</formula>
    </cfRule>
    <cfRule type="expression" dxfId="8777" priority="432">
      <formula>AND(M$9&gt;=8/24,M$9&lt;14/24)</formula>
    </cfRule>
    <cfRule type="expression" dxfId="8776" priority="433">
      <formula>M$9&lt;8/24</formula>
    </cfRule>
  </conditionalFormatting>
  <conditionalFormatting sqref="Z32:AA32">
    <cfRule type="expression" dxfId="8775" priority="426">
      <formula>Z$9&gt;=20/24</formula>
    </cfRule>
    <cfRule type="expression" dxfId="8774" priority="427">
      <formula>AND(Z$9&gt;=14/24,Z$9&lt;20/24)</formula>
    </cfRule>
    <cfRule type="expression" dxfId="8773" priority="428">
      <formula>AND(Z$9&gt;=8/24,Z$9&lt;14/24)</formula>
    </cfRule>
    <cfRule type="expression" dxfId="8772" priority="429">
      <formula>Z$9&lt;8/24</formula>
    </cfRule>
  </conditionalFormatting>
  <conditionalFormatting sqref="S39:AE39">
    <cfRule type="expression" dxfId="8771" priority="422">
      <formula>S$9&gt;=20/24</formula>
    </cfRule>
    <cfRule type="expression" dxfId="8770" priority="423">
      <formula>AND(S$9&gt;=14/24,S$9&lt;20/24)</formula>
    </cfRule>
    <cfRule type="expression" dxfId="8769" priority="424">
      <formula>AND(S$9&gt;=8/24,S$9&lt;14/24)</formula>
    </cfRule>
    <cfRule type="expression" dxfId="8768" priority="425">
      <formula>S$9&lt;8/24</formula>
    </cfRule>
  </conditionalFormatting>
  <conditionalFormatting sqref="S57:AE57">
    <cfRule type="expression" dxfId="8767" priority="418">
      <formula>S$9&gt;=20/24</formula>
    </cfRule>
    <cfRule type="expression" dxfId="8766" priority="419">
      <formula>AND(S$9&gt;=14/24,S$9&lt;20/24)</formula>
    </cfRule>
    <cfRule type="expression" dxfId="8765" priority="420">
      <formula>AND(S$9&gt;=8/24,S$9&lt;14/24)</formula>
    </cfRule>
    <cfRule type="expression" dxfId="8764" priority="421">
      <formula>S$9&lt;8/24</formula>
    </cfRule>
  </conditionalFormatting>
  <conditionalFormatting sqref="S81:AA81">
    <cfRule type="expression" dxfId="8763" priority="414">
      <formula>S$9&gt;=20/24</formula>
    </cfRule>
    <cfRule type="expression" dxfId="8762" priority="415">
      <formula>AND(S$9&gt;=14/24,S$9&lt;20/24)</formula>
    </cfRule>
    <cfRule type="expression" dxfId="8761" priority="416">
      <formula>AND(S$9&gt;=8/24,S$9&lt;14/24)</formula>
    </cfRule>
    <cfRule type="expression" dxfId="8760" priority="417">
      <formula>S$9&lt;8/24</formula>
    </cfRule>
  </conditionalFormatting>
  <conditionalFormatting sqref="U84:AA84">
    <cfRule type="expression" dxfId="8759" priority="410">
      <formula>U$9&gt;=20/24</formula>
    </cfRule>
    <cfRule type="expression" dxfId="8758" priority="411">
      <formula>AND(U$9&gt;=14/24,U$9&lt;20/24)</formula>
    </cfRule>
    <cfRule type="expression" dxfId="8757" priority="412">
      <formula>AND(U$9&gt;=8/24,U$9&lt;14/24)</formula>
    </cfRule>
    <cfRule type="expression" dxfId="8756" priority="413">
      <formula>U$9&lt;8/24</formula>
    </cfRule>
  </conditionalFormatting>
  <conditionalFormatting sqref="M35">
    <cfRule type="expression" dxfId="8755" priority="406">
      <formula>M$9&gt;=20/24</formula>
    </cfRule>
    <cfRule type="expression" dxfId="8754" priority="407">
      <formula>AND(M$9&gt;=14/24,M$9&lt;20/24)</formula>
    </cfRule>
    <cfRule type="expression" dxfId="8753" priority="408">
      <formula>AND(M$9&gt;=8/24,M$9&lt;14/24)</formula>
    </cfRule>
    <cfRule type="expression" dxfId="8752" priority="409">
      <formula>M$9&lt;8/24</formula>
    </cfRule>
  </conditionalFormatting>
  <conditionalFormatting sqref="M49:X49">
    <cfRule type="expression" dxfId="8751" priority="402">
      <formula>M$9&gt;=20/24</formula>
    </cfRule>
    <cfRule type="expression" dxfId="8750" priority="403">
      <formula>AND(M$9&gt;=14/24,M$9&lt;20/24)</formula>
    </cfRule>
    <cfRule type="expression" dxfId="8749" priority="404">
      <formula>AND(M$9&gt;=8/24,M$9&lt;14/24)</formula>
    </cfRule>
    <cfRule type="expression" dxfId="8748" priority="405">
      <formula>M$9&lt;8/24</formula>
    </cfRule>
  </conditionalFormatting>
  <conditionalFormatting sqref="M50:X50">
    <cfRule type="expression" dxfId="8747" priority="398">
      <formula>M$9&gt;=20/24</formula>
    </cfRule>
    <cfRule type="expression" dxfId="8746" priority="399">
      <formula>AND(M$9&gt;=14/24,M$9&lt;20/24)</formula>
    </cfRule>
    <cfRule type="expression" dxfId="8745" priority="400">
      <formula>AND(M$9&gt;=8/24,M$9&lt;14/24)</formula>
    </cfRule>
    <cfRule type="expression" dxfId="8744" priority="401">
      <formula>M$9&lt;8/24</formula>
    </cfRule>
  </conditionalFormatting>
  <conditionalFormatting sqref="M45:X48">
    <cfRule type="expression" dxfId="8743" priority="394">
      <formula>M$9&gt;=20/24</formula>
    </cfRule>
    <cfRule type="expression" dxfId="8742" priority="395">
      <formula>AND(M$9&gt;=14/24,M$9&lt;20/24)</formula>
    </cfRule>
    <cfRule type="expression" dxfId="8741" priority="396">
      <formula>AND(M$9&gt;=8/24,M$9&lt;14/24)</formula>
    </cfRule>
    <cfRule type="expression" dxfId="8740" priority="397">
      <formula>M$9&lt;8/24</formula>
    </cfRule>
  </conditionalFormatting>
  <conditionalFormatting sqref="S37:AE37">
    <cfRule type="expression" dxfId="8739" priority="390">
      <formula>S$9&gt;=20/24</formula>
    </cfRule>
    <cfRule type="expression" dxfId="8738" priority="391">
      <formula>AND(S$9&gt;=14/24,S$9&lt;20/24)</formula>
    </cfRule>
    <cfRule type="expression" dxfId="8737" priority="392">
      <formula>AND(S$9&gt;=8/24,S$9&lt;14/24)</formula>
    </cfRule>
    <cfRule type="expression" dxfId="8736" priority="393">
      <formula>S$9&lt;8/24</formula>
    </cfRule>
  </conditionalFormatting>
  <conditionalFormatting sqref="Y31:Y32 Y35:AA35">
    <cfRule type="expression" dxfId="8735" priority="386">
      <formula>Y$9&gt;=20/24</formula>
    </cfRule>
    <cfRule type="expression" dxfId="8734" priority="387">
      <formula>AND(Y$9&gt;=14/24,Y$9&lt;20/24)</formula>
    </cfRule>
    <cfRule type="expression" dxfId="8733" priority="388">
      <formula>AND(Y$9&gt;=8/24,Y$9&lt;14/24)</formula>
    </cfRule>
    <cfRule type="expression" dxfId="8732" priority="389">
      <formula>Y$9&lt;8/24</formula>
    </cfRule>
  </conditionalFormatting>
  <conditionalFormatting sqref="S42:T43 T43:Y43 S45:AF48">
    <cfRule type="expression" dxfId="8731" priority="382">
      <formula>S$9&gt;=20/24</formula>
    </cfRule>
    <cfRule type="expression" dxfId="8730" priority="383">
      <formula>AND(S$9&gt;=14/24,S$9&lt;20/24)</formula>
    </cfRule>
    <cfRule type="expression" dxfId="8729" priority="384">
      <formula>AND(S$9&gt;=8/24,S$9&lt;14/24)</formula>
    </cfRule>
    <cfRule type="expression" dxfId="8728" priority="385">
      <formula>S$9&lt;8/24</formula>
    </cfRule>
  </conditionalFormatting>
  <conditionalFormatting sqref="S49:AF49">
    <cfRule type="expression" dxfId="8727" priority="378">
      <formula>S$9&gt;=20/24</formula>
    </cfRule>
    <cfRule type="expression" dxfId="8726" priority="379">
      <formula>AND(S$9&gt;=14/24,S$9&lt;20/24)</formula>
    </cfRule>
    <cfRule type="expression" dxfId="8725" priority="380">
      <formula>AND(S$9&gt;=8/24,S$9&lt;14/24)</formula>
    </cfRule>
    <cfRule type="expression" dxfId="8724" priority="381">
      <formula>S$9&lt;8/24</formula>
    </cfRule>
  </conditionalFormatting>
  <conditionalFormatting sqref="S50:AF50">
    <cfRule type="expression" dxfId="8723" priority="374">
      <formula>S$9&gt;=20/24</formula>
    </cfRule>
    <cfRule type="expression" dxfId="8722" priority="375">
      <formula>AND(S$9&gt;=14/24,S$9&lt;20/24)</formula>
    </cfRule>
    <cfRule type="expression" dxfId="8721" priority="376">
      <formula>AND(S$9&gt;=8/24,S$9&lt;14/24)</formula>
    </cfRule>
    <cfRule type="expression" dxfId="8720" priority="377">
      <formula>S$9&lt;8/24</formula>
    </cfRule>
  </conditionalFormatting>
  <conditionalFormatting sqref="S60:T67 X60:AE67">
    <cfRule type="expression" dxfId="8719" priority="370">
      <formula>S$9&gt;=20/24</formula>
    </cfRule>
    <cfRule type="expression" dxfId="8718" priority="371">
      <formula>AND(S$9&gt;=14/24,S$9&lt;20/24)</formula>
    </cfRule>
    <cfRule type="expression" dxfId="8717" priority="372">
      <formula>AND(S$9&gt;=8/24,S$9&lt;14/24)</formula>
    </cfRule>
    <cfRule type="expression" dxfId="8716" priority="373">
      <formula>S$9&lt;8/24</formula>
    </cfRule>
  </conditionalFormatting>
  <conditionalFormatting sqref="I63:I67 C62:I62 J62:L67">
    <cfRule type="expression" dxfId="8715" priority="366">
      <formula>C$9&gt;=20/24</formula>
    </cfRule>
    <cfRule type="expression" dxfId="8714" priority="367">
      <formula>AND(C$9&gt;=14/24,C$9&lt;20/24)</formula>
    </cfRule>
    <cfRule type="expression" dxfId="8713" priority="368">
      <formula>AND(C$9&gt;=8/24,C$9&lt;14/24)</formula>
    </cfRule>
    <cfRule type="expression" dxfId="8712" priority="369">
      <formula>C$9&lt;8/24</formula>
    </cfRule>
  </conditionalFormatting>
  <conditionalFormatting sqref="U94:AA97">
    <cfRule type="expression" dxfId="8711" priority="362">
      <formula>U$9&gt;=20/24</formula>
    </cfRule>
    <cfRule type="expression" dxfId="8710" priority="363">
      <formula>AND(U$9&gt;=14/24,U$9&lt;20/24)</formula>
    </cfRule>
    <cfRule type="expression" dxfId="8709" priority="364">
      <formula>AND(U$9&gt;=8/24,U$9&lt;14/24)</formula>
    </cfRule>
    <cfRule type="expression" dxfId="8708" priority="365">
      <formula>U$9&lt;8/24</formula>
    </cfRule>
  </conditionalFormatting>
  <conditionalFormatting sqref="AG51 M12:M14 M16:M32 Z12:Z17 L11:U11 B11:K32 L12:L32 B34:M35 Y18:Z32 O12:P14 R12:U13 B37:M37 V11:X13 B36:X36 O37:AF37 Y11:AF11 AA12:AA32 Y34:AA36 AC12:AF22 B38:AF56">
    <cfRule type="expression" dxfId="8707" priority="361">
      <formula>B11&gt;$AG11</formula>
    </cfRule>
  </conditionalFormatting>
  <conditionalFormatting sqref="A100:A156 A84:A97 A11:A14 A16:A32 A45:A72 A80:A82 A74:A78 A35:A43 A169:A199">
    <cfRule type="expression" dxfId="8706" priority="360">
      <formula>$AH11=0</formula>
    </cfRule>
  </conditionalFormatting>
  <conditionalFormatting sqref="U98:AA98">
    <cfRule type="expression" dxfId="8705" priority="356">
      <formula>U$9&gt;=20/24</formula>
    </cfRule>
    <cfRule type="expression" dxfId="8704" priority="357">
      <formula>AND(U$9&gt;=14/24,U$9&lt;20/24)</formula>
    </cfRule>
    <cfRule type="expression" dxfId="8703" priority="358">
      <formula>AND(U$9&gt;=8/24,U$9&lt;14/24)</formula>
    </cfRule>
    <cfRule type="expression" dxfId="8702" priority="359">
      <formula>U$9&lt;8/24</formula>
    </cfRule>
  </conditionalFormatting>
  <conditionalFormatting sqref="A98">
    <cfRule type="expression" dxfId="8701" priority="355">
      <formula>$AH98=0</formula>
    </cfRule>
  </conditionalFormatting>
  <conditionalFormatting sqref="E63:H67">
    <cfRule type="expression" dxfId="8700" priority="347">
      <formula>E$9&gt;=20/24</formula>
    </cfRule>
    <cfRule type="expression" dxfId="8699" priority="348">
      <formula>AND(E$9&gt;=14/24,E$9&lt;20/24)</formula>
    </cfRule>
    <cfRule type="expression" dxfId="8698" priority="349">
      <formula>AND(E$9&gt;=8/24,E$9&lt;14/24)</formula>
    </cfRule>
    <cfRule type="expression" dxfId="8697" priority="350">
      <formula>E$9&lt;8/24</formula>
    </cfRule>
  </conditionalFormatting>
  <conditionalFormatting sqref="M62:M67">
    <cfRule type="expression" dxfId="8696" priority="343">
      <formula>M$9&gt;=20/24</formula>
    </cfRule>
    <cfRule type="expression" dxfId="8695" priority="344">
      <formula>AND(M$9&gt;=14/24,M$9&lt;20/24)</formula>
    </cfRule>
    <cfRule type="expression" dxfId="8694" priority="345">
      <formula>AND(M$9&gt;=8/24,M$9&lt;14/24)</formula>
    </cfRule>
    <cfRule type="expression" dxfId="8693" priority="346">
      <formula>M$9&lt;8/24</formula>
    </cfRule>
  </conditionalFormatting>
  <conditionalFormatting sqref="AL32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Z34:AA34">
    <cfRule type="expression" dxfId="8692" priority="338">
      <formula>Z$9&gt;=20/24</formula>
    </cfRule>
    <cfRule type="expression" dxfId="8691" priority="339">
      <formula>AND(Z$9&gt;=14/24,Z$9&lt;20/24)</formula>
    </cfRule>
    <cfRule type="expression" dxfId="8690" priority="340">
      <formula>AND(Z$9&gt;=8/24,Z$9&lt;14/24)</formula>
    </cfRule>
    <cfRule type="expression" dxfId="8689" priority="341">
      <formula>Z$9&lt;8/24</formula>
    </cfRule>
  </conditionalFormatting>
  <conditionalFormatting sqref="M34">
    <cfRule type="expression" dxfId="8688" priority="334">
      <formula>M$9&gt;=20/24</formula>
    </cfRule>
    <cfRule type="expression" dxfId="8687" priority="335">
      <formula>AND(M$9&gt;=14/24,M$9&lt;20/24)</formula>
    </cfRule>
    <cfRule type="expression" dxfId="8686" priority="336">
      <formula>AND(M$9&gt;=8/24,M$9&lt;14/24)</formula>
    </cfRule>
    <cfRule type="expression" dxfId="8685" priority="337">
      <formula>M$9&lt;8/24</formula>
    </cfRule>
  </conditionalFormatting>
  <conditionalFormatting sqref="Y34">
    <cfRule type="expression" dxfId="8684" priority="330">
      <formula>Y$9&gt;=20/24</formula>
    </cfRule>
    <cfRule type="expression" dxfId="8683" priority="331">
      <formula>AND(Y$9&gt;=14/24,Y$9&lt;20/24)</formula>
    </cfRule>
    <cfRule type="expression" dxfId="8682" priority="332">
      <formula>AND(Y$9&gt;=8/24,Y$9&lt;14/24)</formula>
    </cfRule>
    <cfRule type="expression" dxfId="8681" priority="333">
      <formula>Y$9&lt;8/24</formula>
    </cfRule>
  </conditionalFormatting>
  <conditionalFormatting sqref="A34">
    <cfRule type="expression" dxfId="8680" priority="329">
      <formula>$AH34=0</formula>
    </cfRule>
  </conditionalFormatting>
  <conditionalFormatting sqref="A83">
    <cfRule type="expression" dxfId="8679" priority="328">
      <formula>$AH83=0</formula>
    </cfRule>
  </conditionalFormatting>
  <conditionalFormatting sqref="Z15:AA15 AC15:AF15">
    <cfRule type="expression" dxfId="8678" priority="324">
      <formula>Z$9&gt;=20/24</formula>
    </cfRule>
    <cfRule type="expression" dxfId="8677" priority="325">
      <formula>AND(Z$9&gt;=14/24,Z$9&lt;20/24)</formula>
    </cfRule>
    <cfRule type="expression" dxfId="8676" priority="326">
      <formula>AND(Z$9&gt;=8/24,Z$9&lt;14/24)</formula>
    </cfRule>
    <cfRule type="expression" dxfId="8675" priority="327">
      <formula>Z$9&lt;8/24</formula>
    </cfRule>
  </conditionalFormatting>
  <conditionalFormatting sqref="M15 O15:P15">
    <cfRule type="expression" dxfId="8674" priority="320">
      <formula>M$9&gt;=20/24</formula>
    </cfRule>
    <cfRule type="expression" dxfId="8673" priority="321">
      <formula>AND(M$9&gt;=14/24,M$9&lt;20/24)</formula>
    </cfRule>
    <cfRule type="expression" dxfId="8672" priority="322">
      <formula>AND(M$9&gt;=8/24,M$9&lt;14/24)</formula>
    </cfRule>
    <cfRule type="expression" dxfId="8671" priority="323">
      <formula>M$9&lt;8/24</formula>
    </cfRule>
  </conditionalFormatting>
  <conditionalFormatting sqref="M15 O15:P15">
    <cfRule type="expression" dxfId="8670" priority="319">
      <formula>M15&gt;$AG15</formula>
    </cfRule>
  </conditionalFormatting>
  <conditionalFormatting sqref="A15">
    <cfRule type="expression" dxfId="8669" priority="318">
      <formula>$AH15=0</formula>
    </cfRule>
  </conditionalFormatting>
  <conditionalFormatting sqref="A163:A168">
    <cfRule type="expression" dxfId="8668" priority="317">
      <formula>$AH163=0</formula>
    </cfRule>
  </conditionalFormatting>
  <conditionalFormatting sqref="A157:A162">
    <cfRule type="expression" dxfId="8667" priority="316">
      <formula>$AH157=0</formula>
    </cfRule>
  </conditionalFormatting>
  <conditionalFormatting sqref="Z44:AE44">
    <cfRule type="expression" dxfId="8666" priority="312">
      <formula>Z$9&gt;=20/24</formula>
    </cfRule>
    <cfRule type="expression" dxfId="8665" priority="313">
      <formula>AND(Z$9&gt;=14/24,Z$9&lt;20/24)</formula>
    </cfRule>
    <cfRule type="expression" dxfId="8664" priority="314">
      <formula>AND(Z$9&gt;=8/24,Z$9&lt;14/24)</formula>
    </cfRule>
    <cfRule type="expression" dxfId="8663" priority="315">
      <formula>Z$9&lt;8/24</formula>
    </cfRule>
  </conditionalFormatting>
  <conditionalFormatting sqref="M44:X44">
    <cfRule type="expression" dxfId="8662" priority="308">
      <formula>M$9&gt;=20/24</formula>
    </cfRule>
    <cfRule type="expression" dxfId="8661" priority="309">
      <formula>AND(M$9&gt;=14/24,M$9&lt;20/24)</formula>
    </cfRule>
    <cfRule type="expression" dxfId="8660" priority="310">
      <formula>AND(M$9&gt;=8/24,M$9&lt;14/24)</formula>
    </cfRule>
    <cfRule type="expression" dxfId="8659" priority="311">
      <formula>M$9&lt;8/24</formula>
    </cfRule>
  </conditionalFormatting>
  <conditionalFormatting sqref="S44:Y44">
    <cfRule type="expression" dxfId="8658" priority="304">
      <formula>S$9&gt;=20/24</formula>
    </cfRule>
    <cfRule type="expression" dxfId="8657" priority="305">
      <formula>AND(S$9&gt;=14/24,S$9&lt;20/24)</formula>
    </cfRule>
    <cfRule type="expression" dxfId="8656" priority="306">
      <formula>AND(S$9&gt;=8/24,S$9&lt;14/24)</formula>
    </cfRule>
    <cfRule type="expression" dxfId="8655" priority="307">
      <formula>S$9&lt;8/24</formula>
    </cfRule>
  </conditionalFormatting>
  <conditionalFormatting sqref="A44">
    <cfRule type="expression" dxfId="8654" priority="303">
      <formula>$AH44=0</formula>
    </cfRule>
  </conditionalFormatting>
  <conditionalFormatting sqref="A79">
    <cfRule type="expression" dxfId="8653" priority="302">
      <formula>$AH79=0</formula>
    </cfRule>
  </conditionalFormatting>
  <conditionalFormatting sqref="A73">
    <cfRule type="expression" dxfId="8652" priority="301">
      <formula>$AH73=0</formula>
    </cfRule>
  </conditionalFormatting>
  <conditionalFormatting sqref="AL34:AL35 AL7:AL31">
    <cfRule type="iconSet" priority="44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8651" priority="297">
      <formula>U$9&gt;=20/24</formula>
    </cfRule>
    <cfRule type="expression" dxfId="8650" priority="298">
      <formula>AND(U$9&gt;=14/24,U$9&lt;20/24)</formula>
    </cfRule>
    <cfRule type="expression" dxfId="8649" priority="299">
      <formula>AND(U$9&gt;=8/24,U$9&lt;14/24)</formula>
    </cfRule>
    <cfRule type="expression" dxfId="8648" priority="300">
      <formula>U$9&lt;8/24</formula>
    </cfRule>
  </conditionalFormatting>
  <conditionalFormatting sqref="U85:W91">
    <cfRule type="expression" dxfId="8647" priority="293">
      <formula>U$9&gt;=20/24</formula>
    </cfRule>
    <cfRule type="expression" dxfId="8646" priority="294">
      <formula>AND(U$9&gt;=14/24,U$9&lt;20/24)</formula>
    </cfRule>
    <cfRule type="expression" dxfId="8645" priority="295">
      <formula>AND(U$9&gt;=8/24,U$9&lt;14/24)</formula>
    </cfRule>
    <cfRule type="expression" dxfId="8644" priority="296">
      <formula>U$9&lt;8/24</formula>
    </cfRule>
  </conditionalFormatting>
  <conditionalFormatting sqref="C84:M84 S85:T91 C91:R91 F85:M90 O84:R90">
    <cfRule type="expression" dxfId="8643" priority="289">
      <formula>C$9&gt;=20/24</formula>
    </cfRule>
    <cfRule type="expression" dxfId="8642" priority="290">
      <formula>AND(C$9&gt;=14/24,C$9&lt;20/24)</formula>
    </cfRule>
    <cfRule type="expression" dxfId="8641" priority="291">
      <formula>AND(C$9&gt;=8/24,C$9&lt;14/24)</formula>
    </cfRule>
    <cfRule type="expression" dxfId="8640" priority="292">
      <formula>C$9&lt;8/24</formula>
    </cfRule>
  </conditionalFormatting>
  <conditionalFormatting sqref="S84:T84">
    <cfRule type="expression" dxfId="8639" priority="285">
      <formula>S$9&gt;=20/24</formula>
    </cfRule>
    <cfRule type="expression" dxfId="8638" priority="286">
      <formula>AND(S$9&gt;=14/24,S$9&lt;20/24)</formula>
    </cfRule>
    <cfRule type="expression" dxfId="8637" priority="287">
      <formula>AND(S$9&gt;=8/24,S$9&lt;14/24)</formula>
    </cfRule>
    <cfRule type="expression" dxfId="8636" priority="288">
      <formula>S$9&lt;8/24</formula>
    </cfRule>
  </conditionalFormatting>
  <conditionalFormatting sqref="C95:M97 C94:F94">
    <cfRule type="expression" dxfId="8635" priority="281">
      <formula>C$9&gt;=20/24</formula>
    </cfRule>
    <cfRule type="expression" dxfId="8634" priority="282">
      <formula>AND(C$9&gt;=14/24,C$9&lt;20/24)</formula>
    </cfRule>
    <cfRule type="expression" dxfId="8633" priority="283">
      <formula>AND(C$9&gt;=8/24,C$9&lt;14/24)</formula>
    </cfRule>
    <cfRule type="expression" dxfId="8632" priority="284">
      <formula>C$9&lt;8/24</formula>
    </cfRule>
  </conditionalFormatting>
  <conditionalFormatting sqref="O94:R97">
    <cfRule type="expression" dxfId="8631" priority="277">
      <formula>O$9&gt;=20/24</formula>
    </cfRule>
    <cfRule type="expression" dxfId="8630" priority="278">
      <formula>AND(O$9&gt;=14/24,O$9&lt;20/24)</formula>
    </cfRule>
    <cfRule type="expression" dxfId="8629" priority="279">
      <formula>AND(O$9&gt;=8/24,O$9&lt;14/24)</formula>
    </cfRule>
    <cfRule type="expression" dxfId="8628" priority="280">
      <formula>O$9&lt;8/24</formula>
    </cfRule>
  </conditionalFormatting>
  <conditionalFormatting sqref="S94:T97">
    <cfRule type="expression" dxfId="8627" priority="273">
      <formula>S$9&gt;=20/24</formula>
    </cfRule>
    <cfRule type="expression" dxfId="8626" priority="274">
      <formula>AND(S$9&gt;=14/24,S$9&lt;20/24)</formula>
    </cfRule>
    <cfRule type="expression" dxfId="8625" priority="275">
      <formula>AND(S$9&gt;=8/24,S$9&lt;14/24)</formula>
    </cfRule>
    <cfRule type="expression" dxfId="8624" priority="276">
      <formula>S$9&lt;8/24</formula>
    </cfRule>
  </conditionalFormatting>
  <conditionalFormatting sqref="C98:M98">
    <cfRule type="expression" dxfId="8623" priority="269">
      <formula>C$9&gt;=20/24</formula>
    </cfRule>
    <cfRule type="expression" dxfId="8622" priority="270">
      <formula>AND(C$9&gt;=14/24,C$9&lt;20/24)</formula>
    </cfRule>
    <cfRule type="expression" dxfId="8621" priority="271">
      <formula>AND(C$9&gt;=8/24,C$9&lt;14/24)</formula>
    </cfRule>
    <cfRule type="expression" dxfId="8620" priority="272">
      <formula>C$9&lt;8/24</formula>
    </cfRule>
  </conditionalFormatting>
  <conditionalFormatting sqref="O98:R98">
    <cfRule type="expression" dxfId="8619" priority="265">
      <formula>O$9&gt;=20/24</formula>
    </cfRule>
    <cfRule type="expression" dxfId="8618" priority="266">
      <formula>AND(O$9&gt;=14/24,O$9&lt;20/24)</formula>
    </cfRule>
    <cfRule type="expression" dxfId="8617" priority="267">
      <formula>AND(O$9&gt;=8/24,O$9&lt;14/24)</formula>
    </cfRule>
    <cfRule type="expression" dxfId="8616" priority="268">
      <formula>O$9&lt;8/24</formula>
    </cfRule>
  </conditionalFormatting>
  <conditionalFormatting sqref="S98:T98">
    <cfRule type="expression" dxfId="8615" priority="261">
      <formula>S$9&gt;=20/24</formula>
    </cfRule>
    <cfRule type="expression" dxfId="8614" priority="262">
      <formula>AND(S$9&gt;=14/24,S$9&lt;20/24)</formula>
    </cfRule>
    <cfRule type="expression" dxfId="8613" priority="263">
      <formula>AND(S$9&gt;=8/24,S$9&lt;14/24)</formula>
    </cfRule>
    <cfRule type="expression" dxfId="8612" priority="264">
      <formula>S$9&lt;8/24</formula>
    </cfRule>
  </conditionalFormatting>
  <conditionalFormatting sqref="M94">
    <cfRule type="expression" dxfId="8611" priority="257">
      <formula>M$9&gt;=20/24</formula>
    </cfRule>
    <cfRule type="expression" dxfId="8610" priority="258">
      <formula>AND(M$9&gt;=14/24,M$9&lt;20/24)</formula>
    </cfRule>
    <cfRule type="expression" dxfId="8609" priority="259">
      <formula>AND(M$9&gt;=8/24,M$9&lt;14/24)</formula>
    </cfRule>
    <cfRule type="expression" dxfId="8608" priority="260">
      <formula>M$9&lt;8/24</formula>
    </cfRule>
  </conditionalFormatting>
  <conditionalFormatting sqref="G94:L94">
    <cfRule type="expression" dxfId="8607" priority="253">
      <formula>G$9&gt;=20/24</formula>
    </cfRule>
    <cfRule type="expression" dxfId="8606" priority="254">
      <formula>AND(G$9&gt;=14/24,G$9&lt;20/24)</formula>
    </cfRule>
    <cfRule type="expression" dxfId="8605" priority="255">
      <formula>AND(G$9&gt;=8/24,G$9&lt;14/24)</formula>
    </cfRule>
    <cfRule type="expression" dxfId="8604" priority="256">
      <formula>G$9&lt;8/24</formula>
    </cfRule>
  </conditionalFormatting>
  <conditionalFormatting sqref="U94:W94">
    <cfRule type="expression" dxfId="8603" priority="249">
      <formula>U$9&gt;=20/24</formula>
    </cfRule>
    <cfRule type="expression" dxfId="8602" priority="250">
      <formula>AND(U$9&gt;=14/24,U$9&lt;20/24)</formula>
    </cfRule>
    <cfRule type="expression" dxfId="8601" priority="251">
      <formula>AND(U$9&gt;=8/24,U$9&lt;14/24)</formula>
    </cfRule>
    <cfRule type="expression" dxfId="8600" priority="252">
      <formula>U$9&lt;8/24</formula>
    </cfRule>
  </conditionalFormatting>
  <conditionalFormatting sqref="O94:T94">
    <cfRule type="expression" dxfId="8599" priority="245">
      <formula>O$9&gt;=20/24</formula>
    </cfRule>
    <cfRule type="expression" dxfId="8598" priority="246">
      <formula>AND(O$9&gt;=14/24,O$9&lt;20/24)</formula>
    </cfRule>
    <cfRule type="expression" dxfId="8597" priority="247">
      <formula>AND(O$9&gt;=8/24,O$9&lt;14/24)</formula>
    </cfRule>
    <cfRule type="expression" dxfId="8596" priority="248">
      <formula>O$9&lt;8/24</formula>
    </cfRule>
  </conditionalFormatting>
  <conditionalFormatting sqref="U99:AA99">
    <cfRule type="expression" dxfId="8595" priority="241">
      <formula>U$9&gt;=20/24</formula>
    </cfRule>
    <cfRule type="expression" dxfId="8594" priority="242">
      <formula>AND(U$9&gt;=14/24,U$9&lt;20/24)</formula>
    </cfRule>
    <cfRule type="expression" dxfId="8593" priority="243">
      <formula>AND(U$9&gt;=8/24,U$9&lt;14/24)</formula>
    </cfRule>
    <cfRule type="expression" dxfId="8592" priority="244">
      <formula>U$9&lt;8/24</formula>
    </cfRule>
  </conditionalFormatting>
  <conditionalFormatting sqref="C99:M99">
    <cfRule type="expression" dxfId="8591" priority="237">
      <formula>C$9&gt;=20/24</formula>
    </cfRule>
    <cfRule type="expression" dxfId="8590" priority="238">
      <formula>AND(C$9&gt;=14/24,C$9&lt;20/24)</formula>
    </cfRule>
    <cfRule type="expression" dxfId="8589" priority="239">
      <formula>AND(C$9&gt;=8/24,C$9&lt;14/24)</formula>
    </cfRule>
    <cfRule type="expression" dxfId="8588" priority="240">
      <formula>C$9&lt;8/24</formula>
    </cfRule>
  </conditionalFormatting>
  <conditionalFormatting sqref="O99:R99">
    <cfRule type="expression" dxfId="8587" priority="233">
      <formula>O$9&gt;=20/24</formula>
    </cfRule>
    <cfRule type="expression" dxfId="8586" priority="234">
      <formula>AND(O$9&gt;=14/24,O$9&lt;20/24)</formula>
    </cfRule>
    <cfRule type="expression" dxfId="8585" priority="235">
      <formula>AND(O$9&gt;=8/24,O$9&lt;14/24)</formula>
    </cfRule>
    <cfRule type="expression" dxfId="8584" priority="236">
      <formula>O$9&lt;8/24</formula>
    </cfRule>
  </conditionalFormatting>
  <conditionalFormatting sqref="S99:T99">
    <cfRule type="expression" dxfId="8583" priority="229">
      <formula>S$9&gt;=20/24</formula>
    </cfRule>
    <cfRule type="expression" dxfId="8582" priority="230">
      <formula>AND(S$9&gt;=14/24,S$9&lt;20/24)</formula>
    </cfRule>
    <cfRule type="expression" dxfId="8581" priority="231">
      <formula>AND(S$9&gt;=8/24,S$9&lt;14/24)</formula>
    </cfRule>
    <cfRule type="expression" dxfId="8580" priority="232">
      <formula>S$9&lt;8/24</formula>
    </cfRule>
  </conditionalFormatting>
  <conditionalFormatting sqref="Y12:Y16">
    <cfRule type="expression" dxfId="8579" priority="225">
      <formula>Y$9&gt;=20/24</formula>
    </cfRule>
    <cfRule type="expression" dxfId="8578" priority="226">
      <formula>AND(Y$9&gt;=14/24,Y$9&lt;20/24)</formula>
    </cfRule>
    <cfRule type="expression" dxfId="8577" priority="227">
      <formula>AND(Y$9&gt;=8/24,Y$9&lt;14/24)</formula>
    </cfRule>
    <cfRule type="expression" dxfId="8576" priority="228">
      <formula>Y$9&lt;8/24</formula>
    </cfRule>
  </conditionalFormatting>
  <conditionalFormatting sqref="Y17">
    <cfRule type="expression" dxfId="8575" priority="221">
      <formula>Y$9&gt;=20/24</formula>
    </cfRule>
    <cfRule type="expression" dxfId="8574" priority="222">
      <formula>AND(Y$9&gt;=14/24,Y$9&lt;20/24)</formula>
    </cfRule>
    <cfRule type="expression" dxfId="8573" priority="223">
      <formula>AND(Y$9&gt;=8/24,Y$9&lt;14/24)</formula>
    </cfRule>
    <cfRule type="expression" dxfId="8572" priority="224">
      <formula>Y$9&lt;8/24</formula>
    </cfRule>
  </conditionalFormatting>
  <conditionalFormatting sqref="Y12:Y13">
    <cfRule type="expression" dxfId="8571" priority="217">
      <formula>Y$9&gt;=20/24</formula>
    </cfRule>
    <cfRule type="expression" dxfId="8570" priority="218">
      <formula>AND(Y$9&gt;=14/24,Y$9&lt;20/24)</formula>
    </cfRule>
    <cfRule type="expression" dxfId="8569" priority="219">
      <formula>AND(Y$9&gt;=8/24,Y$9&lt;14/24)</formula>
    </cfRule>
    <cfRule type="expression" dxfId="8568" priority="220">
      <formula>Y$9&lt;8/24</formula>
    </cfRule>
  </conditionalFormatting>
  <conditionalFormatting sqref="AB58:AE59">
    <cfRule type="expression" dxfId="8567" priority="213">
      <formula>AB$9&gt;=20/24</formula>
    </cfRule>
    <cfRule type="expression" dxfId="8566" priority="214">
      <formula>AND(AB$9&gt;=14/24,AB$9&lt;20/24)</formula>
    </cfRule>
    <cfRule type="expression" dxfId="8565" priority="215">
      <formula>AND(AB$9&gt;=8/24,AB$9&lt;14/24)</formula>
    </cfRule>
    <cfRule type="expression" dxfId="8564" priority="216">
      <formula>AB$9&lt;8/24</formula>
    </cfRule>
  </conditionalFormatting>
  <conditionalFormatting sqref="AL3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563" priority="446">
      <formula>C$9&gt;=20/24</formula>
    </cfRule>
    <cfRule type="expression" dxfId="8562" priority="447">
      <formula>AND(C$9&gt;=14/24,C$9&lt;20/24)</formula>
    </cfRule>
    <cfRule type="expression" dxfId="8561" priority="448">
      <formula>AND(C$9&gt;=8/24,C$9&lt;14/24)</formula>
    </cfRule>
    <cfRule type="expression" dxfId="8560" priority="449">
      <formula>C$9&lt;8/24</formula>
    </cfRule>
  </conditionalFormatting>
  <conditionalFormatting sqref="A200">
    <cfRule type="expression" dxfId="8559" priority="450">
      <formula>$AH200=0</formula>
    </cfRule>
  </conditionalFormatting>
  <conditionalFormatting sqref="AG212">
    <cfRule type="expression" dxfId="8558" priority="451">
      <formula>B$9&gt;=20/24</formula>
    </cfRule>
    <cfRule type="expression" dxfId="8557" priority="452">
      <formula>AND(B$9&gt;=14/24,B$9&lt;20/24)</formula>
    </cfRule>
    <cfRule type="expression" dxfId="8556" priority="453">
      <formula>AND(B$9&gt;=8/24,B$9&lt;14/24)</formula>
    </cfRule>
    <cfRule type="expression" dxfId="8555" priority="454">
      <formula>B$9&lt;8/24</formula>
    </cfRule>
  </conditionalFormatting>
  <conditionalFormatting sqref="S8">
    <cfRule type="expression" dxfId="8554" priority="207">
      <formula>U$9&gt;=20/24</formula>
    </cfRule>
    <cfRule type="expression" dxfId="8553" priority="208">
      <formula>AND(U$9&gt;=14/24,U$9&lt;20/24)</formula>
    </cfRule>
    <cfRule type="expression" dxfId="8552" priority="209">
      <formula>AND(U$9&gt;=8/24,U$9&lt;14/24)</formula>
    </cfRule>
    <cfRule type="expression" dxfId="8551" priority="210">
      <formula>U$9&lt;8/24</formula>
    </cfRule>
  </conditionalFormatting>
  <conditionalFormatting sqref="AB8">
    <cfRule type="expression" dxfId="8550" priority="203">
      <formula>AD$9&gt;=20/24</formula>
    </cfRule>
    <cfRule type="expression" dxfId="8549" priority="204">
      <formula>AND(AD$9&gt;=14/24,AD$9&lt;20/24)</formula>
    </cfRule>
    <cfRule type="expression" dxfId="8548" priority="205">
      <formula>AND(AD$9&gt;=8/24,AD$9&lt;14/24)</formula>
    </cfRule>
    <cfRule type="expression" dxfId="8547" priority="206">
      <formula>AD$9&lt;8/24</formula>
    </cfRule>
  </conditionalFormatting>
  <conditionalFormatting sqref="AH212:AX212">
    <cfRule type="expression" dxfId="8546" priority="455">
      <formula>AG$9&gt;=20/24</formula>
    </cfRule>
    <cfRule type="expression" dxfId="8545" priority="456">
      <formula>AND(AG$9&gt;=14/24,AG$9&lt;20/24)</formula>
    </cfRule>
    <cfRule type="expression" dxfId="8544" priority="457">
      <formula>AND(AG$9&gt;=8/24,AG$9&lt;14/24)</formula>
    </cfRule>
    <cfRule type="expression" dxfId="8543" priority="458">
      <formula>AG$9&lt;8/24</formula>
    </cfRule>
  </conditionalFormatting>
  <conditionalFormatting sqref="T212">
    <cfRule type="expression" dxfId="8542" priority="459">
      <formula>AX$9&gt;=20/24</formula>
    </cfRule>
    <cfRule type="expression" dxfId="8541" priority="460">
      <formula>AND(AX$9&gt;=14/24,AX$9&lt;20/24)</formula>
    </cfRule>
    <cfRule type="expression" dxfId="8540" priority="461">
      <formula>AND(AX$9&gt;=8/24,AX$9&lt;14/24)</formula>
    </cfRule>
    <cfRule type="expression" dxfId="8539" priority="462">
      <formula>AX$9&lt;8/24</formula>
    </cfRule>
  </conditionalFormatting>
  <conditionalFormatting sqref="A99">
    <cfRule type="expression" dxfId="8538" priority="202">
      <formula>$AH99=0</formula>
    </cfRule>
  </conditionalFormatting>
  <conditionalFormatting sqref="M33">
    <cfRule type="expression" dxfId="8537" priority="198">
      <formula>M$9&gt;=20/24</formula>
    </cfRule>
    <cfRule type="expression" dxfId="8536" priority="199">
      <formula>AND(M$9&gt;=14/24,M$9&lt;20/24)</formula>
    </cfRule>
    <cfRule type="expression" dxfId="8535" priority="200">
      <formula>AND(M$9&gt;=8/24,M$9&lt;14/24)</formula>
    </cfRule>
    <cfRule type="expression" dxfId="8534" priority="201">
      <formula>M$9&lt;8/24</formula>
    </cfRule>
  </conditionalFormatting>
  <conditionalFormatting sqref="Z33:AA33">
    <cfRule type="expression" dxfId="8533" priority="194">
      <formula>Z$9&gt;=20/24</formula>
    </cfRule>
    <cfRule type="expression" dxfId="8532" priority="195">
      <formula>AND(Z$9&gt;=14/24,Z$9&lt;20/24)</formula>
    </cfRule>
    <cfRule type="expression" dxfId="8531" priority="196">
      <formula>AND(Z$9&gt;=8/24,Z$9&lt;14/24)</formula>
    </cfRule>
    <cfRule type="expression" dxfId="8530" priority="197">
      <formula>Z$9&lt;8/24</formula>
    </cfRule>
  </conditionalFormatting>
  <conditionalFormatting sqref="Y33">
    <cfRule type="expression" dxfId="8529" priority="190">
      <formula>Y$9&gt;=20/24</formula>
    </cfRule>
    <cfRule type="expression" dxfId="8528" priority="191">
      <formula>AND(Y$9&gt;=14/24,Y$9&lt;20/24)</formula>
    </cfRule>
    <cfRule type="expression" dxfId="8527" priority="192">
      <formula>AND(Y$9&gt;=8/24,Y$9&lt;14/24)</formula>
    </cfRule>
    <cfRule type="expression" dxfId="8526" priority="193">
      <formula>Y$9&lt;8/24</formula>
    </cfRule>
  </conditionalFormatting>
  <conditionalFormatting sqref="B33:M33 Y33:AA33">
    <cfRule type="expression" dxfId="8525" priority="189">
      <formula>B33&gt;$AG33</formula>
    </cfRule>
  </conditionalFormatting>
  <conditionalFormatting sqref="N12:N14 N16:N32 N37">
    <cfRule type="expression" dxfId="8524" priority="185">
      <formula>N$9&gt;=20/24</formula>
    </cfRule>
    <cfRule type="expression" dxfId="8523" priority="186">
      <formula>AND(N$9&gt;=14/24,N$9&lt;20/24)</formula>
    </cfRule>
    <cfRule type="expression" dxfId="8522" priority="187">
      <formula>AND(N$9&gt;=8/24,N$9&lt;14/24)</formula>
    </cfRule>
    <cfRule type="expression" dxfId="8521" priority="188">
      <formula>N$9&lt;8/24</formula>
    </cfRule>
  </conditionalFormatting>
  <conditionalFormatting sqref="N35">
    <cfRule type="expression" dxfId="8520" priority="181">
      <formula>N$9&gt;=20/24</formula>
    </cfRule>
    <cfRule type="expression" dxfId="8519" priority="182">
      <formula>AND(N$9&gt;=14/24,N$9&lt;20/24)</formula>
    </cfRule>
    <cfRule type="expression" dxfId="8518" priority="183">
      <formula>AND(N$9&gt;=8/24,N$9&lt;14/24)</formula>
    </cfRule>
    <cfRule type="expression" dxfId="8517" priority="184">
      <formula>N$9&lt;8/24</formula>
    </cfRule>
  </conditionalFormatting>
  <conditionalFormatting sqref="N12:N14 N16:N32 N34:N35 N37">
    <cfRule type="expression" dxfId="8516" priority="180">
      <formula>N12&gt;$AG12</formula>
    </cfRule>
  </conditionalFormatting>
  <conditionalFormatting sqref="N34">
    <cfRule type="expression" dxfId="8515" priority="176">
      <formula>N$9&gt;=20/24</formula>
    </cfRule>
    <cfRule type="expression" dxfId="8514" priority="177">
      <formula>AND(N$9&gt;=14/24,N$9&lt;20/24)</formula>
    </cfRule>
    <cfRule type="expression" dxfId="8513" priority="178">
      <formula>AND(N$9&gt;=8/24,N$9&lt;14/24)</formula>
    </cfRule>
    <cfRule type="expression" dxfId="8512" priority="179">
      <formula>N$9&lt;8/24</formula>
    </cfRule>
  </conditionalFormatting>
  <conditionalFormatting sqref="N15">
    <cfRule type="expression" dxfId="8511" priority="172">
      <formula>N$9&gt;=20/24</formula>
    </cfRule>
    <cfRule type="expression" dxfId="8510" priority="173">
      <formula>AND(N$9&gt;=14/24,N$9&lt;20/24)</formula>
    </cfRule>
    <cfRule type="expression" dxfId="8509" priority="174">
      <formula>AND(N$9&gt;=8/24,N$9&lt;14/24)</formula>
    </cfRule>
    <cfRule type="expression" dxfId="8508" priority="175">
      <formula>N$9&lt;8/24</formula>
    </cfRule>
  </conditionalFormatting>
  <conditionalFormatting sqref="N15">
    <cfRule type="expression" dxfId="8507" priority="171">
      <formula>N15&gt;$AG15</formula>
    </cfRule>
  </conditionalFormatting>
  <conditionalFormatting sqref="N33">
    <cfRule type="expression" dxfId="8506" priority="167">
      <formula>N$9&gt;=20/24</formula>
    </cfRule>
    <cfRule type="expression" dxfId="8505" priority="168">
      <formula>AND(N$9&gt;=14/24,N$9&lt;20/24)</formula>
    </cfRule>
    <cfRule type="expression" dxfId="8504" priority="169">
      <formula>AND(N$9&gt;=8/24,N$9&lt;14/24)</formula>
    </cfRule>
    <cfRule type="expression" dxfId="8503" priority="170">
      <formula>N$9&lt;8/24</formula>
    </cfRule>
  </conditionalFormatting>
  <conditionalFormatting sqref="N33">
    <cfRule type="expression" dxfId="8502" priority="166">
      <formula>N33&gt;$AG33</formula>
    </cfRule>
  </conditionalFormatting>
  <conditionalFormatting sqref="N58:N61">
    <cfRule type="expression" dxfId="8501" priority="162">
      <formula>N$9&gt;=20/24</formula>
    </cfRule>
    <cfRule type="expression" dxfId="8500" priority="163">
      <formula>AND(N$9&gt;=14/24,N$9&lt;20/24)</formula>
    </cfRule>
    <cfRule type="expression" dxfId="8499" priority="164">
      <formula>AND(N$9&gt;=8/24,N$9&lt;14/24)</formula>
    </cfRule>
    <cfRule type="expression" dxfId="8498" priority="165">
      <formula>N$9&lt;8/24</formula>
    </cfRule>
  </conditionalFormatting>
  <conditionalFormatting sqref="N57">
    <cfRule type="expression" dxfId="8497" priority="158">
      <formula>N$9&gt;=20/24</formula>
    </cfRule>
    <cfRule type="expression" dxfId="8496" priority="159">
      <formula>AND(N$9&gt;=14/24,N$9&lt;20/24)</formula>
    </cfRule>
    <cfRule type="expression" dxfId="8495" priority="160">
      <formula>AND(N$9&gt;=8/24,N$9&lt;14/24)</formula>
    </cfRule>
    <cfRule type="expression" dxfId="8494" priority="161">
      <formula>N$9&lt;8/24</formula>
    </cfRule>
  </conditionalFormatting>
  <conditionalFormatting sqref="N62:N67">
    <cfRule type="expression" dxfId="8493" priority="154">
      <formula>N$9&gt;=20/24</formula>
    </cfRule>
    <cfRule type="expression" dxfId="8492" priority="155">
      <formula>AND(N$9&gt;=14/24,N$9&lt;20/24)</formula>
    </cfRule>
    <cfRule type="expression" dxfId="8491" priority="156">
      <formula>AND(N$9&gt;=8/24,N$9&lt;14/24)</formula>
    </cfRule>
    <cfRule type="expression" dxfId="8490" priority="157">
      <formula>N$9&lt;8/24</formula>
    </cfRule>
  </conditionalFormatting>
  <conditionalFormatting sqref="N84:N90">
    <cfRule type="expression" dxfId="8489" priority="150">
      <formula>N$9&gt;=20/24</formula>
    </cfRule>
    <cfRule type="expression" dxfId="8488" priority="151">
      <formula>AND(N$9&gt;=14/24,N$9&lt;20/24)</formula>
    </cfRule>
    <cfRule type="expression" dxfId="8487" priority="152">
      <formula>AND(N$9&gt;=8/24,N$9&lt;14/24)</formula>
    </cfRule>
    <cfRule type="expression" dxfId="8486" priority="153">
      <formula>N$9&lt;8/24</formula>
    </cfRule>
  </conditionalFormatting>
  <conditionalFormatting sqref="N95:N97">
    <cfRule type="expression" dxfId="8485" priority="146">
      <formula>N$9&gt;=20/24</formula>
    </cfRule>
    <cfRule type="expression" dxfId="8484" priority="147">
      <formula>AND(N$9&gt;=14/24,N$9&lt;20/24)</formula>
    </cfRule>
    <cfRule type="expression" dxfId="8483" priority="148">
      <formula>AND(N$9&gt;=8/24,N$9&lt;14/24)</formula>
    </cfRule>
    <cfRule type="expression" dxfId="8482" priority="149">
      <formula>N$9&lt;8/24</formula>
    </cfRule>
  </conditionalFormatting>
  <conditionalFormatting sqref="N98">
    <cfRule type="expression" dxfId="8481" priority="142">
      <formula>N$9&gt;=20/24</formula>
    </cfRule>
    <cfRule type="expression" dxfId="8480" priority="143">
      <formula>AND(N$9&gt;=14/24,N$9&lt;20/24)</formula>
    </cfRule>
    <cfRule type="expression" dxfId="8479" priority="144">
      <formula>AND(N$9&gt;=8/24,N$9&lt;14/24)</formula>
    </cfRule>
    <cfRule type="expression" dxfId="8478" priority="145">
      <formula>N$9&lt;8/24</formula>
    </cfRule>
  </conditionalFormatting>
  <conditionalFormatting sqref="N94">
    <cfRule type="expression" dxfId="8477" priority="138">
      <formula>N$9&gt;=20/24</formula>
    </cfRule>
    <cfRule type="expression" dxfId="8476" priority="139">
      <formula>AND(N$9&gt;=14/24,N$9&lt;20/24)</formula>
    </cfRule>
    <cfRule type="expression" dxfId="8475" priority="140">
      <formula>AND(N$9&gt;=8/24,N$9&lt;14/24)</formula>
    </cfRule>
    <cfRule type="expression" dxfId="8474" priority="141">
      <formula>N$9&lt;8/24</formula>
    </cfRule>
  </conditionalFormatting>
  <conditionalFormatting sqref="N99">
    <cfRule type="expression" dxfId="8473" priority="134">
      <formula>N$9&gt;=20/24</formula>
    </cfRule>
    <cfRule type="expression" dxfId="8472" priority="135">
      <formula>AND(N$9&gt;=14/24,N$9&lt;20/24)</formula>
    </cfRule>
    <cfRule type="expression" dxfId="8471" priority="136">
      <formula>AND(N$9&gt;=8/24,N$9&lt;14/24)</formula>
    </cfRule>
    <cfRule type="expression" dxfId="8470" priority="137">
      <formula>N$9&lt;8/24</formula>
    </cfRule>
  </conditionalFormatting>
  <conditionalFormatting sqref="O16:O32">
    <cfRule type="expression" dxfId="8469" priority="130">
      <formula>O$9&gt;=20/24</formula>
    </cfRule>
    <cfRule type="expression" dxfId="8468" priority="131">
      <formula>AND(O$9&gt;=14/24,O$9&lt;20/24)</formula>
    </cfRule>
    <cfRule type="expression" dxfId="8467" priority="132">
      <formula>AND(O$9&gt;=8/24,O$9&lt;14/24)</formula>
    </cfRule>
    <cfRule type="expression" dxfId="8466" priority="133">
      <formula>O$9&lt;8/24</formula>
    </cfRule>
  </conditionalFormatting>
  <conditionalFormatting sqref="O35">
    <cfRule type="expression" dxfId="8465" priority="126">
      <formula>O$9&gt;=20/24</formula>
    </cfRule>
    <cfRule type="expression" dxfId="8464" priority="127">
      <formula>AND(O$9&gt;=14/24,O$9&lt;20/24)</formula>
    </cfRule>
    <cfRule type="expression" dxfId="8463" priority="128">
      <formula>AND(O$9&gt;=8/24,O$9&lt;14/24)</formula>
    </cfRule>
    <cfRule type="expression" dxfId="8462" priority="129">
      <formula>O$9&lt;8/24</formula>
    </cfRule>
  </conditionalFormatting>
  <conditionalFormatting sqref="O16:O32 O34:O35">
    <cfRule type="expression" dxfId="8461" priority="125">
      <formula>O16&gt;$AG16</formula>
    </cfRule>
  </conditionalFormatting>
  <conditionalFormatting sqref="O34">
    <cfRule type="expression" dxfId="8460" priority="121">
      <formula>O$9&gt;=20/24</formula>
    </cfRule>
    <cfRule type="expression" dxfId="8459" priority="122">
      <formula>AND(O$9&gt;=14/24,O$9&lt;20/24)</formula>
    </cfRule>
    <cfRule type="expression" dxfId="8458" priority="123">
      <formula>AND(O$9&gt;=8/24,O$9&lt;14/24)</formula>
    </cfRule>
    <cfRule type="expression" dxfId="8457" priority="124">
      <formula>O$9&lt;8/24</formula>
    </cfRule>
  </conditionalFormatting>
  <conditionalFormatting sqref="O33">
    <cfRule type="expression" dxfId="8456" priority="117">
      <formula>O$9&gt;=20/24</formula>
    </cfRule>
    <cfRule type="expression" dxfId="8455" priority="118">
      <formula>AND(O$9&gt;=14/24,O$9&lt;20/24)</formula>
    </cfRule>
    <cfRule type="expression" dxfId="8454" priority="119">
      <formula>AND(O$9&gt;=8/24,O$9&lt;14/24)</formula>
    </cfRule>
    <cfRule type="expression" dxfId="8453" priority="120">
      <formula>O$9&lt;8/24</formula>
    </cfRule>
  </conditionalFormatting>
  <conditionalFormatting sqref="O33">
    <cfRule type="expression" dxfId="8452" priority="116">
      <formula>O33&gt;$AG33</formula>
    </cfRule>
  </conditionalFormatting>
  <conditionalFormatting sqref="P16:P32">
    <cfRule type="expression" dxfId="8451" priority="107">
      <formula>P$9&gt;=20/24</formula>
    </cfRule>
    <cfRule type="expression" dxfId="8450" priority="108">
      <formula>AND(P$9&gt;=14/24,P$9&lt;20/24)</formula>
    </cfRule>
    <cfRule type="expression" dxfId="8449" priority="109">
      <formula>AND(P$9&gt;=8/24,P$9&lt;14/24)</formula>
    </cfRule>
    <cfRule type="expression" dxfId="8448" priority="110">
      <formula>P$9&lt;8/24</formula>
    </cfRule>
  </conditionalFormatting>
  <conditionalFormatting sqref="P35">
    <cfRule type="expression" dxfId="8447" priority="103">
      <formula>P$9&gt;=20/24</formula>
    </cfRule>
    <cfRule type="expression" dxfId="8446" priority="104">
      <formula>AND(P$9&gt;=14/24,P$9&lt;20/24)</formula>
    </cfRule>
    <cfRule type="expression" dxfId="8445" priority="105">
      <formula>AND(P$9&gt;=8/24,P$9&lt;14/24)</formula>
    </cfRule>
    <cfRule type="expression" dxfId="8444" priority="106">
      <formula>P$9&lt;8/24</formula>
    </cfRule>
  </conditionalFormatting>
  <conditionalFormatting sqref="P16:P32 P34:P35">
    <cfRule type="expression" dxfId="8443" priority="102">
      <formula>P16&gt;$AG16</formula>
    </cfRule>
  </conditionalFormatting>
  <conditionalFormatting sqref="P34">
    <cfRule type="expression" dxfId="8442" priority="98">
      <formula>P$9&gt;=20/24</formula>
    </cfRule>
    <cfRule type="expression" dxfId="8441" priority="99">
      <formula>AND(P$9&gt;=14/24,P$9&lt;20/24)</formula>
    </cfRule>
    <cfRule type="expression" dxfId="8440" priority="100">
      <formula>AND(P$9&gt;=8/24,P$9&lt;14/24)</formula>
    </cfRule>
    <cfRule type="expression" dxfId="8439" priority="101">
      <formula>P$9&lt;8/24</formula>
    </cfRule>
  </conditionalFormatting>
  <conditionalFormatting sqref="P33">
    <cfRule type="expression" dxfId="8438" priority="94">
      <formula>P$9&gt;=20/24</formula>
    </cfRule>
    <cfRule type="expression" dxfId="8437" priority="95">
      <formula>AND(P$9&gt;=14/24,P$9&lt;20/24)</formula>
    </cfRule>
    <cfRule type="expression" dxfId="8436" priority="96">
      <formula>AND(P$9&gt;=8/24,P$9&lt;14/24)</formula>
    </cfRule>
    <cfRule type="expression" dxfId="8435" priority="97">
      <formula>P$9&lt;8/24</formula>
    </cfRule>
  </conditionalFormatting>
  <conditionalFormatting sqref="P33">
    <cfRule type="expression" dxfId="8434" priority="93">
      <formula>P33&gt;$AG33</formula>
    </cfRule>
  </conditionalFormatting>
  <conditionalFormatting sqref="Q12:Q14">
    <cfRule type="expression" dxfId="8433" priority="89">
      <formula>Q$9&gt;=20/24</formula>
    </cfRule>
    <cfRule type="expression" dxfId="8432" priority="90">
      <formula>AND(Q$9&gt;=14/24,Q$9&lt;20/24)</formula>
    </cfRule>
    <cfRule type="expression" dxfId="8431" priority="91">
      <formula>AND(Q$9&gt;=8/24,Q$9&lt;14/24)</formula>
    </cfRule>
    <cfRule type="expression" dxfId="8430" priority="92">
      <formula>Q$9&lt;8/24</formula>
    </cfRule>
  </conditionalFormatting>
  <conditionalFormatting sqref="Q12:Q14">
    <cfRule type="expression" dxfId="8429" priority="88">
      <formula>Q12&gt;$AG12</formula>
    </cfRule>
  </conditionalFormatting>
  <conditionalFormatting sqref="Q15">
    <cfRule type="expression" dxfId="8428" priority="84">
      <formula>Q$9&gt;=20/24</formula>
    </cfRule>
    <cfRule type="expression" dxfId="8427" priority="85">
      <formula>AND(Q$9&gt;=14/24,Q$9&lt;20/24)</formula>
    </cfRule>
    <cfRule type="expression" dxfId="8426" priority="86">
      <formula>AND(Q$9&gt;=8/24,Q$9&lt;14/24)</formula>
    </cfRule>
    <cfRule type="expression" dxfId="8425" priority="87">
      <formula>Q$9&lt;8/24</formula>
    </cfRule>
  </conditionalFormatting>
  <conditionalFormatting sqref="Q15">
    <cfRule type="expression" dxfId="8424" priority="83">
      <formula>Q15&gt;$AG15</formula>
    </cfRule>
  </conditionalFormatting>
  <conditionalFormatting sqref="Q16:Q32">
    <cfRule type="expression" dxfId="8423" priority="74">
      <formula>Q$9&gt;=20/24</formula>
    </cfRule>
    <cfRule type="expression" dxfId="8422" priority="75">
      <formula>AND(Q$9&gt;=14/24,Q$9&lt;20/24)</formula>
    </cfRule>
    <cfRule type="expression" dxfId="8421" priority="76">
      <formula>AND(Q$9&gt;=8/24,Q$9&lt;14/24)</formula>
    </cfRule>
    <cfRule type="expression" dxfId="8420" priority="77">
      <formula>Q$9&lt;8/24</formula>
    </cfRule>
  </conditionalFormatting>
  <conditionalFormatting sqref="Q35">
    <cfRule type="expression" dxfId="8419" priority="70">
      <formula>Q$9&gt;=20/24</formula>
    </cfRule>
    <cfRule type="expression" dxfId="8418" priority="71">
      <formula>AND(Q$9&gt;=14/24,Q$9&lt;20/24)</formula>
    </cfRule>
    <cfRule type="expression" dxfId="8417" priority="72">
      <formula>AND(Q$9&gt;=8/24,Q$9&lt;14/24)</formula>
    </cfRule>
    <cfRule type="expression" dxfId="8416" priority="73">
      <formula>Q$9&lt;8/24</formula>
    </cfRule>
  </conditionalFormatting>
  <conditionalFormatting sqref="Q16:Q32 Q34:Q35">
    <cfRule type="expression" dxfId="8415" priority="69">
      <formula>Q16&gt;$AG16</formula>
    </cfRule>
  </conditionalFormatting>
  <conditionalFormatting sqref="Q34">
    <cfRule type="expression" dxfId="8414" priority="65">
      <formula>Q$9&gt;=20/24</formula>
    </cfRule>
    <cfRule type="expression" dxfId="8413" priority="66">
      <formula>AND(Q$9&gt;=14/24,Q$9&lt;20/24)</formula>
    </cfRule>
    <cfRule type="expression" dxfId="8412" priority="67">
      <formula>AND(Q$9&gt;=8/24,Q$9&lt;14/24)</formula>
    </cfRule>
    <cfRule type="expression" dxfId="8411" priority="68">
      <formula>Q$9&lt;8/24</formula>
    </cfRule>
  </conditionalFormatting>
  <conditionalFormatting sqref="Q33">
    <cfRule type="expression" dxfId="8410" priority="61">
      <formula>Q$9&gt;=20/24</formula>
    </cfRule>
    <cfRule type="expression" dxfId="8409" priority="62">
      <formula>AND(Q$9&gt;=14/24,Q$9&lt;20/24)</formula>
    </cfRule>
    <cfRule type="expression" dxfId="8408" priority="63">
      <formula>AND(Q$9&gt;=8/24,Q$9&lt;14/24)</formula>
    </cfRule>
    <cfRule type="expression" dxfId="8407" priority="64">
      <formula>Q$9&lt;8/24</formula>
    </cfRule>
  </conditionalFormatting>
  <conditionalFormatting sqref="Q33">
    <cfRule type="expression" dxfId="8406" priority="60">
      <formula>Q33&gt;$AG33</formula>
    </cfRule>
  </conditionalFormatting>
  <conditionalFormatting sqref="R14:X14">
    <cfRule type="expression" dxfId="8405" priority="56">
      <formula>R$9&gt;=20/24</formula>
    </cfRule>
    <cfRule type="expression" dxfId="8404" priority="57">
      <formula>AND(R$9&gt;=14/24,R$9&lt;20/24)</formula>
    </cfRule>
    <cfRule type="expression" dxfId="8403" priority="58">
      <formula>AND(R$9&gt;=8/24,R$9&lt;14/24)</formula>
    </cfRule>
    <cfRule type="expression" dxfId="8402" priority="59">
      <formula>R$9&lt;8/24</formula>
    </cfRule>
  </conditionalFormatting>
  <conditionalFormatting sqref="R14:X14">
    <cfRule type="expression" dxfId="8401" priority="55">
      <formula>R14&gt;$AG14</formula>
    </cfRule>
  </conditionalFormatting>
  <conditionalFormatting sqref="R15:X15">
    <cfRule type="expression" dxfId="8400" priority="51">
      <formula>R$9&gt;=20/24</formula>
    </cfRule>
    <cfRule type="expression" dxfId="8399" priority="52">
      <formula>AND(R$9&gt;=14/24,R$9&lt;20/24)</formula>
    </cfRule>
    <cfRule type="expression" dxfId="8398" priority="53">
      <formula>AND(R$9&gt;=8/24,R$9&lt;14/24)</formula>
    </cfRule>
    <cfRule type="expression" dxfId="8397" priority="54">
      <formula>R$9&lt;8/24</formula>
    </cfRule>
  </conditionalFormatting>
  <conditionalFormatting sqref="R15:X15">
    <cfRule type="expression" dxfId="8396" priority="50">
      <formula>R15&gt;$AG15</formula>
    </cfRule>
  </conditionalFormatting>
  <conditionalFormatting sqref="R16:X32">
    <cfRule type="expression" dxfId="8395" priority="41">
      <formula>R$9&gt;=20/24</formula>
    </cfRule>
    <cfRule type="expression" dxfId="8394" priority="42">
      <formula>AND(R$9&gt;=14/24,R$9&lt;20/24)</formula>
    </cfRule>
    <cfRule type="expression" dxfId="8393" priority="43">
      <formula>AND(R$9&gt;=8/24,R$9&lt;14/24)</formula>
    </cfRule>
    <cfRule type="expression" dxfId="8392" priority="44">
      <formula>R$9&lt;8/24</formula>
    </cfRule>
  </conditionalFormatting>
  <conditionalFormatting sqref="R35:X35">
    <cfRule type="expression" dxfId="8391" priority="37">
      <formula>R$9&gt;=20/24</formula>
    </cfRule>
    <cfRule type="expression" dxfId="8390" priority="38">
      <formula>AND(R$9&gt;=14/24,R$9&lt;20/24)</formula>
    </cfRule>
    <cfRule type="expression" dxfId="8389" priority="39">
      <formula>AND(R$9&gt;=8/24,R$9&lt;14/24)</formula>
    </cfRule>
    <cfRule type="expression" dxfId="8388" priority="40">
      <formula>R$9&lt;8/24</formula>
    </cfRule>
  </conditionalFormatting>
  <conditionalFormatting sqref="R16:X32 R34:X35">
    <cfRule type="expression" dxfId="8387" priority="36">
      <formula>R16&gt;$AG16</formula>
    </cfRule>
  </conditionalFormatting>
  <conditionalFormatting sqref="R34:X34">
    <cfRule type="expression" dxfId="8386" priority="32">
      <formula>R$9&gt;=20/24</formula>
    </cfRule>
    <cfRule type="expression" dxfId="8385" priority="33">
      <formula>AND(R$9&gt;=14/24,R$9&lt;20/24)</formula>
    </cfRule>
    <cfRule type="expression" dxfId="8384" priority="34">
      <formula>AND(R$9&gt;=8/24,R$9&lt;14/24)</formula>
    </cfRule>
    <cfRule type="expression" dxfId="8383" priority="35">
      <formula>R$9&lt;8/24</formula>
    </cfRule>
  </conditionalFormatting>
  <conditionalFormatting sqref="R33:X33">
    <cfRule type="expression" dxfId="8382" priority="28">
      <formula>R$9&gt;=20/24</formula>
    </cfRule>
    <cfRule type="expression" dxfId="8381" priority="29">
      <formula>AND(R$9&gt;=14/24,R$9&lt;20/24)</formula>
    </cfRule>
    <cfRule type="expression" dxfId="8380" priority="30">
      <formula>AND(R$9&gt;=8/24,R$9&lt;14/24)</formula>
    </cfRule>
    <cfRule type="expression" dxfId="8379" priority="31">
      <formula>R$9&lt;8/24</formula>
    </cfRule>
  </conditionalFormatting>
  <conditionalFormatting sqref="R33:X33">
    <cfRule type="expression" dxfId="8378" priority="27">
      <formula>R33&gt;$AG33</formula>
    </cfRule>
  </conditionalFormatting>
  <conditionalFormatting sqref="AB16:AB31 AB12:AB14 AC23:AF31 AB36:AF36">
    <cfRule type="expression" dxfId="8377" priority="23">
      <formula>AB$9&gt;=20/24</formula>
    </cfRule>
    <cfRule type="expression" dxfId="8376" priority="24">
      <formula>AND(AB$9&gt;=14/24,AB$9&lt;20/24)</formula>
    </cfRule>
    <cfRule type="expression" dxfId="8375" priority="25">
      <formula>AND(AB$9&gt;=8/24,AB$9&lt;14/24)</formula>
    </cfRule>
    <cfRule type="expression" dxfId="8374" priority="26">
      <formula>AB$9&lt;8/24</formula>
    </cfRule>
  </conditionalFormatting>
  <conditionalFormatting sqref="AB32:AF32">
    <cfRule type="expression" dxfId="8373" priority="19">
      <formula>AB$9&gt;=20/24</formula>
    </cfRule>
    <cfRule type="expression" dxfId="8372" priority="20">
      <formula>AND(AB$9&gt;=14/24,AB$9&lt;20/24)</formula>
    </cfRule>
    <cfRule type="expression" dxfId="8371" priority="21">
      <formula>AND(AB$9&gt;=8/24,AB$9&lt;14/24)</formula>
    </cfRule>
    <cfRule type="expression" dxfId="8370" priority="22">
      <formula>AB$9&lt;8/24</formula>
    </cfRule>
  </conditionalFormatting>
  <conditionalFormatting sqref="AB35:AF35">
    <cfRule type="expression" dxfId="8369" priority="15">
      <formula>AB$9&gt;=20/24</formula>
    </cfRule>
    <cfRule type="expression" dxfId="8368" priority="16">
      <formula>AND(AB$9&gt;=14/24,AB$9&lt;20/24)</formula>
    </cfRule>
    <cfRule type="expression" dxfId="8367" priority="17">
      <formula>AND(AB$9&gt;=8/24,AB$9&lt;14/24)</formula>
    </cfRule>
    <cfRule type="expression" dxfId="8366" priority="18">
      <formula>AB$9&lt;8/24</formula>
    </cfRule>
  </conditionalFormatting>
  <conditionalFormatting sqref="AB12:AB32 AC23:AF32 AB34:AF36">
    <cfRule type="expression" dxfId="8365" priority="14">
      <formula>AB12&gt;$AG12</formula>
    </cfRule>
  </conditionalFormatting>
  <conditionalFormatting sqref="AB34:AF34">
    <cfRule type="expression" dxfId="8364" priority="10">
      <formula>AB$9&gt;=20/24</formula>
    </cfRule>
    <cfRule type="expression" dxfId="8363" priority="11">
      <formula>AND(AB$9&gt;=14/24,AB$9&lt;20/24)</formula>
    </cfRule>
    <cfRule type="expression" dxfId="8362" priority="12">
      <formula>AND(AB$9&gt;=8/24,AB$9&lt;14/24)</formula>
    </cfRule>
    <cfRule type="expression" dxfId="8361" priority="13">
      <formula>AB$9&lt;8/24</formula>
    </cfRule>
  </conditionalFormatting>
  <conditionalFormatting sqref="AB15">
    <cfRule type="expression" dxfId="8360" priority="6">
      <formula>AB$9&gt;=20/24</formula>
    </cfRule>
    <cfRule type="expression" dxfId="8359" priority="7">
      <formula>AND(AB$9&gt;=14/24,AB$9&lt;20/24)</formula>
    </cfRule>
    <cfRule type="expression" dxfId="8358" priority="8">
      <formula>AND(AB$9&gt;=8/24,AB$9&lt;14/24)</formula>
    </cfRule>
    <cfRule type="expression" dxfId="8357" priority="9">
      <formula>AB$9&lt;8/24</formula>
    </cfRule>
  </conditionalFormatting>
  <conditionalFormatting sqref="AB33:AF33">
    <cfRule type="expression" dxfId="8356" priority="2">
      <formula>AB$9&gt;=20/24</formula>
    </cfRule>
    <cfRule type="expression" dxfId="8355" priority="3">
      <formula>AND(AB$9&gt;=14/24,AB$9&lt;20/24)</formula>
    </cfRule>
    <cfRule type="expression" dxfId="8354" priority="4">
      <formula>AND(AB$9&gt;=8/24,AB$9&lt;14/24)</formula>
    </cfRule>
    <cfRule type="expression" dxfId="8353" priority="5">
      <formula>AB$9&lt;8/24</formula>
    </cfRule>
  </conditionalFormatting>
  <conditionalFormatting sqref="AB33:AF33">
    <cfRule type="expression" dxfId="8352" priority="1">
      <formula>AB33&gt;$AG33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2" id="{407360A3-3C9E-4C13-9D20-FD941D3072C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R103" sqref="R10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8.285156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2078/10/12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359.90000000000003</v>
      </c>
      <c r="C5" s="32">
        <f t="shared" si="0"/>
        <v>339.5</v>
      </c>
      <c r="D5" s="32">
        <f t="shared" si="0"/>
        <v>350</v>
      </c>
      <c r="E5" s="32">
        <f t="shared" si="0"/>
        <v>312</v>
      </c>
      <c r="F5" s="32">
        <f t="shared" si="0"/>
        <v>332</v>
      </c>
      <c r="G5" s="32">
        <f t="shared" si="0"/>
        <v>391</v>
      </c>
      <c r="H5" s="32">
        <f t="shared" si="0"/>
        <v>438</v>
      </c>
      <c r="I5" s="32">
        <f t="shared" si="0"/>
        <v>525</v>
      </c>
      <c r="J5" s="32">
        <f t="shared" si="0"/>
        <v>534</v>
      </c>
      <c r="K5" s="32">
        <f t="shared" si="0"/>
        <v>539</v>
      </c>
      <c r="L5" s="32">
        <f t="shared" si="0"/>
        <v>303.39999999999998</v>
      </c>
      <c r="M5" s="32">
        <f t="shared" si="0"/>
        <v>316.3</v>
      </c>
      <c r="N5" s="32">
        <f t="shared" si="0"/>
        <v>511.7</v>
      </c>
      <c r="O5" s="32">
        <f t="shared" si="0"/>
        <v>546.9</v>
      </c>
      <c r="P5" s="32">
        <f t="shared" si="0"/>
        <v>533.6</v>
      </c>
      <c r="Q5" s="32">
        <f t="shared" si="0"/>
        <v>516.80000000000007</v>
      </c>
      <c r="R5" s="32">
        <f t="shared" si="0"/>
        <v>543.9</v>
      </c>
      <c r="S5" s="32">
        <f t="shared" si="0"/>
        <v>546.70000000000005</v>
      </c>
      <c r="T5" s="32">
        <f t="shared" si="0"/>
        <v>522.29999999999995</v>
      </c>
      <c r="U5" s="32">
        <f t="shared" si="0"/>
        <v>359.6</v>
      </c>
      <c r="V5" s="32">
        <f t="shared" si="0"/>
        <v>371.5</v>
      </c>
      <c r="W5" s="32">
        <f t="shared" si="0"/>
        <v>320.39999999999998</v>
      </c>
      <c r="X5" s="32">
        <f t="shared" si="0"/>
        <v>343.09999999999997</v>
      </c>
      <c r="Y5" s="32">
        <f t="shared" si="0"/>
        <v>328.5</v>
      </c>
      <c r="Z5" s="32">
        <f t="shared" si="0"/>
        <v>363.5</v>
      </c>
      <c r="AA5" s="32">
        <f t="shared" si="0"/>
        <v>440.8</v>
      </c>
      <c r="AB5" s="32">
        <f t="shared" si="0"/>
        <v>448.09999999999997</v>
      </c>
      <c r="AC5" s="32">
        <f t="shared" si="0"/>
        <v>436.09999999999997</v>
      </c>
      <c r="AD5" s="32">
        <f t="shared" si="0"/>
        <v>470.79999999999995</v>
      </c>
      <c r="AE5" s="32">
        <f t="shared" si="0"/>
        <v>400.1</v>
      </c>
      <c r="AF5" s="32">
        <f>B68</f>
        <v>373.5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Load=884</v>
      </c>
      <c r="B7" s="37">
        <f>B75</f>
        <v>921.94</v>
      </c>
      <c r="C7" s="37">
        <f t="shared" ref="C7:AF7" si="1">C75</f>
        <v>908.54</v>
      </c>
      <c r="D7" s="37">
        <f t="shared" si="1"/>
        <v>886.24</v>
      </c>
      <c r="E7" s="37">
        <f t="shared" si="1"/>
        <v>898.24</v>
      </c>
      <c r="F7" s="37">
        <f t="shared" si="1"/>
        <v>883.54</v>
      </c>
      <c r="G7" s="37">
        <f t="shared" si="1"/>
        <v>903.24</v>
      </c>
      <c r="H7" s="37">
        <f t="shared" si="1"/>
        <v>999.54</v>
      </c>
      <c r="I7" s="37">
        <f t="shared" si="1"/>
        <v>1062.04</v>
      </c>
      <c r="J7" s="37">
        <f t="shared" si="1"/>
        <v>1173.04</v>
      </c>
      <c r="K7" s="37">
        <f t="shared" si="1"/>
        <v>1270.6399999999999</v>
      </c>
      <c r="L7" s="37">
        <f t="shared" si="1"/>
        <v>1424.44</v>
      </c>
      <c r="M7" s="37">
        <f t="shared" si="1"/>
        <v>1502.94</v>
      </c>
      <c r="N7" s="37">
        <f t="shared" si="1"/>
        <v>1517.14</v>
      </c>
      <c r="O7" s="37">
        <f t="shared" si="1"/>
        <v>1489.14</v>
      </c>
      <c r="P7" s="37">
        <f t="shared" si="1"/>
        <v>1501.44</v>
      </c>
      <c r="Q7" s="37">
        <f t="shared" si="1"/>
        <v>1425.54</v>
      </c>
      <c r="R7" s="37">
        <f t="shared" si="1"/>
        <v>1328.6399999999999</v>
      </c>
      <c r="S7" s="37">
        <f t="shared" si="1"/>
        <v>1345.3399999999997</v>
      </c>
      <c r="T7" s="37">
        <f t="shared" si="1"/>
        <v>1350.44</v>
      </c>
      <c r="U7" s="37">
        <f t="shared" si="1"/>
        <v>1312.84</v>
      </c>
      <c r="V7" s="37">
        <f t="shared" si="1"/>
        <v>1350.3400000000001</v>
      </c>
      <c r="W7" s="37">
        <f t="shared" si="1"/>
        <v>1486.64</v>
      </c>
      <c r="X7" s="37">
        <f t="shared" si="1"/>
        <v>1604.14</v>
      </c>
      <c r="Y7" s="37">
        <f t="shared" si="1"/>
        <v>1648.3400000000001</v>
      </c>
      <c r="Z7" s="37">
        <f t="shared" si="1"/>
        <v>1624.1400000000003</v>
      </c>
      <c r="AA7" s="37">
        <f t="shared" si="1"/>
        <v>1569.8400000000001</v>
      </c>
      <c r="AB7" s="37">
        <f t="shared" si="1"/>
        <v>1507.6399999999999</v>
      </c>
      <c r="AC7" s="37">
        <f t="shared" si="1"/>
        <v>1470.8400000000001</v>
      </c>
      <c r="AD7" s="37">
        <f t="shared" si="1"/>
        <v>1394.54</v>
      </c>
      <c r="AE7" s="37">
        <f t="shared" si="1"/>
        <v>1154.74</v>
      </c>
      <c r="AF7" s="37">
        <f t="shared" si="1"/>
        <v>1031.54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20</v>
      </c>
      <c r="D11" s="49">
        <v>20</v>
      </c>
      <c r="E11" s="49">
        <v>20</v>
      </c>
      <c r="F11" s="49">
        <v>12</v>
      </c>
      <c r="G11" s="49">
        <v>12</v>
      </c>
      <c r="H11" s="49">
        <v>20</v>
      </c>
      <c r="I11" s="49">
        <v>13</v>
      </c>
      <c r="J11" s="49">
        <v>25</v>
      </c>
      <c r="K11" s="49">
        <v>25</v>
      </c>
      <c r="L11" s="49">
        <v>60</v>
      </c>
      <c r="M11" s="50">
        <v>300</v>
      </c>
      <c r="N11" s="50">
        <v>310</v>
      </c>
      <c r="O11" s="50">
        <v>120</v>
      </c>
      <c r="P11" s="50">
        <v>105</v>
      </c>
      <c r="Q11" s="50">
        <v>70</v>
      </c>
      <c r="R11" s="177">
        <v>60</v>
      </c>
      <c r="S11" s="50">
        <v>75</v>
      </c>
      <c r="T11" s="50">
        <v>75</v>
      </c>
      <c r="U11" s="50">
        <v>75</v>
      </c>
      <c r="V11" s="50">
        <v>200</v>
      </c>
      <c r="W11" s="50">
        <v>250</v>
      </c>
      <c r="X11" s="50">
        <v>386</v>
      </c>
      <c r="Y11" s="50">
        <v>380.2</v>
      </c>
      <c r="Z11" s="50">
        <v>375.8</v>
      </c>
      <c r="AA11" s="50">
        <v>285</v>
      </c>
      <c r="AB11" s="50">
        <v>150</v>
      </c>
      <c r="AC11" s="50">
        <v>150</v>
      </c>
      <c r="AD11" s="50">
        <v>150</v>
      </c>
      <c r="AE11" s="50">
        <v>20</v>
      </c>
      <c r="AF11" s="50">
        <v>20</v>
      </c>
      <c r="AG11" s="52">
        <v>456</v>
      </c>
      <c r="AH11" s="53">
        <f>MAX(B11:AF11)</f>
        <v>386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0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38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21.4</v>
      </c>
      <c r="C13" s="49">
        <v>21.4</v>
      </c>
      <c r="D13" s="49">
        <v>21.4</v>
      </c>
      <c r="E13" s="49">
        <v>21.4</v>
      </c>
      <c r="F13" s="49">
        <v>21.4</v>
      </c>
      <c r="G13" s="49">
        <v>21.4</v>
      </c>
      <c r="H13" s="49">
        <v>21.4</v>
      </c>
      <c r="I13" s="49">
        <v>21.4</v>
      </c>
      <c r="J13" s="49">
        <v>21.4</v>
      </c>
      <c r="K13" s="49">
        <v>21.4</v>
      </c>
      <c r="L13" s="49">
        <v>21.4</v>
      </c>
      <c r="M13" s="49">
        <v>21.4</v>
      </c>
      <c r="N13" s="49">
        <v>21.4</v>
      </c>
      <c r="O13" s="49">
        <v>21.4</v>
      </c>
      <c r="P13" s="49">
        <v>18.3</v>
      </c>
      <c r="Q13" s="49">
        <v>22.3</v>
      </c>
      <c r="R13" s="49">
        <v>20.9</v>
      </c>
      <c r="S13" s="57">
        <v>20.9</v>
      </c>
      <c r="T13" s="57">
        <v>20.9</v>
      </c>
      <c r="U13" s="57">
        <v>20.9</v>
      </c>
      <c r="V13" s="57">
        <v>20.9</v>
      </c>
      <c r="W13" s="57">
        <v>20.9</v>
      </c>
      <c r="X13" s="57">
        <v>20.9</v>
      </c>
      <c r="Y13" s="57">
        <v>20.5</v>
      </c>
      <c r="Z13" s="57">
        <v>20.5</v>
      </c>
      <c r="AA13" s="50">
        <v>22.6</v>
      </c>
      <c r="AB13" s="50">
        <v>22.6</v>
      </c>
      <c r="AC13" s="50">
        <v>22.6</v>
      </c>
      <c r="AD13" s="50">
        <v>22.6</v>
      </c>
      <c r="AE13" s="50">
        <v>22.6</v>
      </c>
      <c r="AF13" s="50">
        <v>22.6</v>
      </c>
      <c r="AG13" s="58">
        <v>52.4</v>
      </c>
      <c r="AH13" s="53">
        <f t="shared" si="2"/>
        <v>22.6</v>
      </c>
      <c r="AI13" s="54">
        <f t="shared" si="3"/>
        <v>18.3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39.9</v>
      </c>
      <c r="C14" s="49">
        <v>39.9</v>
      </c>
      <c r="D14" s="49">
        <v>39.9</v>
      </c>
      <c r="E14" s="49">
        <v>39.9</v>
      </c>
      <c r="F14" s="49">
        <v>40.1</v>
      </c>
      <c r="G14" s="49">
        <v>39.9</v>
      </c>
      <c r="H14" s="49">
        <v>39.9</v>
      </c>
      <c r="I14" s="49">
        <v>39.9</v>
      </c>
      <c r="J14" s="49">
        <v>39.9</v>
      </c>
      <c r="K14" s="49">
        <v>39.9</v>
      </c>
      <c r="L14" s="49">
        <v>39.9</v>
      </c>
      <c r="M14" s="50">
        <v>38.5</v>
      </c>
      <c r="N14" s="50">
        <v>38.5</v>
      </c>
      <c r="O14" s="50">
        <v>38.6</v>
      </c>
      <c r="P14" s="50">
        <v>38.299999999999997</v>
      </c>
      <c r="Q14" s="50">
        <v>39.1</v>
      </c>
      <c r="R14" s="50">
        <v>37.9</v>
      </c>
      <c r="S14" s="59">
        <v>37.4</v>
      </c>
      <c r="T14" s="59">
        <v>37.4</v>
      </c>
      <c r="U14" s="59">
        <v>38.5</v>
      </c>
      <c r="V14" s="59">
        <v>38.5</v>
      </c>
      <c r="W14" s="59">
        <v>40</v>
      </c>
      <c r="X14" s="59">
        <v>38.9</v>
      </c>
      <c r="Y14" s="59">
        <v>40.200000000000003</v>
      </c>
      <c r="Z14" s="59">
        <v>40.200000000000003</v>
      </c>
      <c r="AA14" s="50">
        <v>39</v>
      </c>
      <c r="AB14" s="50">
        <v>39</v>
      </c>
      <c r="AC14" s="50">
        <v>39</v>
      </c>
      <c r="AD14" s="50">
        <v>39</v>
      </c>
      <c r="AE14" s="50">
        <v>39</v>
      </c>
      <c r="AF14" s="50">
        <v>39</v>
      </c>
      <c r="AG14" s="58">
        <v>50</v>
      </c>
      <c r="AH14" s="53">
        <f t="shared" si="2"/>
        <v>40.200000000000003</v>
      </c>
      <c r="AI14" s="54">
        <f t="shared" si="3"/>
        <v>37.4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22.6</v>
      </c>
      <c r="C15" s="60">
        <v>22.6</v>
      </c>
      <c r="D15" s="60">
        <v>22.6</v>
      </c>
      <c r="E15" s="60">
        <v>22.6</v>
      </c>
      <c r="F15" s="60">
        <v>22.6</v>
      </c>
      <c r="G15" s="60">
        <v>22.6</v>
      </c>
      <c r="H15" s="60">
        <v>22.6</v>
      </c>
      <c r="I15" s="60">
        <v>22.6</v>
      </c>
      <c r="J15" s="60">
        <v>22.6</v>
      </c>
      <c r="K15" s="60">
        <v>22.6</v>
      </c>
      <c r="L15" s="60">
        <v>22.6</v>
      </c>
      <c r="M15" s="50">
        <v>21.1</v>
      </c>
      <c r="N15" s="50">
        <v>21</v>
      </c>
      <c r="O15" s="50">
        <v>21</v>
      </c>
      <c r="P15" s="50">
        <v>21</v>
      </c>
      <c r="Q15" s="50">
        <v>21</v>
      </c>
      <c r="R15" s="50">
        <v>21.1</v>
      </c>
      <c r="S15" s="59">
        <v>21.1</v>
      </c>
      <c r="T15" s="59">
        <v>21.1</v>
      </c>
      <c r="U15" s="59">
        <v>21.1</v>
      </c>
      <c r="V15" s="59">
        <v>21.1</v>
      </c>
      <c r="W15" s="59">
        <v>21.1</v>
      </c>
      <c r="X15" s="59">
        <v>21.1</v>
      </c>
      <c r="Y15" s="59">
        <v>23</v>
      </c>
      <c r="Z15" s="59">
        <v>23</v>
      </c>
      <c r="AA15" s="59">
        <v>23</v>
      </c>
      <c r="AB15" s="59">
        <v>23</v>
      </c>
      <c r="AC15" s="59">
        <v>23</v>
      </c>
      <c r="AD15" s="59">
        <v>23</v>
      </c>
      <c r="AE15" s="59">
        <v>23</v>
      </c>
      <c r="AF15" s="59">
        <v>23</v>
      </c>
      <c r="AG15" s="61">
        <v>45</v>
      </c>
      <c r="AH15" s="53">
        <f t="shared" si="2"/>
        <v>23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49">
        <v>10</v>
      </c>
      <c r="N16" s="49">
        <v>10</v>
      </c>
      <c r="O16" s="49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49">
        <v>9</v>
      </c>
      <c r="N17" s="49">
        <v>9</v>
      </c>
      <c r="O17" s="49">
        <v>9</v>
      </c>
      <c r="P17" s="49">
        <v>9</v>
      </c>
      <c r="Q17" s="49">
        <v>9</v>
      </c>
      <c r="R17" s="4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49">
        <v>8.1</v>
      </c>
      <c r="N18" s="49">
        <v>8.1</v>
      </c>
      <c r="O18" s="49">
        <v>8.1</v>
      </c>
      <c r="P18" s="49">
        <v>8.1</v>
      </c>
      <c r="Q18" s="49">
        <v>8.1</v>
      </c>
      <c r="R18" s="49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9.8000000000000007</v>
      </c>
      <c r="C19" s="49">
        <v>9.8000000000000007</v>
      </c>
      <c r="D19" s="49">
        <v>9.8000000000000007</v>
      </c>
      <c r="E19" s="49">
        <v>9.8000000000000007</v>
      </c>
      <c r="F19" s="49">
        <v>9.8000000000000007</v>
      </c>
      <c r="G19" s="49">
        <v>9.8000000000000007</v>
      </c>
      <c r="H19" s="49">
        <v>9.8000000000000007</v>
      </c>
      <c r="I19" s="49">
        <v>9.8000000000000007</v>
      </c>
      <c r="J19" s="49">
        <v>9.8000000000000007</v>
      </c>
      <c r="K19" s="49">
        <v>9.8000000000000007</v>
      </c>
      <c r="L19" s="49">
        <v>9.8000000000000007</v>
      </c>
      <c r="M19" s="49">
        <v>9.8000000000000007</v>
      </c>
      <c r="N19" s="49">
        <v>9.8000000000000007</v>
      </c>
      <c r="O19" s="49">
        <v>9.8000000000000007</v>
      </c>
      <c r="P19" s="49">
        <v>9.8000000000000007</v>
      </c>
      <c r="Q19" s="49">
        <v>9.8000000000000007</v>
      </c>
      <c r="R19" s="49">
        <v>9.8000000000000007</v>
      </c>
      <c r="S19" s="50">
        <v>9.8000000000000007</v>
      </c>
      <c r="T19" s="50">
        <v>10.3</v>
      </c>
      <c r="U19" s="50">
        <v>10.3</v>
      </c>
      <c r="V19" s="50">
        <v>10.3</v>
      </c>
      <c r="W19" s="50">
        <v>10.8</v>
      </c>
      <c r="X19" s="50">
        <v>10.8</v>
      </c>
      <c r="Y19" s="50">
        <v>10.8</v>
      </c>
      <c r="Z19" s="50">
        <v>10.8</v>
      </c>
      <c r="AA19" s="50">
        <v>10.8</v>
      </c>
      <c r="AB19" s="50">
        <v>10.8</v>
      </c>
      <c r="AC19" s="50">
        <v>10.8</v>
      </c>
      <c r="AD19" s="50">
        <v>10.8</v>
      </c>
      <c r="AE19" s="50">
        <v>10.8</v>
      </c>
      <c r="AF19" s="50">
        <v>10.8</v>
      </c>
      <c r="AG19" s="58">
        <v>30</v>
      </c>
      <c r="AH19" s="53">
        <f t="shared" si="2"/>
        <v>10.8</v>
      </c>
      <c r="AI19" s="54">
        <f t="shared" si="3"/>
        <v>9.8000000000000007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11.2</v>
      </c>
      <c r="C22" s="49">
        <v>11.2</v>
      </c>
      <c r="D22" s="49">
        <v>11.2</v>
      </c>
      <c r="E22" s="49">
        <v>11.2</v>
      </c>
      <c r="F22" s="49">
        <v>11.2</v>
      </c>
      <c r="G22" s="49">
        <v>11.2</v>
      </c>
      <c r="H22" s="49">
        <v>11.2</v>
      </c>
      <c r="I22" s="49">
        <v>11.2</v>
      </c>
      <c r="J22" s="49">
        <v>11.2</v>
      </c>
      <c r="K22" s="49">
        <v>11.2</v>
      </c>
      <c r="L22" s="49">
        <v>11.2</v>
      </c>
      <c r="M22" s="49">
        <v>11.2</v>
      </c>
      <c r="N22" s="49">
        <v>11.2</v>
      </c>
      <c r="O22" s="49">
        <v>11.2</v>
      </c>
      <c r="P22" s="49">
        <v>11.2</v>
      </c>
      <c r="Q22" s="49">
        <v>11.2</v>
      </c>
      <c r="R22" s="49">
        <v>11.2</v>
      </c>
      <c r="S22" s="50">
        <v>11.2</v>
      </c>
      <c r="T22" s="50">
        <v>11.2</v>
      </c>
      <c r="U22" s="50">
        <v>11.1</v>
      </c>
      <c r="V22" s="50">
        <v>11.1</v>
      </c>
      <c r="W22" s="50">
        <v>11.1</v>
      </c>
      <c r="X22" s="50">
        <v>11.1</v>
      </c>
      <c r="Y22" s="50">
        <v>18.7</v>
      </c>
      <c r="Z22" s="50">
        <v>18.7</v>
      </c>
      <c r="AA22" s="50">
        <v>18.7</v>
      </c>
      <c r="AB22" s="50">
        <v>18.7</v>
      </c>
      <c r="AC22" s="50">
        <v>18.7</v>
      </c>
      <c r="AD22" s="50">
        <v>18.7</v>
      </c>
      <c r="AE22" s="50">
        <v>18.7</v>
      </c>
      <c r="AF22" s="50">
        <v>18.7</v>
      </c>
      <c r="AG22" s="58">
        <v>25</v>
      </c>
      <c r="AH22" s="53">
        <f t="shared" si="2"/>
        <v>18.7</v>
      </c>
      <c r="AI22" s="54">
        <f t="shared" si="3"/>
        <v>11.1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49">
        <v>8</v>
      </c>
      <c r="N23" s="49">
        <v>8</v>
      </c>
      <c r="O23" s="49">
        <v>8</v>
      </c>
      <c r="P23" s="49">
        <v>8</v>
      </c>
      <c r="Q23" s="49">
        <v>8</v>
      </c>
      <c r="R23" s="49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11</v>
      </c>
      <c r="C24" s="49">
        <v>11</v>
      </c>
      <c r="D24" s="49">
        <v>11</v>
      </c>
      <c r="E24" s="49">
        <v>11</v>
      </c>
      <c r="F24" s="49">
        <v>11</v>
      </c>
      <c r="G24" s="49">
        <v>11</v>
      </c>
      <c r="H24" s="49">
        <v>11</v>
      </c>
      <c r="I24" s="49">
        <v>11</v>
      </c>
      <c r="J24" s="49">
        <v>11</v>
      </c>
      <c r="K24" s="49">
        <v>11</v>
      </c>
      <c r="L24" s="49">
        <v>11</v>
      </c>
      <c r="M24" s="49">
        <v>11</v>
      </c>
      <c r="N24" s="49">
        <v>11</v>
      </c>
      <c r="O24" s="49">
        <v>11</v>
      </c>
      <c r="P24" s="49">
        <v>11</v>
      </c>
      <c r="Q24" s="49">
        <v>11</v>
      </c>
      <c r="R24" s="49">
        <v>11</v>
      </c>
      <c r="S24" s="50">
        <v>11</v>
      </c>
      <c r="T24" s="50">
        <v>9</v>
      </c>
      <c r="U24" s="50">
        <v>9</v>
      </c>
      <c r="V24" s="50">
        <v>9</v>
      </c>
      <c r="W24" s="50">
        <v>11</v>
      </c>
      <c r="X24" s="50">
        <v>11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8">
        <v>25</v>
      </c>
      <c r="AH24" s="53">
        <f t="shared" si="2"/>
        <v>12</v>
      </c>
      <c r="AI24" s="54">
        <f t="shared" si="3"/>
        <v>9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49">
        <v>6.5</v>
      </c>
      <c r="N26" s="49">
        <v>6.5</v>
      </c>
      <c r="O26" s="49">
        <v>6.5</v>
      </c>
      <c r="P26" s="49">
        <v>6.5</v>
      </c>
      <c r="Q26" s="49">
        <v>6.5</v>
      </c>
      <c r="R26" s="49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49">
        <v>4</v>
      </c>
      <c r="N29" s="49">
        <v>4</v>
      </c>
      <c r="O29" s="49">
        <v>4</v>
      </c>
      <c r="P29" s="49">
        <v>4</v>
      </c>
      <c r="Q29" s="49">
        <v>4</v>
      </c>
      <c r="R29" s="49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60">
        <v>6</v>
      </c>
      <c r="N31" s="60">
        <v>6</v>
      </c>
      <c r="O31" s="60">
        <v>6</v>
      </c>
      <c r="P31" s="60">
        <v>6</v>
      </c>
      <c r="Q31" s="60">
        <v>6</v>
      </c>
      <c r="R31" s="6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60">
        <v>5</v>
      </c>
      <c r="N33" s="60">
        <v>5</v>
      </c>
      <c r="O33" s="60">
        <v>5</v>
      </c>
      <c r="P33" s="60">
        <v>5</v>
      </c>
      <c r="Q33" s="60">
        <v>5</v>
      </c>
      <c r="R33" s="6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60">
        <v>4.2</v>
      </c>
      <c r="N34" s="60">
        <v>4.2</v>
      </c>
      <c r="O34" s="60">
        <v>4.2</v>
      </c>
      <c r="P34" s="60">
        <v>4.2</v>
      </c>
      <c r="Q34" s="60">
        <v>4.2</v>
      </c>
      <c r="R34" s="6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150</v>
      </c>
      <c r="C36" s="60">
        <v>150</v>
      </c>
      <c r="D36" s="60">
        <v>150</v>
      </c>
      <c r="E36" s="60">
        <v>150</v>
      </c>
      <c r="F36" s="60">
        <v>150</v>
      </c>
      <c r="G36" s="60">
        <v>150</v>
      </c>
      <c r="H36" s="60">
        <v>150</v>
      </c>
      <c r="I36" s="60">
        <v>150</v>
      </c>
      <c r="J36" s="60">
        <v>150</v>
      </c>
      <c r="K36" s="60">
        <v>150</v>
      </c>
      <c r="L36" s="60">
        <v>150</v>
      </c>
      <c r="M36" s="60">
        <v>150</v>
      </c>
      <c r="N36" s="60">
        <v>150</v>
      </c>
      <c r="O36" s="60">
        <v>150</v>
      </c>
      <c r="P36" s="60">
        <v>150</v>
      </c>
      <c r="Q36" s="60">
        <v>150</v>
      </c>
      <c r="R36" s="60">
        <v>150</v>
      </c>
      <c r="S36" s="60">
        <v>150</v>
      </c>
      <c r="T36" s="60">
        <v>150</v>
      </c>
      <c r="U36" s="60">
        <v>150</v>
      </c>
      <c r="V36" s="60">
        <v>150</v>
      </c>
      <c r="W36" s="60">
        <v>150</v>
      </c>
      <c r="X36" s="60">
        <v>150</v>
      </c>
      <c r="Y36" s="60">
        <v>150</v>
      </c>
      <c r="Z36" s="60">
        <v>150</v>
      </c>
      <c r="AA36" s="60">
        <v>150</v>
      </c>
      <c r="AB36" s="60">
        <v>150</v>
      </c>
      <c r="AC36" s="60">
        <v>150</v>
      </c>
      <c r="AD36" s="60">
        <v>150</v>
      </c>
      <c r="AE36" s="60">
        <v>150</v>
      </c>
      <c r="AF36" s="60">
        <v>150</v>
      </c>
      <c r="AG36" s="66">
        <v>85</v>
      </c>
      <c r="AH36" s="53">
        <f t="shared" si="2"/>
        <v>150</v>
      </c>
      <c r="AI36" s="54">
        <f t="shared" si="3"/>
        <v>150</v>
      </c>
      <c r="AK36" s="55"/>
    </row>
    <row r="37" spans="1:88" ht="15.75" thickBot="1" x14ac:dyDescent="0.3">
      <c r="A37" s="68" t="s">
        <v>45</v>
      </c>
      <c r="B37" s="60">
        <f>18+31.2</f>
        <v>49.2</v>
      </c>
      <c r="C37" s="60">
        <f>18.6+33.8</f>
        <v>52.4</v>
      </c>
      <c r="D37" s="60">
        <f>18.6+33.6</f>
        <v>52.2</v>
      </c>
      <c r="E37" s="60">
        <v>50.5</v>
      </c>
      <c r="F37" s="60">
        <v>50.5</v>
      </c>
      <c r="G37" s="60">
        <v>52</v>
      </c>
      <c r="H37" s="60">
        <v>52</v>
      </c>
      <c r="I37" s="60">
        <v>52</v>
      </c>
      <c r="J37" s="60">
        <v>52</v>
      </c>
      <c r="K37" s="60">
        <v>49</v>
      </c>
      <c r="L37" s="60">
        <v>49</v>
      </c>
      <c r="M37" s="69">
        <f>31.4+16.6</f>
        <v>48</v>
      </c>
      <c r="N37" s="69">
        <f>33+16.8</f>
        <v>49.8</v>
      </c>
      <c r="O37" s="69">
        <f>31.9+16.7</f>
        <v>48.599999999999994</v>
      </c>
      <c r="P37" s="69">
        <f>30.6+15.6</f>
        <v>46.2</v>
      </c>
      <c r="Q37" s="69">
        <f>30.9+17.4</f>
        <v>48.3</v>
      </c>
      <c r="R37" s="69">
        <f>30.6+16.8</f>
        <v>47.400000000000006</v>
      </c>
      <c r="S37" s="69">
        <f>29.2+15.2</f>
        <v>44.4</v>
      </c>
      <c r="T37" s="69">
        <v>48</v>
      </c>
      <c r="U37" s="69">
        <v>47.5</v>
      </c>
      <c r="V37" s="69">
        <v>48.1</v>
      </c>
      <c r="W37" s="69">
        <v>47</v>
      </c>
      <c r="X37" s="69">
        <v>44</v>
      </c>
      <c r="Y37" s="69">
        <v>44</v>
      </c>
      <c r="Z37" s="69">
        <v>42</v>
      </c>
      <c r="AA37" s="69">
        <v>42</v>
      </c>
      <c r="AB37" s="69">
        <v>45.7</v>
      </c>
      <c r="AC37" s="69">
        <v>47.2</v>
      </c>
      <c r="AD37" s="69">
        <v>45.4</v>
      </c>
      <c r="AE37" s="69">
        <v>49</v>
      </c>
      <c r="AF37" s="60">
        <v>50</v>
      </c>
      <c r="AG37" s="66">
        <v>240</v>
      </c>
      <c r="AH37" s="53">
        <f t="shared" si="2"/>
        <v>52.4</v>
      </c>
      <c r="AI37" s="54">
        <f t="shared" si="3"/>
        <v>42</v>
      </c>
      <c r="AK37" s="55"/>
    </row>
    <row r="38" spans="1:88" ht="15.75" thickBot="1" x14ac:dyDescent="0.3">
      <c r="A38" s="70" t="s">
        <v>46</v>
      </c>
      <c r="B38" s="71">
        <f>SUM(B11:B36)</f>
        <v>423.9</v>
      </c>
      <c r="C38" s="71">
        <f t="shared" ref="C38:AF38" si="4">SUM(C11:C36)</f>
        <v>423.9</v>
      </c>
      <c r="D38" s="71">
        <f t="shared" si="4"/>
        <v>423.9</v>
      </c>
      <c r="E38" s="71">
        <f t="shared" si="4"/>
        <v>423.9</v>
      </c>
      <c r="F38" s="71">
        <f t="shared" si="4"/>
        <v>416.09999999999997</v>
      </c>
      <c r="G38" s="71">
        <f t="shared" si="4"/>
        <v>415.9</v>
      </c>
      <c r="H38" s="71">
        <f t="shared" si="4"/>
        <v>423.9</v>
      </c>
      <c r="I38" s="71">
        <f t="shared" si="4"/>
        <v>416.9</v>
      </c>
      <c r="J38" s="71">
        <f t="shared" si="4"/>
        <v>428.9</v>
      </c>
      <c r="K38" s="71">
        <f t="shared" si="4"/>
        <v>428.9</v>
      </c>
      <c r="L38" s="71">
        <f t="shared" si="4"/>
        <v>463.9</v>
      </c>
      <c r="M38" s="71">
        <f t="shared" si="4"/>
        <v>701</v>
      </c>
      <c r="N38" s="71">
        <f t="shared" si="4"/>
        <v>708.90000000000009</v>
      </c>
      <c r="O38" s="71">
        <f t="shared" si="4"/>
        <v>519</v>
      </c>
      <c r="P38" s="71">
        <f t="shared" si="4"/>
        <v>500.6</v>
      </c>
      <c r="Q38" s="71">
        <f t="shared" si="4"/>
        <v>470.4</v>
      </c>
      <c r="R38" s="71">
        <f t="shared" si="4"/>
        <v>457.9</v>
      </c>
      <c r="S38" s="71">
        <f t="shared" si="4"/>
        <v>472.4</v>
      </c>
      <c r="T38" s="71">
        <f t="shared" si="4"/>
        <v>470.9</v>
      </c>
      <c r="U38" s="71">
        <f t="shared" si="4"/>
        <v>471.9</v>
      </c>
      <c r="V38" s="71">
        <f t="shared" si="4"/>
        <v>596.90000000000009</v>
      </c>
      <c r="W38" s="71">
        <f t="shared" si="4"/>
        <v>650.90000000000009</v>
      </c>
      <c r="X38" s="71">
        <f t="shared" si="4"/>
        <v>785.80000000000007</v>
      </c>
      <c r="Y38" s="71">
        <f t="shared" si="4"/>
        <v>791.40000000000009</v>
      </c>
      <c r="Z38" s="71">
        <f t="shared" si="4"/>
        <v>787.00000000000011</v>
      </c>
      <c r="AA38" s="71">
        <f t="shared" si="4"/>
        <v>697.10000000000014</v>
      </c>
      <c r="AB38" s="71">
        <f t="shared" si="4"/>
        <v>562.1</v>
      </c>
      <c r="AC38" s="71">
        <f t="shared" si="4"/>
        <v>562.1</v>
      </c>
      <c r="AD38" s="71">
        <f t="shared" si="4"/>
        <v>562.1</v>
      </c>
      <c r="AE38" s="71">
        <f t="shared" si="4"/>
        <v>432.09999999999997</v>
      </c>
      <c r="AF38" s="71">
        <f t="shared" si="4"/>
        <v>432.09999999999997</v>
      </c>
      <c r="AG38" s="66">
        <f>SUM(AG11:AG37)</f>
        <v>1492.8299999999997</v>
      </c>
      <c r="AH38" s="53">
        <f t="shared" si="2"/>
        <v>791.40000000000009</v>
      </c>
      <c r="AI38" s="54">
        <f t="shared" si="3"/>
        <v>415.9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31</v>
      </c>
      <c r="J39" s="60">
        <v>33</v>
      </c>
      <c r="K39" s="60">
        <v>81</v>
      </c>
      <c r="L39" s="60">
        <v>120</v>
      </c>
      <c r="M39" s="50">
        <v>142.69999999999999</v>
      </c>
      <c r="N39" s="50">
        <v>143.1</v>
      </c>
      <c r="O39" s="50">
        <v>126.2</v>
      </c>
      <c r="P39" s="50">
        <v>121.9</v>
      </c>
      <c r="Q39" s="50">
        <v>121.5</v>
      </c>
      <c r="R39" s="50">
        <v>81.3</v>
      </c>
      <c r="S39" s="50">
        <v>72.5</v>
      </c>
      <c r="T39" s="50">
        <v>71</v>
      </c>
      <c r="U39" s="50">
        <v>86.6</v>
      </c>
      <c r="V39" s="50">
        <v>98</v>
      </c>
      <c r="W39" s="50">
        <v>139</v>
      </c>
      <c r="X39" s="50">
        <v>145.1</v>
      </c>
      <c r="Y39" s="50">
        <v>144.4</v>
      </c>
      <c r="Z39" s="50">
        <v>145.1</v>
      </c>
      <c r="AA39" s="50">
        <v>141</v>
      </c>
      <c r="AB39" s="50">
        <v>144</v>
      </c>
      <c r="AC39" s="50">
        <v>120.4</v>
      </c>
      <c r="AD39" s="50">
        <v>83</v>
      </c>
      <c r="AE39" s="50">
        <v>61</v>
      </c>
      <c r="AF39" s="49">
        <v>30.8</v>
      </c>
      <c r="AG39" s="61">
        <v>144</v>
      </c>
      <c r="AH39" s="53">
        <f t="shared" si="2"/>
        <v>145.1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23.8</v>
      </c>
      <c r="I40" s="60">
        <v>25</v>
      </c>
      <c r="J40" s="60">
        <v>22</v>
      </c>
      <c r="K40" s="60">
        <v>45</v>
      </c>
      <c r="L40" s="60">
        <v>65</v>
      </c>
      <c r="M40" s="72">
        <v>70.099999999999994</v>
      </c>
      <c r="N40" s="72">
        <v>59.5</v>
      </c>
      <c r="O40" s="72">
        <v>59.9</v>
      </c>
      <c r="P40" s="72">
        <v>61.2</v>
      </c>
      <c r="Q40" s="72">
        <v>49.8</v>
      </c>
      <c r="R40" s="72">
        <v>42.3</v>
      </c>
      <c r="S40" s="72">
        <v>34.6</v>
      </c>
      <c r="T40" s="72">
        <v>34.799999999999997</v>
      </c>
      <c r="U40" s="72">
        <v>30.1</v>
      </c>
      <c r="V40" s="72">
        <v>55</v>
      </c>
      <c r="W40" s="72">
        <v>60</v>
      </c>
      <c r="X40" s="72">
        <v>69.5</v>
      </c>
      <c r="Y40" s="72">
        <v>71.3</v>
      </c>
      <c r="Z40" s="72">
        <v>69.8</v>
      </c>
      <c r="AA40" s="72">
        <v>69.5</v>
      </c>
      <c r="AB40" s="72">
        <v>69.400000000000006</v>
      </c>
      <c r="AC40" s="72">
        <v>59.5</v>
      </c>
      <c r="AD40" s="72">
        <v>49.2</v>
      </c>
      <c r="AE40" s="72">
        <v>23</v>
      </c>
      <c r="AF40" s="60">
        <v>22.7</v>
      </c>
      <c r="AG40" s="66">
        <v>70</v>
      </c>
      <c r="AH40" s="53">
        <f t="shared" si="2"/>
        <v>71.3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18.899999999999999</v>
      </c>
      <c r="C41" s="60">
        <v>19.100000000000001</v>
      </c>
      <c r="D41" s="60">
        <v>19</v>
      </c>
      <c r="E41" s="60">
        <v>20.5</v>
      </c>
      <c r="F41" s="60">
        <v>41.6</v>
      </c>
      <c r="G41" s="60">
        <v>41.5</v>
      </c>
      <c r="H41" s="60">
        <v>46.7</v>
      </c>
      <c r="I41" s="60">
        <v>32</v>
      </c>
      <c r="J41" s="60">
        <v>45</v>
      </c>
      <c r="K41" s="60">
        <v>63</v>
      </c>
      <c r="L41" s="60">
        <v>63</v>
      </c>
      <c r="M41" s="72">
        <v>67</v>
      </c>
      <c r="N41" s="72">
        <v>66.7</v>
      </c>
      <c r="O41" s="72">
        <v>66.2</v>
      </c>
      <c r="P41" s="72">
        <v>60.7</v>
      </c>
      <c r="Q41" s="72">
        <v>45.5</v>
      </c>
      <c r="R41" s="72">
        <v>34</v>
      </c>
      <c r="S41" s="72">
        <v>32.299999999999997</v>
      </c>
      <c r="T41" s="72">
        <v>23.2</v>
      </c>
      <c r="U41" s="72" t="s">
        <v>219</v>
      </c>
      <c r="V41" s="72">
        <v>42.5</v>
      </c>
      <c r="W41" s="72">
        <v>46.4</v>
      </c>
      <c r="X41" s="72">
        <v>59.9</v>
      </c>
      <c r="Y41" s="72">
        <v>66.599999999999994</v>
      </c>
      <c r="Z41" s="72">
        <v>64.2</v>
      </c>
      <c r="AA41" s="72">
        <v>68.3</v>
      </c>
      <c r="AB41" s="72">
        <v>68</v>
      </c>
      <c r="AC41" s="72">
        <v>62.7</v>
      </c>
      <c r="AD41" s="72">
        <v>50</v>
      </c>
      <c r="AE41" s="72">
        <v>34.299999999999997</v>
      </c>
      <c r="AF41" s="60">
        <v>36.200000000000003</v>
      </c>
      <c r="AG41" s="66">
        <v>69</v>
      </c>
      <c r="AH41" s="53">
        <f t="shared" si="2"/>
        <v>68.3</v>
      </c>
      <c r="AI41" s="54">
        <f t="shared" si="3"/>
        <v>18.899999999999999</v>
      </c>
      <c r="AK41" s="55"/>
    </row>
    <row r="42" spans="1:88" x14ac:dyDescent="0.25">
      <c r="A42" s="65" t="s">
        <v>50</v>
      </c>
      <c r="B42" s="60">
        <v>53.9</v>
      </c>
      <c r="C42" s="60">
        <v>53.9</v>
      </c>
      <c r="D42" s="60">
        <v>52.1</v>
      </c>
      <c r="E42" s="60">
        <v>52.1</v>
      </c>
      <c r="F42" s="60">
        <v>52.1</v>
      </c>
      <c r="G42" s="60">
        <v>52.1</v>
      </c>
      <c r="H42" s="60">
        <v>52.4</v>
      </c>
      <c r="I42" s="60">
        <v>52.4</v>
      </c>
      <c r="J42" s="60">
        <v>52.4</v>
      </c>
      <c r="K42" s="60">
        <v>52</v>
      </c>
      <c r="L42" s="60">
        <v>52.4</v>
      </c>
      <c r="M42" s="72">
        <v>54.4</v>
      </c>
      <c r="N42" s="72">
        <v>53.9</v>
      </c>
      <c r="O42" s="72">
        <v>53.9</v>
      </c>
      <c r="P42" s="72">
        <v>52.1</v>
      </c>
      <c r="Q42" s="72">
        <v>52.1</v>
      </c>
      <c r="R42" s="72">
        <v>52.1</v>
      </c>
      <c r="S42" s="72">
        <v>52.1</v>
      </c>
      <c r="T42" s="72">
        <v>52.1</v>
      </c>
      <c r="U42" s="72">
        <v>52.1</v>
      </c>
      <c r="V42" s="72">
        <v>52.1</v>
      </c>
      <c r="W42" s="72">
        <v>52.1</v>
      </c>
      <c r="X42" s="72">
        <v>52.1</v>
      </c>
      <c r="Y42" s="72">
        <v>52.1</v>
      </c>
      <c r="Z42" s="72">
        <v>52.1</v>
      </c>
      <c r="AA42" s="72">
        <v>52.1</v>
      </c>
      <c r="AB42" s="72">
        <v>52.1</v>
      </c>
      <c r="AC42" s="72">
        <v>53.9</v>
      </c>
      <c r="AD42" s="72">
        <v>54.4</v>
      </c>
      <c r="AE42" s="72">
        <v>58.2</v>
      </c>
      <c r="AF42" s="60">
        <v>57.9</v>
      </c>
      <c r="AG42" s="66">
        <v>60</v>
      </c>
      <c r="AH42" s="53">
        <f t="shared" si="2"/>
        <v>58.2</v>
      </c>
      <c r="AI42" s="54">
        <f t="shared" si="3"/>
        <v>52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</v>
      </c>
      <c r="G43" s="60">
        <v>10</v>
      </c>
      <c r="H43" s="60">
        <v>10</v>
      </c>
      <c r="I43" s="60">
        <v>15</v>
      </c>
      <c r="J43" s="60">
        <v>15</v>
      </c>
      <c r="K43" s="60">
        <v>15</v>
      </c>
      <c r="L43" s="60">
        <v>22</v>
      </c>
      <c r="M43" s="50">
        <v>28.6</v>
      </c>
      <c r="N43" s="50">
        <v>25.9</v>
      </c>
      <c r="O43" s="50">
        <v>21.5</v>
      </c>
      <c r="P43" s="50">
        <v>15</v>
      </c>
      <c r="Q43" s="50">
        <v>10</v>
      </c>
      <c r="R43" s="50">
        <v>10</v>
      </c>
      <c r="S43" s="50">
        <v>0</v>
      </c>
      <c r="T43" s="50">
        <v>0</v>
      </c>
      <c r="U43" s="50">
        <v>0</v>
      </c>
      <c r="V43" s="50">
        <v>0</v>
      </c>
      <c r="W43" s="50">
        <v>15</v>
      </c>
      <c r="X43" s="50">
        <v>22.3</v>
      </c>
      <c r="Y43" s="50">
        <v>28.4</v>
      </c>
      <c r="Z43" s="72">
        <v>28.1</v>
      </c>
      <c r="AA43" s="72">
        <v>28.1</v>
      </c>
      <c r="AB43" s="72">
        <v>21.9</v>
      </c>
      <c r="AC43" s="72">
        <v>15</v>
      </c>
      <c r="AD43" s="72">
        <v>10.5</v>
      </c>
      <c r="AE43" s="72">
        <v>0</v>
      </c>
      <c r="AF43" s="60">
        <v>0</v>
      </c>
      <c r="AG43" s="66">
        <v>30</v>
      </c>
      <c r="AH43" s="53">
        <f t="shared" si="2"/>
        <v>28.6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4</v>
      </c>
      <c r="V44" s="50">
        <v>4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4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6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60">
        <v>13</v>
      </c>
      <c r="S47" s="60">
        <v>13</v>
      </c>
      <c r="T47" s="60">
        <v>13</v>
      </c>
      <c r="U47" s="60">
        <v>13</v>
      </c>
      <c r="V47" s="60">
        <v>13</v>
      </c>
      <c r="W47" s="6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60">
        <v>5</v>
      </c>
      <c r="E48" s="60">
        <v>5</v>
      </c>
      <c r="F48" s="60">
        <v>5</v>
      </c>
      <c r="G48" s="60">
        <v>5</v>
      </c>
      <c r="H48" s="60">
        <v>5</v>
      </c>
      <c r="I48" s="60">
        <v>5</v>
      </c>
      <c r="J48" s="60">
        <v>5</v>
      </c>
      <c r="K48" s="60">
        <v>5</v>
      </c>
      <c r="L48" s="60">
        <v>5</v>
      </c>
      <c r="M48" s="60">
        <v>5</v>
      </c>
      <c r="N48" s="60">
        <v>5</v>
      </c>
      <c r="O48" s="60">
        <v>5</v>
      </c>
      <c r="P48" s="60">
        <v>5</v>
      </c>
      <c r="Q48" s="60">
        <v>5</v>
      </c>
      <c r="R48" s="60">
        <v>5</v>
      </c>
      <c r="S48" s="60">
        <v>5</v>
      </c>
      <c r="T48" s="60">
        <v>5</v>
      </c>
      <c r="U48" s="60">
        <v>5</v>
      </c>
      <c r="V48" s="60">
        <v>5</v>
      </c>
      <c r="W48" s="6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60">
        <v>5.7</v>
      </c>
      <c r="C49" s="60">
        <v>5.7</v>
      </c>
      <c r="D49" s="60">
        <v>5.7</v>
      </c>
      <c r="E49" s="60">
        <v>5.7</v>
      </c>
      <c r="F49" s="60">
        <v>5.7</v>
      </c>
      <c r="G49" s="60">
        <v>5.7</v>
      </c>
      <c r="H49" s="60">
        <v>5.7</v>
      </c>
      <c r="I49" s="60">
        <v>5.7</v>
      </c>
      <c r="J49" s="60">
        <v>5.7</v>
      </c>
      <c r="K49" s="60">
        <v>5.7</v>
      </c>
      <c r="L49" s="60">
        <v>5.7</v>
      </c>
      <c r="M49" s="60">
        <v>5.7</v>
      </c>
      <c r="N49" s="60">
        <v>5.7</v>
      </c>
      <c r="O49" s="60">
        <v>5.7</v>
      </c>
      <c r="P49" s="60">
        <v>5.7</v>
      </c>
      <c r="Q49" s="60">
        <v>5.7</v>
      </c>
      <c r="R49" s="60">
        <v>5.7</v>
      </c>
      <c r="S49" s="60">
        <v>5.7</v>
      </c>
      <c r="T49" s="60">
        <v>5.7</v>
      </c>
      <c r="U49" s="60">
        <v>5.7</v>
      </c>
      <c r="V49" s="60">
        <v>5.7</v>
      </c>
      <c r="W49" s="60">
        <v>5.7</v>
      </c>
      <c r="X49" s="50">
        <v>6.3</v>
      </c>
      <c r="Y49" s="50">
        <v>5.7</v>
      </c>
      <c r="Z49" s="50">
        <v>5.7</v>
      </c>
      <c r="AA49" s="50">
        <v>5.7</v>
      </c>
      <c r="AB49" s="50">
        <v>5.7</v>
      </c>
      <c r="AC49" s="50">
        <v>5.7</v>
      </c>
      <c r="AD49" s="50">
        <v>5.7</v>
      </c>
      <c r="AE49" s="50">
        <v>5.7</v>
      </c>
      <c r="AF49" s="50">
        <v>5.7</v>
      </c>
      <c r="AG49" s="66">
        <v>10.050000000000001</v>
      </c>
      <c r="AH49" s="53">
        <f t="shared" si="2"/>
        <v>6.3</v>
      </c>
      <c r="AI49" s="54">
        <f t="shared" si="3"/>
        <v>5.7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60">
        <v>4</v>
      </c>
      <c r="T50" s="60">
        <v>4</v>
      </c>
      <c r="U50" s="60">
        <v>4</v>
      </c>
      <c r="V50" s="60">
        <v>4</v>
      </c>
      <c r="W50" s="6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124.54</v>
      </c>
      <c r="C52" s="71">
        <f t="shared" ref="C52:AF52" si="6">SUM(C39:C51)</f>
        <v>124.74000000000001</v>
      </c>
      <c r="D52" s="71">
        <f t="shared" si="6"/>
        <v>122.84</v>
      </c>
      <c r="E52" s="71">
        <f t="shared" si="6"/>
        <v>124.34</v>
      </c>
      <c r="F52" s="71">
        <f t="shared" si="6"/>
        <v>155.43999999999997</v>
      </c>
      <c r="G52" s="71">
        <f t="shared" si="6"/>
        <v>155.33999999999997</v>
      </c>
      <c r="H52" s="71">
        <f t="shared" si="6"/>
        <v>184.64</v>
      </c>
      <c r="I52" s="71">
        <f t="shared" si="6"/>
        <v>207.14</v>
      </c>
      <c r="J52" s="71">
        <f t="shared" si="6"/>
        <v>219.14</v>
      </c>
      <c r="K52" s="71">
        <f t="shared" si="6"/>
        <v>307.74</v>
      </c>
      <c r="L52" s="71">
        <f t="shared" si="6"/>
        <v>374.14</v>
      </c>
      <c r="M52" s="71">
        <f t="shared" si="6"/>
        <v>414.53999999999996</v>
      </c>
      <c r="N52" s="71">
        <f t="shared" si="6"/>
        <v>400.84</v>
      </c>
      <c r="O52" s="71">
        <f t="shared" si="6"/>
        <v>379.44</v>
      </c>
      <c r="P52" s="71">
        <f t="shared" si="6"/>
        <v>362.64000000000004</v>
      </c>
      <c r="Q52" s="71">
        <f t="shared" si="6"/>
        <v>330.64000000000004</v>
      </c>
      <c r="R52" s="71">
        <f t="shared" si="6"/>
        <v>271.44</v>
      </c>
      <c r="S52" s="71">
        <f t="shared" si="6"/>
        <v>243.23999999999995</v>
      </c>
      <c r="T52" s="71">
        <f t="shared" si="6"/>
        <v>232.83999999999997</v>
      </c>
      <c r="U52" s="71">
        <f t="shared" si="6"/>
        <v>224.53999999999996</v>
      </c>
      <c r="V52" s="71">
        <f t="shared" si="6"/>
        <v>303.34000000000003</v>
      </c>
      <c r="W52" s="71">
        <f t="shared" si="6"/>
        <v>364.24</v>
      </c>
      <c r="X52" s="71">
        <f t="shared" si="6"/>
        <v>401.24000000000007</v>
      </c>
      <c r="Y52" s="71">
        <f t="shared" si="6"/>
        <v>414.53999999999996</v>
      </c>
      <c r="Z52" s="71">
        <f t="shared" si="6"/>
        <v>411.04</v>
      </c>
      <c r="AA52" s="71">
        <f t="shared" si="6"/>
        <v>410.74000000000007</v>
      </c>
      <c r="AB52" s="71">
        <f t="shared" si="6"/>
        <v>407.14</v>
      </c>
      <c r="AC52" s="71">
        <f t="shared" si="6"/>
        <v>363.24</v>
      </c>
      <c r="AD52" s="71">
        <f t="shared" si="6"/>
        <v>298.84000000000003</v>
      </c>
      <c r="AE52" s="71">
        <f t="shared" si="6"/>
        <v>228.23999999999998</v>
      </c>
      <c r="AF52" s="71">
        <f t="shared" si="6"/>
        <v>199.33999999999997</v>
      </c>
      <c r="AG52" s="76">
        <f>SUM(AG39:AG51)</f>
        <v>489.91</v>
      </c>
      <c r="AH52" s="53">
        <f t="shared" si="2"/>
        <v>414.53999999999996</v>
      </c>
      <c r="AI52" s="54">
        <f t="shared" si="3"/>
        <v>122.84</v>
      </c>
      <c r="AK52" s="55"/>
    </row>
    <row r="53" spans="1:37" ht="15.75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30.6</v>
      </c>
      <c r="M53" s="77">
        <v>50.3</v>
      </c>
      <c r="N53" s="77">
        <v>54.8</v>
      </c>
      <c r="O53" s="77">
        <v>43.9</v>
      </c>
      <c r="P53" s="77">
        <v>55.9</v>
      </c>
      <c r="Q53" s="50">
        <v>55.5</v>
      </c>
      <c r="R53" s="50">
        <v>50</v>
      </c>
      <c r="S53" s="50">
        <v>53.2</v>
      </c>
      <c r="T53" s="50">
        <v>59.7</v>
      </c>
      <c r="U53" s="50">
        <v>54.9</v>
      </c>
      <c r="V53" s="50">
        <v>55.5</v>
      </c>
      <c r="W53" s="50">
        <v>59</v>
      </c>
      <c r="X53" s="50">
        <v>59</v>
      </c>
      <c r="Y53" s="180">
        <v>59.4</v>
      </c>
      <c r="Z53" s="50">
        <v>59.4</v>
      </c>
      <c r="AA53" s="50">
        <v>59.3</v>
      </c>
      <c r="AB53" s="50">
        <v>59.3</v>
      </c>
      <c r="AC53" s="50">
        <v>59.2</v>
      </c>
      <c r="AD53" s="50">
        <v>59.2</v>
      </c>
      <c r="AE53" s="50">
        <v>14</v>
      </c>
      <c r="AF53" s="50">
        <v>0</v>
      </c>
      <c r="AG53" s="61">
        <v>60</v>
      </c>
      <c r="AH53" s="53">
        <f t="shared" si="2"/>
        <v>59.7</v>
      </c>
      <c r="AI53" s="54">
        <f t="shared" si="3"/>
        <v>0</v>
      </c>
      <c r="AK53" s="55"/>
    </row>
    <row r="54" spans="1:37" ht="15.75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12.3</v>
      </c>
      <c r="M54" s="77">
        <v>24.7</v>
      </c>
      <c r="N54" s="77">
        <v>26.6</v>
      </c>
      <c r="O54" s="77">
        <v>25.7</v>
      </c>
      <c r="P54" s="77">
        <v>25.9</v>
      </c>
      <c r="Q54" s="72">
        <v>25.9</v>
      </c>
      <c r="R54" s="72">
        <v>23.8</v>
      </c>
      <c r="S54" s="50">
        <v>23.9</v>
      </c>
      <c r="T54" s="50">
        <v>29.3</v>
      </c>
      <c r="U54" s="50">
        <v>28.7</v>
      </c>
      <c r="V54" s="72">
        <v>25</v>
      </c>
      <c r="W54" s="72">
        <v>30</v>
      </c>
      <c r="X54" s="72">
        <v>27.6</v>
      </c>
      <c r="Y54" s="181">
        <v>29.2</v>
      </c>
      <c r="Z54" s="72">
        <v>28</v>
      </c>
      <c r="AA54" s="72">
        <v>28.2</v>
      </c>
      <c r="AB54" s="72">
        <v>28.1</v>
      </c>
      <c r="AC54" s="72">
        <v>28</v>
      </c>
      <c r="AD54" s="72">
        <v>28.1</v>
      </c>
      <c r="AE54" s="72">
        <v>7</v>
      </c>
      <c r="AF54" s="72">
        <v>0</v>
      </c>
      <c r="AG54" s="66">
        <v>32</v>
      </c>
      <c r="AH54" s="53">
        <f t="shared" si="2"/>
        <v>30</v>
      </c>
      <c r="AI54" s="54">
        <f t="shared" si="3"/>
        <v>0</v>
      </c>
      <c r="AK54" s="55"/>
    </row>
    <row r="55" spans="1:37" ht="16.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4.5</v>
      </c>
      <c r="M55" s="80">
        <v>9</v>
      </c>
      <c r="N55" s="80">
        <v>9.6999999999999993</v>
      </c>
      <c r="O55" s="80">
        <v>9.4</v>
      </c>
      <c r="P55" s="80">
        <v>9.5</v>
      </c>
      <c r="Q55" s="78">
        <v>9.5</v>
      </c>
      <c r="R55" s="78">
        <v>8.6999999999999993</v>
      </c>
      <c r="S55" s="50">
        <v>8.6999999999999993</v>
      </c>
      <c r="T55" s="50">
        <v>11</v>
      </c>
      <c r="U55" s="50">
        <v>10.5</v>
      </c>
      <c r="V55" s="78">
        <v>10</v>
      </c>
      <c r="W55" s="78">
        <v>11</v>
      </c>
      <c r="X55" s="78">
        <v>10.1</v>
      </c>
      <c r="Y55" s="182">
        <v>10.7</v>
      </c>
      <c r="Z55" s="78">
        <v>10.199999999999999</v>
      </c>
      <c r="AA55" s="78">
        <v>11</v>
      </c>
      <c r="AB55" s="78">
        <v>10.199999999999999</v>
      </c>
      <c r="AC55" s="78">
        <v>10.199999999999999</v>
      </c>
      <c r="AD55" s="78">
        <v>10.199999999999999</v>
      </c>
      <c r="AE55" s="78">
        <v>2.6</v>
      </c>
      <c r="AF55" s="78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47.400000000000006</v>
      </c>
      <c r="M56" s="71">
        <f t="shared" si="7"/>
        <v>84</v>
      </c>
      <c r="N56" s="71">
        <f t="shared" si="7"/>
        <v>91.100000000000009</v>
      </c>
      <c r="O56" s="71">
        <f t="shared" si="7"/>
        <v>79</v>
      </c>
      <c r="P56" s="71">
        <f t="shared" si="7"/>
        <v>91.3</v>
      </c>
      <c r="Q56" s="71">
        <f t="shared" si="7"/>
        <v>90.9</v>
      </c>
      <c r="R56" s="71">
        <f t="shared" si="7"/>
        <v>82.5</v>
      </c>
      <c r="S56" s="71">
        <f t="shared" si="7"/>
        <v>85.8</v>
      </c>
      <c r="T56" s="71">
        <f t="shared" si="7"/>
        <v>100</v>
      </c>
      <c r="U56" s="71">
        <f t="shared" si="7"/>
        <v>94.1</v>
      </c>
      <c r="V56" s="71">
        <f t="shared" si="7"/>
        <v>90.5</v>
      </c>
      <c r="W56" s="71">
        <f t="shared" si="7"/>
        <v>100</v>
      </c>
      <c r="X56" s="71">
        <f t="shared" si="7"/>
        <v>96.699999999999989</v>
      </c>
      <c r="Y56" s="71">
        <f t="shared" si="7"/>
        <v>99.3</v>
      </c>
      <c r="Z56" s="71">
        <f t="shared" si="7"/>
        <v>97.600000000000009</v>
      </c>
      <c r="AA56" s="71">
        <f t="shared" si="7"/>
        <v>98.5</v>
      </c>
      <c r="AB56" s="71">
        <f t="shared" si="7"/>
        <v>97.600000000000009</v>
      </c>
      <c r="AC56" s="71">
        <f t="shared" si="7"/>
        <v>97.4</v>
      </c>
      <c r="AD56" s="71">
        <f t="shared" si="7"/>
        <v>97.500000000000014</v>
      </c>
      <c r="AE56" s="71">
        <f t="shared" si="7"/>
        <v>23.6</v>
      </c>
      <c r="AF56" s="71">
        <f t="shared" si="7"/>
        <v>0</v>
      </c>
      <c r="AG56" s="76">
        <f>SUM(AG53:AG55)</f>
        <v>106</v>
      </c>
      <c r="AH56" s="53">
        <f t="shared" si="2"/>
        <v>100</v>
      </c>
      <c r="AI56" s="54">
        <f t="shared" si="3"/>
        <v>0</v>
      </c>
      <c r="AK56" s="55"/>
    </row>
    <row r="57" spans="1:37" ht="15.75" x14ac:dyDescent="0.25">
      <c r="A57" s="56" t="s">
        <v>65</v>
      </c>
      <c r="B57" s="50">
        <v>61.6</v>
      </c>
      <c r="C57" s="50">
        <v>57.8</v>
      </c>
      <c r="D57" s="50">
        <v>57.4</v>
      </c>
      <c r="E57" s="50">
        <v>70</v>
      </c>
      <c r="F57" s="50">
        <v>60</v>
      </c>
      <c r="G57" s="50">
        <v>62</v>
      </c>
      <c r="H57" s="50">
        <v>64</v>
      </c>
      <c r="I57" s="50">
        <v>69</v>
      </c>
      <c r="J57" s="50">
        <v>70</v>
      </c>
      <c r="K57" s="50">
        <v>70</v>
      </c>
      <c r="L57" s="50">
        <v>69</v>
      </c>
      <c r="M57" s="50">
        <v>77.599999999999994</v>
      </c>
      <c r="N57" s="50">
        <v>71</v>
      </c>
      <c r="O57" s="50">
        <v>68.7</v>
      </c>
      <c r="P57" s="50">
        <v>79.7</v>
      </c>
      <c r="Q57" s="50">
        <v>71.8</v>
      </c>
      <c r="R57" s="50">
        <v>69.599999999999994</v>
      </c>
      <c r="S57" s="50">
        <v>77.599999999999994</v>
      </c>
      <c r="T57" s="50">
        <v>74.3</v>
      </c>
      <c r="U57" s="50">
        <v>75.900000000000006</v>
      </c>
      <c r="V57" s="50">
        <v>73</v>
      </c>
      <c r="W57" s="50">
        <v>71</v>
      </c>
      <c r="X57" s="50">
        <v>74</v>
      </c>
      <c r="Y57" s="183">
        <v>78.5</v>
      </c>
      <c r="Z57" s="50">
        <v>79.8</v>
      </c>
      <c r="AA57" s="50">
        <v>77</v>
      </c>
      <c r="AB57" s="50">
        <v>77</v>
      </c>
      <c r="AC57" s="50">
        <v>71.2</v>
      </c>
      <c r="AD57" s="50">
        <v>68.900000000000006</v>
      </c>
      <c r="AE57" s="50">
        <v>67.7</v>
      </c>
      <c r="AF57" s="50">
        <v>63.6</v>
      </c>
      <c r="AG57" s="61"/>
      <c r="AH57" s="53">
        <f t="shared" si="2"/>
        <v>79.8</v>
      </c>
      <c r="AI57" s="54">
        <f t="shared" si="3"/>
        <v>57.4</v>
      </c>
      <c r="AK57" s="55"/>
    </row>
    <row r="58" spans="1:37" ht="15.75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83.4</v>
      </c>
      <c r="N58" s="50">
        <v>94.9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63.5</v>
      </c>
      <c r="Y58" s="184">
        <v>61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94.9</v>
      </c>
      <c r="AI58" s="54">
        <f t="shared" si="3"/>
        <v>0</v>
      </c>
      <c r="AK58" s="55"/>
    </row>
    <row r="59" spans="1:37" ht="15.75" x14ac:dyDescent="0.25">
      <c r="A59" s="65" t="s">
        <v>67</v>
      </c>
      <c r="B59" s="72">
        <v>311.89999999999998</v>
      </c>
      <c r="C59" s="72">
        <v>302.10000000000002</v>
      </c>
      <c r="D59" s="72">
        <v>282.10000000000002</v>
      </c>
      <c r="E59" s="72">
        <v>280</v>
      </c>
      <c r="F59" s="72">
        <v>252</v>
      </c>
      <c r="G59" s="72">
        <v>270</v>
      </c>
      <c r="H59" s="50">
        <v>327</v>
      </c>
      <c r="I59" s="50">
        <v>325</v>
      </c>
      <c r="J59" s="50">
        <v>338</v>
      </c>
      <c r="K59" s="50">
        <v>338</v>
      </c>
      <c r="L59" s="50">
        <v>345</v>
      </c>
      <c r="M59" s="72">
        <v>10</v>
      </c>
      <c r="N59" s="72">
        <v>10</v>
      </c>
      <c r="O59" s="72">
        <v>308</v>
      </c>
      <c r="P59" s="72">
        <v>323</v>
      </c>
      <c r="Q59" s="72">
        <v>321.3</v>
      </c>
      <c r="R59" s="72">
        <v>330</v>
      </c>
      <c r="S59" s="72">
        <v>338.8</v>
      </c>
      <c r="T59" s="72">
        <v>342</v>
      </c>
      <c r="U59" s="72">
        <v>320</v>
      </c>
      <c r="V59" s="72">
        <v>158</v>
      </c>
      <c r="W59" s="72">
        <v>162</v>
      </c>
      <c r="X59" s="83">
        <v>39.700000000000003</v>
      </c>
      <c r="Y59" s="184">
        <v>61.5</v>
      </c>
      <c r="Z59" s="83">
        <v>117</v>
      </c>
      <c r="AA59" s="83">
        <v>165</v>
      </c>
      <c r="AB59" s="72">
        <v>238</v>
      </c>
      <c r="AC59" s="72">
        <v>253</v>
      </c>
      <c r="AD59" s="72">
        <v>236</v>
      </c>
      <c r="AE59" s="72">
        <v>335</v>
      </c>
      <c r="AF59" s="72">
        <v>336.5</v>
      </c>
      <c r="AG59" s="84"/>
      <c r="AH59" s="53">
        <f t="shared" si="2"/>
        <v>345</v>
      </c>
      <c r="AI59" s="54">
        <f t="shared" si="3"/>
        <v>10</v>
      </c>
      <c r="AK59" s="55"/>
    </row>
    <row r="60" spans="1:37" ht="15.75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44</v>
      </c>
      <c r="J60" s="57">
        <v>44</v>
      </c>
      <c r="K60" s="57">
        <v>52</v>
      </c>
      <c r="L60" s="57">
        <v>50</v>
      </c>
      <c r="M60" s="72">
        <v>55.3</v>
      </c>
      <c r="N60" s="72">
        <v>60.6</v>
      </c>
      <c r="O60" s="72">
        <v>59</v>
      </c>
      <c r="P60" s="72">
        <v>57.5</v>
      </c>
      <c r="Q60" s="72">
        <v>58.4</v>
      </c>
      <c r="R60" s="72">
        <v>48.6</v>
      </c>
      <c r="S60" s="72">
        <v>48.2</v>
      </c>
      <c r="T60" s="72">
        <v>56.4</v>
      </c>
      <c r="U60" s="72">
        <v>54.5</v>
      </c>
      <c r="V60" s="72">
        <v>56</v>
      </c>
      <c r="W60" s="72">
        <v>59</v>
      </c>
      <c r="X60" s="72">
        <v>59.9</v>
      </c>
      <c r="Y60" s="184">
        <v>59.9</v>
      </c>
      <c r="Z60" s="72">
        <v>51.7</v>
      </c>
      <c r="AA60" s="72">
        <v>47.3</v>
      </c>
      <c r="AB60" s="72">
        <v>53</v>
      </c>
      <c r="AC60" s="72">
        <v>51.7</v>
      </c>
      <c r="AD60" s="72">
        <v>55.2</v>
      </c>
      <c r="AE60" s="72">
        <v>0</v>
      </c>
      <c r="AF60" s="57">
        <v>0</v>
      </c>
      <c r="AG60" s="84"/>
      <c r="AH60" s="53">
        <f t="shared" si="2"/>
        <v>60.6</v>
      </c>
      <c r="AI60" s="54">
        <f t="shared" si="3"/>
        <v>0</v>
      </c>
      <c r="AK60" s="55"/>
    </row>
    <row r="61" spans="1:37" ht="15.75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73</v>
      </c>
      <c r="K61" s="57">
        <v>74</v>
      </c>
      <c r="L61" s="57">
        <v>75</v>
      </c>
      <c r="M61" s="50">
        <v>77.099999999999994</v>
      </c>
      <c r="N61" s="50">
        <v>79.8</v>
      </c>
      <c r="O61" s="50">
        <v>76</v>
      </c>
      <c r="P61" s="50">
        <v>86.7</v>
      </c>
      <c r="Q61" s="50">
        <v>76.099999999999994</v>
      </c>
      <c r="R61" s="50">
        <v>62.6</v>
      </c>
      <c r="S61" s="50">
        <v>73.3</v>
      </c>
      <c r="T61" s="50">
        <v>74</v>
      </c>
      <c r="U61" s="50">
        <v>71.900000000000006</v>
      </c>
      <c r="V61" s="50">
        <v>72.599999999999994</v>
      </c>
      <c r="W61" s="50">
        <v>79.5</v>
      </c>
      <c r="X61" s="50">
        <v>83.3</v>
      </c>
      <c r="Y61" s="184">
        <v>82.2</v>
      </c>
      <c r="Z61" s="50">
        <v>80</v>
      </c>
      <c r="AA61" s="50">
        <v>74.2</v>
      </c>
      <c r="AB61" s="50">
        <v>72.8</v>
      </c>
      <c r="AC61" s="50">
        <v>72.2</v>
      </c>
      <c r="AD61" s="50">
        <v>76</v>
      </c>
      <c r="AE61" s="50">
        <v>68.099999999999994</v>
      </c>
      <c r="AF61" s="50">
        <v>0</v>
      </c>
      <c r="AG61" s="84"/>
      <c r="AH61" s="53">
        <f t="shared" si="2"/>
        <v>86.7</v>
      </c>
      <c r="AI61" s="54">
        <f t="shared" si="3"/>
        <v>0</v>
      </c>
      <c r="AK61" s="55"/>
    </row>
    <row r="62" spans="1:37" ht="15.75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6</v>
      </c>
      <c r="R62" s="59">
        <v>6</v>
      </c>
      <c r="S62" s="59">
        <v>6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184">
        <v>0</v>
      </c>
      <c r="Z62" s="184">
        <v>0</v>
      </c>
      <c r="AA62" s="184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6</v>
      </c>
      <c r="AI62" s="54">
        <f t="shared" si="3"/>
        <v>0</v>
      </c>
      <c r="AK62" s="55"/>
    </row>
    <row r="63" spans="1:37" ht="15.75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72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184">
        <v>0</v>
      </c>
      <c r="Z63" s="184">
        <v>0</v>
      </c>
      <c r="AA63" s="184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ht="15.75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72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7">
        <v>0</v>
      </c>
      <c r="V64" s="57">
        <v>0</v>
      </c>
      <c r="W64" s="57">
        <v>0</v>
      </c>
      <c r="X64" s="57">
        <v>0</v>
      </c>
      <c r="Y64" s="184">
        <v>0</v>
      </c>
      <c r="Z64" s="184">
        <v>0</v>
      </c>
      <c r="AA64" s="184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ht="15.75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72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7">
        <v>0</v>
      </c>
      <c r="V65" s="57">
        <v>0</v>
      </c>
      <c r="W65" s="57">
        <v>0</v>
      </c>
      <c r="X65" s="57">
        <v>0</v>
      </c>
      <c r="Y65" s="184">
        <v>0</v>
      </c>
      <c r="Z65" s="184">
        <v>0</v>
      </c>
      <c r="AA65" s="184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ht="15.75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62">
        <v>0</v>
      </c>
      <c r="V66" s="62">
        <v>0</v>
      </c>
      <c r="W66" s="62">
        <v>0</v>
      </c>
      <c r="X66" s="62">
        <v>0</v>
      </c>
      <c r="Y66" s="184">
        <v>0</v>
      </c>
      <c r="Z66" s="184">
        <v>0</v>
      </c>
      <c r="AA66" s="184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6.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72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62">
        <v>0</v>
      </c>
      <c r="V67" s="62">
        <v>0</v>
      </c>
      <c r="W67" s="62">
        <v>0</v>
      </c>
      <c r="X67" s="62">
        <v>0</v>
      </c>
      <c r="Y67" s="185">
        <v>0</v>
      </c>
      <c r="Z67" s="185">
        <v>0</v>
      </c>
      <c r="AA67" s="185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373.5</v>
      </c>
      <c r="C68" s="71">
        <f>SUM(C57:C67)</f>
        <v>359.90000000000003</v>
      </c>
      <c r="D68" s="71">
        <f t="shared" ref="D68:AF68" si="8">SUM(D57:D67)</f>
        <v>339.5</v>
      </c>
      <c r="E68" s="71">
        <f t="shared" si="8"/>
        <v>350</v>
      </c>
      <c r="F68" s="71">
        <f t="shared" si="8"/>
        <v>312</v>
      </c>
      <c r="G68" s="71">
        <f t="shared" si="8"/>
        <v>332</v>
      </c>
      <c r="H68" s="71">
        <f t="shared" si="8"/>
        <v>391</v>
      </c>
      <c r="I68" s="71">
        <f t="shared" si="8"/>
        <v>438</v>
      </c>
      <c r="J68" s="71">
        <f t="shared" si="8"/>
        <v>525</v>
      </c>
      <c r="K68" s="71">
        <f t="shared" si="8"/>
        <v>534</v>
      </c>
      <c r="L68" s="71">
        <f t="shared" si="8"/>
        <v>539</v>
      </c>
      <c r="M68" s="71">
        <f t="shared" si="8"/>
        <v>303.39999999999998</v>
      </c>
      <c r="N68" s="71">
        <f t="shared" si="8"/>
        <v>316.3</v>
      </c>
      <c r="O68" s="71">
        <f t="shared" si="8"/>
        <v>511.7</v>
      </c>
      <c r="P68" s="71">
        <f t="shared" si="8"/>
        <v>546.9</v>
      </c>
      <c r="Q68" s="71">
        <f t="shared" si="8"/>
        <v>533.6</v>
      </c>
      <c r="R68" s="71">
        <f t="shared" si="8"/>
        <v>516.80000000000007</v>
      </c>
      <c r="S68" s="71">
        <f t="shared" si="8"/>
        <v>543.9</v>
      </c>
      <c r="T68" s="71">
        <f t="shared" si="8"/>
        <v>546.70000000000005</v>
      </c>
      <c r="U68" s="71">
        <f t="shared" si="8"/>
        <v>522.29999999999995</v>
      </c>
      <c r="V68" s="71">
        <f t="shared" si="8"/>
        <v>359.6</v>
      </c>
      <c r="W68" s="71">
        <f t="shared" si="8"/>
        <v>371.5</v>
      </c>
      <c r="X68" s="71">
        <f t="shared" si="8"/>
        <v>320.39999999999998</v>
      </c>
      <c r="Y68" s="71">
        <f t="shared" si="8"/>
        <v>343.09999999999997</v>
      </c>
      <c r="Z68" s="71">
        <f t="shared" si="8"/>
        <v>328.5</v>
      </c>
      <c r="AA68" s="71">
        <f t="shared" si="8"/>
        <v>363.5</v>
      </c>
      <c r="AB68" s="71">
        <f t="shared" si="8"/>
        <v>440.8</v>
      </c>
      <c r="AC68" s="71">
        <f t="shared" si="8"/>
        <v>448.09999999999997</v>
      </c>
      <c r="AD68" s="71">
        <f t="shared" si="8"/>
        <v>436.09999999999997</v>
      </c>
      <c r="AE68" s="71">
        <f t="shared" si="8"/>
        <v>470.79999999999995</v>
      </c>
      <c r="AF68" s="71">
        <f t="shared" si="8"/>
        <v>400.1</v>
      </c>
      <c r="AG68" s="76">
        <f>SUM(AG57:AG67)</f>
        <v>0</v>
      </c>
      <c r="AH68" s="53">
        <f t="shared" si="2"/>
        <v>546.9</v>
      </c>
      <c r="AI68" s="54">
        <f t="shared" si="3"/>
        <v>303.39999999999998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921.94</v>
      </c>
      <c r="C73" s="88">
        <f>C68+C56+C52+C38+C72</f>
        <v>908.54</v>
      </c>
      <c r="D73" s="88">
        <f t="shared" ref="D73:AG73" si="10">D68+D56+D52+D38+D72</f>
        <v>886.24</v>
      </c>
      <c r="E73" s="88">
        <f t="shared" si="10"/>
        <v>898.24</v>
      </c>
      <c r="F73" s="88">
        <f t="shared" si="10"/>
        <v>883.54</v>
      </c>
      <c r="G73" s="88">
        <f t="shared" si="10"/>
        <v>903.24</v>
      </c>
      <c r="H73" s="88">
        <f t="shared" si="10"/>
        <v>999.54</v>
      </c>
      <c r="I73" s="88">
        <f t="shared" si="10"/>
        <v>1062.04</v>
      </c>
      <c r="J73" s="88">
        <f t="shared" si="10"/>
        <v>1173.04</v>
      </c>
      <c r="K73" s="88">
        <f t="shared" si="10"/>
        <v>1270.6399999999999</v>
      </c>
      <c r="L73" s="88">
        <f t="shared" si="10"/>
        <v>1424.44</v>
      </c>
      <c r="M73" s="88">
        <f t="shared" si="10"/>
        <v>1502.94</v>
      </c>
      <c r="N73" s="88">
        <f t="shared" si="10"/>
        <v>1517.14</v>
      </c>
      <c r="O73" s="88">
        <f t="shared" si="10"/>
        <v>1489.14</v>
      </c>
      <c r="P73" s="88">
        <f t="shared" si="10"/>
        <v>1501.44</v>
      </c>
      <c r="Q73" s="88">
        <f t="shared" si="10"/>
        <v>1425.54</v>
      </c>
      <c r="R73" s="88">
        <f t="shared" si="10"/>
        <v>1328.6399999999999</v>
      </c>
      <c r="S73" s="88">
        <f t="shared" si="10"/>
        <v>1345.3399999999997</v>
      </c>
      <c r="T73" s="88">
        <f t="shared" si="10"/>
        <v>1350.44</v>
      </c>
      <c r="U73" s="88">
        <f t="shared" si="10"/>
        <v>1312.84</v>
      </c>
      <c r="V73" s="88">
        <f t="shared" si="10"/>
        <v>1350.3400000000001</v>
      </c>
      <c r="W73" s="88">
        <f t="shared" si="10"/>
        <v>1486.64</v>
      </c>
      <c r="X73" s="88">
        <f t="shared" si="10"/>
        <v>1604.14</v>
      </c>
      <c r="Y73" s="88">
        <f t="shared" si="10"/>
        <v>1648.3400000000001</v>
      </c>
      <c r="Z73" s="88">
        <f t="shared" si="10"/>
        <v>1624.1400000000003</v>
      </c>
      <c r="AA73" s="88">
        <f t="shared" si="10"/>
        <v>1569.8400000000001</v>
      </c>
      <c r="AB73" s="88">
        <f t="shared" si="10"/>
        <v>1507.6399999999999</v>
      </c>
      <c r="AC73" s="88">
        <f t="shared" si="10"/>
        <v>1470.8400000000001</v>
      </c>
      <c r="AD73" s="88">
        <f t="shared" si="10"/>
        <v>1394.54</v>
      </c>
      <c r="AE73" s="88">
        <f t="shared" si="10"/>
        <v>1154.74</v>
      </c>
      <c r="AF73" s="88">
        <f t="shared" si="10"/>
        <v>1031.54</v>
      </c>
      <c r="AG73" s="88">
        <f t="shared" si="10"/>
        <v>2144.14</v>
      </c>
      <c r="AH73" s="53">
        <f t="shared" si="2"/>
        <v>1648.3400000000001</v>
      </c>
      <c r="AI73" s="54">
        <f t="shared" si="3"/>
        <v>883.54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921.94</v>
      </c>
      <c r="C75" s="88">
        <f>C73+C74</f>
        <v>908.54</v>
      </c>
      <c r="D75" s="88">
        <f t="shared" ref="D75:AF75" si="11">D72+D68+D56+D52+D38+D74</f>
        <v>886.24</v>
      </c>
      <c r="E75" s="88">
        <f t="shared" si="11"/>
        <v>898.24</v>
      </c>
      <c r="F75" s="88">
        <f t="shared" si="11"/>
        <v>883.54</v>
      </c>
      <c r="G75" s="88">
        <f t="shared" si="11"/>
        <v>903.24</v>
      </c>
      <c r="H75" s="88">
        <f t="shared" si="11"/>
        <v>999.54</v>
      </c>
      <c r="I75" s="88">
        <f t="shared" si="11"/>
        <v>1062.04</v>
      </c>
      <c r="J75" s="88">
        <f t="shared" si="11"/>
        <v>1173.04</v>
      </c>
      <c r="K75" s="88">
        <f t="shared" si="11"/>
        <v>1270.6399999999999</v>
      </c>
      <c r="L75" s="88">
        <f t="shared" si="11"/>
        <v>1424.44</v>
      </c>
      <c r="M75" s="88">
        <f t="shared" si="11"/>
        <v>1502.94</v>
      </c>
      <c r="N75" s="88">
        <f t="shared" si="11"/>
        <v>1517.14</v>
      </c>
      <c r="O75" s="88">
        <f t="shared" si="11"/>
        <v>1489.14</v>
      </c>
      <c r="P75" s="88">
        <f t="shared" si="11"/>
        <v>1501.44</v>
      </c>
      <c r="Q75" s="88">
        <f t="shared" si="11"/>
        <v>1425.54</v>
      </c>
      <c r="R75" s="88">
        <f t="shared" si="11"/>
        <v>1328.6399999999999</v>
      </c>
      <c r="S75" s="88">
        <f t="shared" si="11"/>
        <v>1345.3399999999997</v>
      </c>
      <c r="T75" s="88">
        <f t="shared" si="11"/>
        <v>1350.44</v>
      </c>
      <c r="U75" s="88">
        <f t="shared" si="11"/>
        <v>1312.84</v>
      </c>
      <c r="V75" s="88">
        <f t="shared" si="11"/>
        <v>1350.3400000000001</v>
      </c>
      <c r="W75" s="88">
        <f t="shared" si="11"/>
        <v>1486.64</v>
      </c>
      <c r="X75" s="88">
        <f t="shared" si="11"/>
        <v>1604.14</v>
      </c>
      <c r="Y75" s="88">
        <f t="shared" si="11"/>
        <v>1648.3400000000001</v>
      </c>
      <c r="Z75" s="88">
        <f t="shared" si="11"/>
        <v>1624.1400000000003</v>
      </c>
      <c r="AA75" s="88">
        <f t="shared" si="11"/>
        <v>1569.8400000000001</v>
      </c>
      <c r="AB75" s="88">
        <f t="shared" si="11"/>
        <v>1507.6399999999999</v>
      </c>
      <c r="AC75" s="88">
        <f t="shared" si="11"/>
        <v>1470.8400000000001</v>
      </c>
      <c r="AD75" s="88">
        <f t="shared" si="11"/>
        <v>1394.54</v>
      </c>
      <c r="AE75" s="88">
        <f t="shared" si="11"/>
        <v>1154.74</v>
      </c>
      <c r="AF75" s="88">
        <f t="shared" si="11"/>
        <v>1031.54</v>
      </c>
      <c r="AG75" s="76">
        <f>AG72+AG68+AG56+AG52+AG38+AG74</f>
        <v>2144.14</v>
      </c>
      <c r="AH75" s="53">
        <f t="shared" si="2"/>
        <v>1648.3400000000001</v>
      </c>
      <c r="AI75" s="54">
        <f t="shared" si="3"/>
        <v>883.54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1843.88</v>
      </c>
      <c r="C83" s="71">
        <f t="shared" ref="C83:AG83" si="20">SUM(C70:C82)</f>
        <v>1817.08</v>
      </c>
      <c r="D83" s="71">
        <f t="shared" si="20"/>
        <v>1772.48</v>
      </c>
      <c r="E83" s="71">
        <f t="shared" si="20"/>
        <v>1796.48</v>
      </c>
      <c r="F83" s="71">
        <f t="shared" si="20"/>
        <v>1767.08</v>
      </c>
      <c r="G83" s="71">
        <f t="shared" si="20"/>
        <v>1806.48</v>
      </c>
      <c r="H83" s="71">
        <f t="shared" si="20"/>
        <v>1999.08</v>
      </c>
      <c r="I83" s="71">
        <f t="shared" si="20"/>
        <v>2124.08</v>
      </c>
      <c r="J83" s="71">
        <f t="shared" si="20"/>
        <v>2346.08</v>
      </c>
      <c r="K83" s="71">
        <f t="shared" si="20"/>
        <v>2541.2799999999997</v>
      </c>
      <c r="L83" s="71">
        <f t="shared" si="20"/>
        <v>2848.88</v>
      </c>
      <c r="M83" s="71">
        <f t="shared" si="20"/>
        <v>3005.88</v>
      </c>
      <c r="N83" s="71">
        <f t="shared" si="20"/>
        <v>3034.28</v>
      </c>
      <c r="O83" s="71">
        <f t="shared" si="20"/>
        <v>2978.28</v>
      </c>
      <c r="P83" s="71">
        <f t="shared" si="20"/>
        <v>3002.88</v>
      </c>
      <c r="Q83" s="71">
        <f t="shared" si="20"/>
        <v>2851.08</v>
      </c>
      <c r="R83" s="71">
        <f t="shared" si="20"/>
        <v>2657.2799999999997</v>
      </c>
      <c r="S83" s="71">
        <f t="shared" si="20"/>
        <v>2690.6799999999994</v>
      </c>
      <c r="T83" s="71">
        <f t="shared" si="20"/>
        <v>2700.88</v>
      </c>
      <c r="U83" s="71">
        <f t="shared" si="20"/>
        <v>2625.68</v>
      </c>
      <c r="V83" s="71">
        <f t="shared" si="20"/>
        <v>2700.6800000000003</v>
      </c>
      <c r="W83" s="71">
        <f t="shared" si="20"/>
        <v>2973.28</v>
      </c>
      <c r="X83" s="71">
        <f t="shared" si="20"/>
        <v>3208.28</v>
      </c>
      <c r="Y83" s="71">
        <f t="shared" si="20"/>
        <v>3296.6800000000003</v>
      </c>
      <c r="Z83" s="71">
        <f t="shared" si="20"/>
        <v>3248.2800000000007</v>
      </c>
      <c r="AA83" s="71">
        <f t="shared" si="20"/>
        <v>3139.6800000000003</v>
      </c>
      <c r="AB83" s="71">
        <f t="shared" si="20"/>
        <v>3015.2799999999997</v>
      </c>
      <c r="AC83" s="71">
        <f t="shared" si="20"/>
        <v>2941.6800000000003</v>
      </c>
      <c r="AD83" s="71">
        <f t="shared" si="20"/>
        <v>2789.08</v>
      </c>
      <c r="AE83" s="71">
        <f t="shared" si="20"/>
        <v>2309.48</v>
      </c>
      <c r="AF83" s="71">
        <f t="shared" si="20"/>
        <v>2063.08</v>
      </c>
      <c r="AG83" s="76">
        <f t="shared" si="20"/>
        <v>4360.08</v>
      </c>
      <c r="AH83" s="53">
        <f t="shared" si="13"/>
        <v>3296.6800000000003</v>
      </c>
      <c r="AI83" s="54">
        <f t="shared" si="14"/>
        <v>1767.08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ht="15.75" x14ac:dyDescent="0.25">
      <c r="A84" s="93" t="s">
        <v>89</v>
      </c>
      <c r="B84" s="94">
        <v>49.96</v>
      </c>
      <c r="C84" s="95">
        <v>49.917000000000002</v>
      </c>
      <c r="D84" s="95">
        <v>50.034999999999997</v>
      </c>
      <c r="E84" s="95">
        <v>50.011000000000003</v>
      </c>
      <c r="F84" s="95">
        <v>50.01</v>
      </c>
      <c r="G84" s="95">
        <v>49.941000000000003</v>
      </c>
      <c r="H84" s="95">
        <v>49.889000000000003</v>
      </c>
      <c r="I84" s="95">
        <v>49.945999999999998</v>
      </c>
      <c r="J84" s="95">
        <v>50.054000000000002</v>
      </c>
      <c r="K84" s="95">
        <v>50.039000000000001</v>
      </c>
      <c r="L84" s="95">
        <v>50.054000000000002</v>
      </c>
      <c r="M84" s="95">
        <v>50.018000000000001</v>
      </c>
      <c r="N84" s="95">
        <v>50.058999999999997</v>
      </c>
      <c r="O84" s="95">
        <v>49.935000000000002</v>
      </c>
      <c r="P84" s="95">
        <v>50.012</v>
      </c>
      <c r="Q84" s="95">
        <v>49.981000000000002</v>
      </c>
      <c r="R84" s="95">
        <v>49.948999999999998</v>
      </c>
      <c r="S84" s="95">
        <v>49.996000000000002</v>
      </c>
      <c r="T84" s="95">
        <v>50.02</v>
      </c>
      <c r="U84" s="95">
        <v>49.948</v>
      </c>
      <c r="V84" s="95">
        <v>49.994</v>
      </c>
      <c r="W84" s="95">
        <v>50.026000000000003</v>
      </c>
      <c r="X84" s="95">
        <v>50.033999999999999</v>
      </c>
      <c r="Y84" s="186">
        <v>49.99</v>
      </c>
      <c r="Z84" s="95">
        <v>49.93</v>
      </c>
      <c r="AA84" s="95">
        <v>49.936999999999998</v>
      </c>
      <c r="AB84" s="95">
        <v>49.826999999999998</v>
      </c>
      <c r="AC84" s="95">
        <v>49.982999999999997</v>
      </c>
      <c r="AD84" s="95">
        <v>50.030999999999999</v>
      </c>
      <c r="AE84" s="95">
        <v>50.003999999999998</v>
      </c>
      <c r="AF84" s="95">
        <v>50.014000000000003</v>
      </c>
      <c r="AG84" s="96"/>
      <c r="AH84" s="53">
        <f t="shared" si="13"/>
        <v>50.058999999999997</v>
      </c>
      <c r="AI84" s="54">
        <f t="shared" si="14"/>
        <v>49.826999999999998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ht="15.75" x14ac:dyDescent="0.25">
      <c r="A85" s="97" t="s">
        <v>90</v>
      </c>
      <c r="B85" s="98">
        <v>126</v>
      </c>
      <c r="C85" s="98">
        <v>126</v>
      </c>
      <c r="D85" s="98">
        <v>126</v>
      </c>
      <c r="E85" s="72">
        <v>126</v>
      </c>
      <c r="F85" s="72">
        <v>126</v>
      </c>
      <c r="G85" s="72">
        <v>126</v>
      </c>
      <c r="H85" s="72">
        <v>124</v>
      </c>
      <c r="I85" s="72">
        <v>123</v>
      </c>
      <c r="J85" s="72">
        <v>124.5</v>
      </c>
      <c r="K85" s="72">
        <v>124.5</v>
      </c>
      <c r="L85" s="72">
        <v>124.5</v>
      </c>
      <c r="M85" s="72">
        <v>123.6</v>
      </c>
      <c r="N85" s="72">
        <v>123.5</v>
      </c>
      <c r="O85" s="72">
        <v>121.7</v>
      </c>
      <c r="P85" s="72">
        <v>121.7</v>
      </c>
      <c r="Q85" s="72">
        <v>122.5</v>
      </c>
      <c r="R85" s="72">
        <v>122.6</v>
      </c>
      <c r="S85" s="72">
        <v>123</v>
      </c>
      <c r="T85" s="72">
        <v>124.5</v>
      </c>
      <c r="U85" s="99">
        <v>125.6</v>
      </c>
      <c r="V85" s="99">
        <v>125</v>
      </c>
      <c r="W85" s="99">
        <v>124</v>
      </c>
      <c r="X85" s="99">
        <v>122.9</v>
      </c>
      <c r="Y85" s="187">
        <v>122.1</v>
      </c>
      <c r="Z85" s="99">
        <v>122.7</v>
      </c>
      <c r="AA85" s="99">
        <v>124.9</v>
      </c>
      <c r="AB85" s="72">
        <v>125.9</v>
      </c>
      <c r="AC85" s="72">
        <v>126.1</v>
      </c>
      <c r="AD85" s="72">
        <v>126.8</v>
      </c>
      <c r="AE85" s="72">
        <v>127.3</v>
      </c>
      <c r="AF85" s="72">
        <v>124.3</v>
      </c>
      <c r="AG85" s="100"/>
      <c r="AH85" s="53">
        <f t="shared" si="13"/>
        <v>127.3</v>
      </c>
      <c r="AI85" s="54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x14ac:dyDescent="0.25">
      <c r="A86" s="97" t="s">
        <v>91</v>
      </c>
      <c r="B86" s="98">
        <v>130</v>
      </c>
      <c r="C86" s="98">
        <v>130</v>
      </c>
      <c r="D86" s="98">
        <v>130</v>
      </c>
      <c r="E86" s="72">
        <v>129</v>
      </c>
      <c r="F86" s="72">
        <v>129</v>
      </c>
      <c r="G86" s="72">
        <v>130</v>
      </c>
      <c r="H86" s="72">
        <v>128</v>
      </c>
      <c r="I86" s="72">
        <v>128</v>
      </c>
      <c r="J86" s="72">
        <v>127.9</v>
      </c>
      <c r="K86" s="72">
        <v>127.9</v>
      </c>
      <c r="L86" s="72">
        <v>127.9</v>
      </c>
      <c r="M86" s="72">
        <v>124.8</v>
      </c>
      <c r="N86" s="72">
        <v>125.2</v>
      </c>
      <c r="O86" s="72">
        <v>123.1</v>
      </c>
      <c r="P86" s="72">
        <v>122.3</v>
      </c>
      <c r="Q86" s="72">
        <v>123.4</v>
      </c>
      <c r="R86" s="72">
        <v>124.4</v>
      </c>
      <c r="S86" s="72">
        <v>125.4</v>
      </c>
      <c r="T86" s="72">
        <v>126.9</v>
      </c>
      <c r="U86" s="99">
        <v>128</v>
      </c>
      <c r="V86" s="99">
        <v>127</v>
      </c>
      <c r="W86" s="99">
        <v>126</v>
      </c>
      <c r="X86" s="99">
        <v>124.6</v>
      </c>
      <c r="Y86" s="187">
        <v>123.7</v>
      </c>
      <c r="Z86" s="99">
        <v>124.3</v>
      </c>
      <c r="AA86" s="99">
        <v>126.5</v>
      </c>
      <c r="AB86" s="72">
        <v>127</v>
      </c>
      <c r="AC86" s="72">
        <v>127.3</v>
      </c>
      <c r="AD86" s="72">
        <v>128.5</v>
      </c>
      <c r="AE86" s="72">
        <v>129.9</v>
      </c>
      <c r="AF86" s="72">
        <v>128.69999999999999</v>
      </c>
      <c r="AG86" s="100"/>
      <c r="AH86" s="53">
        <f t="shared" si="13"/>
        <v>130</v>
      </c>
      <c r="AI86" s="54">
        <f t="shared" si="14"/>
        <v>122.3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ht="15.75" x14ac:dyDescent="0.25">
      <c r="A87" s="97" t="s">
        <v>92</v>
      </c>
      <c r="B87" s="98">
        <v>130.4</v>
      </c>
      <c r="C87" s="98">
        <v>130.4</v>
      </c>
      <c r="D87" s="98">
        <v>130.4</v>
      </c>
      <c r="E87" s="72">
        <v>132</v>
      </c>
      <c r="F87" s="72">
        <v>132</v>
      </c>
      <c r="G87" s="72">
        <v>133</v>
      </c>
      <c r="H87" s="72">
        <v>129</v>
      </c>
      <c r="I87" s="72">
        <v>129</v>
      </c>
      <c r="J87" s="72">
        <v>127</v>
      </c>
      <c r="K87" s="72">
        <v>127</v>
      </c>
      <c r="L87" s="72">
        <v>127</v>
      </c>
      <c r="M87" s="72">
        <v>129.69999999999999</v>
      </c>
      <c r="N87" s="72">
        <v>127.7</v>
      </c>
      <c r="O87" s="72">
        <v>127</v>
      </c>
      <c r="P87" s="72">
        <v>129.19999999999999</v>
      </c>
      <c r="Q87" s="72">
        <v>130.80000000000001</v>
      </c>
      <c r="R87" s="72">
        <v>128.80000000000001</v>
      </c>
      <c r="S87" s="72">
        <v>127.9</v>
      </c>
      <c r="T87" s="72">
        <v>130</v>
      </c>
      <c r="U87" s="72">
        <v>129.4</v>
      </c>
      <c r="V87" s="72">
        <v>131</v>
      </c>
      <c r="W87" s="72">
        <v>129</v>
      </c>
      <c r="X87" s="99">
        <v>131.30000000000001</v>
      </c>
      <c r="Y87" s="187">
        <v>130.69999999999999</v>
      </c>
      <c r="Z87" s="99">
        <v>128</v>
      </c>
      <c r="AA87" s="99">
        <v>131</v>
      </c>
      <c r="AB87" s="72">
        <v>131.4</v>
      </c>
      <c r="AC87" s="72">
        <v>131</v>
      </c>
      <c r="AD87" s="72">
        <v>132</v>
      </c>
      <c r="AE87" s="72">
        <v>130.6</v>
      </c>
      <c r="AF87" s="72">
        <v>128.5</v>
      </c>
      <c r="AG87" s="100"/>
      <c r="AH87" s="53">
        <f t="shared" si="13"/>
        <v>133</v>
      </c>
      <c r="AI87" s="54">
        <f t="shared" si="14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ht="15.75" x14ac:dyDescent="0.25">
      <c r="A88" s="101" t="s">
        <v>93</v>
      </c>
      <c r="B88" s="98">
        <v>134.1</v>
      </c>
      <c r="C88" s="98">
        <v>134.1</v>
      </c>
      <c r="D88" s="98">
        <v>135</v>
      </c>
      <c r="E88" s="72">
        <v>134</v>
      </c>
      <c r="F88" s="72">
        <v>134</v>
      </c>
      <c r="G88" s="72">
        <v>135</v>
      </c>
      <c r="H88" s="72">
        <v>133</v>
      </c>
      <c r="I88" s="72">
        <v>133</v>
      </c>
      <c r="J88" s="72">
        <v>130</v>
      </c>
      <c r="K88" s="72">
        <v>130</v>
      </c>
      <c r="L88" s="72">
        <v>130</v>
      </c>
      <c r="M88" s="72">
        <v>132.19999999999999</v>
      </c>
      <c r="N88" s="72">
        <v>130.69999999999999</v>
      </c>
      <c r="O88" s="72">
        <v>129.9</v>
      </c>
      <c r="P88" s="72">
        <v>132.30000000000001</v>
      </c>
      <c r="Q88" s="72">
        <v>133</v>
      </c>
      <c r="R88" s="72">
        <v>131.5</v>
      </c>
      <c r="S88" s="72">
        <v>130.69999999999999</v>
      </c>
      <c r="T88" s="72">
        <v>129.6</v>
      </c>
      <c r="U88" s="72">
        <v>131.30000000000001</v>
      </c>
      <c r="V88" s="72">
        <v>131.6</v>
      </c>
      <c r="W88" s="72">
        <v>129</v>
      </c>
      <c r="X88" s="99">
        <v>135</v>
      </c>
      <c r="Y88" s="187">
        <v>132.9</v>
      </c>
      <c r="Z88" s="99">
        <v>133.30000000000001</v>
      </c>
      <c r="AA88" s="99">
        <v>134</v>
      </c>
      <c r="AB88" s="72">
        <v>135.30000000000001</v>
      </c>
      <c r="AC88" s="72">
        <v>135.69999999999999</v>
      </c>
      <c r="AD88" s="72">
        <v>134.6</v>
      </c>
      <c r="AE88" s="72">
        <v>132.80000000000001</v>
      </c>
      <c r="AF88" s="72">
        <v>131.30000000000001</v>
      </c>
      <c r="AG88" s="100"/>
      <c r="AH88" s="53">
        <f t="shared" si="13"/>
        <v>135.69999999999999</v>
      </c>
      <c r="AI88" s="54">
        <f t="shared" si="14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ht="15.75" x14ac:dyDescent="0.25">
      <c r="A89" s="101" t="s">
        <v>94</v>
      </c>
      <c r="B89" s="102">
        <v>128.80000000000001</v>
      </c>
      <c r="C89" s="102">
        <v>128.80000000000001</v>
      </c>
      <c r="D89" s="102">
        <v>129.80000000000001</v>
      </c>
      <c r="E89" s="103">
        <v>127</v>
      </c>
      <c r="F89" s="103">
        <v>127</v>
      </c>
      <c r="G89" s="103">
        <v>129</v>
      </c>
      <c r="H89" s="103">
        <v>130</v>
      </c>
      <c r="I89" s="103">
        <v>130</v>
      </c>
      <c r="J89" s="103">
        <v>130</v>
      </c>
      <c r="K89" s="103">
        <v>130</v>
      </c>
      <c r="L89" s="103">
        <v>130</v>
      </c>
      <c r="M89" s="103">
        <v>134.5</v>
      </c>
      <c r="N89" s="103">
        <v>132.1</v>
      </c>
      <c r="O89" s="103">
        <v>135.4</v>
      </c>
      <c r="P89" s="103">
        <v>131.6</v>
      </c>
      <c r="Q89" s="103">
        <v>132.4</v>
      </c>
      <c r="R89" s="103">
        <v>130.4</v>
      </c>
      <c r="S89" s="103">
        <v>131.5</v>
      </c>
      <c r="T89" s="103">
        <v>132</v>
      </c>
      <c r="U89" s="103">
        <v>134.5</v>
      </c>
      <c r="V89" s="103">
        <v>135</v>
      </c>
      <c r="W89" s="103">
        <v>136</v>
      </c>
      <c r="X89" s="99">
        <v>13</v>
      </c>
      <c r="Y89" s="187">
        <v>134.80000000000001</v>
      </c>
      <c r="Z89" s="99">
        <v>134.30000000000001</v>
      </c>
      <c r="AA89" s="99">
        <v>134</v>
      </c>
      <c r="AB89" s="103">
        <v>135.19999999999999</v>
      </c>
      <c r="AC89" s="103">
        <v>134.1</v>
      </c>
      <c r="AD89" s="103">
        <v>132.6</v>
      </c>
      <c r="AE89" s="103">
        <v>132</v>
      </c>
      <c r="AF89" s="103">
        <v>127.5</v>
      </c>
      <c r="AG89" s="104"/>
      <c r="AH89" s="53">
        <f t="shared" si="13"/>
        <v>136</v>
      </c>
      <c r="AI89" s="54">
        <f t="shared" si="14"/>
        <v>13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ht="15.75" x14ac:dyDescent="0.25">
      <c r="A90" s="97" t="s">
        <v>95</v>
      </c>
      <c r="B90" s="98">
        <v>136.5</v>
      </c>
      <c r="C90" s="98">
        <v>136.5</v>
      </c>
      <c r="D90" s="98">
        <v>138.6</v>
      </c>
      <c r="E90" s="72">
        <v>137</v>
      </c>
      <c r="F90" s="72">
        <v>137</v>
      </c>
      <c r="G90" s="72">
        <v>135</v>
      </c>
      <c r="H90" s="72">
        <v>135</v>
      </c>
      <c r="I90" s="72">
        <v>134</v>
      </c>
      <c r="J90" s="72">
        <v>134</v>
      </c>
      <c r="K90" s="72">
        <v>134</v>
      </c>
      <c r="L90" s="72">
        <v>129</v>
      </c>
      <c r="M90" s="72">
        <v>133.4</v>
      </c>
      <c r="N90" s="72">
        <v>135.19999999999999</v>
      </c>
      <c r="O90" s="72">
        <v>128.5</v>
      </c>
      <c r="P90" s="72">
        <v>133.5</v>
      </c>
      <c r="Q90" s="72">
        <v>128</v>
      </c>
      <c r="R90" s="72">
        <v>129.6</v>
      </c>
      <c r="S90" s="72">
        <v>130.4</v>
      </c>
      <c r="T90" s="72">
        <v>131</v>
      </c>
      <c r="U90" s="72">
        <v>129.9</v>
      </c>
      <c r="V90" s="72">
        <v>132</v>
      </c>
      <c r="W90" s="72">
        <v>133.6</v>
      </c>
      <c r="X90" s="99">
        <v>132.69999999999999</v>
      </c>
      <c r="Y90" s="188">
        <v>130</v>
      </c>
      <c r="Z90" s="99">
        <v>130.6</v>
      </c>
      <c r="AA90" s="99">
        <v>131</v>
      </c>
      <c r="AB90" s="72">
        <v>133.19999999999999</v>
      </c>
      <c r="AC90" s="72">
        <v>137.1</v>
      </c>
      <c r="AD90" s="72">
        <v>134.80000000000001</v>
      </c>
      <c r="AE90" s="72">
        <v>133.9</v>
      </c>
      <c r="AF90" s="72">
        <v>135.69999999999999</v>
      </c>
      <c r="AG90" s="100"/>
      <c r="AH90" s="53">
        <f t="shared" si="13"/>
        <v>138.6</v>
      </c>
      <c r="AI90" s="54">
        <f t="shared" si="14"/>
        <v>128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204.23999999999998</v>
      </c>
      <c r="C93" s="113">
        <f>SUM(C15,C18,C21:C22,C42,C44:C45,C47,C49,C94:C97,C102,C108,C114,C123,C125,C137,C144,C147:C148,C155,C157,C159,C163:C165,C167:C169,C174,C180:C181,C183:C185,C193,C198)</f>
        <v>192.73999999999998</v>
      </c>
      <c r="D93" s="113">
        <f t="shared" ref="D93:AF93" si="21">SUM(D15,D18,D21:D22,D42,D44:D45,D47,D49,D94:D97,D102,D108,D114,D123,D125,D137,D144,D147:D148,D155,D157,D159,D163:D165,D167:D169,D174,D180:D181,D183:D185,D193,D198)</f>
        <v>185.53999999999996</v>
      </c>
      <c r="E93" s="113">
        <f t="shared" si="21"/>
        <v>184.33999999999997</v>
      </c>
      <c r="F93" s="113">
        <f t="shared" si="21"/>
        <v>185.03999999999996</v>
      </c>
      <c r="G93" s="112">
        <f t="shared" si="21"/>
        <v>199.03999999999996</v>
      </c>
      <c r="H93" s="112">
        <f t="shared" si="21"/>
        <v>225.33999999999997</v>
      </c>
      <c r="I93" s="112">
        <f t="shared" si="21"/>
        <v>223.93999999999997</v>
      </c>
      <c r="J93" s="112">
        <f t="shared" si="21"/>
        <v>293.44000000000005</v>
      </c>
      <c r="K93" s="112">
        <f t="shared" si="21"/>
        <v>350.54</v>
      </c>
      <c r="L93" s="112">
        <f t="shared" si="21"/>
        <v>427.34000000000003</v>
      </c>
      <c r="M93" s="112">
        <f t="shared" si="21"/>
        <v>452.84000000000003</v>
      </c>
      <c r="N93" s="112">
        <f t="shared" si="21"/>
        <v>447.34000000000003</v>
      </c>
      <c r="O93" s="112">
        <f t="shared" si="21"/>
        <v>470.34</v>
      </c>
      <c r="P93" s="112">
        <f t="shared" si="21"/>
        <v>504.44000000000005</v>
      </c>
      <c r="Q93" s="112">
        <f t="shared" si="21"/>
        <v>485.34000000000003</v>
      </c>
      <c r="R93" s="112">
        <f t="shared" si="21"/>
        <v>451.84000000000003</v>
      </c>
      <c r="S93" s="112">
        <f t="shared" si="21"/>
        <v>418.34000000000003</v>
      </c>
      <c r="T93" s="112">
        <f t="shared" si="21"/>
        <v>410.44000000000005</v>
      </c>
      <c r="U93" s="112">
        <f t="shared" si="21"/>
        <v>419.53999999999996</v>
      </c>
      <c r="V93" s="112">
        <f t="shared" si="21"/>
        <v>444.64</v>
      </c>
      <c r="W93" s="112">
        <f t="shared" si="21"/>
        <v>474.34000000000003</v>
      </c>
      <c r="X93" s="112">
        <f t="shared" si="21"/>
        <v>507.1400000000001</v>
      </c>
      <c r="Y93" s="112">
        <f t="shared" si="21"/>
        <v>531.54000000000008</v>
      </c>
      <c r="Z93" s="112">
        <f t="shared" si="21"/>
        <v>533.93999999999994</v>
      </c>
      <c r="AA93" s="112">
        <f t="shared" si="21"/>
        <v>520.63999999999987</v>
      </c>
      <c r="AB93" s="112">
        <f t="shared" si="21"/>
        <v>504.94000000000005</v>
      </c>
      <c r="AC93" s="112">
        <f t="shared" si="21"/>
        <v>492.34000000000003</v>
      </c>
      <c r="AD93" s="112">
        <f t="shared" si="21"/>
        <v>449.94000000000005</v>
      </c>
      <c r="AE93" s="112">
        <f t="shared" si="21"/>
        <v>338.14000000000004</v>
      </c>
      <c r="AF93" s="112">
        <f t="shared" si="21"/>
        <v>259.54000000000008</v>
      </c>
      <c r="AG93" s="114"/>
      <c r="AH93" s="53">
        <f>MAX(C93:AF93)</f>
        <v>533.93999999999994</v>
      </c>
      <c r="AI93" s="54">
        <f>MIN(C93:AF93)</f>
        <v>184.33999999999997</v>
      </c>
    </row>
    <row r="94" spans="1:88" x14ac:dyDescent="0.25">
      <c r="A94" s="115" t="s">
        <v>98</v>
      </c>
      <c r="B94" s="116">
        <v>-29.8</v>
      </c>
      <c r="C94" s="57">
        <v>-31.2</v>
      </c>
      <c r="D94" s="57">
        <v>-26.8</v>
      </c>
      <c r="E94" s="57">
        <v>-25</v>
      </c>
      <c r="F94" s="57">
        <v>-13</v>
      </c>
      <c r="G94" s="117">
        <v>-14</v>
      </c>
      <c r="H94" s="117">
        <v>-10</v>
      </c>
      <c r="I94" s="117">
        <v>-15.4</v>
      </c>
      <c r="J94" s="117">
        <v>8.1</v>
      </c>
      <c r="K94" s="117">
        <v>39.6</v>
      </c>
      <c r="L94" s="117">
        <v>69</v>
      </c>
      <c r="M94" s="118">
        <v>66.2</v>
      </c>
      <c r="N94" s="117">
        <v>57.5</v>
      </c>
      <c r="O94" s="117">
        <v>51.8</v>
      </c>
      <c r="P94" s="117">
        <v>67.400000000000006</v>
      </c>
      <c r="Q94" s="117">
        <v>60.1</v>
      </c>
      <c r="R94" s="117">
        <v>42.5</v>
      </c>
      <c r="S94" s="117">
        <v>29.8</v>
      </c>
      <c r="T94" s="117">
        <v>16.8</v>
      </c>
      <c r="U94" s="118">
        <v>16.3</v>
      </c>
      <c r="V94" s="118">
        <v>41.7</v>
      </c>
      <c r="W94" s="118">
        <v>58.4</v>
      </c>
      <c r="X94" s="117">
        <v>64.599999999999994</v>
      </c>
      <c r="Y94" s="117">
        <v>63.5</v>
      </c>
      <c r="Z94" s="117">
        <v>68.7</v>
      </c>
      <c r="AA94" s="117">
        <v>71.400000000000006</v>
      </c>
      <c r="AB94" s="118">
        <v>77.400000000000006</v>
      </c>
      <c r="AC94" s="118">
        <v>63.4</v>
      </c>
      <c r="AD94" s="118">
        <v>38.9</v>
      </c>
      <c r="AE94" s="118">
        <v>5.8</v>
      </c>
      <c r="AF94" s="118">
        <v>-5.2</v>
      </c>
      <c r="AG94" s="119">
        <v>75</v>
      </c>
      <c r="AH94" s="53">
        <f t="shared" ref="AH94:AH99" si="22">IF(ABS(MAX(C94:AF94))&gt;ABS(MIN(C94:AF94)),MAX(C94:AF94),MIN(C94:AF94))</f>
        <v>77.400000000000006</v>
      </c>
      <c r="AI94" s="120">
        <f t="shared" ref="AI94:AI99" si="23">INDEX($C$9:$AF$9,1,MATCH(AH94,C94:AF94,0))</f>
        <v>0.83333333333333337</v>
      </c>
    </row>
    <row r="95" spans="1:88" x14ac:dyDescent="0.25">
      <c r="A95" s="121" t="s">
        <v>99</v>
      </c>
      <c r="B95" s="122">
        <v>-42.5</v>
      </c>
      <c r="C95" s="59">
        <v>-50</v>
      </c>
      <c r="D95" s="59">
        <v>-48.9</v>
      </c>
      <c r="E95" s="59">
        <v>-53</v>
      </c>
      <c r="F95" s="59">
        <v>-55</v>
      </c>
      <c r="G95" s="59">
        <v>-47</v>
      </c>
      <c r="H95" s="59">
        <v>-26</v>
      </c>
      <c r="I95" s="59">
        <v>-16</v>
      </c>
      <c r="J95" s="59">
        <v>10</v>
      </c>
      <c r="K95" s="59">
        <v>26</v>
      </c>
      <c r="L95" s="59">
        <v>49</v>
      </c>
      <c r="M95" s="59">
        <v>56.7</v>
      </c>
      <c r="N95" s="59">
        <v>58.9</v>
      </c>
      <c r="O95" s="59">
        <v>71.599999999999994</v>
      </c>
      <c r="P95" s="59">
        <v>84.6</v>
      </c>
      <c r="Q95" s="59">
        <v>80.7</v>
      </c>
      <c r="R95" s="59">
        <v>71.099999999999994</v>
      </c>
      <c r="S95" s="59">
        <v>58.4</v>
      </c>
      <c r="T95" s="59">
        <v>65</v>
      </c>
      <c r="U95" s="59">
        <v>68.3</v>
      </c>
      <c r="V95" s="59">
        <v>65.099999999999994</v>
      </c>
      <c r="W95" s="59">
        <v>90</v>
      </c>
      <c r="X95" s="59">
        <v>100</v>
      </c>
      <c r="Y95" s="59">
        <v>110</v>
      </c>
      <c r="Z95" s="59">
        <v>104.6</v>
      </c>
      <c r="AA95" s="59">
        <v>91.2</v>
      </c>
      <c r="AB95" s="72">
        <v>78.8</v>
      </c>
      <c r="AC95" s="72">
        <v>74.099999999999994</v>
      </c>
      <c r="AD95" s="72">
        <v>65</v>
      </c>
      <c r="AE95" s="72">
        <v>25</v>
      </c>
      <c r="AF95" s="72">
        <v>-20</v>
      </c>
      <c r="AG95" s="119">
        <v>240</v>
      </c>
      <c r="AH95" s="53">
        <f t="shared" si="22"/>
        <v>110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12.3</v>
      </c>
      <c r="C96" s="59">
        <v>12.4</v>
      </c>
      <c r="D96" s="59">
        <v>12.3</v>
      </c>
      <c r="E96" s="59">
        <v>12.3</v>
      </c>
      <c r="F96" s="59">
        <v>12</v>
      </c>
      <c r="G96" s="59">
        <v>12</v>
      </c>
      <c r="H96" s="59">
        <v>-6</v>
      </c>
      <c r="I96" s="59">
        <v>-7</v>
      </c>
      <c r="J96" s="59">
        <v>0</v>
      </c>
      <c r="K96" s="59">
        <v>9</v>
      </c>
      <c r="L96" s="59">
        <v>38</v>
      </c>
      <c r="M96" s="59">
        <v>46.3</v>
      </c>
      <c r="N96" s="59">
        <v>48.4</v>
      </c>
      <c r="O96" s="59">
        <v>45.5</v>
      </c>
      <c r="P96" s="59">
        <v>58.1</v>
      </c>
      <c r="Q96" s="59">
        <v>53.6</v>
      </c>
      <c r="R96" s="59">
        <v>49.2</v>
      </c>
      <c r="S96" s="59">
        <v>40.6</v>
      </c>
      <c r="T96" s="59">
        <v>45.7</v>
      </c>
      <c r="U96" s="59">
        <v>43.9</v>
      </c>
      <c r="V96" s="59">
        <v>52</v>
      </c>
      <c r="W96" s="59">
        <v>62.3</v>
      </c>
      <c r="X96" s="59">
        <v>62.1</v>
      </c>
      <c r="Y96" s="59">
        <v>68.099999999999994</v>
      </c>
      <c r="Z96" s="59">
        <v>63.4</v>
      </c>
      <c r="AA96" s="59">
        <v>64.5</v>
      </c>
      <c r="AB96" s="72">
        <v>62.7</v>
      </c>
      <c r="AC96" s="72">
        <v>60</v>
      </c>
      <c r="AD96" s="72">
        <v>50.2</v>
      </c>
      <c r="AE96" s="72">
        <v>21.4</v>
      </c>
      <c r="AF96" s="72">
        <v>1.3</v>
      </c>
      <c r="AG96" s="119">
        <v>60</v>
      </c>
      <c r="AH96" s="53">
        <f t="shared" si="22"/>
        <v>68.099999999999994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90.4</v>
      </c>
      <c r="C97" s="62">
        <v>87.7</v>
      </c>
      <c r="D97" s="62">
        <v>76.900000000000006</v>
      </c>
      <c r="E97" s="62">
        <v>78</v>
      </c>
      <c r="F97" s="62">
        <v>69</v>
      </c>
      <c r="G97" s="62">
        <v>76</v>
      </c>
      <c r="H97" s="62">
        <v>95</v>
      </c>
      <c r="I97" s="62">
        <v>90</v>
      </c>
      <c r="J97" s="62">
        <v>103</v>
      </c>
      <c r="K97" s="62">
        <v>104</v>
      </c>
      <c r="L97" s="62">
        <v>99</v>
      </c>
      <c r="M97" s="62">
        <v>110.8</v>
      </c>
      <c r="N97" s="62">
        <v>110.3</v>
      </c>
      <c r="O97" s="62">
        <v>129.19999999999999</v>
      </c>
      <c r="P97" s="62">
        <v>123.9</v>
      </c>
      <c r="Q97" s="62">
        <v>120.5</v>
      </c>
      <c r="R97" s="62">
        <v>118.5</v>
      </c>
      <c r="S97" s="62">
        <v>119</v>
      </c>
      <c r="T97" s="62">
        <v>112.4</v>
      </c>
      <c r="U97" s="62">
        <v>116.6</v>
      </c>
      <c r="V97" s="62">
        <v>111.4</v>
      </c>
      <c r="W97" s="62">
        <v>93.2</v>
      </c>
      <c r="X97" s="62">
        <v>109.4</v>
      </c>
      <c r="Y97" s="62">
        <v>110</v>
      </c>
      <c r="Z97" s="62">
        <v>117.3</v>
      </c>
      <c r="AA97" s="62">
        <v>113.6</v>
      </c>
      <c r="AB97" s="125">
        <v>106.1</v>
      </c>
      <c r="AC97" s="125">
        <v>113.1</v>
      </c>
      <c r="AD97" s="125">
        <v>113.6</v>
      </c>
      <c r="AE97" s="125">
        <v>99.9</v>
      </c>
      <c r="AF97" s="125">
        <v>97.7</v>
      </c>
      <c r="AG97" s="126">
        <v>120</v>
      </c>
      <c r="AH97" s="53">
        <f t="shared" si="22"/>
        <v>129.19999999999999</v>
      </c>
      <c r="AI97" s="120">
        <f t="shared" si="23"/>
        <v>0.41666666666666702</v>
      </c>
    </row>
    <row r="98" spans="1:37" x14ac:dyDescent="0.25">
      <c r="A98" s="123" t="s">
        <v>102</v>
      </c>
      <c r="B98" s="124">
        <v>94.8</v>
      </c>
      <c r="C98" s="62">
        <v>96.8</v>
      </c>
      <c r="D98" s="62">
        <v>83.5</v>
      </c>
      <c r="E98" s="62">
        <v>84</v>
      </c>
      <c r="F98" s="62">
        <v>76</v>
      </c>
      <c r="G98" s="62">
        <v>82</v>
      </c>
      <c r="H98" s="62">
        <v>96</v>
      </c>
      <c r="I98" s="62">
        <v>88</v>
      </c>
      <c r="J98" s="62">
        <v>85</v>
      </c>
      <c r="K98" s="62">
        <v>78</v>
      </c>
      <c r="L98" s="62">
        <v>68</v>
      </c>
      <c r="M98" s="62">
        <v>67.400000000000006</v>
      </c>
      <c r="N98" s="62">
        <v>71.2</v>
      </c>
      <c r="O98" s="62">
        <v>94.5</v>
      </c>
      <c r="P98" s="62">
        <v>87.3</v>
      </c>
      <c r="Q98" s="62">
        <v>87.6</v>
      </c>
      <c r="R98" s="62">
        <v>87.4</v>
      </c>
      <c r="S98" s="62">
        <v>91.5</v>
      </c>
      <c r="T98" s="62">
        <v>91.4</v>
      </c>
      <c r="U98" s="62">
        <v>91.5</v>
      </c>
      <c r="V98" s="62">
        <v>70.2</v>
      </c>
      <c r="W98" s="62">
        <v>92.3</v>
      </c>
      <c r="X98" s="62">
        <v>100</v>
      </c>
      <c r="Y98" s="62">
        <v>108</v>
      </c>
      <c r="Z98" s="62">
        <v>103</v>
      </c>
      <c r="AA98" s="62">
        <v>87.2</v>
      </c>
      <c r="AB98" s="125">
        <v>67.599999999999994</v>
      </c>
      <c r="AC98" s="125">
        <v>75.2</v>
      </c>
      <c r="AD98" s="125">
        <v>81</v>
      </c>
      <c r="AE98" s="125">
        <v>83.5</v>
      </c>
      <c r="AF98" s="125">
        <v>99.1</v>
      </c>
      <c r="AG98" s="126"/>
      <c r="AH98" s="53">
        <f t="shared" si="22"/>
        <v>108</v>
      </c>
      <c r="AI98" s="120">
        <f t="shared" si="23"/>
        <v>0.77083333333333337</v>
      </c>
    </row>
    <row r="99" spans="1:37" ht="15.75" thickBot="1" x14ac:dyDescent="0.3">
      <c r="A99" s="123" t="s">
        <v>103</v>
      </c>
      <c r="B99" s="124">
        <v>71.900000000000006</v>
      </c>
      <c r="C99" s="62">
        <v>74.5</v>
      </c>
      <c r="D99" s="62">
        <v>69.900000000000006</v>
      </c>
      <c r="E99" s="62">
        <v>68</v>
      </c>
      <c r="F99" s="62">
        <v>64</v>
      </c>
      <c r="G99" s="62">
        <v>64</v>
      </c>
      <c r="H99" s="62">
        <v>72</v>
      </c>
      <c r="I99" s="62">
        <v>28</v>
      </c>
      <c r="J99" s="62">
        <v>43</v>
      </c>
      <c r="K99" s="62">
        <v>29</v>
      </c>
      <c r="L99" s="62">
        <v>3.4</v>
      </c>
      <c r="M99" s="62">
        <v>8.3000000000000007</v>
      </c>
      <c r="N99" s="62">
        <v>16.3</v>
      </c>
      <c r="O99" s="62">
        <v>22.8</v>
      </c>
      <c r="P99" s="62">
        <v>14.4</v>
      </c>
      <c r="Q99" s="62">
        <v>7.4</v>
      </c>
      <c r="R99" s="62">
        <v>19.899999999999999</v>
      </c>
      <c r="S99" s="62">
        <v>29.5</v>
      </c>
      <c r="T99" s="62">
        <v>38.799999999999997</v>
      </c>
      <c r="U99" s="62">
        <v>33.700000000000003</v>
      </c>
      <c r="V99" s="62">
        <v>27.5</v>
      </c>
      <c r="W99" s="62">
        <v>12.8</v>
      </c>
      <c r="X99" s="62">
        <v>15.9</v>
      </c>
      <c r="Y99" s="62">
        <v>16.3</v>
      </c>
      <c r="Z99" s="62">
        <v>14.1</v>
      </c>
      <c r="AA99" s="62">
        <v>16.5</v>
      </c>
      <c r="AB99" s="125">
        <v>8.8000000000000007</v>
      </c>
      <c r="AC99" s="125">
        <v>20.8</v>
      </c>
      <c r="AD99" s="125">
        <v>33.9</v>
      </c>
      <c r="AE99" s="125">
        <v>55.4</v>
      </c>
      <c r="AF99" s="125">
        <v>70</v>
      </c>
      <c r="AG99" s="127"/>
      <c r="AH99" s="53">
        <f t="shared" si="22"/>
        <v>74.5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1517.14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2078/10/12)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921.94</v>
      </c>
      <c r="U213" s="173">
        <f t="shared" si="60"/>
        <v>908.54</v>
      </c>
      <c r="V213" s="173">
        <f t="shared" si="60"/>
        <v>886.24</v>
      </c>
      <c r="W213" s="173">
        <f t="shared" si="60"/>
        <v>898.24</v>
      </c>
      <c r="X213" s="173">
        <f t="shared" si="60"/>
        <v>883.54</v>
      </c>
      <c r="Y213" s="173">
        <f t="shared" si="60"/>
        <v>903.24</v>
      </c>
      <c r="Z213" s="173">
        <f t="shared" si="60"/>
        <v>999.54</v>
      </c>
      <c r="AA213" s="173">
        <f t="shared" si="60"/>
        <v>1062.04</v>
      </c>
      <c r="AB213" s="173">
        <f t="shared" si="60"/>
        <v>1173.04</v>
      </c>
      <c r="AC213" s="173">
        <f t="shared" si="60"/>
        <v>1270.6399999999999</v>
      </c>
      <c r="AD213" s="173">
        <f t="shared" si="60"/>
        <v>1424.44</v>
      </c>
      <c r="AE213" s="173">
        <f t="shared" si="60"/>
        <v>1502.94</v>
      </c>
      <c r="AF213" s="173">
        <f t="shared" si="60"/>
        <v>1517.14</v>
      </c>
      <c r="AG213" s="173">
        <f t="shared" si="60"/>
        <v>1489.14</v>
      </c>
      <c r="AH213" s="173">
        <f t="shared" si="60"/>
        <v>1501.44</v>
      </c>
      <c r="AI213" s="173">
        <f t="shared" si="60"/>
        <v>1425.54</v>
      </c>
      <c r="AJ213" s="173">
        <f t="shared" si="60"/>
        <v>1328.6399999999999</v>
      </c>
      <c r="AK213" s="173">
        <f t="shared" si="60"/>
        <v>1345.3399999999997</v>
      </c>
      <c r="AL213" s="173">
        <f t="shared" si="60"/>
        <v>1350.44</v>
      </c>
      <c r="AM213" s="173">
        <f t="shared" si="60"/>
        <v>1312.84</v>
      </c>
      <c r="AN213" s="173">
        <f t="shared" si="60"/>
        <v>1350.3400000000001</v>
      </c>
      <c r="AO213" s="173">
        <f t="shared" si="60"/>
        <v>1486.64</v>
      </c>
      <c r="AP213" s="173">
        <f t="shared" si="60"/>
        <v>1604.14</v>
      </c>
      <c r="AQ213" s="173">
        <f t="shared" si="60"/>
        <v>1648.3400000000001</v>
      </c>
      <c r="AR213" s="173">
        <f t="shared" si="60"/>
        <v>1624.1400000000003</v>
      </c>
      <c r="AS213" s="173">
        <f t="shared" si="60"/>
        <v>1569.8400000000001</v>
      </c>
      <c r="AT213" s="173">
        <f t="shared" si="60"/>
        <v>1507.6399999999999</v>
      </c>
      <c r="AU213" s="173">
        <f t="shared" si="60"/>
        <v>1470.8400000000001</v>
      </c>
      <c r="AV213" s="173">
        <f t="shared" si="60"/>
        <v>1394.54</v>
      </c>
      <c r="AW213" s="173">
        <f t="shared" si="60"/>
        <v>1154.74</v>
      </c>
      <c r="AX213" s="173">
        <f t="shared" si="60"/>
        <v>1031.54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M37:R37 C57:L59 P39:R39 M39:O42 P40:Q42 R42 M12:R14 P16 R40:T41 M58:W59 X91:AA91 AB81:AF81 B81:R81 C56:AF56 B82:AF83 D193:AF199 B193:B199 C68:AF72 AB84:AF91 B84:B91 M53:X55 B73:AF80 B9:AF10 B191:AF191 AF57:AF67 B53:B72 AG73 AB94:AF99 B94:B99 U212:AF212 C85:D90 J61:N61 J60:O60 C60:I61 C63:L67 N62:N67 O61:O67 R16 N45:R48 P60:R67 U40:Y42 Z53:AF55 X85:X90 Z85:AA90 M11:AE11 Z40:AE43 AA12:AE14 B36:AF36 S18:AF30 AF11:AF14">
    <cfRule type="expression" dxfId="8350" priority="328">
      <formula>B$9&gt;=20/24</formula>
    </cfRule>
    <cfRule type="expression" dxfId="8349" priority="329">
      <formula>AND(B$9&gt;=14/24,B$9&lt;20/24)</formula>
    </cfRule>
    <cfRule type="expression" dxfId="8348" priority="330">
      <formula>AND(B$9&gt;=8/24,B$9&lt;14/24)</formula>
    </cfRule>
    <cfRule type="expression" dxfId="8347" priority="331">
      <formula>B$9&lt;8/24</formula>
    </cfRule>
  </conditionalFormatting>
  <conditionalFormatting sqref="AL4:AL6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346" priority="323">
      <formula>M$9&gt;=20/24</formula>
    </cfRule>
    <cfRule type="expression" dxfId="8345" priority="324">
      <formula>AND(M$9&gt;=14/24,M$9&lt;20/24)</formula>
    </cfRule>
    <cfRule type="expression" dxfId="8344" priority="325">
      <formula>AND(M$9&gt;=8/24,M$9&lt;14/24)</formula>
    </cfRule>
    <cfRule type="expression" dxfId="8343" priority="326">
      <formula>M$9&lt;8/24</formula>
    </cfRule>
  </conditionalFormatting>
  <conditionalFormatting sqref="M43:R43">
    <cfRule type="expression" dxfId="8342" priority="319">
      <formula>M$9&gt;=20/24</formula>
    </cfRule>
    <cfRule type="expression" dxfId="8341" priority="320">
      <formula>AND(M$9&gt;=14/24,M$9&lt;20/24)</formula>
    </cfRule>
    <cfRule type="expression" dxfId="8340" priority="321">
      <formula>AND(M$9&gt;=8/24,M$9&lt;14/24)</formula>
    </cfRule>
    <cfRule type="expression" dxfId="8339" priority="322">
      <formula>M$9&lt;8/24</formula>
    </cfRule>
  </conditionalFormatting>
  <conditionalFormatting sqref="S39:AE39">
    <cfRule type="expression" dxfId="8338" priority="311">
      <formula>S$9&gt;=20/24</formula>
    </cfRule>
    <cfRule type="expression" dxfId="8337" priority="312">
      <formula>AND(S$9&gt;=14/24,S$9&lt;20/24)</formula>
    </cfRule>
    <cfRule type="expression" dxfId="8336" priority="313">
      <formula>AND(S$9&gt;=8/24,S$9&lt;14/24)</formula>
    </cfRule>
    <cfRule type="expression" dxfId="8335" priority="314">
      <formula>S$9&lt;8/24</formula>
    </cfRule>
  </conditionalFormatting>
  <conditionalFormatting sqref="S57:X57 Z57:AE57">
    <cfRule type="expression" dxfId="8334" priority="307">
      <formula>S$9&gt;=20/24</formula>
    </cfRule>
    <cfRule type="expression" dxfId="8333" priority="308">
      <formula>AND(S$9&gt;=14/24,S$9&lt;20/24)</formula>
    </cfRule>
    <cfRule type="expression" dxfId="8332" priority="309">
      <formula>AND(S$9&gt;=8/24,S$9&lt;14/24)</formula>
    </cfRule>
    <cfRule type="expression" dxfId="8331" priority="310">
      <formula>S$9&lt;8/24</formula>
    </cfRule>
  </conditionalFormatting>
  <conditionalFormatting sqref="S81:AA81">
    <cfRule type="expression" dxfId="8330" priority="303">
      <formula>S$9&gt;=20/24</formula>
    </cfRule>
    <cfRule type="expression" dxfId="8329" priority="304">
      <formula>AND(S$9&gt;=14/24,S$9&lt;20/24)</formula>
    </cfRule>
    <cfRule type="expression" dxfId="8328" priority="305">
      <formula>AND(S$9&gt;=8/24,S$9&lt;14/24)</formula>
    </cfRule>
    <cfRule type="expression" dxfId="8327" priority="306">
      <formula>S$9&lt;8/24</formula>
    </cfRule>
  </conditionalFormatting>
  <conditionalFormatting sqref="U84:X84 Z84:AA84">
    <cfRule type="expression" dxfId="8326" priority="299">
      <formula>U$9&gt;=20/24</formula>
    </cfRule>
    <cfRule type="expression" dxfId="8325" priority="300">
      <formula>AND(U$9&gt;=14/24,U$9&lt;20/24)</formula>
    </cfRule>
    <cfRule type="expression" dxfId="8324" priority="301">
      <formula>AND(U$9&gt;=8/24,U$9&lt;14/24)</formula>
    </cfRule>
    <cfRule type="expression" dxfId="8323" priority="302">
      <formula>U$9&lt;8/24</formula>
    </cfRule>
  </conditionalFormatting>
  <conditionalFormatting sqref="M49:W49">
    <cfRule type="expression" dxfId="8322" priority="291">
      <formula>M$9&gt;=20/24</formula>
    </cfRule>
    <cfRule type="expression" dxfId="8321" priority="292">
      <formula>AND(M$9&gt;=14/24,M$9&lt;20/24)</formula>
    </cfRule>
    <cfRule type="expression" dxfId="8320" priority="293">
      <formula>AND(M$9&gt;=8/24,M$9&lt;14/24)</formula>
    </cfRule>
    <cfRule type="expression" dxfId="8319" priority="294">
      <formula>M$9&lt;8/24</formula>
    </cfRule>
  </conditionalFormatting>
  <conditionalFormatting sqref="M50:R50">
    <cfRule type="expression" dxfId="8318" priority="287">
      <formula>M$9&gt;=20/24</formula>
    </cfRule>
    <cfRule type="expression" dxfId="8317" priority="288">
      <formula>AND(M$9&gt;=14/24,M$9&lt;20/24)</formula>
    </cfRule>
    <cfRule type="expression" dxfId="8316" priority="289">
      <formula>AND(M$9&gt;=8/24,M$9&lt;14/24)</formula>
    </cfRule>
    <cfRule type="expression" dxfId="8315" priority="290">
      <formula>M$9&lt;8/24</formula>
    </cfRule>
  </conditionalFormatting>
  <conditionalFormatting sqref="M45:R48">
    <cfRule type="expression" dxfId="8314" priority="283">
      <formula>M$9&gt;=20/24</formula>
    </cfRule>
    <cfRule type="expression" dxfId="8313" priority="284">
      <formula>AND(M$9&gt;=14/24,M$9&lt;20/24)</formula>
    </cfRule>
    <cfRule type="expression" dxfId="8312" priority="285">
      <formula>AND(M$9&gt;=8/24,M$9&lt;14/24)</formula>
    </cfRule>
    <cfRule type="expression" dxfId="8311" priority="286">
      <formula>M$9&lt;8/24</formula>
    </cfRule>
  </conditionalFormatting>
  <conditionalFormatting sqref="S37:AE37">
    <cfRule type="expression" dxfId="8310" priority="279">
      <formula>S$9&gt;=20/24</formula>
    </cfRule>
    <cfRule type="expression" dxfId="8309" priority="280">
      <formula>AND(S$9&gt;=14/24,S$9&lt;20/24)</formula>
    </cfRule>
    <cfRule type="expression" dxfId="8308" priority="281">
      <formula>AND(S$9&gt;=8/24,S$9&lt;14/24)</formula>
    </cfRule>
    <cfRule type="expression" dxfId="8307" priority="282">
      <formula>S$9&lt;8/24</formula>
    </cfRule>
  </conditionalFormatting>
  <conditionalFormatting sqref="S31:AF32 S35:AF35">
    <cfRule type="expression" dxfId="8306" priority="275">
      <formula>S$9&gt;=20/24</formula>
    </cfRule>
    <cfRule type="expression" dxfId="8305" priority="276">
      <formula>AND(S$9&gt;=14/24,S$9&lt;20/24)</formula>
    </cfRule>
    <cfRule type="expression" dxfId="8304" priority="277">
      <formula>AND(S$9&gt;=8/24,S$9&lt;14/24)</formula>
    </cfRule>
    <cfRule type="expression" dxfId="8303" priority="278">
      <formula>S$9&lt;8/24</formula>
    </cfRule>
  </conditionalFormatting>
  <conditionalFormatting sqref="S42:T43 U43:Y43 S45:AF48">
    <cfRule type="expression" dxfId="8302" priority="271">
      <formula>S$9&gt;=20/24</formula>
    </cfRule>
    <cfRule type="expression" dxfId="8301" priority="272">
      <formula>AND(S$9&gt;=14/24,S$9&lt;20/24)</formula>
    </cfRule>
    <cfRule type="expression" dxfId="8300" priority="273">
      <formula>AND(S$9&gt;=8/24,S$9&lt;14/24)</formula>
    </cfRule>
    <cfRule type="expression" dxfId="8299" priority="274">
      <formula>S$9&lt;8/24</formula>
    </cfRule>
  </conditionalFormatting>
  <conditionalFormatting sqref="S49:AF49">
    <cfRule type="expression" dxfId="8298" priority="267">
      <formula>S$9&gt;=20/24</formula>
    </cfRule>
    <cfRule type="expression" dxfId="8297" priority="268">
      <formula>AND(S$9&gt;=14/24,S$9&lt;20/24)</formula>
    </cfRule>
    <cfRule type="expression" dxfId="8296" priority="269">
      <formula>AND(S$9&gt;=8/24,S$9&lt;14/24)</formula>
    </cfRule>
    <cfRule type="expression" dxfId="8295" priority="270">
      <formula>S$9&lt;8/24</formula>
    </cfRule>
  </conditionalFormatting>
  <conditionalFormatting sqref="S50:AF50">
    <cfRule type="expression" dxfId="8294" priority="263">
      <formula>S$9&gt;=20/24</formula>
    </cfRule>
    <cfRule type="expression" dxfId="8293" priority="264">
      <formula>AND(S$9&gt;=14/24,S$9&lt;20/24)</formula>
    </cfRule>
    <cfRule type="expression" dxfId="8292" priority="265">
      <formula>AND(S$9&gt;=8/24,S$9&lt;14/24)</formula>
    </cfRule>
    <cfRule type="expression" dxfId="8291" priority="266">
      <formula>S$9&lt;8/24</formula>
    </cfRule>
  </conditionalFormatting>
  <conditionalFormatting sqref="X60:X67 S60:T67 Z60:AE61 AB62:AE67">
    <cfRule type="expression" dxfId="8290" priority="259">
      <formula>S$9&gt;=20/24</formula>
    </cfRule>
    <cfRule type="expression" dxfId="8289" priority="260">
      <formula>AND(S$9&gt;=14/24,S$9&lt;20/24)</formula>
    </cfRule>
    <cfRule type="expression" dxfId="8288" priority="261">
      <formula>AND(S$9&gt;=8/24,S$9&lt;14/24)</formula>
    </cfRule>
    <cfRule type="expression" dxfId="8287" priority="262">
      <formula>S$9&lt;8/24</formula>
    </cfRule>
  </conditionalFormatting>
  <conditionalFormatting sqref="C62:L62">
    <cfRule type="expression" dxfId="8286" priority="255">
      <formula>C$9&gt;=20/24</formula>
    </cfRule>
    <cfRule type="expression" dxfId="8285" priority="256">
      <formula>AND(C$9&gt;=14/24,C$9&lt;20/24)</formula>
    </cfRule>
    <cfRule type="expression" dxfId="8284" priority="257">
      <formula>AND(C$9&gt;=8/24,C$9&lt;14/24)</formula>
    </cfRule>
    <cfRule type="expression" dxfId="8283" priority="258">
      <formula>C$9&lt;8/24</formula>
    </cfRule>
  </conditionalFormatting>
  <conditionalFormatting sqref="U94:AA97">
    <cfRule type="expression" dxfId="8282" priority="251">
      <formula>U$9&gt;=20/24</formula>
    </cfRule>
    <cfRule type="expression" dxfId="8281" priority="252">
      <formula>AND(U$9&gt;=14/24,U$9&lt;20/24)</formula>
    </cfRule>
    <cfRule type="expression" dxfId="8280" priority="253">
      <formula>AND(U$9&gt;=8/24,U$9&lt;14/24)</formula>
    </cfRule>
    <cfRule type="expression" dxfId="8279" priority="254">
      <formula>U$9&lt;8/24</formula>
    </cfRule>
  </conditionalFormatting>
  <conditionalFormatting sqref="AG51 M12:R14 P16 B11:K32 L12:L32 B34:L35 R16 B56:AF56 B53:X55 Z53:AF55 L11:AE11 AA12:AE14 S18:AF32 AF11:AF14 S34:AF35 B36:AF52">
    <cfRule type="expression" dxfId="8278" priority="250">
      <formula>B11&gt;$AG11</formula>
    </cfRule>
  </conditionalFormatting>
  <conditionalFormatting sqref="A100:A156 A84:A97 A11:A14 A16:A32 A45:A72 A80:A82 A74:A78 A35:A43 A169:A199">
    <cfRule type="expression" dxfId="8277" priority="249">
      <formula>$AH11=0</formula>
    </cfRule>
  </conditionalFormatting>
  <conditionalFormatting sqref="U98:AA98">
    <cfRule type="expression" dxfId="8276" priority="245">
      <formula>U$9&gt;=20/24</formula>
    </cfRule>
    <cfRule type="expression" dxfId="8275" priority="246">
      <formula>AND(U$9&gt;=14/24,U$9&lt;20/24)</formula>
    </cfRule>
    <cfRule type="expression" dxfId="8274" priority="247">
      <formula>AND(U$9&gt;=8/24,U$9&lt;14/24)</formula>
    </cfRule>
    <cfRule type="expression" dxfId="8273" priority="248">
      <formula>U$9&lt;8/24</formula>
    </cfRule>
  </conditionalFormatting>
  <conditionalFormatting sqref="A98">
    <cfRule type="expression" dxfId="8272" priority="244">
      <formula>$AH98=0</formula>
    </cfRule>
  </conditionalFormatting>
  <conditionalFormatting sqref="M62:M67">
    <cfRule type="expression" dxfId="8271" priority="232">
      <formula>M$9&gt;=20/24</formula>
    </cfRule>
    <cfRule type="expression" dxfId="8270" priority="233">
      <formula>AND(M$9&gt;=14/24,M$9&lt;20/24)</formula>
    </cfRule>
    <cfRule type="expression" dxfId="8269" priority="234">
      <formula>AND(M$9&gt;=8/24,M$9&lt;14/24)</formula>
    </cfRule>
    <cfRule type="expression" dxfId="8268" priority="235">
      <formula>M$9&lt;8/24</formula>
    </cfRule>
  </conditionalFormatting>
  <conditionalFormatting sqref="AL32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8267" priority="219">
      <formula>S$9&gt;=20/24</formula>
    </cfRule>
    <cfRule type="expression" dxfId="8266" priority="220">
      <formula>AND(S$9&gt;=14/24,S$9&lt;20/24)</formula>
    </cfRule>
    <cfRule type="expression" dxfId="8265" priority="221">
      <formula>AND(S$9&gt;=8/24,S$9&lt;14/24)</formula>
    </cfRule>
    <cfRule type="expression" dxfId="8264" priority="222">
      <formula>S$9&lt;8/24</formula>
    </cfRule>
  </conditionalFormatting>
  <conditionalFormatting sqref="A34">
    <cfRule type="expression" dxfId="8263" priority="218">
      <formula>$AH34=0</formula>
    </cfRule>
  </conditionalFormatting>
  <conditionalFormatting sqref="A83">
    <cfRule type="expression" dxfId="8262" priority="217">
      <formula>$AH83=0</formula>
    </cfRule>
  </conditionalFormatting>
  <conditionalFormatting sqref="M15:P15 R15">
    <cfRule type="expression" dxfId="8261" priority="209">
      <formula>M$9&gt;=20/24</formula>
    </cfRule>
    <cfRule type="expression" dxfId="8260" priority="210">
      <formula>AND(M$9&gt;=14/24,M$9&lt;20/24)</formula>
    </cfRule>
    <cfRule type="expression" dxfId="8259" priority="211">
      <formula>AND(M$9&gt;=8/24,M$9&lt;14/24)</formula>
    </cfRule>
    <cfRule type="expression" dxfId="8258" priority="212">
      <formula>M$9&lt;8/24</formula>
    </cfRule>
  </conditionalFormatting>
  <conditionalFormatting sqref="M15:P15 R15">
    <cfRule type="expression" dxfId="8257" priority="208">
      <formula>M15&gt;$AG15</formula>
    </cfRule>
  </conditionalFormatting>
  <conditionalFormatting sqref="A15">
    <cfRule type="expression" dxfId="8256" priority="207">
      <formula>$AH15=0</formula>
    </cfRule>
  </conditionalFormatting>
  <conditionalFormatting sqref="A163:A168">
    <cfRule type="expression" dxfId="8255" priority="206">
      <formula>$AH163=0</formula>
    </cfRule>
  </conditionalFormatting>
  <conditionalFormatting sqref="A157:A162">
    <cfRule type="expression" dxfId="8254" priority="205">
      <formula>$AH157=0</formula>
    </cfRule>
  </conditionalFormatting>
  <conditionalFormatting sqref="Z44:AE44">
    <cfRule type="expression" dxfId="8253" priority="201">
      <formula>Z$9&gt;=20/24</formula>
    </cfRule>
    <cfRule type="expression" dxfId="8252" priority="202">
      <formula>AND(Z$9&gt;=14/24,Z$9&lt;20/24)</formula>
    </cfRule>
    <cfRule type="expression" dxfId="8251" priority="203">
      <formula>AND(Z$9&gt;=8/24,Z$9&lt;14/24)</formula>
    </cfRule>
    <cfRule type="expression" dxfId="8250" priority="204">
      <formula>Z$9&lt;8/24</formula>
    </cfRule>
  </conditionalFormatting>
  <conditionalFormatting sqref="M44:R44">
    <cfRule type="expression" dxfId="8249" priority="197">
      <formula>M$9&gt;=20/24</formula>
    </cfRule>
    <cfRule type="expression" dxfId="8248" priority="198">
      <formula>AND(M$9&gt;=14/24,M$9&lt;20/24)</formula>
    </cfRule>
    <cfRule type="expression" dxfId="8247" priority="199">
      <formula>AND(M$9&gt;=8/24,M$9&lt;14/24)</formula>
    </cfRule>
    <cfRule type="expression" dxfId="8246" priority="200">
      <formula>M$9&lt;8/24</formula>
    </cfRule>
  </conditionalFormatting>
  <conditionalFormatting sqref="S44:AD44">
    <cfRule type="expression" dxfId="8245" priority="193">
      <formula>S$9&gt;=20/24</formula>
    </cfRule>
    <cfRule type="expression" dxfId="8244" priority="194">
      <formula>AND(S$9&gt;=14/24,S$9&lt;20/24)</formula>
    </cfRule>
    <cfRule type="expression" dxfId="8243" priority="195">
      <formula>AND(S$9&gt;=8/24,S$9&lt;14/24)</formula>
    </cfRule>
    <cfRule type="expression" dxfId="8242" priority="196">
      <formula>S$9&lt;8/24</formula>
    </cfRule>
  </conditionalFormatting>
  <conditionalFormatting sqref="A44">
    <cfRule type="expression" dxfId="8241" priority="192">
      <formula>$AH44=0</formula>
    </cfRule>
  </conditionalFormatting>
  <conditionalFormatting sqref="A79">
    <cfRule type="expression" dxfId="8240" priority="191">
      <formula>$AH79=0</formula>
    </cfRule>
  </conditionalFormatting>
  <conditionalFormatting sqref="A73">
    <cfRule type="expression" dxfId="8239" priority="190">
      <formula>$AH73=0</formula>
    </cfRule>
  </conditionalFormatting>
  <conditionalFormatting sqref="AL34:AL35 AL7:AL31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8238" priority="186">
      <formula>U$9&gt;=20/24</formula>
    </cfRule>
    <cfRule type="expression" dxfId="8237" priority="187">
      <formula>AND(U$9&gt;=14/24,U$9&lt;20/24)</formula>
    </cfRule>
    <cfRule type="expression" dxfId="8236" priority="188">
      <formula>AND(U$9&gt;=8/24,U$9&lt;14/24)</formula>
    </cfRule>
    <cfRule type="expression" dxfId="8235" priority="189">
      <formula>U$9&lt;8/24</formula>
    </cfRule>
  </conditionalFormatting>
  <conditionalFormatting sqref="U85:W91">
    <cfRule type="expression" dxfId="8234" priority="182">
      <formula>U$9&gt;=20/24</formula>
    </cfRule>
    <cfRule type="expression" dxfId="8233" priority="183">
      <formula>AND(U$9&gt;=14/24,U$9&lt;20/24)</formula>
    </cfRule>
    <cfRule type="expression" dxfId="8232" priority="184">
      <formula>AND(U$9&gt;=8/24,U$9&lt;14/24)</formula>
    </cfRule>
    <cfRule type="expression" dxfId="8231" priority="185">
      <formula>U$9&lt;8/24</formula>
    </cfRule>
  </conditionalFormatting>
  <conditionalFormatting sqref="C84:H84 S85:T91 C91:R91 E85:H90 I84:R90">
    <cfRule type="expression" dxfId="8230" priority="178">
      <formula>C$9&gt;=20/24</formula>
    </cfRule>
    <cfRule type="expression" dxfId="8229" priority="179">
      <formula>AND(C$9&gt;=14/24,C$9&lt;20/24)</formula>
    </cfRule>
    <cfRule type="expression" dxfId="8228" priority="180">
      <formula>AND(C$9&gt;=8/24,C$9&lt;14/24)</formula>
    </cfRule>
    <cfRule type="expression" dxfId="8227" priority="181">
      <formula>C$9&lt;8/24</formula>
    </cfRule>
  </conditionalFormatting>
  <conditionalFormatting sqref="S84:T84">
    <cfRule type="expression" dxfId="8226" priority="174">
      <formula>S$9&gt;=20/24</formula>
    </cfRule>
    <cfRule type="expression" dxfId="8225" priority="175">
      <formula>AND(S$9&gt;=14/24,S$9&lt;20/24)</formula>
    </cfRule>
    <cfRule type="expression" dxfId="8224" priority="176">
      <formula>AND(S$9&gt;=8/24,S$9&lt;14/24)</formula>
    </cfRule>
    <cfRule type="expression" dxfId="8223" priority="177">
      <formula>S$9&lt;8/24</formula>
    </cfRule>
  </conditionalFormatting>
  <conditionalFormatting sqref="C95:M97 C94:F94">
    <cfRule type="expression" dxfId="8222" priority="170">
      <formula>C$9&gt;=20/24</formula>
    </cfRule>
    <cfRule type="expression" dxfId="8221" priority="171">
      <formula>AND(C$9&gt;=14/24,C$9&lt;20/24)</formula>
    </cfRule>
    <cfRule type="expression" dxfId="8220" priority="172">
      <formula>AND(C$9&gt;=8/24,C$9&lt;14/24)</formula>
    </cfRule>
    <cfRule type="expression" dxfId="8219" priority="173">
      <formula>C$9&lt;8/24</formula>
    </cfRule>
  </conditionalFormatting>
  <conditionalFormatting sqref="N95:R97 O94:R94">
    <cfRule type="expression" dxfId="8218" priority="166">
      <formula>N$9&gt;=20/24</formula>
    </cfRule>
    <cfRule type="expression" dxfId="8217" priority="167">
      <formula>AND(N$9&gt;=14/24,N$9&lt;20/24)</formula>
    </cfRule>
    <cfRule type="expression" dxfId="8216" priority="168">
      <formula>AND(N$9&gt;=8/24,N$9&lt;14/24)</formula>
    </cfRule>
    <cfRule type="expression" dxfId="8215" priority="169">
      <formula>N$9&lt;8/24</formula>
    </cfRule>
  </conditionalFormatting>
  <conditionalFormatting sqref="S94:T97">
    <cfRule type="expression" dxfId="8214" priority="162">
      <formula>S$9&gt;=20/24</formula>
    </cfRule>
    <cfRule type="expression" dxfId="8213" priority="163">
      <formula>AND(S$9&gt;=14/24,S$9&lt;20/24)</formula>
    </cfRule>
    <cfRule type="expression" dxfId="8212" priority="164">
      <formula>AND(S$9&gt;=8/24,S$9&lt;14/24)</formula>
    </cfRule>
    <cfRule type="expression" dxfId="8211" priority="165">
      <formula>S$9&lt;8/24</formula>
    </cfRule>
  </conditionalFormatting>
  <conditionalFormatting sqref="C98:M98">
    <cfRule type="expression" dxfId="8210" priority="158">
      <formula>C$9&gt;=20/24</formula>
    </cfRule>
    <cfRule type="expression" dxfId="8209" priority="159">
      <formula>AND(C$9&gt;=14/24,C$9&lt;20/24)</formula>
    </cfRule>
    <cfRule type="expression" dxfId="8208" priority="160">
      <formula>AND(C$9&gt;=8/24,C$9&lt;14/24)</formula>
    </cfRule>
    <cfRule type="expression" dxfId="8207" priority="161">
      <formula>C$9&lt;8/24</formula>
    </cfRule>
  </conditionalFormatting>
  <conditionalFormatting sqref="N98:R98">
    <cfRule type="expression" dxfId="8206" priority="154">
      <formula>N$9&gt;=20/24</formula>
    </cfRule>
    <cfRule type="expression" dxfId="8205" priority="155">
      <formula>AND(N$9&gt;=14/24,N$9&lt;20/24)</formula>
    </cfRule>
    <cfRule type="expression" dxfId="8204" priority="156">
      <formula>AND(N$9&gt;=8/24,N$9&lt;14/24)</formula>
    </cfRule>
    <cfRule type="expression" dxfId="8203" priority="157">
      <formula>N$9&lt;8/24</formula>
    </cfRule>
  </conditionalFormatting>
  <conditionalFormatting sqref="S98:T98">
    <cfRule type="expression" dxfId="8202" priority="150">
      <formula>S$9&gt;=20/24</formula>
    </cfRule>
    <cfRule type="expression" dxfId="8201" priority="151">
      <formula>AND(S$9&gt;=14/24,S$9&lt;20/24)</formula>
    </cfRule>
    <cfRule type="expression" dxfId="8200" priority="152">
      <formula>AND(S$9&gt;=8/24,S$9&lt;14/24)</formula>
    </cfRule>
    <cfRule type="expression" dxfId="8199" priority="153">
      <formula>S$9&lt;8/24</formula>
    </cfRule>
  </conditionalFormatting>
  <conditionalFormatting sqref="M94:N94">
    <cfRule type="expression" dxfId="8198" priority="146">
      <formula>M$9&gt;=20/24</formula>
    </cfRule>
    <cfRule type="expression" dxfId="8197" priority="147">
      <formula>AND(M$9&gt;=14/24,M$9&lt;20/24)</formula>
    </cfRule>
    <cfRule type="expression" dxfId="8196" priority="148">
      <formula>AND(M$9&gt;=8/24,M$9&lt;14/24)</formula>
    </cfRule>
    <cfRule type="expression" dxfId="8195" priority="149">
      <formula>M$9&lt;8/24</formula>
    </cfRule>
  </conditionalFormatting>
  <conditionalFormatting sqref="G94:L94">
    <cfRule type="expression" dxfId="8194" priority="142">
      <formula>G$9&gt;=20/24</formula>
    </cfRule>
    <cfRule type="expression" dxfId="8193" priority="143">
      <formula>AND(G$9&gt;=14/24,G$9&lt;20/24)</formula>
    </cfRule>
    <cfRule type="expression" dxfId="8192" priority="144">
      <formula>AND(G$9&gt;=8/24,G$9&lt;14/24)</formula>
    </cfRule>
    <cfRule type="expression" dxfId="8191" priority="145">
      <formula>G$9&lt;8/24</formula>
    </cfRule>
  </conditionalFormatting>
  <conditionalFormatting sqref="U94:W94">
    <cfRule type="expression" dxfId="8190" priority="138">
      <formula>U$9&gt;=20/24</formula>
    </cfRule>
    <cfRule type="expression" dxfId="8189" priority="139">
      <formula>AND(U$9&gt;=14/24,U$9&lt;20/24)</formula>
    </cfRule>
    <cfRule type="expression" dxfId="8188" priority="140">
      <formula>AND(U$9&gt;=8/24,U$9&lt;14/24)</formula>
    </cfRule>
    <cfRule type="expression" dxfId="8187" priority="141">
      <formula>U$9&lt;8/24</formula>
    </cfRule>
  </conditionalFormatting>
  <conditionalFormatting sqref="N94:T94">
    <cfRule type="expression" dxfId="8186" priority="134">
      <formula>N$9&gt;=20/24</formula>
    </cfRule>
    <cfRule type="expression" dxfId="8185" priority="135">
      <formula>AND(N$9&gt;=14/24,N$9&lt;20/24)</formula>
    </cfRule>
    <cfRule type="expression" dxfId="8184" priority="136">
      <formula>AND(N$9&gt;=8/24,N$9&lt;14/24)</formula>
    </cfRule>
    <cfRule type="expression" dxfId="8183" priority="137">
      <formula>N$9&lt;8/24</formula>
    </cfRule>
  </conditionalFormatting>
  <conditionalFormatting sqref="U99:AA99">
    <cfRule type="expression" dxfId="8182" priority="130">
      <formula>U$9&gt;=20/24</formula>
    </cfRule>
    <cfRule type="expression" dxfId="8181" priority="131">
      <formula>AND(U$9&gt;=14/24,U$9&lt;20/24)</formula>
    </cfRule>
    <cfRule type="expression" dxfId="8180" priority="132">
      <formula>AND(U$9&gt;=8/24,U$9&lt;14/24)</formula>
    </cfRule>
    <cfRule type="expression" dxfId="8179" priority="133">
      <formula>U$9&lt;8/24</formula>
    </cfRule>
  </conditionalFormatting>
  <conditionalFormatting sqref="C99:M99">
    <cfRule type="expression" dxfId="8178" priority="126">
      <formula>C$9&gt;=20/24</formula>
    </cfRule>
    <cfRule type="expression" dxfId="8177" priority="127">
      <formula>AND(C$9&gt;=14/24,C$9&lt;20/24)</formula>
    </cfRule>
    <cfRule type="expression" dxfId="8176" priority="128">
      <formula>AND(C$9&gt;=8/24,C$9&lt;14/24)</formula>
    </cfRule>
    <cfRule type="expression" dxfId="8175" priority="129">
      <formula>C$9&lt;8/24</formula>
    </cfRule>
  </conditionalFormatting>
  <conditionalFormatting sqref="N99:R99">
    <cfRule type="expression" dxfId="8174" priority="122">
      <formula>N$9&gt;=20/24</formula>
    </cfRule>
    <cfRule type="expression" dxfId="8173" priority="123">
      <formula>AND(N$9&gt;=14/24,N$9&lt;20/24)</formula>
    </cfRule>
    <cfRule type="expression" dxfId="8172" priority="124">
      <formula>AND(N$9&gt;=8/24,N$9&lt;14/24)</formula>
    </cfRule>
    <cfRule type="expression" dxfId="8171" priority="125">
      <formula>N$9&lt;8/24</formula>
    </cfRule>
  </conditionalFormatting>
  <conditionalFormatting sqref="S99:T99">
    <cfRule type="expression" dxfId="8170" priority="118">
      <formula>S$9&gt;=20/24</formula>
    </cfRule>
    <cfRule type="expression" dxfId="8169" priority="119">
      <formula>AND(S$9&gt;=14/24,S$9&lt;20/24)</formula>
    </cfRule>
    <cfRule type="expression" dxfId="8168" priority="120">
      <formula>AND(S$9&gt;=8/24,S$9&lt;14/24)</formula>
    </cfRule>
    <cfRule type="expression" dxfId="8167" priority="121">
      <formula>S$9&lt;8/24</formula>
    </cfRule>
  </conditionalFormatting>
  <conditionalFormatting sqref="S12:X15 Y12:Z16 AA15:AF16">
    <cfRule type="expression" dxfId="8166" priority="114">
      <formula>S$9&gt;=20/24</formula>
    </cfRule>
    <cfRule type="expression" dxfId="8165" priority="115">
      <formula>AND(S$9&gt;=14/24,S$9&lt;20/24)</formula>
    </cfRule>
    <cfRule type="expression" dxfId="8164" priority="116">
      <formula>AND(S$9&gt;=8/24,S$9&lt;14/24)</formula>
    </cfRule>
    <cfRule type="expression" dxfId="8163" priority="117">
      <formula>S$9&lt;8/24</formula>
    </cfRule>
  </conditionalFormatting>
  <conditionalFormatting sqref="S17:AF17">
    <cfRule type="expression" dxfId="8162" priority="110">
      <formula>S$9&gt;=20/24</formula>
    </cfRule>
    <cfRule type="expression" dxfId="8161" priority="111">
      <formula>AND(S$9&gt;=14/24,S$9&lt;20/24)</formula>
    </cfRule>
    <cfRule type="expression" dxfId="8160" priority="112">
      <formula>AND(S$9&gt;=8/24,S$9&lt;14/24)</formula>
    </cfRule>
    <cfRule type="expression" dxfId="8159" priority="113">
      <formula>S$9&lt;8/24</formula>
    </cfRule>
  </conditionalFormatting>
  <conditionalFormatting sqref="S12:Z13">
    <cfRule type="expression" dxfId="8158" priority="106">
      <formula>S$9&gt;=20/24</formula>
    </cfRule>
    <cfRule type="expression" dxfId="8157" priority="107">
      <formula>AND(S$9&gt;=14/24,S$9&lt;20/24)</formula>
    </cfRule>
    <cfRule type="expression" dxfId="8156" priority="108">
      <formula>AND(S$9&gt;=8/24,S$9&lt;14/24)</formula>
    </cfRule>
    <cfRule type="expression" dxfId="8155" priority="109">
      <formula>S$9&lt;8/24</formula>
    </cfRule>
  </conditionalFormatting>
  <conditionalFormatting sqref="AB58:AE59">
    <cfRule type="expression" dxfId="8154" priority="102">
      <formula>AB$9&gt;=20/24</formula>
    </cfRule>
    <cfRule type="expression" dxfId="8153" priority="103">
      <formula>AND(AB$9&gt;=14/24,AB$9&lt;20/24)</formula>
    </cfRule>
    <cfRule type="expression" dxfId="8152" priority="104">
      <formula>AND(AB$9&gt;=8/24,AB$9&lt;14/24)</formula>
    </cfRule>
    <cfRule type="expression" dxfId="8151" priority="105">
      <formula>AB$9&lt;8/24</formula>
    </cfRule>
  </conditionalFormatting>
  <conditionalFormatting sqref="AL3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150" priority="335">
      <formula>C$9&gt;=20/24</formula>
    </cfRule>
    <cfRule type="expression" dxfId="8149" priority="336">
      <formula>AND(C$9&gt;=14/24,C$9&lt;20/24)</formula>
    </cfRule>
    <cfRule type="expression" dxfId="8148" priority="337">
      <formula>AND(C$9&gt;=8/24,C$9&lt;14/24)</formula>
    </cfRule>
    <cfRule type="expression" dxfId="8147" priority="338">
      <formula>C$9&lt;8/24</formula>
    </cfRule>
  </conditionalFormatting>
  <conditionalFormatting sqref="A200">
    <cfRule type="expression" dxfId="8146" priority="339">
      <formula>$AH200=0</formula>
    </cfRule>
  </conditionalFormatting>
  <conditionalFormatting sqref="AG212">
    <cfRule type="expression" dxfId="8145" priority="340">
      <formula>B$9&gt;=20/24</formula>
    </cfRule>
    <cfRule type="expression" dxfId="8144" priority="341">
      <formula>AND(B$9&gt;=14/24,B$9&lt;20/24)</formula>
    </cfRule>
    <cfRule type="expression" dxfId="8143" priority="342">
      <formula>AND(B$9&gt;=8/24,B$9&lt;14/24)</formula>
    </cfRule>
    <cfRule type="expression" dxfId="8142" priority="343">
      <formula>B$9&lt;8/24</formula>
    </cfRule>
  </conditionalFormatting>
  <conditionalFormatting sqref="S8">
    <cfRule type="expression" dxfId="8141" priority="96">
      <formula>U$9&gt;=20/24</formula>
    </cfRule>
    <cfRule type="expression" dxfId="8140" priority="97">
      <formula>AND(U$9&gt;=14/24,U$9&lt;20/24)</formula>
    </cfRule>
    <cfRule type="expression" dxfId="8139" priority="98">
      <formula>AND(U$9&gt;=8/24,U$9&lt;14/24)</formula>
    </cfRule>
    <cfRule type="expression" dxfId="8138" priority="99">
      <formula>U$9&lt;8/24</formula>
    </cfRule>
  </conditionalFormatting>
  <conditionalFormatting sqref="AB8">
    <cfRule type="expression" dxfId="8137" priority="92">
      <formula>AD$9&gt;=20/24</formula>
    </cfRule>
    <cfRule type="expression" dxfId="8136" priority="93">
      <formula>AND(AD$9&gt;=14/24,AD$9&lt;20/24)</formula>
    </cfRule>
    <cfRule type="expression" dxfId="8135" priority="94">
      <formula>AND(AD$9&gt;=8/24,AD$9&lt;14/24)</formula>
    </cfRule>
    <cfRule type="expression" dxfId="8134" priority="95">
      <formula>AD$9&lt;8/24</formula>
    </cfRule>
  </conditionalFormatting>
  <conditionalFormatting sqref="AH212:AX212">
    <cfRule type="expression" dxfId="8133" priority="344">
      <formula>AG$9&gt;=20/24</formula>
    </cfRule>
    <cfRule type="expression" dxfId="8132" priority="345">
      <formula>AND(AG$9&gt;=14/24,AG$9&lt;20/24)</formula>
    </cfRule>
    <cfRule type="expression" dxfId="8131" priority="346">
      <formula>AND(AG$9&gt;=8/24,AG$9&lt;14/24)</formula>
    </cfRule>
    <cfRule type="expression" dxfId="8130" priority="347">
      <formula>AG$9&lt;8/24</formula>
    </cfRule>
  </conditionalFormatting>
  <conditionalFormatting sqref="T212">
    <cfRule type="expression" dxfId="8129" priority="348">
      <formula>AX$9&gt;=20/24</formula>
    </cfRule>
    <cfRule type="expression" dxfId="8128" priority="349">
      <formula>AND(AX$9&gt;=14/24,AX$9&lt;20/24)</formula>
    </cfRule>
    <cfRule type="expression" dxfId="8127" priority="350">
      <formula>AND(AX$9&gt;=8/24,AX$9&lt;14/24)</formula>
    </cfRule>
    <cfRule type="expression" dxfId="8126" priority="351">
      <formula>AX$9&lt;8/24</formula>
    </cfRule>
  </conditionalFormatting>
  <conditionalFormatting sqref="A99">
    <cfRule type="expression" dxfId="8125" priority="91">
      <formula>$AH99=0</formula>
    </cfRule>
  </conditionalFormatting>
  <conditionalFormatting sqref="S33:AF33">
    <cfRule type="expression" dxfId="8124" priority="79">
      <formula>S$9&gt;=20/24</formula>
    </cfRule>
    <cfRule type="expression" dxfId="8123" priority="80">
      <formula>AND(S$9&gt;=14/24,S$9&lt;20/24)</formula>
    </cfRule>
    <cfRule type="expression" dxfId="8122" priority="81">
      <formula>AND(S$9&gt;=8/24,S$9&lt;14/24)</formula>
    </cfRule>
    <cfRule type="expression" dxfId="8121" priority="82">
      <formula>S$9&lt;8/24</formula>
    </cfRule>
  </conditionalFormatting>
  <conditionalFormatting sqref="B33:L33 S33:AF33">
    <cfRule type="expression" dxfId="8120" priority="78">
      <formula>B33&gt;$AG33</formula>
    </cfRule>
  </conditionalFormatting>
  <conditionalFormatting sqref="M16:M32 M34:M35">
    <cfRule type="expression" dxfId="8119" priority="73">
      <formula>M16&gt;$AG16</formula>
    </cfRule>
  </conditionalFormatting>
  <conditionalFormatting sqref="M33">
    <cfRule type="expression" dxfId="8118" priority="72">
      <formula>M33&gt;$AG33</formula>
    </cfRule>
  </conditionalFormatting>
  <conditionalFormatting sqref="N16:N32 N34:N35">
    <cfRule type="expression" dxfId="8117" priority="67">
      <formula>N16&gt;$AG16</formula>
    </cfRule>
  </conditionalFormatting>
  <conditionalFormatting sqref="N33">
    <cfRule type="expression" dxfId="8116" priority="66">
      <formula>N33&gt;$AG33</formula>
    </cfRule>
  </conditionalFormatting>
  <conditionalFormatting sqref="O16:O32 O34:O35">
    <cfRule type="expression" dxfId="8115" priority="61">
      <formula>O16&gt;$AG16</formula>
    </cfRule>
  </conditionalFormatting>
  <conditionalFormatting sqref="O33">
    <cfRule type="expression" dxfId="8114" priority="60">
      <formula>O33&gt;$AG33</formula>
    </cfRule>
  </conditionalFormatting>
  <conditionalFormatting sqref="P17:P32 P34:P35">
    <cfRule type="expression" dxfId="8113" priority="55">
      <formula>P17&gt;$AG17</formula>
    </cfRule>
  </conditionalFormatting>
  <conditionalFormatting sqref="P33">
    <cfRule type="expression" dxfId="8112" priority="54">
      <formula>P33&gt;$AG33</formula>
    </cfRule>
  </conditionalFormatting>
  <conditionalFormatting sqref="Q16">
    <cfRule type="expression" dxfId="8111" priority="50">
      <formula>Q$9&gt;=20/24</formula>
    </cfRule>
    <cfRule type="expression" dxfId="8110" priority="51">
      <formula>AND(Q$9&gt;=14/24,Q$9&lt;20/24)</formula>
    </cfRule>
    <cfRule type="expression" dxfId="8109" priority="52">
      <formula>AND(Q$9&gt;=8/24,Q$9&lt;14/24)</formula>
    </cfRule>
    <cfRule type="expression" dxfId="8108" priority="53">
      <formula>Q$9&lt;8/24</formula>
    </cfRule>
  </conditionalFormatting>
  <conditionalFormatting sqref="Q16">
    <cfRule type="expression" dxfId="8107" priority="49">
      <formula>Q16&gt;$AG16</formula>
    </cfRule>
  </conditionalFormatting>
  <conditionalFormatting sqref="Q15">
    <cfRule type="expression" dxfId="8106" priority="45">
      <formula>Q$9&gt;=20/24</formula>
    </cfRule>
    <cfRule type="expression" dxfId="8105" priority="46">
      <formula>AND(Q$9&gt;=14/24,Q$9&lt;20/24)</formula>
    </cfRule>
    <cfRule type="expression" dxfId="8104" priority="47">
      <formula>AND(Q$9&gt;=8/24,Q$9&lt;14/24)</formula>
    </cfRule>
    <cfRule type="expression" dxfId="8103" priority="48">
      <formula>Q$9&lt;8/24</formula>
    </cfRule>
  </conditionalFormatting>
  <conditionalFormatting sqref="Q15">
    <cfRule type="expression" dxfId="8102" priority="44">
      <formula>Q15&gt;$AG15</formula>
    </cfRule>
  </conditionalFormatting>
  <conditionalFormatting sqref="Q17:Q32 Q34:Q35">
    <cfRule type="expression" dxfId="8101" priority="39">
      <formula>Q17&gt;$AG17</formula>
    </cfRule>
  </conditionalFormatting>
  <conditionalFormatting sqref="Q33">
    <cfRule type="expression" dxfId="8100" priority="38">
      <formula>Q33&gt;$AG33</formula>
    </cfRule>
  </conditionalFormatting>
  <conditionalFormatting sqref="R17:R32 R34:R35">
    <cfRule type="expression" dxfId="8099" priority="33">
      <formula>R17&gt;$AG17</formula>
    </cfRule>
  </conditionalFormatting>
  <conditionalFormatting sqref="R33">
    <cfRule type="expression" dxfId="8098" priority="32">
      <formula>R33&gt;$AG33</formula>
    </cfRule>
  </conditionalFormatting>
  <conditionalFormatting sqref="S16:X16">
    <cfRule type="expression" dxfId="8097" priority="28">
      <formula>S$9&gt;=20/24</formula>
    </cfRule>
    <cfRule type="expression" dxfId="8096" priority="29">
      <formula>AND(S$9&gt;=14/24,S$9&lt;20/24)</formula>
    </cfRule>
    <cfRule type="expression" dxfId="8095" priority="30">
      <formula>AND(S$9&gt;=8/24,S$9&lt;14/24)</formula>
    </cfRule>
    <cfRule type="expression" dxfId="8094" priority="31">
      <formula>S$9&lt;8/24</formula>
    </cfRule>
  </conditionalFormatting>
  <conditionalFormatting sqref="S16:X16">
    <cfRule type="expression" dxfId="8093" priority="27">
      <formula>S16&gt;$AG16</formula>
    </cfRule>
  </conditionalFormatting>
  <conditionalFormatting sqref="S45:T48 U46:W48">
    <cfRule type="expression" dxfId="8092" priority="17">
      <formula>S$9&gt;=20/24</formula>
    </cfRule>
    <cfRule type="expression" dxfId="8091" priority="18">
      <formula>AND(S$9&gt;=14/24,S$9&lt;20/24)</formula>
    </cfRule>
    <cfRule type="expression" dxfId="8090" priority="19">
      <formula>AND(S$9&gt;=8/24,S$9&lt;14/24)</formula>
    </cfRule>
    <cfRule type="expression" dxfId="8089" priority="20">
      <formula>S$9&lt;8/24</formula>
    </cfRule>
  </conditionalFormatting>
  <conditionalFormatting sqref="S50:W50">
    <cfRule type="expression" dxfId="8088" priority="13">
      <formula>S$9&gt;=20/24</formula>
    </cfRule>
    <cfRule type="expression" dxfId="8087" priority="14">
      <formula>AND(S$9&gt;=14/24,S$9&lt;20/24)</formula>
    </cfRule>
    <cfRule type="expression" dxfId="8086" priority="15">
      <formula>AND(S$9&gt;=8/24,S$9&lt;14/24)</formula>
    </cfRule>
    <cfRule type="expression" dxfId="8085" priority="16">
      <formula>S$9&lt;8/24</formula>
    </cfRule>
  </conditionalFormatting>
  <conditionalFormatting sqref="S45:T48 U46:W48">
    <cfRule type="expression" dxfId="8084" priority="9">
      <formula>S$9&gt;=20/24</formula>
    </cfRule>
    <cfRule type="expression" dxfId="8083" priority="10">
      <formula>AND(S$9&gt;=14/24,S$9&lt;20/24)</formula>
    </cfRule>
    <cfRule type="expression" dxfId="8082" priority="11">
      <formula>AND(S$9&gt;=8/24,S$9&lt;14/24)</formula>
    </cfRule>
    <cfRule type="expression" dxfId="8081" priority="12">
      <formula>S$9&lt;8/24</formula>
    </cfRule>
  </conditionalFormatting>
  <conditionalFormatting sqref="S44:T44">
    <cfRule type="expression" dxfId="8080" priority="5">
      <formula>S$9&gt;=20/24</formula>
    </cfRule>
    <cfRule type="expression" dxfId="8079" priority="6">
      <formula>AND(S$9&gt;=14/24,S$9&lt;20/24)</formula>
    </cfRule>
    <cfRule type="expression" dxfId="8078" priority="7">
      <formula>AND(S$9&gt;=8/24,S$9&lt;14/24)</formula>
    </cfRule>
    <cfRule type="expression" dxfId="8077" priority="8">
      <formula>S$9&lt;8/24</formula>
    </cfRule>
  </conditionalFormatting>
  <conditionalFormatting sqref="Y53:Y55">
    <cfRule type="expression" dxfId="8076" priority="4">
      <formula>Y$9="PEAK"</formula>
    </cfRule>
  </conditionalFormatting>
  <conditionalFormatting sqref="Y57">
    <cfRule type="expression" dxfId="8075" priority="3">
      <formula>Y$9="PEAK"</formula>
    </cfRule>
  </conditionalFormatting>
  <conditionalFormatting sqref="Y58:Y67 Z62:AA67">
    <cfRule type="expression" dxfId="8074" priority="2">
      <formula>Y$9="PEAK"</formula>
    </cfRule>
  </conditionalFormatting>
  <conditionalFormatting sqref="Y84:Y90">
    <cfRule type="expression" dxfId="8073" priority="1">
      <formula>Y$9="PEAK"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BD80B04E-683B-4CF0-8D6D-46F0A74CDA9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Y61" sqref="Y61:Y6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8.285156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2078/10/13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387.90000000000003</v>
      </c>
      <c r="C5" s="32">
        <f t="shared" si="0"/>
        <v>395.1</v>
      </c>
      <c r="D5" s="32">
        <f t="shared" si="0"/>
        <v>348.8</v>
      </c>
      <c r="E5" s="32">
        <f t="shared" si="0"/>
        <v>325.3</v>
      </c>
      <c r="F5" s="32">
        <f t="shared" si="0"/>
        <v>335.6</v>
      </c>
      <c r="G5" s="32">
        <f t="shared" si="0"/>
        <v>392.2</v>
      </c>
      <c r="H5" s="32">
        <f t="shared" si="0"/>
        <v>442.5</v>
      </c>
      <c r="I5" s="32">
        <f t="shared" si="0"/>
        <v>537.69999999999993</v>
      </c>
      <c r="J5" s="32">
        <f t="shared" si="0"/>
        <v>520.70000000000005</v>
      </c>
      <c r="K5" s="32">
        <f t="shared" si="0"/>
        <v>525</v>
      </c>
      <c r="L5" s="32">
        <f t="shared" si="0"/>
        <v>362.8</v>
      </c>
      <c r="M5" s="32">
        <f t="shared" si="0"/>
        <v>329</v>
      </c>
      <c r="N5" s="32">
        <f t="shared" si="0"/>
        <v>290.8</v>
      </c>
      <c r="O5" s="32">
        <f t="shared" si="0"/>
        <v>295.7</v>
      </c>
      <c r="P5" s="32">
        <f t="shared" si="0"/>
        <v>575.5</v>
      </c>
      <c r="Q5" s="32">
        <f t="shared" si="0"/>
        <v>553.5</v>
      </c>
      <c r="R5" s="32">
        <f t="shared" si="0"/>
        <v>569.79999999999995</v>
      </c>
      <c r="S5" s="32">
        <f t="shared" si="0"/>
        <v>577.30000000000007</v>
      </c>
      <c r="T5" s="32">
        <f t="shared" si="0"/>
        <v>634.6</v>
      </c>
      <c r="U5" s="32">
        <f t="shared" si="0"/>
        <v>622.1</v>
      </c>
      <c r="V5" s="32">
        <f t="shared" si="0"/>
        <v>537.29999999999995</v>
      </c>
      <c r="W5" s="32">
        <f t="shared" si="0"/>
        <v>482.59999999999997</v>
      </c>
      <c r="X5" s="32">
        <f t="shared" si="0"/>
        <v>398.7</v>
      </c>
      <c r="Y5" s="32">
        <f t="shared" si="0"/>
        <v>363.29999999999995</v>
      </c>
      <c r="Z5" s="32">
        <f t="shared" si="0"/>
        <v>401.3</v>
      </c>
      <c r="AA5" s="32">
        <f t="shared" si="0"/>
        <v>547.9</v>
      </c>
      <c r="AB5" s="32">
        <f t="shared" si="0"/>
        <v>555.40000000000009</v>
      </c>
      <c r="AC5" s="32">
        <f t="shared" si="0"/>
        <v>537.5</v>
      </c>
      <c r="AD5" s="32">
        <f t="shared" si="0"/>
        <v>462.1</v>
      </c>
      <c r="AE5" s="32">
        <f t="shared" si="0"/>
        <v>400.4</v>
      </c>
      <c r="AF5" s="32">
        <f>B68</f>
        <v>390.4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1572MW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Load=888</v>
      </c>
      <c r="B7" s="37">
        <f>B75</f>
        <v>1008.04</v>
      </c>
      <c r="C7" s="37">
        <f t="shared" ref="C7:AF7" si="1">C75</f>
        <v>934.44</v>
      </c>
      <c r="D7" s="37">
        <f t="shared" si="1"/>
        <v>904.04</v>
      </c>
      <c r="E7" s="37">
        <f t="shared" si="1"/>
        <v>901.54</v>
      </c>
      <c r="F7" s="37">
        <f t="shared" si="1"/>
        <v>887.74</v>
      </c>
      <c r="G7" s="37">
        <f t="shared" si="1"/>
        <v>951.04</v>
      </c>
      <c r="H7" s="37">
        <f t="shared" si="1"/>
        <v>1017.4399999999998</v>
      </c>
      <c r="I7" s="37">
        <f t="shared" si="1"/>
        <v>1111.3399999999999</v>
      </c>
      <c r="J7" s="37">
        <f t="shared" si="1"/>
        <v>1225.8399999999999</v>
      </c>
      <c r="K7" s="37">
        <f t="shared" si="1"/>
        <v>1303.3399999999999</v>
      </c>
      <c r="L7" s="37">
        <f t="shared" si="1"/>
        <v>1473.6399999999999</v>
      </c>
      <c r="M7" s="37">
        <f t="shared" si="1"/>
        <v>1571.8400000000001</v>
      </c>
      <c r="N7" s="37">
        <f t="shared" si="1"/>
        <v>1540.54</v>
      </c>
      <c r="O7" s="37">
        <f t="shared" si="1"/>
        <v>1479.74</v>
      </c>
      <c r="P7" s="37">
        <f t="shared" si="1"/>
        <v>1434.74</v>
      </c>
      <c r="Q7" s="37">
        <f t="shared" si="1"/>
        <v>1365.6399999999999</v>
      </c>
      <c r="R7" s="37">
        <f t="shared" si="1"/>
        <v>1317.74</v>
      </c>
      <c r="S7" s="37">
        <f t="shared" si="1"/>
        <v>1305.54</v>
      </c>
      <c r="T7" s="37">
        <f t="shared" si="1"/>
        <v>1318.44</v>
      </c>
      <c r="U7" s="37">
        <f t="shared" si="1"/>
        <v>1334.1399999999999</v>
      </c>
      <c r="V7" s="37">
        <f t="shared" si="1"/>
        <v>1382.94</v>
      </c>
      <c r="W7" s="37">
        <f t="shared" si="1"/>
        <v>1470.8400000000001</v>
      </c>
      <c r="X7" s="37">
        <f t="shared" si="1"/>
        <v>1617.34</v>
      </c>
      <c r="Y7" s="37">
        <f t="shared" si="1"/>
        <v>1695.04</v>
      </c>
      <c r="Z7" s="37">
        <f t="shared" si="1"/>
        <v>1631.44</v>
      </c>
      <c r="AA7" s="37">
        <f t="shared" si="1"/>
        <v>1577.24</v>
      </c>
      <c r="AB7" s="37">
        <f t="shared" si="1"/>
        <v>1490.24</v>
      </c>
      <c r="AC7" s="37">
        <f t="shared" si="1"/>
        <v>1468.64</v>
      </c>
      <c r="AD7" s="37">
        <f t="shared" si="1"/>
        <v>1378.04</v>
      </c>
      <c r="AE7" s="37">
        <f t="shared" si="1"/>
        <v>1170.44</v>
      </c>
      <c r="AF7" s="37">
        <f t="shared" si="1"/>
        <v>1000.1399999999999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14.6</v>
      </c>
      <c r="C11" s="49">
        <v>13.5</v>
      </c>
      <c r="D11" s="49">
        <v>13.5</v>
      </c>
      <c r="E11" s="49">
        <v>15</v>
      </c>
      <c r="F11" s="49">
        <v>15</v>
      </c>
      <c r="G11" s="49">
        <v>30</v>
      </c>
      <c r="H11" s="49">
        <v>16</v>
      </c>
      <c r="I11" s="49">
        <v>30</v>
      </c>
      <c r="J11" s="49">
        <v>50</v>
      </c>
      <c r="K11" s="49">
        <v>70</v>
      </c>
      <c r="L11" s="49">
        <v>110</v>
      </c>
      <c r="M11" s="50">
        <v>304</v>
      </c>
      <c r="N11" s="50">
        <v>304</v>
      </c>
      <c r="O11" s="50">
        <v>300</v>
      </c>
      <c r="P11" s="50">
        <v>285</v>
      </c>
      <c r="Q11" s="50">
        <v>40</v>
      </c>
      <c r="R11" s="177">
        <v>40</v>
      </c>
      <c r="S11" s="50">
        <v>40</v>
      </c>
      <c r="T11" s="50">
        <v>40</v>
      </c>
      <c r="U11" s="50">
        <v>20</v>
      </c>
      <c r="V11" s="50">
        <v>20</v>
      </c>
      <c r="W11" s="50">
        <v>110</v>
      </c>
      <c r="X11" s="50">
        <v>250</v>
      </c>
      <c r="Y11" s="50">
        <v>335</v>
      </c>
      <c r="Z11" s="50">
        <v>340</v>
      </c>
      <c r="AA11" s="50">
        <v>290</v>
      </c>
      <c r="AB11" s="50">
        <v>80</v>
      </c>
      <c r="AC11" s="50">
        <v>60</v>
      </c>
      <c r="AD11" s="50">
        <v>40</v>
      </c>
      <c r="AE11" s="50">
        <v>20</v>
      </c>
      <c r="AF11" s="50">
        <v>20</v>
      </c>
      <c r="AG11" s="52">
        <v>456</v>
      </c>
      <c r="AH11" s="53">
        <f>MAX(B11:AF11)</f>
        <v>340</v>
      </c>
      <c r="AI11" s="54">
        <f>MIN(B11:AF11)</f>
        <v>13.5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0">
        <v>36</v>
      </c>
      <c r="C12" s="50">
        <v>36</v>
      </c>
      <c r="D12" s="50">
        <v>36</v>
      </c>
      <c r="E12" s="50">
        <v>36</v>
      </c>
      <c r="F12" s="50">
        <v>36</v>
      </c>
      <c r="G12" s="50">
        <v>36</v>
      </c>
      <c r="H12" s="50">
        <v>36</v>
      </c>
      <c r="I12" s="50">
        <v>36</v>
      </c>
      <c r="J12" s="50">
        <v>36</v>
      </c>
      <c r="K12" s="50">
        <v>36</v>
      </c>
      <c r="L12" s="50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7">
        <v>36</v>
      </c>
      <c r="AB12" s="57">
        <v>36</v>
      </c>
      <c r="AC12" s="57">
        <v>36</v>
      </c>
      <c r="AD12" s="57">
        <v>36</v>
      </c>
      <c r="AE12" s="57">
        <v>36</v>
      </c>
      <c r="AF12" s="57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0">
        <v>22.6</v>
      </c>
      <c r="C13" s="50">
        <v>22.6</v>
      </c>
      <c r="D13" s="50">
        <v>22.6</v>
      </c>
      <c r="E13" s="50">
        <v>22.6</v>
      </c>
      <c r="F13" s="50">
        <v>22.6</v>
      </c>
      <c r="G13" s="50">
        <v>22.6</v>
      </c>
      <c r="H13" s="50">
        <v>22.6</v>
      </c>
      <c r="I13" s="50">
        <v>22.6</v>
      </c>
      <c r="J13" s="50">
        <v>22.6</v>
      </c>
      <c r="K13" s="50">
        <v>22.6</v>
      </c>
      <c r="L13" s="50">
        <v>22.6</v>
      </c>
      <c r="M13" s="49">
        <v>21.1</v>
      </c>
      <c r="N13" s="49">
        <v>21.1</v>
      </c>
      <c r="O13" s="49">
        <v>21.1</v>
      </c>
      <c r="P13" s="49">
        <v>20.100000000000001</v>
      </c>
      <c r="Q13" s="49">
        <v>20.100000000000001</v>
      </c>
      <c r="R13" s="49">
        <v>20.100000000000001</v>
      </c>
      <c r="S13" s="57">
        <v>20.100000000000001</v>
      </c>
      <c r="T13" s="57">
        <v>19.600000000000001</v>
      </c>
      <c r="U13" s="57">
        <v>18.3</v>
      </c>
      <c r="V13" s="57">
        <v>18.3</v>
      </c>
      <c r="W13" s="57">
        <v>18.899999999999999</v>
      </c>
      <c r="X13" s="57">
        <v>19.5</v>
      </c>
      <c r="Y13" s="57">
        <v>19.5</v>
      </c>
      <c r="Z13" s="57">
        <v>19.5</v>
      </c>
      <c r="AA13" s="57">
        <v>21.1</v>
      </c>
      <c r="AB13" s="57">
        <v>21.1</v>
      </c>
      <c r="AC13" s="57">
        <v>21.1</v>
      </c>
      <c r="AD13" s="57">
        <v>21.1</v>
      </c>
      <c r="AE13" s="57">
        <v>21.1</v>
      </c>
      <c r="AF13" s="57">
        <v>21.1</v>
      </c>
      <c r="AG13" s="58">
        <v>52.4</v>
      </c>
      <c r="AH13" s="53">
        <f t="shared" si="2"/>
        <v>22.6</v>
      </c>
      <c r="AI13" s="54">
        <f t="shared" si="3"/>
        <v>18.3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0">
        <v>39</v>
      </c>
      <c r="C14" s="50">
        <v>39</v>
      </c>
      <c r="D14" s="50">
        <v>39</v>
      </c>
      <c r="E14" s="50">
        <v>39</v>
      </c>
      <c r="F14" s="50">
        <v>39</v>
      </c>
      <c r="G14" s="50">
        <v>39</v>
      </c>
      <c r="H14" s="50">
        <v>39</v>
      </c>
      <c r="I14" s="50">
        <v>39</v>
      </c>
      <c r="J14" s="50">
        <v>39</v>
      </c>
      <c r="K14" s="50">
        <v>39</v>
      </c>
      <c r="L14" s="50">
        <v>39</v>
      </c>
      <c r="M14" s="50">
        <v>38.299999999999997</v>
      </c>
      <c r="N14" s="50">
        <v>38.299999999999997</v>
      </c>
      <c r="O14" s="50">
        <v>38.9</v>
      </c>
      <c r="P14" s="50">
        <v>38.799999999999997</v>
      </c>
      <c r="Q14" s="50">
        <v>38.4</v>
      </c>
      <c r="R14" s="50">
        <v>38.4</v>
      </c>
      <c r="S14" s="59">
        <v>38.4</v>
      </c>
      <c r="T14" s="59">
        <v>37.5</v>
      </c>
      <c r="U14" s="59">
        <v>37.299999999999997</v>
      </c>
      <c r="V14" s="59">
        <v>37.299999999999997</v>
      </c>
      <c r="W14" s="59">
        <v>37.700000000000003</v>
      </c>
      <c r="X14" s="59">
        <v>37.4</v>
      </c>
      <c r="Y14" s="59">
        <v>37.4</v>
      </c>
      <c r="Z14" s="59">
        <v>37.4</v>
      </c>
      <c r="AA14" s="59">
        <v>37.9</v>
      </c>
      <c r="AB14" s="59">
        <v>37.9</v>
      </c>
      <c r="AC14" s="59">
        <v>37.9</v>
      </c>
      <c r="AD14" s="59">
        <v>37.9</v>
      </c>
      <c r="AE14" s="59">
        <v>37.9</v>
      </c>
      <c r="AF14" s="59">
        <v>37.9</v>
      </c>
      <c r="AG14" s="58">
        <v>50</v>
      </c>
      <c r="AH14" s="53">
        <f t="shared" si="2"/>
        <v>39</v>
      </c>
      <c r="AI14" s="54">
        <f t="shared" si="3"/>
        <v>37.299999999999997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23</v>
      </c>
      <c r="C15" s="59">
        <v>23</v>
      </c>
      <c r="D15" s="59">
        <v>23</v>
      </c>
      <c r="E15" s="59">
        <v>23</v>
      </c>
      <c r="F15" s="59">
        <v>23</v>
      </c>
      <c r="G15" s="59">
        <v>23</v>
      </c>
      <c r="H15" s="59">
        <v>23</v>
      </c>
      <c r="I15" s="59">
        <v>23</v>
      </c>
      <c r="J15" s="59">
        <v>23</v>
      </c>
      <c r="K15" s="59">
        <v>23</v>
      </c>
      <c r="L15" s="59">
        <v>23</v>
      </c>
      <c r="M15" s="50">
        <v>20.399999999999999</v>
      </c>
      <c r="N15" s="50">
        <v>20.399999999999999</v>
      </c>
      <c r="O15" s="50">
        <v>20.399999999999999</v>
      </c>
      <c r="P15" s="50">
        <v>20.399999999999999</v>
      </c>
      <c r="Q15" s="50">
        <v>20.399999999999999</v>
      </c>
      <c r="R15" s="50">
        <v>20.399999999999999</v>
      </c>
      <c r="S15" s="59">
        <v>20.399999999999999</v>
      </c>
      <c r="T15" s="59">
        <v>21.5</v>
      </c>
      <c r="U15" s="59">
        <v>22.9</v>
      </c>
      <c r="V15" s="59">
        <v>22.9</v>
      </c>
      <c r="W15" s="59">
        <v>22.9</v>
      </c>
      <c r="X15" s="59">
        <v>22.9</v>
      </c>
      <c r="Y15" s="59">
        <v>22.9</v>
      </c>
      <c r="Z15" s="59">
        <v>22.9</v>
      </c>
      <c r="AA15" s="59">
        <v>23.1</v>
      </c>
      <c r="AB15" s="59">
        <v>23.1</v>
      </c>
      <c r="AC15" s="59">
        <v>23.1</v>
      </c>
      <c r="AD15" s="59">
        <v>23.1</v>
      </c>
      <c r="AE15" s="59">
        <v>23.1</v>
      </c>
      <c r="AF15" s="59">
        <v>23.1</v>
      </c>
      <c r="AG15" s="61">
        <v>45</v>
      </c>
      <c r="AH15" s="53">
        <f t="shared" si="2"/>
        <v>23.1</v>
      </c>
      <c r="AI15" s="54">
        <f t="shared" si="3"/>
        <v>20.399999999999999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0</v>
      </c>
      <c r="E16" s="62">
        <v>0</v>
      </c>
      <c r="F16" s="62">
        <v>0</v>
      </c>
      <c r="G16" s="62">
        <v>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62">
        <v>10</v>
      </c>
      <c r="N16" s="62">
        <v>10</v>
      </c>
      <c r="O16" s="62">
        <v>10</v>
      </c>
      <c r="P16" s="62">
        <v>10</v>
      </c>
      <c r="Q16" s="62">
        <v>10</v>
      </c>
      <c r="R16" s="62">
        <v>10</v>
      </c>
      <c r="S16" s="62">
        <v>10</v>
      </c>
      <c r="T16" s="62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59">
        <v>9</v>
      </c>
      <c r="D17" s="59">
        <v>9</v>
      </c>
      <c r="E17" s="59">
        <v>9</v>
      </c>
      <c r="F17" s="59">
        <v>9</v>
      </c>
      <c r="G17" s="59">
        <v>9</v>
      </c>
      <c r="H17" s="59">
        <v>9</v>
      </c>
      <c r="I17" s="59">
        <v>9</v>
      </c>
      <c r="J17" s="59">
        <v>9</v>
      </c>
      <c r="K17" s="59">
        <v>9</v>
      </c>
      <c r="L17" s="59">
        <v>9</v>
      </c>
      <c r="M17" s="59">
        <v>9</v>
      </c>
      <c r="N17" s="59">
        <v>9</v>
      </c>
      <c r="O17" s="59">
        <v>9</v>
      </c>
      <c r="P17" s="59">
        <v>9</v>
      </c>
      <c r="Q17" s="59">
        <v>9</v>
      </c>
      <c r="R17" s="5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10.8</v>
      </c>
      <c r="C19" s="50">
        <v>10.8</v>
      </c>
      <c r="D19" s="50">
        <v>10.8</v>
      </c>
      <c r="E19" s="50">
        <v>10.8</v>
      </c>
      <c r="F19" s="50">
        <v>10.8</v>
      </c>
      <c r="G19" s="50">
        <v>10.8</v>
      </c>
      <c r="H19" s="50">
        <v>10.8</v>
      </c>
      <c r="I19" s="50">
        <v>10.8</v>
      </c>
      <c r="J19" s="50">
        <v>10.8</v>
      </c>
      <c r="K19" s="50">
        <v>10.8</v>
      </c>
      <c r="L19" s="50">
        <v>10.8</v>
      </c>
      <c r="M19" s="50">
        <v>10.8</v>
      </c>
      <c r="N19" s="50">
        <v>10.8</v>
      </c>
      <c r="O19" s="50">
        <v>10.8</v>
      </c>
      <c r="P19" s="50">
        <v>10.8</v>
      </c>
      <c r="Q19" s="50">
        <v>10.8</v>
      </c>
      <c r="R19" s="50">
        <v>10.8</v>
      </c>
      <c r="S19" s="50">
        <v>10.8</v>
      </c>
      <c r="T19" s="50">
        <v>10.8</v>
      </c>
      <c r="U19" s="50">
        <v>10.8</v>
      </c>
      <c r="V19" s="50">
        <v>10.8</v>
      </c>
      <c r="W19" s="50">
        <v>10.199999999999999</v>
      </c>
      <c r="X19" s="50">
        <v>10.199999999999999</v>
      </c>
      <c r="Y19" s="50">
        <v>10.199999999999999</v>
      </c>
      <c r="Z19" s="50">
        <v>10.199999999999999</v>
      </c>
      <c r="AA19" s="50">
        <v>10.199999999999999</v>
      </c>
      <c r="AB19" s="50">
        <v>10.199999999999999</v>
      </c>
      <c r="AC19" s="50">
        <v>10.199999999999999</v>
      </c>
      <c r="AD19" s="50">
        <v>10.199999999999999</v>
      </c>
      <c r="AE19" s="50">
        <v>10.199999999999999</v>
      </c>
      <c r="AF19" s="50">
        <v>10.199999999999999</v>
      </c>
      <c r="AG19" s="58">
        <v>30</v>
      </c>
      <c r="AH19" s="53">
        <f t="shared" si="2"/>
        <v>10.8</v>
      </c>
      <c r="AI19" s="54">
        <f t="shared" si="3"/>
        <v>10.199999999999999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18.7</v>
      </c>
      <c r="C22" s="50">
        <v>18.7</v>
      </c>
      <c r="D22" s="50">
        <v>18.7</v>
      </c>
      <c r="E22" s="50">
        <v>18.7</v>
      </c>
      <c r="F22" s="50">
        <v>18.7</v>
      </c>
      <c r="G22" s="50">
        <v>18.7</v>
      </c>
      <c r="H22" s="50">
        <v>18.7</v>
      </c>
      <c r="I22" s="50">
        <v>18.7</v>
      </c>
      <c r="J22" s="50">
        <v>18.7</v>
      </c>
      <c r="K22" s="50">
        <v>18.7</v>
      </c>
      <c r="L22" s="50">
        <v>18.7</v>
      </c>
      <c r="M22" s="50">
        <v>18.7</v>
      </c>
      <c r="N22" s="50">
        <v>18.7</v>
      </c>
      <c r="O22" s="50">
        <v>18.7</v>
      </c>
      <c r="P22" s="50">
        <v>18.7</v>
      </c>
      <c r="Q22" s="50">
        <v>18.7</v>
      </c>
      <c r="R22" s="50">
        <v>18.7</v>
      </c>
      <c r="S22" s="50">
        <v>12</v>
      </c>
      <c r="T22" s="50">
        <v>12</v>
      </c>
      <c r="U22" s="50">
        <v>12</v>
      </c>
      <c r="V22" s="50">
        <v>12</v>
      </c>
      <c r="W22" s="50">
        <v>12</v>
      </c>
      <c r="X22" s="50">
        <v>12</v>
      </c>
      <c r="Y22" s="50">
        <v>19.899999999999999</v>
      </c>
      <c r="Z22" s="50">
        <v>19.899999999999999</v>
      </c>
      <c r="AA22" s="50">
        <v>18.7</v>
      </c>
      <c r="AB22" s="50">
        <v>18.7</v>
      </c>
      <c r="AC22" s="50">
        <v>18.7</v>
      </c>
      <c r="AD22" s="50">
        <v>18.7</v>
      </c>
      <c r="AE22" s="50">
        <v>18.7</v>
      </c>
      <c r="AF22" s="50">
        <v>18.7</v>
      </c>
      <c r="AG22" s="58">
        <v>25</v>
      </c>
      <c r="AH22" s="53">
        <f t="shared" si="2"/>
        <v>19.899999999999999</v>
      </c>
      <c r="AI22" s="54">
        <f t="shared" si="3"/>
        <v>12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50">
        <v>12</v>
      </c>
      <c r="W24" s="50">
        <v>12</v>
      </c>
      <c r="X24" s="50">
        <v>12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8">
        <v>25</v>
      </c>
      <c r="AH24" s="53">
        <f t="shared" si="2"/>
        <v>12</v>
      </c>
      <c r="AI24" s="54">
        <f t="shared" si="3"/>
        <v>10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150</v>
      </c>
      <c r="C36" s="60">
        <v>150</v>
      </c>
      <c r="D36" s="60">
        <v>140</v>
      </c>
      <c r="E36" s="60">
        <v>140</v>
      </c>
      <c r="F36" s="60">
        <v>140</v>
      </c>
      <c r="G36" s="60">
        <v>140</v>
      </c>
      <c r="H36" s="60">
        <v>140</v>
      </c>
      <c r="I36" s="60">
        <v>140</v>
      </c>
      <c r="J36" s="60">
        <v>140</v>
      </c>
      <c r="K36" s="60">
        <v>140</v>
      </c>
      <c r="L36" s="60">
        <v>140</v>
      </c>
      <c r="M36" s="60">
        <v>140</v>
      </c>
      <c r="N36" s="60">
        <v>140</v>
      </c>
      <c r="O36" s="60">
        <v>140</v>
      </c>
      <c r="P36" s="60">
        <v>140</v>
      </c>
      <c r="Q36" s="60">
        <v>140</v>
      </c>
      <c r="R36" s="60">
        <v>140</v>
      </c>
      <c r="S36" s="60">
        <v>140</v>
      </c>
      <c r="T36" s="60">
        <v>140</v>
      </c>
      <c r="U36" s="60">
        <v>140</v>
      </c>
      <c r="V36" s="60">
        <v>140</v>
      </c>
      <c r="W36" s="60">
        <v>140</v>
      </c>
      <c r="X36" s="60">
        <v>140</v>
      </c>
      <c r="Y36" s="60">
        <v>160</v>
      </c>
      <c r="Z36" s="60">
        <v>140</v>
      </c>
      <c r="AA36" s="60">
        <v>140</v>
      </c>
      <c r="AB36" s="60">
        <v>140</v>
      </c>
      <c r="AC36" s="60">
        <v>140</v>
      </c>
      <c r="AD36" s="60">
        <v>140</v>
      </c>
      <c r="AE36" s="60">
        <v>140</v>
      </c>
      <c r="AF36" s="60">
        <v>140</v>
      </c>
      <c r="AG36" s="66">
        <v>85</v>
      </c>
      <c r="AH36" s="53">
        <f t="shared" si="2"/>
        <v>160</v>
      </c>
      <c r="AI36" s="54">
        <f t="shared" si="3"/>
        <v>140</v>
      </c>
      <c r="AK36" s="55"/>
    </row>
    <row r="37" spans="1:88" ht="15.75" thickBot="1" x14ac:dyDescent="0.3">
      <c r="A37" s="68" t="s">
        <v>45</v>
      </c>
      <c r="B37" s="60">
        <v>50</v>
      </c>
      <c r="C37" s="60">
        <v>50.5</v>
      </c>
      <c r="D37" s="60">
        <v>51</v>
      </c>
      <c r="E37" s="60">
        <v>51.5</v>
      </c>
      <c r="F37" s="60">
        <v>51.3</v>
      </c>
      <c r="G37" s="60">
        <v>51.1</v>
      </c>
      <c r="H37" s="60">
        <v>51.1</v>
      </c>
      <c r="I37" s="60">
        <v>49.8</v>
      </c>
      <c r="J37" s="60">
        <v>49.8</v>
      </c>
      <c r="K37" s="60">
        <v>49.2</v>
      </c>
      <c r="L37" s="60">
        <v>48.8</v>
      </c>
      <c r="M37" s="69">
        <f>31.1+17</f>
        <v>48.1</v>
      </c>
      <c r="N37" s="69">
        <f>31.4+17</f>
        <v>48.4</v>
      </c>
      <c r="O37" s="69">
        <f>31.6+17.2</f>
        <v>48.8</v>
      </c>
      <c r="P37" s="69">
        <f>31.5+17.3</f>
        <v>48.8</v>
      </c>
      <c r="Q37" s="69">
        <f>31.1+17</f>
        <v>48.1</v>
      </c>
      <c r="R37" s="69">
        <f>19.4+13.2</f>
        <v>32.599999999999994</v>
      </c>
      <c r="S37" s="69"/>
      <c r="T37" s="69"/>
      <c r="U37" s="69"/>
      <c r="V37" s="69">
        <f>15.5+28.1</f>
        <v>43.6</v>
      </c>
      <c r="W37" s="69">
        <f>14.8+26</f>
        <v>40.799999999999997</v>
      </c>
      <c r="X37" s="69">
        <f>15.1+27.7</f>
        <v>42.8</v>
      </c>
      <c r="Y37" s="69">
        <v>48.8</v>
      </c>
      <c r="Z37" s="69">
        <f>12+20.2</f>
        <v>32.200000000000003</v>
      </c>
      <c r="AA37" s="69">
        <f>13.8+26.2</f>
        <v>40</v>
      </c>
      <c r="AB37" s="69">
        <v>42.8</v>
      </c>
      <c r="AC37" s="69">
        <v>43.3</v>
      </c>
      <c r="AD37" s="69">
        <v>45.6</v>
      </c>
      <c r="AE37" s="69">
        <v>48.1</v>
      </c>
      <c r="AF37" s="60">
        <v>50.3</v>
      </c>
      <c r="AG37" s="66">
        <v>240</v>
      </c>
      <c r="AH37" s="53">
        <f t="shared" si="2"/>
        <v>51.5</v>
      </c>
      <c r="AI37" s="54">
        <f t="shared" si="3"/>
        <v>32.200000000000003</v>
      </c>
      <c r="AK37" s="55"/>
    </row>
    <row r="38" spans="1:88" ht="15.75" thickBot="1" x14ac:dyDescent="0.3">
      <c r="A38" s="70" t="s">
        <v>46</v>
      </c>
      <c r="B38" s="71">
        <f t="shared" ref="B38" si="4">SUM(B11:B36)</f>
        <v>426.7</v>
      </c>
      <c r="C38" s="71">
        <f t="shared" ref="C38:AF38" si="5">SUM(C11:C36)</f>
        <v>425.59999999999997</v>
      </c>
      <c r="D38" s="71">
        <f t="shared" si="5"/>
        <v>405.59999999999997</v>
      </c>
      <c r="E38" s="71">
        <f t="shared" si="5"/>
        <v>407.09999999999997</v>
      </c>
      <c r="F38" s="71">
        <f t="shared" si="5"/>
        <v>407.09999999999997</v>
      </c>
      <c r="G38" s="71">
        <f t="shared" si="5"/>
        <v>422.09999999999997</v>
      </c>
      <c r="H38" s="71">
        <f t="shared" si="5"/>
        <v>418.09999999999997</v>
      </c>
      <c r="I38" s="71">
        <f t="shared" si="5"/>
        <v>432.09999999999997</v>
      </c>
      <c r="J38" s="71">
        <f t="shared" si="5"/>
        <v>452.09999999999997</v>
      </c>
      <c r="K38" s="71">
        <f t="shared" si="5"/>
        <v>472.09999999999997</v>
      </c>
      <c r="L38" s="71">
        <f t="shared" si="5"/>
        <v>512.09999999999991</v>
      </c>
      <c r="M38" s="71">
        <f t="shared" si="5"/>
        <v>701.30000000000007</v>
      </c>
      <c r="N38" s="71">
        <f t="shared" si="5"/>
        <v>701.30000000000007</v>
      </c>
      <c r="O38" s="71">
        <f t="shared" si="5"/>
        <v>697.90000000000009</v>
      </c>
      <c r="P38" s="71">
        <f t="shared" si="5"/>
        <v>681.80000000000007</v>
      </c>
      <c r="Q38" s="71">
        <f t="shared" si="5"/>
        <v>436.4</v>
      </c>
      <c r="R38" s="71">
        <f t="shared" si="5"/>
        <v>436.4</v>
      </c>
      <c r="S38" s="71">
        <f t="shared" si="5"/>
        <v>429.7</v>
      </c>
      <c r="T38" s="71">
        <f t="shared" si="5"/>
        <v>429.4</v>
      </c>
      <c r="U38" s="71">
        <f t="shared" si="5"/>
        <v>409.3</v>
      </c>
      <c r="V38" s="71">
        <f t="shared" si="5"/>
        <v>409.3</v>
      </c>
      <c r="W38" s="71">
        <f t="shared" si="5"/>
        <v>499.7</v>
      </c>
      <c r="X38" s="71">
        <f t="shared" si="5"/>
        <v>640</v>
      </c>
      <c r="Y38" s="71">
        <f t="shared" si="5"/>
        <v>750.9</v>
      </c>
      <c r="Z38" s="71">
        <f t="shared" si="5"/>
        <v>735.9</v>
      </c>
      <c r="AA38" s="71">
        <f t="shared" si="5"/>
        <v>687</v>
      </c>
      <c r="AB38" s="71">
        <f t="shared" si="5"/>
        <v>476.99999999999994</v>
      </c>
      <c r="AC38" s="71">
        <f t="shared" si="5"/>
        <v>456.99999999999994</v>
      </c>
      <c r="AD38" s="71">
        <f t="shared" si="5"/>
        <v>436.99999999999994</v>
      </c>
      <c r="AE38" s="71">
        <f t="shared" si="5"/>
        <v>416.99999999999994</v>
      </c>
      <c r="AF38" s="71">
        <f t="shared" si="5"/>
        <v>416.99999999999994</v>
      </c>
      <c r="AG38" s="66">
        <f>SUM(AG11:AG37)</f>
        <v>1492.8299999999997</v>
      </c>
      <c r="AH38" s="53">
        <f t="shared" si="2"/>
        <v>750.9</v>
      </c>
      <c r="AI38" s="54">
        <f t="shared" si="3"/>
        <v>405.59999999999997</v>
      </c>
      <c r="AK38" s="55"/>
    </row>
    <row r="39" spans="1:88" x14ac:dyDescent="0.25">
      <c r="A39" s="56" t="s">
        <v>47</v>
      </c>
      <c r="B39" s="49">
        <v>30.5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</v>
      </c>
      <c r="I39" s="60">
        <v>35.700000000000003</v>
      </c>
      <c r="J39" s="60">
        <v>35.1</v>
      </c>
      <c r="K39" s="60">
        <v>48.7</v>
      </c>
      <c r="L39" s="60">
        <v>110</v>
      </c>
      <c r="M39" s="50">
        <v>145.80000000000001</v>
      </c>
      <c r="N39" s="50">
        <v>145.9</v>
      </c>
      <c r="O39" s="50">
        <v>145.80000000000001</v>
      </c>
      <c r="P39" s="50">
        <v>136.69999999999999</v>
      </c>
      <c r="Q39" s="50">
        <v>101.8</v>
      </c>
      <c r="R39" s="50">
        <v>86.1</v>
      </c>
      <c r="S39" s="50">
        <v>85.2</v>
      </c>
      <c r="T39" s="50">
        <v>83.1</v>
      </c>
      <c r="U39" s="50">
        <v>55</v>
      </c>
      <c r="V39" s="50">
        <v>81.3</v>
      </c>
      <c r="W39" s="50">
        <v>121.1</v>
      </c>
      <c r="X39" s="50">
        <v>145.1</v>
      </c>
      <c r="Y39" s="50">
        <v>145.1</v>
      </c>
      <c r="Z39" s="50">
        <v>145.1</v>
      </c>
      <c r="AA39" s="50">
        <v>136.19999999999999</v>
      </c>
      <c r="AB39" s="50">
        <v>129.69999999999999</v>
      </c>
      <c r="AC39" s="50">
        <v>120.5</v>
      </c>
      <c r="AD39" s="50">
        <v>95.9</v>
      </c>
      <c r="AE39" s="50">
        <v>81.599999999999994</v>
      </c>
      <c r="AF39" s="49">
        <v>35.5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22.2</v>
      </c>
      <c r="C40" s="60">
        <v>0</v>
      </c>
      <c r="D40" s="60">
        <v>0</v>
      </c>
      <c r="E40" s="60">
        <v>0</v>
      </c>
      <c r="F40" s="60">
        <v>0</v>
      </c>
      <c r="G40" s="60">
        <v>34.4</v>
      </c>
      <c r="H40" s="60">
        <v>22.6</v>
      </c>
      <c r="I40" s="60">
        <v>34.700000000000003</v>
      </c>
      <c r="J40" s="60">
        <v>34.799999999999997</v>
      </c>
      <c r="K40" s="60">
        <v>59.8</v>
      </c>
      <c r="L40" s="60">
        <v>70.8</v>
      </c>
      <c r="M40" s="72">
        <v>71.3</v>
      </c>
      <c r="N40" s="72">
        <v>70.900000000000006</v>
      </c>
      <c r="O40" s="72">
        <v>70.599999999999994</v>
      </c>
      <c r="P40" s="72">
        <v>59.7</v>
      </c>
      <c r="Q40" s="72">
        <v>35.200000000000003</v>
      </c>
      <c r="R40" s="72">
        <v>34.6</v>
      </c>
      <c r="S40" s="72">
        <v>30</v>
      </c>
      <c r="T40" s="72">
        <v>30</v>
      </c>
      <c r="U40" s="72">
        <v>23</v>
      </c>
      <c r="V40" s="72">
        <v>30</v>
      </c>
      <c r="W40" s="72">
        <v>65</v>
      </c>
      <c r="X40" s="72">
        <v>69.900000000000006</v>
      </c>
      <c r="Y40" s="72">
        <v>69.900000000000006</v>
      </c>
      <c r="Z40" s="72">
        <v>69.900000000000006</v>
      </c>
      <c r="AA40" s="72">
        <v>60.5</v>
      </c>
      <c r="AB40" s="72">
        <v>54.4</v>
      </c>
      <c r="AC40" s="72">
        <v>54.4</v>
      </c>
      <c r="AD40" s="72">
        <v>55.6</v>
      </c>
      <c r="AE40" s="72">
        <v>35</v>
      </c>
      <c r="AF40" s="60">
        <v>23.3</v>
      </c>
      <c r="AG40" s="66">
        <v>70</v>
      </c>
      <c r="AH40" s="53">
        <f t="shared" si="2"/>
        <v>71.3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36.1</v>
      </c>
      <c r="C41" s="60">
        <v>17.600000000000001</v>
      </c>
      <c r="D41" s="60">
        <v>0</v>
      </c>
      <c r="E41" s="60">
        <v>42.3</v>
      </c>
      <c r="F41" s="60">
        <v>41.3</v>
      </c>
      <c r="G41" s="60">
        <v>44.9</v>
      </c>
      <c r="H41" s="60">
        <v>36.700000000000003</v>
      </c>
      <c r="I41" s="60">
        <v>47.8</v>
      </c>
      <c r="J41" s="60">
        <v>47.7</v>
      </c>
      <c r="K41" s="60">
        <v>47.6</v>
      </c>
      <c r="L41" s="60">
        <v>67.8</v>
      </c>
      <c r="M41" s="72">
        <v>67.8</v>
      </c>
      <c r="N41" s="72">
        <v>66.900000000000006</v>
      </c>
      <c r="O41" s="72">
        <v>67.8</v>
      </c>
      <c r="P41" s="72">
        <v>67.400000000000006</v>
      </c>
      <c r="Q41" s="72">
        <v>40.799999999999997</v>
      </c>
      <c r="R41" s="72">
        <v>40.9</v>
      </c>
      <c r="S41" s="72">
        <v>40.799999999999997</v>
      </c>
      <c r="T41" s="72">
        <v>46.6</v>
      </c>
      <c r="U41" s="72">
        <v>21.4</v>
      </c>
      <c r="V41" s="72">
        <v>41.5</v>
      </c>
      <c r="W41" s="72">
        <v>45.9</v>
      </c>
      <c r="X41" s="72">
        <v>69.099999999999994</v>
      </c>
      <c r="Y41" s="72">
        <v>68.5</v>
      </c>
      <c r="Z41" s="72">
        <v>68.5</v>
      </c>
      <c r="AA41" s="72">
        <v>67.599999999999994</v>
      </c>
      <c r="AB41" s="72">
        <v>67.5</v>
      </c>
      <c r="AC41" s="72">
        <v>67.3</v>
      </c>
      <c r="AD41" s="72">
        <v>67</v>
      </c>
      <c r="AE41" s="72">
        <v>58.4</v>
      </c>
      <c r="AF41" s="60">
        <v>16.3</v>
      </c>
      <c r="AG41" s="66">
        <v>69</v>
      </c>
      <c r="AH41" s="53">
        <f t="shared" si="2"/>
        <v>69.099999999999994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50.4</v>
      </c>
      <c r="C42" s="60">
        <v>51.6</v>
      </c>
      <c r="D42" s="60">
        <v>51.6</v>
      </c>
      <c r="E42" s="60">
        <v>51.6</v>
      </c>
      <c r="F42" s="60">
        <v>51.6</v>
      </c>
      <c r="G42" s="60">
        <v>51.9</v>
      </c>
      <c r="H42" s="60">
        <v>51.6</v>
      </c>
      <c r="I42" s="60">
        <v>51.9</v>
      </c>
      <c r="J42" s="60">
        <v>51.9</v>
      </c>
      <c r="K42" s="60">
        <v>55.2</v>
      </c>
      <c r="L42" s="60">
        <v>55.2</v>
      </c>
      <c r="M42" s="72">
        <v>54.9</v>
      </c>
      <c r="N42" s="72">
        <v>51.6</v>
      </c>
      <c r="O42" s="72">
        <v>49.4</v>
      </c>
      <c r="P42" s="72">
        <v>49.6</v>
      </c>
      <c r="Q42" s="72">
        <v>54.4</v>
      </c>
      <c r="R42" s="72">
        <v>49.9</v>
      </c>
      <c r="S42" s="72">
        <v>48.1</v>
      </c>
      <c r="T42" s="72">
        <v>50.4</v>
      </c>
      <c r="U42" s="72">
        <v>50.4</v>
      </c>
      <c r="V42" s="72">
        <v>50.1</v>
      </c>
      <c r="W42" s="72">
        <v>50.1</v>
      </c>
      <c r="X42" s="72">
        <v>50.4</v>
      </c>
      <c r="Y42" s="72">
        <v>50.4</v>
      </c>
      <c r="Z42" s="72">
        <v>50.4</v>
      </c>
      <c r="AA42" s="72">
        <v>50.4</v>
      </c>
      <c r="AB42" s="72">
        <v>52.6</v>
      </c>
      <c r="AC42" s="72">
        <v>52.6</v>
      </c>
      <c r="AD42" s="72">
        <v>55.9</v>
      </c>
      <c r="AE42" s="72">
        <v>55.9</v>
      </c>
      <c r="AF42" s="60">
        <v>55.9</v>
      </c>
      <c r="AG42" s="66">
        <v>60</v>
      </c>
      <c r="AH42" s="53">
        <f t="shared" si="2"/>
        <v>55.9</v>
      </c>
      <c r="AI42" s="54">
        <f t="shared" si="3"/>
        <v>48.1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10.7</v>
      </c>
      <c r="G43" s="60">
        <v>10.4</v>
      </c>
      <c r="H43" s="60">
        <v>14.5</v>
      </c>
      <c r="I43" s="60">
        <v>14.9</v>
      </c>
      <c r="J43" s="60">
        <v>14.8</v>
      </c>
      <c r="K43" s="60">
        <v>23.2</v>
      </c>
      <c r="L43" s="60">
        <v>28.6</v>
      </c>
      <c r="M43" s="50">
        <v>25</v>
      </c>
      <c r="N43" s="50">
        <v>25</v>
      </c>
      <c r="O43" s="50">
        <v>25.9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9.6</v>
      </c>
      <c r="W43" s="50">
        <v>9.8000000000000007</v>
      </c>
      <c r="X43" s="50">
        <v>22</v>
      </c>
      <c r="Y43" s="50">
        <v>28.9</v>
      </c>
      <c r="Z43" s="50">
        <v>28.9</v>
      </c>
      <c r="AA43" s="72">
        <v>21.9</v>
      </c>
      <c r="AB43" s="72">
        <v>10.1</v>
      </c>
      <c r="AC43" s="72">
        <v>10.199999999999999</v>
      </c>
      <c r="AD43" s="72">
        <v>9.8000000000000007</v>
      </c>
      <c r="AE43" s="72">
        <v>0</v>
      </c>
      <c r="AF43" s="60">
        <v>0</v>
      </c>
      <c r="AG43" s="66">
        <v>30</v>
      </c>
      <c r="AH43" s="53">
        <f t="shared" si="2"/>
        <v>28.9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60">
        <v>16</v>
      </c>
      <c r="M45" s="60">
        <v>16</v>
      </c>
      <c r="N45" s="60">
        <v>16</v>
      </c>
      <c r="O45" s="60">
        <v>16</v>
      </c>
      <c r="P45" s="60">
        <v>16</v>
      </c>
      <c r="Q45" s="6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4.5</v>
      </c>
      <c r="C46" s="50">
        <v>4.5</v>
      </c>
      <c r="D46" s="50">
        <v>4.5</v>
      </c>
      <c r="E46" s="50">
        <v>4.5</v>
      </c>
      <c r="F46" s="50">
        <v>4.5</v>
      </c>
      <c r="G46" s="50">
        <v>4.5</v>
      </c>
      <c r="H46" s="50">
        <v>4.5</v>
      </c>
      <c r="I46" s="50">
        <v>4.5</v>
      </c>
      <c r="J46" s="50">
        <v>4.5</v>
      </c>
      <c r="K46" s="50">
        <v>4.5</v>
      </c>
      <c r="L46" s="5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50">
        <v>5.7</v>
      </c>
      <c r="C49" s="50">
        <v>5.7</v>
      </c>
      <c r="D49" s="50">
        <v>5.7</v>
      </c>
      <c r="E49" s="50">
        <v>5.7</v>
      </c>
      <c r="F49" s="50">
        <v>5.7</v>
      </c>
      <c r="G49" s="50">
        <v>5.7</v>
      </c>
      <c r="H49" s="50">
        <v>5.7</v>
      </c>
      <c r="I49" s="50">
        <v>5.7</v>
      </c>
      <c r="J49" s="50">
        <v>5.7</v>
      </c>
      <c r="K49" s="50">
        <v>5.7</v>
      </c>
      <c r="L49" s="50">
        <v>5.7</v>
      </c>
      <c r="M49" s="50">
        <v>5.7</v>
      </c>
      <c r="N49" s="50">
        <v>5.7</v>
      </c>
      <c r="O49" s="50">
        <v>5.7</v>
      </c>
      <c r="P49" s="50">
        <v>5.7</v>
      </c>
      <c r="Q49" s="50">
        <v>5.7</v>
      </c>
      <c r="R49" s="50">
        <v>5.7</v>
      </c>
      <c r="S49" s="50">
        <v>5.7</v>
      </c>
      <c r="T49" s="50">
        <v>5.7</v>
      </c>
      <c r="U49" s="50">
        <v>5.7</v>
      </c>
      <c r="V49" s="50">
        <v>5.7</v>
      </c>
      <c r="W49" s="50">
        <v>5.7</v>
      </c>
      <c r="X49" s="50">
        <v>5.7</v>
      </c>
      <c r="Y49" s="50">
        <v>5.7</v>
      </c>
      <c r="Z49" s="50">
        <v>5.7</v>
      </c>
      <c r="AA49" s="50">
        <v>5.7</v>
      </c>
      <c r="AB49" s="50">
        <v>5.7</v>
      </c>
      <c r="AC49" s="50">
        <v>5.7</v>
      </c>
      <c r="AD49" s="50">
        <v>5.7</v>
      </c>
      <c r="AE49" s="50">
        <v>5.7</v>
      </c>
      <c r="AF49" s="50">
        <v>5.7</v>
      </c>
      <c r="AG49" s="66">
        <v>10.050000000000001</v>
      </c>
      <c r="AH49" s="53">
        <f t="shared" si="2"/>
        <v>5.7</v>
      </c>
      <c r="AI49" s="54">
        <f t="shared" si="3"/>
        <v>5.7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8">SUM(B39:B51)</f>
        <v>190.94</v>
      </c>
      <c r="C52" s="71">
        <f t="shared" ref="C52:AF52" si="9">SUM(C39:C51)</f>
        <v>120.94000000000001</v>
      </c>
      <c r="D52" s="71">
        <f t="shared" si="9"/>
        <v>103.34</v>
      </c>
      <c r="E52" s="71">
        <f t="shared" si="9"/>
        <v>145.63999999999999</v>
      </c>
      <c r="F52" s="71">
        <f t="shared" si="9"/>
        <v>155.34</v>
      </c>
      <c r="G52" s="71">
        <f t="shared" si="9"/>
        <v>193.33999999999997</v>
      </c>
      <c r="H52" s="71">
        <f t="shared" si="9"/>
        <v>207.14</v>
      </c>
      <c r="I52" s="71">
        <f t="shared" si="9"/>
        <v>236.73999999999998</v>
      </c>
      <c r="J52" s="71">
        <f t="shared" si="9"/>
        <v>236.04</v>
      </c>
      <c r="K52" s="71">
        <f t="shared" si="9"/>
        <v>286.24</v>
      </c>
      <c r="L52" s="71">
        <f t="shared" si="9"/>
        <v>384.14000000000004</v>
      </c>
      <c r="M52" s="71">
        <f t="shared" si="9"/>
        <v>416.54</v>
      </c>
      <c r="N52" s="71">
        <f t="shared" si="9"/>
        <v>412.04000000000008</v>
      </c>
      <c r="O52" s="71">
        <f t="shared" si="9"/>
        <v>411.23999999999995</v>
      </c>
      <c r="P52" s="71">
        <f t="shared" si="9"/>
        <v>375.14</v>
      </c>
      <c r="Q52" s="71">
        <f t="shared" si="9"/>
        <v>293.94000000000005</v>
      </c>
      <c r="R52" s="71">
        <f t="shared" si="9"/>
        <v>263.24</v>
      </c>
      <c r="S52" s="71">
        <f t="shared" si="9"/>
        <v>255.83999999999997</v>
      </c>
      <c r="T52" s="71">
        <f t="shared" si="9"/>
        <v>261.83999999999997</v>
      </c>
      <c r="U52" s="71">
        <f t="shared" si="9"/>
        <v>201.54</v>
      </c>
      <c r="V52" s="71">
        <f t="shared" si="9"/>
        <v>264.24</v>
      </c>
      <c r="W52" s="71">
        <f t="shared" si="9"/>
        <v>343.64000000000004</v>
      </c>
      <c r="X52" s="71">
        <f t="shared" si="9"/>
        <v>408.24</v>
      </c>
      <c r="Y52" s="71">
        <f t="shared" si="9"/>
        <v>414.53999999999996</v>
      </c>
      <c r="Z52" s="71">
        <f t="shared" si="9"/>
        <v>414.53999999999996</v>
      </c>
      <c r="AA52" s="71">
        <f t="shared" si="9"/>
        <v>388.33999999999992</v>
      </c>
      <c r="AB52" s="71">
        <f t="shared" si="9"/>
        <v>366.04</v>
      </c>
      <c r="AC52" s="71">
        <f t="shared" si="9"/>
        <v>356.74</v>
      </c>
      <c r="AD52" s="71">
        <f t="shared" si="9"/>
        <v>335.94</v>
      </c>
      <c r="AE52" s="71">
        <f t="shared" si="9"/>
        <v>282.64</v>
      </c>
      <c r="AF52" s="71">
        <f t="shared" si="9"/>
        <v>182.73999999999998</v>
      </c>
      <c r="AG52" s="76">
        <f>SUM(AG39:AG51)</f>
        <v>489.91</v>
      </c>
      <c r="AH52" s="53">
        <f t="shared" si="2"/>
        <v>416.54</v>
      </c>
      <c r="AI52" s="54">
        <f t="shared" si="3"/>
        <v>103.34</v>
      </c>
      <c r="AK52" s="55"/>
    </row>
    <row r="53" spans="1:37" ht="15.75" x14ac:dyDescent="0.25">
      <c r="A53" s="56" t="s">
        <v>61</v>
      </c>
      <c r="B53" s="50">
        <v>0</v>
      </c>
      <c r="C53" s="50">
        <v>0</v>
      </c>
      <c r="D53" s="5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14.3</v>
      </c>
      <c r="L53" s="60">
        <v>30.8</v>
      </c>
      <c r="M53" s="77">
        <v>58.9</v>
      </c>
      <c r="N53" s="77">
        <v>59.4</v>
      </c>
      <c r="O53" s="77">
        <v>50</v>
      </c>
      <c r="P53" s="77">
        <v>49.9</v>
      </c>
      <c r="Q53" s="50">
        <v>40</v>
      </c>
      <c r="R53" s="50">
        <v>40</v>
      </c>
      <c r="S53" s="50">
        <v>29.6</v>
      </c>
      <c r="T53" s="50">
        <v>29.6</v>
      </c>
      <c r="U53" s="50">
        <v>49</v>
      </c>
      <c r="V53" s="50">
        <v>53.5</v>
      </c>
      <c r="W53" s="50">
        <v>53.2</v>
      </c>
      <c r="X53" s="50">
        <v>53.9</v>
      </c>
      <c r="Y53" s="180">
        <v>58.1</v>
      </c>
      <c r="Z53" s="50">
        <v>60.3</v>
      </c>
      <c r="AA53" s="50">
        <v>60.2</v>
      </c>
      <c r="AB53" s="50">
        <v>60</v>
      </c>
      <c r="AC53" s="50">
        <v>60.1</v>
      </c>
      <c r="AD53" s="50">
        <v>28.3</v>
      </c>
      <c r="AE53" s="50">
        <v>0</v>
      </c>
      <c r="AF53" s="50">
        <v>0</v>
      </c>
      <c r="AG53" s="61">
        <v>60</v>
      </c>
      <c r="AH53" s="53">
        <f t="shared" si="2"/>
        <v>60.3</v>
      </c>
      <c r="AI53" s="54">
        <f t="shared" si="3"/>
        <v>0</v>
      </c>
      <c r="AK53" s="55"/>
    </row>
    <row r="54" spans="1:37" ht="15.75" x14ac:dyDescent="0.25">
      <c r="A54" s="65" t="s">
        <v>62</v>
      </c>
      <c r="B54" s="72">
        <v>0</v>
      </c>
      <c r="C54" s="72">
        <v>0</v>
      </c>
      <c r="D54" s="72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7.3</v>
      </c>
      <c r="L54" s="60">
        <v>15.8</v>
      </c>
      <c r="M54" s="77">
        <v>23.7</v>
      </c>
      <c r="N54" s="77">
        <v>28.4</v>
      </c>
      <c r="O54" s="77">
        <v>21.8</v>
      </c>
      <c r="P54" s="77">
        <v>23.6</v>
      </c>
      <c r="Q54" s="72">
        <v>14.5</v>
      </c>
      <c r="R54" s="72">
        <v>18</v>
      </c>
      <c r="S54" s="50">
        <v>15.1</v>
      </c>
      <c r="T54" s="50">
        <v>14.9</v>
      </c>
      <c r="U54" s="50">
        <v>29.1</v>
      </c>
      <c r="V54" s="72">
        <v>24.8</v>
      </c>
      <c r="W54" s="72">
        <v>27.1</v>
      </c>
      <c r="X54" s="72">
        <v>23.9</v>
      </c>
      <c r="Y54" s="181">
        <v>31.4</v>
      </c>
      <c r="Z54" s="72">
        <v>27.4</v>
      </c>
      <c r="AA54" s="72">
        <v>29.6</v>
      </c>
      <c r="AB54" s="72">
        <v>28.8</v>
      </c>
      <c r="AC54" s="72">
        <v>28.9</v>
      </c>
      <c r="AD54" s="72">
        <v>28.9</v>
      </c>
      <c r="AE54" s="72">
        <v>6.4</v>
      </c>
      <c r="AF54" s="72">
        <v>0</v>
      </c>
      <c r="AG54" s="66">
        <v>32</v>
      </c>
      <c r="AH54" s="53">
        <f t="shared" si="2"/>
        <v>31.4</v>
      </c>
      <c r="AI54" s="54">
        <f t="shared" si="3"/>
        <v>0</v>
      </c>
      <c r="AK54" s="55"/>
    </row>
    <row r="55" spans="1:37" ht="16.5" thickBot="1" x14ac:dyDescent="0.3">
      <c r="A55" s="74" t="s">
        <v>63</v>
      </c>
      <c r="B55" s="78">
        <v>0</v>
      </c>
      <c r="C55" s="78">
        <v>0</v>
      </c>
      <c r="D55" s="78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2.7</v>
      </c>
      <c r="L55" s="79">
        <v>5.8</v>
      </c>
      <c r="M55" s="80">
        <v>8.6</v>
      </c>
      <c r="N55" s="80">
        <v>10.4</v>
      </c>
      <c r="O55" s="80">
        <v>8</v>
      </c>
      <c r="P55" s="80">
        <v>8.6</v>
      </c>
      <c r="Q55" s="78">
        <v>5.3</v>
      </c>
      <c r="R55" s="78">
        <v>6.6</v>
      </c>
      <c r="S55" s="50">
        <v>5.5</v>
      </c>
      <c r="T55" s="50">
        <v>5.4</v>
      </c>
      <c r="U55" s="50">
        <v>10.6</v>
      </c>
      <c r="V55" s="78">
        <v>9</v>
      </c>
      <c r="W55" s="78">
        <v>9.9</v>
      </c>
      <c r="X55" s="78">
        <v>8.6999999999999993</v>
      </c>
      <c r="Y55" s="182">
        <v>11.4</v>
      </c>
      <c r="Z55" s="78">
        <v>10</v>
      </c>
      <c r="AA55" s="78">
        <v>10.8</v>
      </c>
      <c r="AB55" s="78">
        <v>10.5</v>
      </c>
      <c r="AC55" s="78">
        <v>10.5</v>
      </c>
      <c r="AD55" s="78">
        <v>10.4</v>
      </c>
      <c r="AE55" s="78">
        <v>2.2999999999999998</v>
      </c>
      <c r="AF55" s="78">
        <v>0</v>
      </c>
      <c r="AG55" s="81">
        <v>14</v>
      </c>
      <c r="AH55" s="53">
        <f t="shared" si="2"/>
        <v>11.4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0">SUM(B53:B55)</f>
        <v>0</v>
      </c>
      <c r="C56" s="71">
        <f>SUM(C53:C55)</f>
        <v>0</v>
      </c>
      <c r="D56" s="71">
        <f t="shared" ref="D56:AF56" si="11">SUM(D53:D55)</f>
        <v>0</v>
      </c>
      <c r="E56" s="71">
        <f t="shared" si="11"/>
        <v>0</v>
      </c>
      <c r="F56" s="71">
        <f t="shared" si="11"/>
        <v>0</v>
      </c>
      <c r="G56" s="71">
        <f t="shared" si="11"/>
        <v>0</v>
      </c>
      <c r="H56" s="71">
        <f t="shared" si="11"/>
        <v>0</v>
      </c>
      <c r="I56" s="71">
        <f t="shared" si="11"/>
        <v>0</v>
      </c>
      <c r="J56" s="71">
        <f t="shared" si="11"/>
        <v>0</v>
      </c>
      <c r="K56" s="71">
        <f t="shared" si="11"/>
        <v>24.3</v>
      </c>
      <c r="L56" s="71">
        <f t="shared" si="11"/>
        <v>52.4</v>
      </c>
      <c r="M56" s="71">
        <f t="shared" si="11"/>
        <v>91.199999999999989</v>
      </c>
      <c r="N56" s="71">
        <f t="shared" si="11"/>
        <v>98.2</v>
      </c>
      <c r="O56" s="71">
        <f t="shared" si="11"/>
        <v>79.8</v>
      </c>
      <c r="P56" s="71">
        <f t="shared" si="11"/>
        <v>82.1</v>
      </c>
      <c r="Q56" s="71">
        <f t="shared" si="11"/>
        <v>59.8</v>
      </c>
      <c r="R56" s="71">
        <f t="shared" si="11"/>
        <v>64.599999999999994</v>
      </c>
      <c r="S56" s="71">
        <f t="shared" si="11"/>
        <v>50.2</v>
      </c>
      <c r="T56" s="71">
        <f t="shared" si="11"/>
        <v>49.9</v>
      </c>
      <c r="U56" s="71">
        <f t="shared" si="11"/>
        <v>88.699999999999989</v>
      </c>
      <c r="V56" s="71">
        <f t="shared" si="11"/>
        <v>87.3</v>
      </c>
      <c r="W56" s="71">
        <f t="shared" si="11"/>
        <v>90.200000000000017</v>
      </c>
      <c r="X56" s="71">
        <f t="shared" si="11"/>
        <v>86.5</v>
      </c>
      <c r="Y56" s="71">
        <f t="shared" si="11"/>
        <v>100.9</v>
      </c>
      <c r="Z56" s="71">
        <f t="shared" si="11"/>
        <v>97.699999999999989</v>
      </c>
      <c r="AA56" s="71">
        <f t="shared" si="11"/>
        <v>100.60000000000001</v>
      </c>
      <c r="AB56" s="71">
        <f t="shared" si="11"/>
        <v>99.3</v>
      </c>
      <c r="AC56" s="71">
        <f t="shared" si="11"/>
        <v>99.5</v>
      </c>
      <c r="AD56" s="71">
        <f t="shared" si="11"/>
        <v>67.600000000000009</v>
      </c>
      <c r="AE56" s="71">
        <f t="shared" si="11"/>
        <v>8.6999999999999993</v>
      </c>
      <c r="AF56" s="71">
        <f t="shared" si="11"/>
        <v>0</v>
      </c>
      <c r="AG56" s="76">
        <f>SUM(AG53:AG55)</f>
        <v>106</v>
      </c>
      <c r="AH56" s="53">
        <f t="shared" si="2"/>
        <v>100.9</v>
      </c>
      <c r="AI56" s="54">
        <f t="shared" si="3"/>
        <v>0</v>
      </c>
      <c r="AK56" s="55"/>
    </row>
    <row r="57" spans="1:37" ht="15.75" x14ac:dyDescent="0.25">
      <c r="A57" s="56" t="s">
        <v>65</v>
      </c>
      <c r="B57" s="50">
        <v>65.400000000000006</v>
      </c>
      <c r="C57" s="50">
        <v>63.8</v>
      </c>
      <c r="D57" s="50">
        <v>60.1</v>
      </c>
      <c r="E57" s="50">
        <v>58.8</v>
      </c>
      <c r="F57" s="50">
        <v>62.5</v>
      </c>
      <c r="G57" s="50">
        <v>68.599999999999994</v>
      </c>
      <c r="H57" s="50">
        <v>71.3</v>
      </c>
      <c r="I57" s="50">
        <v>69.8</v>
      </c>
      <c r="J57" s="50">
        <v>78</v>
      </c>
      <c r="K57" s="50">
        <v>73.599999999999994</v>
      </c>
      <c r="L57" s="50">
        <v>70.599999999999994</v>
      </c>
      <c r="M57" s="50">
        <v>67.8</v>
      </c>
      <c r="N57" s="50">
        <v>71.5</v>
      </c>
      <c r="O57" s="50">
        <v>70.400000000000006</v>
      </c>
      <c r="P57" s="50">
        <v>75.3</v>
      </c>
      <c r="Q57" s="50">
        <v>69.400000000000006</v>
      </c>
      <c r="R57" s="50">
        <v>75.599999999999994</v>
      </c>
      <c r="S57" s="50">
        <v>73.900000000000006</v>
      </c>
      <c r="T57" s="50">
        <v>81.599999999999994</v>
      </c>
      <c r="U57" s="50">
        <v>76.400000000000006</v>
      </c>
      <c r="V57" s="50">
        <v>72.5</v>
      </c>
      <c r="W57" s="50">
        <v>76.5</v>
      </c>
      <c r="X57" s="50">
        <v>71.8</v>
      </c>
      <c r="Y57" s="183">
        <v>77.900000000000006</v>
      </c>
      <c r="Z57" s="50">
        <v>76.5</v>
      </c>
      <c r="AA57" s="50">
        <v>77</v>
      </c>
      <c r="AB57" s="50">
        <v>74</v>
      </c>
      <c r="AC57" s="50">
        <v>68.599999999999994</v>
      </c>
      <c r="AD57" s="50">
        <v>74.900000000000006</v>
      </c>
      <c r="AE57" s="50">
        <v>71.400000000000006</v>
      </c>
      <c r="AF57" s="50">
        <v>71.599999999999994</v>
      </c>
      <c r="AG57" s="61"/>
      <c r="AH57" s="53">
        <f t="shared" si="2"/>
        <v>81.599999999999994</v>
      </c>
      <c r="AI57" s="54">
        <f t="shared" si="3"/>
        <v>58.8</v>
      </c>
      <c r="AK57" s="55"/>
    </row>
    <row r="58" spans="1:37" ht="15.75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92.5</v>
      </c>
      <c r="N58" s="50">
        <v>94.8</v>
      </c>
      <c r="O58" s="50">
        <v>79</v>
      </c>
      <c r="P58" s="50">
        <v>71.900000000000006</v>
      </c>
      <c r="Q58" s="50">
        <v>82</v>
      </c>
      <c r="R58" s="50">
        <v>75.7</v>
      </c>
      <c r="S58" s="50">
        <v>80</v>
      </c>
      <c r="T58" s="50">
        <v>0</v>
      </c>
      <c r="U58" s="50">
        <v>70</v>
      </c>
      <c r="V58" s="50">
        <v>68.900000000000006</v>
      </c>
      <c r="W58" s="50">
        <v>63.4</v>
      </c>
      <c r="X58" s="82">
        <v>174</v>
      </c>
      <c r="Y58" s="184">
        <v>175</v>
      </c>
      <c r="Z58" s="82">
        <v>124</v>
      </c>
      <c r="AA58" s="82">
        <v>151</v>
      </c>
      <c r="AB58" s="72">
        <v>110</v>
      </c>
      <c r="AC58" s="72">
        <v>105</v>
      </c>
      <c r="AD58" s="72">
        <v>0</v>
      </c>
      <c r="AE58" s="72">
        <v>0</v>
      </c>
      <c r="AF58" s="72">
        <v>0</v>
      </c>
      <c r="AG58" s="66"/>
      <c r="AH58" s="53">
        <f t="shared" si="2"/>
        <v>175</v>
      </c>
      <c r="AI58" s="54">
        <f t="shared" si="3"/>
        <v>0</v>
      </c>
      <c r="AK58" s="55"/>
    </row>
    <row r="59" spans="1:37" ht="15.75" x14ac:dyDescent="0.25">
      <c r="A59" s="65" t="s">
        <v>67</v>
      </c>
      <c r="B59" s="72">
        <v>325</v>
      </c>
      <c r="C59" s="72">
        <v>324.10000000000002</v>
      </c>
      <c r="D59" s="72">
        <v>335</v>
      </c>
      <c r="E59" s="72">
        <v>290</v>
      </c>
      <c r="F59" s="72">
        <v>262.8</v>
      </c>
      <c r="G59" s="72">
        <v>267</v>
      </c>
      <c r="H59" s="50">
        <v>320.89999999999998</v>
      </c>
      <c r="I59" s="50">
        <v>325</v>
      </c>
      <c r="J59" s="50">
        <v>339</v>
      </c>
      <c r="K59" s="50">
        <v>321</v>
      </c>
      <c r="L59" s="50">
        <v>321.5</v>
      </c>
      <c r="M59" s="72">
        <v>56.5</v>
      </c>
      <c r="N59" s="72">
        <v>14</v>
      </c>
      <c r="O59" s="72">
        <v>3</v>
      </c>
      <c r="P59" s="72">
        <v>9</v>
      </c>
      <c r="Q59" s="72">
        <v>282.5</v>
      </c>
      <c r="R59" s="72">
        <v>266.60000000000002</v>
      </c>
      <c r="S59" s="72">
        <v>277.39999999999998</v>
      </c>
      <c r="T59" s="72">
        <v>349</v>
      </c>
      <c r="U59" s="72">
        <v>343.5</v>
      </c>
      <c r="V59" s="72">
        <v>347.1</v>
      </c>
      <c r="W59" s="72">
        <v>182.6</v>
      </c>
      <c r="X59" s="83">
        <v>92.6</v>
      </c>
      <c r="Y59" s="184">
        <v>1.1000000000000001</v>
      </c>
      <c r="Z59" s="83">
        <v>14.5</v>
      </c>
      <c r="AA59" s="83">
        <v>29</v>
      </c>
      <c r="AB59" s="72">
        <v>233.5</v>
      </c>
      <c r="AC59" s="72">
        <v>240</v>
      </c>
      <c r="AD59" s="72">
        <v>325</v>
      </c>
      <c r="AE59" s="72">
        <v>337.1</v>
      </c>
      <c r="AF59" s="72">
        <v>328.8</v>
      </c>
      <c r="AG59" s="84"/>
      <c r="AH59" s="53">
        <f t="shared" si="2"/>
        <v>349</v>
      </c>
      <c r="AI59" s="54">
        <f t="shared" si="3"/>
        <v>1.1000000000000001</v>
      </c>
      <c r="AK59" s="55"/>
    </row>
    <row r="60" spans="1:37" ht="15.75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47.7</v>
      </c>
      <c r="J60" s="57">
        <v>51.4</v>
      </c>
      <c r="K60" s="57">
        <v>54.8</v>
      </c>
      <c r="L60" s="57">
        <v>56.6</v>
      </c>
      <c r="M60" s="72">
        <v>57.7</v>
      </c>
      <c r="N60" s="72">
        <v>59.7</v>
      </c>
      <c r="O60" s="72">
        <v>58.7</v>
      </c>
      <c r="P60" s="72">
        <v>60.3</v>
      </c>
      <c r="Q60" s="72">
        <v>61.1</v>
      </c>
      <c r="R60" s="72">
        <v>63</v>
      </c>
      <c r="S60" s="72">
        <v>63.3</v>
      </c>
      <c r="T60" s="72">
        <v>63.6</v>
      </c>
      <c r="U60" s="72">
        <v>61.6</v>
      </c>
      <c r="V60" s="72">
        <v>56.4</v>
      </c>
      <c r="W60" s="72">
        <v>146</v>
      </c>
      <c r="X60" s="72">
        <v>62.5</v>
      </c>
      <c r="Y60" s="184">
        <v>61.9</v>
      </c>
      <c r="Z60" s="72">
        <v>60.2</v>
      </c>
      <c r="AA60" s="72">
        <v>58.8</v>
      </c>
      <c r="AB60" s="72">
        <v>56.5</v>
      </c>
      <c r="AC60" s="72">
        <v>59.1</v>
      </c>
      <c r="AD60" s="72">
        <v>55.9</v>
      </c>
      <c r="AE60" s="72">
        <v>53.6</v>
      </c>
      <c r="AF60" s="57">
        <v>0</v>
      </c>
      <c r="AG60" s="84"/>
      <c r="AH60" s="53">
        <f t="shared" si="2"/>
        <v>146</v>
      </c>
      <c r="AI60" s="54">
        <f t="shared" si="3"/>
        <v>0</v>
      </c>
      <c r="AK60" s="55"/>
    </row>
    <row r="61" spans="1:37" ht="15.75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69.3</v>
      </c>
      <c r="K61" s="57">
        <v>71.3</v>
      </c>
      <c r="L61" s="57">
        <v>76.3</v>
      </c>
      <c r="M61" s="50">
        <v>88.3</v>
      </c>
      <c r="N61" s="50">
        <v>89</v>
      </c>
      <c r="O61" s="50">
        <v>79.7</v>
      </c>
      <c r="P61" s="50">
        <v>79.2</v>
      </c>
      <c r="Q61" s="50">
        <v>80.5</v>
      </c>
      <c r="R61" s="50">
        <v>72.599999999999994</v>
      </c>
      <c r="S61" s="50">
        <v>75.2</v>
      </c>
      <c r="T61" s="50">
        <v>83.1</v>
      </c>
      <c r="U61" s="50">
        <v>83.1</v>
      </c>
      <c r="V61" s="50">
        <v>77.2</v>
      </c>
      <c r="W61" s="50">
        <v>68.8</v>
      </c>
      <c r="X61" s="50">
        <v>81.7</v>
      </c>
      <c r="Y61" s="184">
        <v>74.8</v>
      </c>
      <c r="Z61" s="50">
        <v>80.099999999999994</v>
      </c>
      <c r="AA61" s="50">
        <v>77.5</v>
      </c>
      <c r="AB61" s="50">
        <v>65.900000000000006</v>
      </c>
      <c r="AC61" s="50">
        <v>74.7</v>
      </c>
      <c r="AD61" s="50">
        <v>81.7</v>
      </c>
      <c r="AE61" s="50">
        <v>0</v>
      </c>
      <c r="AF61" s="50">
        <v>0</v>
      </c>
      <c r="AG61" s="84"/>
      <c r="AH61" s="53">
        <f t="shared" si="2"/>
        <v>89</v>
      </c>
      <c r="AI61" s="54">
        <f t="shared" si="3"/>
        <v>0</v>
      </c>
      <c r="AK61" s="55"/>
    </row>
    <row r="62" spans="1:37" ht="15.75" x14ac:dyDescent="0.25">
      <c r="A62" s="65" t="s">
        <v>70</v>
      </c>
      <c r="B62" s="59">
        <v>0</v>
      </c>
      <c r="C62" s="59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184">
        <v>8</v>
      </c>
      <c r="Z62" s="184">
        <v>8</v>
      </c>
      <c r="AA62" s="184">
        <v>8</v>
      </c>
      <c r="AB62" s="59">
        <v>8</v>
      </c>
      <c r="AC62" s="59">
        <v>8</v>
      </c>
      <c r="AD62" s="59">
        <v>0</v>
      </c>
      <c r="AE62" s="59">
        <v>0</v>
      </c>
      <c r="AF62" s="59">
        <v>0</v>
      </c>
      <c r="AG62" s="84"/>
      <c r="AH62" s="53">
        <f t="shared" si="2"/>
        <v>8</v>
      </c>
      <c r="AI62" s="54">
        <f t="shared" si="3"/>
        <v>0</v>
      </c>
      <c r="AK62" s="55"/>
    </row>
    <row r="63" spans="1:37" ht="15.75" x14ac:dyDescent="0.25">
      <c r="A63" s="65" t="s">
        <v>71</v>
      </c>
      <c r="B63" s="59">
        <v>0</v>
      </c>
      <c r="C63" s="59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72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184">
        <v>0</v>
      </c>
      <c r="Z63" s="184">
        <v>0</v>
      </c>
      <c r="AA63" s="184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ht="15.75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72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7">
        <v>0</v>
      </c>
      <c r="V64" s="57">
        <v>0</v>
      </c>
      <c r="W64" s="57">
        <v>0</v>
      </c>
      <c r="X64" s="57">
        <v>0</v>
      </c>
      <c r="Y64" s="184">
        <v>0</v>
      </c>
      <c r="Z64" s="184">
        <v>0</v>
      </c>
      <c r="AA64" s="184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ht="15.75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72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7">
        <v>0</v>
      </c>
      <c r="X65" s="57">
        <v>0</v>
      </c>
      <c r="Y65" s="184">
        <v>0</v>
      </c>
      <c r="Z65" s="184">
        <v>0</v>
      </c>
      <c r="AA65" s="184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ht="15.75" x14ac:dyDescent="0.25">
      <c r="A66" s="85" t="s">
        <v>74</v>
      </c>
      <c r="B66" s="62">
        <v>0</v>
      </c>
      <c r="C66" s="62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62">
        <v>0</v>
      </c>
      <c r="X66" s="62">
        <v>0</v>
      </c>
      <c r="Y66" s="184">
        <v>0</v>
      </c>
      <c r="Z66" s="184">
        <v>0</v>
      </c>
      <c r="AA66" s="184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6.5" thickBot="1" x14ac:dyDescent="0.3">
      <c r="A67" s="85" t="s">
        <v>75</v>
      </c>
      <c r="B67" s="62">
        <v>0</v>
      </c>
      <c r="C67" s="62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72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62">
        <v>0</v>
      </c>
      <c r="X67" s="62">
        <v>0</v>
      </c>
      <c r="Y67" s="185">
        <v>0</v>
      </c>
      <c r="Z67" s="185">
        <v>0</v>
      </c>
      <c r="AA67" s="185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 t="shared" ref="B68" si="12">SUM(B57:B67)</f>
        <v>390.4</v>
      </c>
      <c r="C68" s="71">
        <f>SUM(C57:C67)</f>
        <v>387.90000000000003</v>
      </c>
      <c r="D68" s="71">
        <f t="shared" ref="D68:AF68" si="13">SUM(D57:D67)</f>
        <v>395.1</v>
      </c>
      <c r="E68" s="71">
        <f t="shared" si="13"/>
        <v>348.8</v>
      </c>
      <c r="F68" s="71">
        <f t="shared" si="13"/>
        <v>325.3</v>
      </c>
      <c r="G68" s="71">
        <f t="shared" si="13"/>
        <v>335.6</v>
      </c>
      <c r="H68" s="71">
        <f t="shared" si="13"/>
        <v>392.2</v>
      </c>
      <c r="I68" s="71">
        <f t="shared" si="13"/>
        <v>442.5</v>
      </c>
      <c r="J68" s="71">
        <f t="shared" si="13"/>
        <v>537.69999999999993</v>
      </c>
      <c r="K68" s="71">
        <f t="shared" si="13"/>
        <v>520.70000000000005</v>
      </c>
      <c r="L68" s="71">
        <f t="shared" si="13"/>
        <v>525</v>
      </c>
      <c r="M68" s="71">
        <f t="shared" si="13"/>
        <v>362.8</v>
      </c>
      <c r="N68" s="71">
        <f t="shared" si="13"/>
        <v>329</v>
      </c>
      <c r="O68" s="71">
        <f t="shared" si="13"/>
        <v>290.8</v>
      </c>
      <c r="P68" s="71">
        <f t="shared" si="13"/>
        <v>295.7</v>
      </c>
      <c r="Q68" s="71">
        <f t="shared" si="13"/>
        <v>575.5</v>
      </c>
      <c r="R68" s="71">
        <f t="shared" si="13"/>
        <v>553.5</v>
      </c>
      <c r="S68" s="71">
        <f t="shared" si="13"/>
        <v>569.79999999999995</v>
      </c>
      <c r="T68" s="71">
        <f t="shared" si="13"/>
        <v>577.30000000000007</v>
      </c>
      <c r="U68" s="71">
        <f t="shared" si="13"/>
        <v>634.6</v>
      </c>
      <c r="V68" s="71">
        <f t="shared" si="13"/>
        <v>622.1</v>
      </c>
      <c r="W68" s="71">
        <f t="shared" si="13"/>
        <v>537.29999999999995</v>
      </c>
      <c r="X68" s="71">
        <f t="shared" si="13"/>
        <v>482.59999999999997</v>
      </c>
      <c r="Y68" s="71">
        <f t="shared" si="13"/>
        <v>398.7</v>
      </c>
      <c r="Z68" s="71">
        <f t="shared" si="13"/>
        <v>363.29999999999995</v>
      </c>
      <c r="AA68" s="71">
        <f t="shared" si="13"/>
        <v>401.3</v>
      </c>
      <c r="AB68" s="71">
        <f t="shared" si="13"/>
        <v>547.9</v>
      </c>
      <c r="AC68" s="71">
        <f t="shared" si="13"/>
        <v>555.40000000000009</v>
      </c>
      <c r="AD68" s="71">
        <f t="shared" si="13"/>
        <v>537.5</v>
      </c>
      <c r="AE68" s="71">
        <f t="shared" si="13"/>
        <v>462.1</v>
      </c>
      <c r="AF68" s="71">
        <f t="shared" si="13"/>
        <v>400.4</v>
      </c>
      <c r="AG68" s="76">
        <f>SUM(AG57:AG67)</f>
        <v>0</v>
      </c>
      <c r="AH68" s="53">
        <f t="shared" si="2"/>
        <v>634.6</v>
      </c>
      <c r="AI68" s="54">
        <f t="shared" si="3"/>
        <v>290.8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 t="shared" ref="B72" si="14">SUM(B69:B71)</f>
        <v>0</v>
      </c>
      <c r="C72" s="71">
        <f>SUM(C69:C71)</f>
        <v>0</v>
      </c>
      <c r="D72" s="71">
        <f t="shared" ref="D72:AF72" si="15">SUM(D69:D71)</f>
        <v>0</v>
      </c>
      <c r="E72" s="71">
        <f t="shared" si="15"/>
        <v>0</v>
      </c>
      <c r="F72" s="71">
        <f t="shared" si="15"/>
        <v>0</v>
      </c>
      <c r="G72" s="71">
        <f t="shared" si="15"/>
        <v>0</v>
      </c>
      <c r="H72" s="71">
        <f t="shared" si="15"/>
        <v>0</v>
      </c>
      <c r="I72" s="71">
        <f t="shared" si="15"/>
        <v>0</v>
      </c>
      <c r="J72" s="71">
        <f t="shared" si="15"/>
        <v>0</v>
      </c>
      <c r="K72" s="71">
        <f t="shared" si="15"/>
        <v>0</v>
      </c>
      <c r="L72" s="71">
        <f t="shared" si="15"/>
        <v>0</v>
      </c>
      <c r="M72" s="71">
        <f t="shared" si="15"/>
        <v>0</v>
      </c>
      <c r="N72" s="71">
        <f t="shared" si="15"/>
        <v>0</v>
      </c>
      <c r="O72" s="71">
        <f t="shared" si="15"/>
        <v>0</v>
      </c>
      <c r="P72" s="71">
        <f t="shared" si="15"/>
        <v>0</v>
      </c>
      <c r="Q72" s="71">
        <f t="shared" si="15"/>
        <v>0</v>
      </c>
      <c r="R72" s="71">
        <f t="shared" si="15"/>
        <v>0</v>
      </c>
      <c r="S72" s="71">
        <f t="shared" si="15"/>
        <v>0</v>
      </c>
      <c r="T72" s="71">
        <f t="shared" si="15"/>
        <v>0</v>
      </c>
      <c r="U72" s="71">
        <f t="shared" si="15"/>
        <v>0</v>
      </c>
      <c r="V72" s="71">
        <f t="shared" si="15"/>
        <v>0</v>
      </c>
      <c r="W72" s="71">
        <f t="shared" si="15"/>
        <v>0</v>
      </c>
      <c r="X72" s="71">
        <f t="shared" si="15"/>
        <v>0</v>
      </c>
      <c r="Y72" s="71">
        <f t="shared" si="15"/>
        <v>0</v>
      </c>
      <c r="Z72" s="71">
        <f t="shared" si="15"/>
        <v>0</v>
      </c>
      <c r="AA72" s="71">
        <f t="shared" si="15"/>
        <v>0</v>
      </c>
      <c r="AB72" s="71">
        <f t="shared" si="15"/>
        <v>0</v>
      </c>
      <c r="AC72" s="71">
        <f t="shared" si="15"/>
        <v>0</v>
      </c>
      <c r="AD72" s="71">
        <f t="shared" si="15"/>
        <v>0</v>
      </c>
      <c r="AE72" s="71">
        <f t="shared" si="15"/>
        <v>0</v>
      </c>
      <c r="AF72" s="71">
        <f t="shared" si="15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 t="shared" ref="B73" si="16">B68+B56+B52+B38+B72</f>
        <v>1008.04</v>
      </c>
      <c r="C73" s="88">
        <f>C68+C56+C52+C38+C72</f>
        <v>934.44</v>
      </c>
      <c r="D73" s="88">
        <f t="shared" ref="D73:AG73" si="17">D68+D56+D52+D38+D72</f>
        <v>904.04</v>
      </c>
      <c r="E73" s="88">
        <f t="shared" si="17"/>
        <v>901.54</v>
      </c>
      <c r="F73" s="88">
        <f t="shared" si="17"/>
        <v>887.74</v>
      </c>
      <c r="G73" s="88">
        <f t="shared" si="17"/>
        <v>951.04</v>
      </c>
      <c r="H73" s="88">
        <f t="shared" si="17"/>
        <v>1017.4399999999998</v>
      </c>
      <c r="I73" s="88">
        <f t="shared" si="17"/>
        <v>1111.3399999999999</v>
      </c>
      <c r="J73" s="88">
        <f t="shared" si="17"/>
        <v>1225.8399999999999</v>
      </c>
      <c r="K73" s="88">
        <f t="shared" si="17"/>
        <v>1303.3399999999999</v>
      </c>
      <c r="L73" s="88">
        <f t="shared" si="17"/>
        <v>1473.6399999999999</v>
      </c>
      <c r="M73" s="88">
        <f t="shared" si="17"/>
        <v>1571.8400000000001</v>
      </c>
      <c r="N73" s="88">
        <f t="shared" si="17"/>
        <v>1540.54</v>
      </c>
      <c r="O73" s="88">
        <f t="shared" si="17"/>
        <v>1479.74</v>
      </c>
      <c r="P73" s="88">
        <f t="shared" si="17"/>
        <v>1434.74</v>
      </c>
      <c r="Q73" s="88">
        <f t="shared" si="17"/>
        <v>1365.6399999999999</v>
      </c>
      <c r="R73" s="88">
        <f t="shared" si="17"/>
        <v>1317.74</v>
      </c>
      <c r="S73" s="88">
        <f t="shared" si="17"/>
        <v>1305.54</v>
      </c>
      <c r="T73" s="88">
        <f t="shared" si="17"/>
        <v>1318.44</v>
      </c>
      <c r="U73" s="88">
        <f t="shared" si="17"/>
        <v>1334.1399999999999</v>
      </c>
      <c r="V73" s="88">
        <f t="shared" si="17"/>
        <v>1382.94</v>
      </c>
      <c r="W73" s="88">
        <f t="shared" si="17"/>
        <v>1470.8400000000001</v>
      </c>
      <c r="X73" s="88">
        <f t="shared" si="17"/>
        <v>1617.34</v>
      </c>
      <c r="Y73" s="88">
        <f t="shared" si="17"/>
        <v>1665.04</v>
      </c>
      <c r="Z73" s="88">
        <f t="shared" si="17"/>
        <v>1611.44</v>
      </c>
      <c r="AA73" s="88">
        <f t="shared" si="17"/>
        <v>1577.24</v>
      </c>
      <c r="AB73" s="88">
        <f t="shared" si="17"/>
        <v>1490.24</v>
      </c>
      <c r="AC73" s="88">
        <f t="shared" si="17"/>
        <v>1468.64</v>
      </c>
      <c r="AD73" s="88">
        <f t="shared" si="17"/>
        <v>1378.04</v>
      </c>
      <c r="AE73" s="88">
        <f t="shared" si="17"/>
        <v>1170.44</v>
      </c>
      <c r="AF73" s="88">
        <f t="shared" si="17"/>
        <v>1000.1399999999999</v>
      </c>
      <c r="AG73" s="88">
        <f t="shared" si="17"/>
        <v>2144.14</v>
      </c>
      <c r="AH73" s="53">
        <f t="shared" si="2"/>
        <v>1665.04</v>
      </c>
      <c r="AI73" s="54">
        <f t="shared" si="3"/>
        <v>887.74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>
        <v>30</v>
      </c>
      <c r="Z74" s="90">
        <v>20</v>
      </c>
      <c r="AA74" s="90"/>
      <c r="AB74" s="90"/>
      <c r="AC74" s="90"/>
      <c r="AD74" s="90"/>
      <c r="AE74" s="90"/>
      <c r="AF74" s="90"/>
      <c r="AG74" s="76"/>
      <c r="AH74" s="53">
        <f t="shared" si="2"/>
        <v>30</v>
      </c>
      <c r="AI74" s="54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 t="shared" ref="B75" si="18">B72+B68+B56+B52+B38+B74</f>
        <v>1008.04</v>
      </c>
      <c r="C75" s="88">
        <f>C73+C74</f>
        <v>934.44</v>
      </c>
      <c r="D75" s="88">
        <f t="shared" ref="D75:AF75" si="19">D72+D68+D56+D52+D38+D74</f>
        <v>904.04</v>
      </c>
      <c r="E75" s="88">
        <f t="shared" si="19"/>
        <v>901.54</v>
      </c>
      <c r="F75" s="88">
        <f t="shared" si="19"/>
        <v>887.74</v>
      </c>
      <c r="G75" s="88">
        <f t="shared" si="19"/>
        <v>951.04</v>
      </c>
      <c r="H75" s="88">
        <f t="shared" si="19"/>
        <v>1017.4399999999998</v>
      </c>
      <c r="I75" s="88">
        <f t="shared" si="19"/>
        <v>1111.3399999999999</v>
      </c>
      <c r="J75" s="88">
        <f t="shared" si="19"/>
        <v>1225.8399999999999</v>
      </c>
      <c r="K75" s="88">
        <f t="shared" si="19"/>
        <v>1303.3399999999999</v>
      </c>
      <c r="L75" s="88">
        <f t="shared" si="19"/>
        <v>1473.6399999999999</v>
      </c>
      <c r="M75" s="88">
        <f t="shared" si="19"/>
        <v>1571.8400000000001</v>
      </c>
      <c r="N75" s="88">
        <f t="shared" si="19"/>
        <v>1540.54</v>
      </c>
      <c r="O75" s="88">
        <f t="shared" si="19"/>
        <v>1479.74</v>
      </c>
      <c r="P75" s="88">
        <f t="shared" si="19"/>
        <v>1434.74</v>
      </c>
      <c r="Q75" s="88">
        <f t="shared" si="19"/>
        <v>1365.6399999999999</v>
      </c>
      <c r="R75" s="88">
        <f t="shared" si="19"/>
        <v>1317.74</v>
      </c>
      <c r="S75" s="88">
        <f t="shared" si="19"/>
        <v>1305.54</v>
      </c>
      <c r="T75" s="88">
        <f t="shared" si="19"/>
        <v>1318.44</v>
      </c>
      <c r="U75" s="88">
        <f t="shared" si="19"/>
        <v>1334.1399999999999</v>
      </c>
      <c r="V75" s="88">
        <f t="shared" si="19"/>
        <v>1382.94</v>
      </c>
      <c r="W75" s="88">
        <f t="shared" si="19"/>
        <v>1470.8400000000001</v>
      </c>
      <c r="X75" s="88">
        <f t="shared" si="19"/>
        <v>1617.34</v>
      </c>
      <c r="Y75" s="88">
        <f t="shared" si="19"/>
        <v>1695.04</v>
      </c>
      <c r="Z75" s="88">
        <f t="shared" si="19"/>
        <v>1631.44</v>
      </c>
      <c r="AA75" s="88">
        <f t="shared" si="19"/>
        <v>1577.24</v>
      </c>
      <c r="AB75" s="88">
        <f t="shared" si="19"/>
        <v>1490.24</v>
      </c>
      <c r="AC75" s="88">
        <f t="shared" si="19"/>
        <v>1468.64</v>
      </c>
      <c r="AD75" s="88">
        <f t="shared" si="19"/>
        <v>1378.04</v>
      </c>
      <c r="AE75" s="88">
        <f t="shared" si="19"/>
        <v>1170.44</v>
      </c>
      <c r="AF75" s="88">
        <f t="shared" si="19"/>
        <v>1000.1399999999999</v>
      </c>
      <c r="AG75" s="76">
        <f>AG72+AG68+AG56+AG52+AG38+AG74</f>
        <v>2144.14</v>
      </c>
      <c r="AH75" s="53">
        <f t="shared" si="2"/>
        <v>1695.04</v>
      </c>
      <c r="AI75" s="54">
        <f t="shared" si="3"/>
        <v>887.74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 t="shared" ref="B76" si="20">IF(B60&lt;0,B60*-1,0)</f>
        <v>0</v>
      </c>
      <c r="C76" s="57">
        <f>IF(C60&lt;0,C60*-1,0)</f>
        <v>0</v>
      </c>
      <c r="D76" s="57">
        <f t="shared" ref="D76:AF76" si="21">IF(D60&lt;0,D60*-1,0)</f>
        <v>0</v>
      </c>
      <c r="E76" s="57">
        <f t="shared" si="21"/>
        <v>0</v>
      </c>
      <c r="F76" s="57">
        <f t="shared" si="21"/>
        <v>0</v>
      </c>
      <c r="G76" s="57">
        <f t="shared" si="21"/>
        <v>0</v>
      </c>
      <c r="H76" s="57">
        <f t="shared" si="21"/>
        <v>0</v>
      </c>
      <c r="I76" s="57">
        <f t="shared" si="21"/>
        <v>0</v>
      </c>
      <c r="J76" s="57">
        <f t="shared" si="21"/>
        <v>0</v>
      </c>
      <c r="K76" s="57">
        <f t="shared" si="21"/>
        <v>0</v>
      </c>
      <c r="L76" s="57">
        <f t="shared" si="21"/>
        <v>0</v>
      </c>
      <c r="M76" s="57">
        <f t="shared" si="21"/>
        <v>0</v>
      </c>
      <c r="N76" s="57">
        <f t="shared" si="21"/>
        <v>0</v>
      </c>
      <c r="O76" s="57">
        <f t="shared" si="21"/>
        <v>0</v>
      </c>
      <c r="P76" s="57">
        <f t="shared" si="21"/>
        <v>0</v>
      </c>
      <c r="Q76" s="57">
        <f t="shared" si="21"/>
        <v>0</v>
      </c>
      <c r="R76" s="57">
        <f t="shared" si="21"/>
        <v>0</v>
      </c>
      <c r="S76" s="57">
        <f t="shared" si="21"/>
        <v>0</v>
      </c>
      <c r="T76" s="57">
        <f t="shared" si="21"/>
        <v>0</v>
      </c>
      <c r="U76" s="57">
        <f t="shared" si="21"/>
        <v>0</v>
      </c>
      <c r="V76" s="57">
        <f t="shared" si="21"/>
        <v>0</v>
      </c>
      <c r="W76" s="57">
        <f t="shared" si="21"/>
        <v>0</v>
      </c>
      <c r="X76" s="57">
        <f t="shared" si="21"/>
        <v>0</v>
      </c>
      <c r="Y76" s="57">
        <f t="shared" si="21"/>
        <v>0</v>
      </c>
      <c r="Z76" s="57">
        <f t="shared" si="21"/>
        <v>0</v>
      </c>
      <c r="AA76" s="57">
        <f t="shared" si="21"/>
        <v>0</v>
      </c>
      <c r="AB76" s="57">
        <f t="shared" si="21"/>
        <v>0</v>
      </c>
      <c r="AC76" s="57">
        <f t="shared" si="21"/>
        <v>0</v>
      </c>
      <c r="AD76" s="57">
        <f t="shared" si="21"/>
        <v>0</v>
      </c>
      <c r="AE76" s="57">
        <f t="shared" si="21"/>
        <v>0</v>
      </c>
      <c r="AF76" s="57">
        <f t="shared" si="21"/>
        <v>0</v>
      </c>
      <c r="AG76" s="61"/>
      <c r="AH76" s="53">
        <f t="shared" ref="AH76:AH91" si="22">MAX(B76:AF76)</f>
        <v>0</v>
      </c>
      <c r="AI76" s="54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 t="shared" ref="B77" si="24">IF(B58&lt;0,B58*-1,0)</f>
        <v>0</v>
      </c>
      <c r="C77" s="57">
        <f>IF(C58&lt;0,C58*-1,0)</f>
        <v>0</v>
      </c>
      <c r="D77" s="57">
        <f t="shared" ref="D77:AF77" si="25">IF(D58&lt;0,D58*-1,0)</f>
        <v>0</v>
      </c>
      <c r="E77" s="57">
        <f t="shared" si="25"/>
        <v>0</v>
      </c>
      <c r="F77" s="57">
        <f t="shared" si="25"/>
        <v>0</v>
      </c>
      <c r="G77" s="57">
        <f t="shared" si="25"/>
        <v>0</v>
      </c>
      <c r="H77" s="57">
        <f t="shared" si="25"/>
        <v>0</v>
      </c>
      <c r="I77" s="57">
        <f t="shared" si="25"/>
        <v>0</v>
      </c>
      <c r="J77" s="57">
        <f t="shared" si="25"/>
        <v>0</v>
      </c>
      <c r="K77" s="57">
        <f t="shared" si="25"/>
        <v>0</v>
      </c>
      <c r="L77" s="57">
        <f t="shared" si="25"/>
        <v>0</v>
      </c>
      <c r="M77" s="57">
        <f t="shared" si="25"/>
        <v>0</v>
      </c>
      <c r="N77" s="57">
        <f t="shared" si="25"/>
        <v>0</v>
      </c>
      <c r="O77" s="57">
        <f t="shared" si="25"/>
        <v>0</v>
      </c>
      <c r="P77" s="57">
        <f t="shared" si="25"/>
        <v>0</v>
      </c>
      <c r="Q77" s="57">
        <f t="shared" si="25"/>
        <v>0</v>
      </c>
      <c r="R77" s="57">
        <f t="shared" si="25"/>
        <v>0</v>
      </c>
      <c r="S77" s="57">
        <f t="shared" si="25"/>
        <v>0</v>
      </c>
      <c r="T77" s="57">
        <f t="shared" si="25"/>
        <v>0</v>
      </c>
      <c r="U77" s="57">
        <f t="shared" si="25"/>
        <v>0</v>
      </c>
      <c r="V77" s="57">
        <f t="shared" si="25"/>
        <v>0</v>
      </c>
      <c r="W77" s="57">
        <f t="shared" si="25"/>
        <v>0</v>
      </c>
      <c r="X77" s="57">
        <f t="shared" si="25"/>
        <v>0</v>
      </c>
      <c r="Y77" s="57">
        <f t="shared" si="25"/>
        <v>0</v>
      </c>
      <c r="Z77" s="57">
        <f t="shared" si="25"/>
        <v>0</v>
      </c>
      <c r="AA77" s="57">
        <f t="shared" si="25"/>
        <v>0</v>
      </c>
      <c r="AB77" s="57">
        <f t="shared" si="25"/>
        <v>0</v>
      </c>
      <c r="AC77" s="57">
        <f t="shared" si="25"/>
        <v>0</v>
      </c>
      <c r="AD77" s="57">
        <f t="shared" si="25"/>
        <v>0</v>
      </c>
      <c r="AE77" s="57">
        <f t="shared" si="25"/>
        <v>0</v>
      </c>
      <c r="AF77" s="57">
        <f t="shared" si="25"/>
        <v>0</v>
      </c>
      <c r="AG77" s="66"/>
      <c r="AH77" s="53">
        <f t="shared" si="22"/>
        <v>0</v>
      </c>
      <c r="AI77" s="54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 t="shared" ref="B78" si="26">IF(B61&lt;0,B61*-1,0)</f>
        <v>0</v>
      </c>
      <c r="C78" s="57">
        <f>IF(C61&lt;0,C61*-1,0)</f>
        <v>0</v>
      </c>
      <c r="D78" s="57">
        <f t="shared" ref="D78:AF78" si="27">IF(D61&lt;0,D61*-1,0)</f>
        <v>0</v>
      </c>
      <c r="E78" s="57">
        <f t="shared" si="27"/>
        <v>0</v>
      </c>
      <c r="F78" s="57">
        <f t="shared" si="27"/>
        <v>0</v>
      </c>
      <c r="G78" s="57">
        <f t="shared" si="27"/>
        <v>0</v>
      </c>
      <c r="H78" s="57">
        <f t="shared" si="27"/>
        <v>0</v>
      </c>
      <c r="I78" s="57">
        <f t="shared" si="27"/>
        <v>0</v>
      </c>
      <c r="J78" s="57">
        <f t="shared" si="27"/>
        <v>0</v>
      </c>
      <c r="K78" s="57">
        <f t="shared" si="27"/>
        <v>0</v>
      </c>
      <c r="L78" s="57">
        <f t="shared" si="27"/>
        <v>0</v>
      </c>
      <c r="M78" s="57">
        <f t="shared" si="27"/>
        <v>0</v>
      </c>
      <c r="N78" s="57">
        <f t="shared" si="27"/>
        <v>0</v>
      </c>
      <c r="O78" s="57">
        <f t="shared" si="27"/>
        <v>0</v>
      </c>
      <c r="P78" s="57">
        <f t="shared" si="27"/>
        <v>0</v>
      </c>
      <c r="Q78" s="57">
        <f t="shared" si="27"/>
        <v>0</v>
      </c>
      <c r="R78" s="57">
        <f t="shared" si="27"/>
        <v>0</v>
      </c>
      <c r="S78" s="57">
        <f t="shared" si="27"/>
        <v>0</v>
      </c>
      <c r="T78" s="57">
        <f t="shared" si="27"/>
        <v>0</v>
      </c>
      <c r="U78" s="57">
        <f t="shared" si="27"/>
        <v>0</v>
      </c>
      <c r="V78" s="57">
        <f t="shared" si="27"/>
        <v>0</v>
      </c>
      <c r="W78" s="57">
        <f t="shared" si="27"/>
        <v>0</v>
      </c>
      <c r="X78" s="57">
        <f t="shared" si="27"/>
        <v>0</v>
      </c>
      <c r="Y78" s="57">
        <f t="shared" si="27"/>
        <v>0</v>
      </c>
      <c r="Z78" s="57">
        <f t="shared" si="27"/>
        <v>0</v>
      </c>
      <c r="AA78" s="57">
        <f t="shared" si="27"/>
        <v>0</v>
      </c>
      <c r="AB78" s="57">
        <f t="shared" si="27"/>
        <v>0</v>
      </c>
      <c r="AC78" s="57">
        <f t="shared" si="27"/>
        <v>0</v>
      </c>
      <c r="AD78" s="57">
        <f t="shared" si="27"/>
        <v>0</v>
      </c>
      <c r="AE78" s="57">
        <f t="shared" si="27"/>
        <v>0</v>
      </c>
      <c r="AF78" s="57">
        <f t="shared" si="27"/>
        <v>0</v>
      </c>
      <c r="AG78" s="91"/>
      <c r="AH78" s="53">
        <f t="shared" si="22"/>
        <v>0</v>
      </c>
      <c r="AI78" s="54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 t="shared" ref="B79" si="28">IF(B59&lt;0,B59*-1,0)</f>
        <v>0</v>
      </c>
      <c r="C79" s="57">
        <f>IF(C59&lt;0,C59*-1,0)</f>
        <v>0</v>
      </c>
      <c r="D79" s="57">
        <f t="shared" ref="D79:AF79" si="29">IF(D59&lt;0,D59*-1,0)</f>
        <v>0</v>
      </c>
      <c r="E79" s="57">
        <f t="shared" si="29"/>
        <v>0</v>
      </c>
      <c r="F79" s="57">
        <f t="shared" si="29"/>
        <v>0</v>
      </c>
      <c r="G79" s="57">
        <f t="shared" si="29"/>
        <v>0</v>
      </c>
      <c r="H79" s="57">
        <f t="shared" si="29"/>
        <v>0</v>
      </c>
      <c r="I79" s="57">
        <f t="shared" si="29"/>
        <v>0</v>
      </c>
      <c r="J79" s="57">
        <f t="shared" si="29"/>
        <v>0</v>
      </c>
      <c r="K79" s="57">
        <f t="shared" si="29"/>
        <v>0</v>
      </c>
      <c r="L79" s="57">
        <f t="shared" si="29"/>
        <v>0</v>
      </c>
      <c r="M79" s="57">
        <f t="shared" si="29"/>
        <v>0</v>
      </c>
      <c r="N79" s="57">
        <f t="shared" si="29"/>
        <v>0</v>
      </c>
      <c r="O79" s="57">
        <f t="shared" si="29"/>
        <v>0</v>
      </c>
      <c r="P79" s="57">
        <f t="shared" si="29"/>
        <v>0</v>
      </c>
      <c r="Q79" s="57">
        <f t="shared" si="29"/>
        <v>0</v>
      </c>
      <c r="R79" s="57">
        <f t="shared" si="29"/>
        <v>0</v>
      </c>
      <c r="S79" s="57">
        <f t="shared" si="29"/>
        <v>0</v>
      </c>
      <c r="T79" s="57">
        <f t="shared" si="29"/>
        <v>0</v>
      </c>
      <c r="U79" s="57">
        <f t="shared" si="29"/>
        <v>0</v>
      </c>
      <c r="V79" s="57">
        <f t="shared" si="29"/>
        <v>0</v>
      </c>
      <c r="W79" s="57">
        <f t="shared" si="29"/>
        <v>0</v>
      </c>
      <c r="X79" s="57">
        <f t="shared" si="29"/>
        <v>0</v>
      </c>
      <c r="Y79" s="57">
        <f t="shared" si="29"/>
        <v>0</v>
      </c>
      <c r="Z79" s="57">
        <f t="shared" si="29"/>
        <v>0</v>
      </c>
      <c r="AA79" s="57">
        <f t="shared" si="29"/>
        <v>0</v>
      </c>
      <c r="AB79" s="57">
        <f t="shared" si="29"/>
        <v>0</v>
      </c>
      <c r="AC79" s="57">
        <f t="shared" si="29"/>
        <v>0</v>
      </c>
      <c r="AD79" s="57">
        <f t="shared" si="29"/>
        <v>0</v>
      </c>
      <c r="AE79" s="57">
        <f t="shared" si="29"/>
        <v>0</v>
      </c>
      <c r="AF79" s="57">
        <f t="shared" si="29"/>
        <v>0</v>
      </c>
      <c r="AG79" s="91"/>
      <c r="AH79" s="53">
        <f t="shared" si="22"/>
        <v>0</v>
      </c>
      <c r="AI79" s="54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 t="shared" ref="B80" si="30">IF(B57&lt;0,B57*-1,0)</f>
        <v>0</v>
      </c>
      <c r="C80" s="57">
        <f>IF(C57&lt;0,C57*-1,0)</f>
        <v>0</v>
      </c>
      <c r="D80" s="57">
        <f t="shared" ref="D80:AF80" si="31">IF(D57&lt;0,D57*-1,0)</f>
        <v>0</v>
      </c>
      <c r="E80" s="57">
        <f t="shared" si="31"/>
        <v>0</v>
      </c>
      <c r="F80" s="57">
        <f t="shared" si="31"/>
        <v>0</v>
      </c>
      <c r="G80" s="57">
        <f t="shared" si="31"/>
        <v>0</v>
      </c>
      <c r="H80" s="57">
        <f t="shared" si="31"/>
        <v>0</v>
      </c>
      <c r="I80" s="57">
        <f t="shared" si="31"/>
        <v>0</v>
      </c>
      <c r="J80" s="57">
        <f t="shared" si="31"/>
        <v>0</v>
      </c>
      <c r="K80" s="57">
        <f t="shared" si="31"/>
        <v>0</v>
      </c>
      <c r="L80" s="57">
        <f t="shared" si="31"/>
        <v>0</v>
      </c>
      <c r="M80" s="57">
        <f t="shared" si="31"/>
        <v>0</v>
      </c>
      <c r="N80" s="57">
        <f t="shared" si="31"/>
        <v>0</v>
      </c>
      <c r="O80" s="57">
        <f t="shared" si="31"/>
        <v>0</v>
      </c>
      <c r="P80" s="57">
        <f t="shared" si="31"/>
        <v>0</v>
      </c>
      <c r="Q80" s="57">
        <f t="shared" si="31"/>
        <v>0</v>
      </c>
      <c r="R80" s="57">
        <f t="shared" si="31"/>
        <v>0</v>
      </c>
      <c r="S80" s="57">
        <f t="shared" si="31"/>
        <v>0</v>
      </c>
      <c r="T80" s="57">
        <f t="shared" si="31"/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f t="shared" si="31"/>
        <v>0</v>
      </c>
      <c r="AA80" s="57">
        <f t="shared" si="31"/>
        <v>0</v>
      </c>
      <c r="AB80" s="57">
        <f t="shared" si="31"/>
        <v>0</v>
      </c>
      <c r="AC80" s="57">
        <f t="shared" si="31"/>
        <v>0</v>
      </c>
      <c r="AD80" s="57">
        <f t="shared" si="31"/>
        <v>0</v>
      </c>
      <c r="AE80" s="57">
        <f t="shared" si="31"/>
        <v>0</v>
      </c>
      <c r="AF80" s="57">
        <f t="shared" si="31"/>
        <v>0</v>
      </c>
      <c r="AG80" s="91"/>
      <c r="AH80" s="53">
        <f t="shared" si="22"/>
        <v>0</v>
      </c>
      <c r="AI80" s="54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22"/>
        <v>0</v>
      </c>
      <c r="AI81" s="54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 t="shared" ref="B82" si="32">SUM(B76:B81)</f>
        <v>0</v>
      </c>
      <c r="C82" s="71">
        <f t="shared" ref="C82:AG82" si="33">SUM(C76:C81)</f>
        <v>0</v>
      </c>
      <c r="D82" s="71">
        <f t="shared" si="33"/>
        <v>0</v>
      </c>
      <c r="E82" s="71">
        <f t="shared" si="33"/>
        <v>0</v>
      </c>
      <c r="F82" s="71">
        <f t="shared" si="33"/>
        <v>0</v>
      </c>
      <c r="G82" s="71">
        <f t="shared" si="33"/>
        <v>0</v>
      </c>
      <c r="H82" s="71">
        <f t="shared" si="33"/>
        <v>0</v>
      </c>
      <c r="I82" s="71">
        <f t="shared" si="33"/>
        <v>0</v>
      </c>
      <c r="J82" s="71">
        <f t="shared" si="33"/>
        <v>0</v>
      </c>
      <c r="K82" s="71">
        <f t="shared" si="33"/>
        <v>0</v>
      </c>
      <c r="L82" s="71">
        <f t="shared" si="33"/>
        <v>0</v>
      </c>
      <c r="M82" s="71">
        <f t="shared" si="33"/>
        <v>0</v>
      </c>
      <c r="N82" s="71">
        <f t="shared" si="33"/>
        <v>0</v>
      </c>
      <c r="O82" s="71">
        <f t="shared" si="33"/>
        <v>0</v>
      </c>
      <c r="P82" s="71">
        <f t="shared" si="33"/>
        <v>0</v>
      </c>
      <c r="Q82" s="71">
        <f t="shared" si="33"/>
        <v>0</v>
      </c>
      <c r="R82" s="71">
        <f t="shared" si="33"/>
        <v>0</v>
      </c>
      <c r="S82" s="71">
        <f t="shared" si="33"/>
        <v>0</v>
      </c>
      <c r="T82" s="71">
        <f t="shared" si="33"/>
        <v>0</v>
      </c>
      <c r="U82" s="71">
        <f t="shared" si="33"/>
        <v>0</v>
      </c>
      <c r="V82" s="71">
        <f t="shared" si="33"/>
        <v>0</v>
      </c>
      <c r="W82" s="71">
        <f t="shared" si="33"/>
        <v>0</v>
      </c>
      <c r="X82" s="71">
        <f t="shared" si="33"/>
        <v>0</v>
      </c>
      <c r="Y82" s="71">
        <f t="shared" si="33"/>
        <v>0</v>
      </c>
      <c r="Z82" s="71">
        <f t="shared" si="33"/>
        <v>0</v>
      </c>
      <c r="AA82" s="71">
        <f t="shared" si="33"/>
        <v>0</v>
      </c>
      <c r="AB82" s="71">
        <f t="shared" si="33"/>
        <v>0</v>
      </c>
      <c r="AC82" s="71">
        <f t="shared" si="33"/>
        <v>0</v>
      </c>
      <c r="AD82" s="71">
        <f t="shared" si="33"/>
        <v>0</v>
      </c>
      <c r="AE82" s="71">
        <f t="shared" si="33"/>
        <v>0</v>
      </c>
      <c r="AF82" s="71">
        <f t="shared" si="33"/>
        <v>0</v>
      </c>
      <c r="AG82" s="76">
        <f t="shared" si="33"/>
        <v>0</v>
      </c>
      <c r="AH82" s="53">
        <f t="shared" si="22"/>
        <v>0</v>
      </c>
      <c r="AI82" s="54">
        <f t="shared" si="23"/>
        <v>0</v>
      </c>
      <c r="AK82" s="55"/>
    </row>
    <row r="83" spans="1:88" s="1" customFormat="1" ht="15.75" thickBot="1" x14ac:dyDescent="0.3">
      <c r="A83" s="70" t="s">
        <v>88</v>
      </c>
      <c r="B83" s="71">
        <f t="shared" ref="B83" si="34">SUM(B70:B82)</f>
        <v>2016.08</v>
      </c>
      <c r="C83" s="71">
        <f t="shared" ref="C83:AG83" si="35">SUM(C70:C82)</f>
        <v>1868.88</v>
      </c>
      <c r="D83" s="71">
        <f t="shared" si="35"/>
        <v>1808.08</v>
      </c>
      <c r="E83" s="71">
        <f t="shared" si="35"/>
        <v>1803.08</v>
      </c>
      <c r="F83" s="71">
        <f t="shared" si="35"/>
        <v>1775.48</v>
      </c>
      <c r="G83" s="71">
        <f t="shared" si="35"/>
        <v>1902.08</v>
      </c>
      <c r="H83" s="71">
        <f t="shared" si="35"/>
        <v>2034.8799999999997</v>
      </c>
      <c r="I83" s="71">
        <f t="shared" si="35"/>
        <v>2222.6799999999998</v>
      </c>
      <c r="J83" s="71">
        <f t="shared" si="35"/>
        <v>2451.6799999999998</v>
      </c>
      <c r="K83" s="71">
        <f t="shared" si="35"/>
        <v>2606.6799999999998</v>
      </c>
      <c r="L83" s="71">
        <f t="shared" si="35"/>
        <v>2947.2799999999997</v>
      </c>
      <c r="M83" s="71">
        <f t="shared" si="35"/>
        <v>3143.6800000000003</v>
      </c>
      <c r="N83" s="71">
        <f t="shared" si="35"/>
        <v>3081.08</v>
      </c>
      <c r="O83" s="71">
        <f t="shared" si="35"/>
        <v>2959.48</v>
      </c>
      <c r="P83" s="71">
        <f t="shared" si="35"/>
        <v>2869.48</v>
      </c>
      <c r="Q83" s="71">
        <f t="shared" si="35"/>
        <v>2731.2799999999997</v>
      </c>
      <c r="R83" s="71">
        <f t="shared" si="35"/>
        <v>2635.48</v>
      </c>
      <c r="S83" s="71">
        <f t="shared" si="35"/>
        <v>2611.08</v>
      </c>
      <c r="T83" s="71">
        <f t="shared" si="35"/>
        <v>2636.88</v>
      </c>
      <c r="U83" s="71">
        <f t="shared" si="35"/>
        <v>2668.2799999999997</v>
      </c>
      <c r="V83" s="71">
        <f t="shared" si="35"/>
        <v>2765.88</v>
      </c>
      <c r="W83" s="71">
        <f t="shared" si="35"/>
        <v>2941.6800000000003</v>
      </c>
      <c r="X83" s="71">
        <f t="shared" si="35"/>
        <v>3234.68</v>
      </c>
      <c r="Y83" s="71">
        <f t="shared" si="35"/>
        <v>3390.08</v>
      </c>
      <c r="Z83" s="71">
        <f t="shared" si="35"/>
        <v>3262.88</v>
      </c>
      <c r="AA83" s="71">
        <f t="shared" si="35"/>
        <v>3154.48</v>
      </c>
      <c r="AB83" s="71">
        <f t="shared" si="35"/>
        <v>2980.48</v>
      </c>
      <c r="AC83" s="71">
        <f t="shared" si="35"/>
        <v>2937.28</v>
      </c>
      <c r="AD83" s="71">
        <f t="shared" si="35"/>
        <v>2756.08</v>
      </c>
      <c r="AE83" s="71">
        <f t="shared" si="35"/>
        <v>2340.88</v>
      </c>
      <c r="AF83" s="71">
        <f t="shared" si="35"/>
        <v>2000.2799999999997</v>
      </c>
      <c r="AG83" s="76">
        <f t="shared" si="35"/>
        <v>4360.08</v>
      </c>
      <c r="AH83" s="53">
        <f t="shared" si="22"/>
        <v>3390.08</v>
      </c>
      <c r="AI83" s="54">
        <f t="shared" si="23"/>
        <v>1775.48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ht="15.75" x14ac:dyDescent="0.25">
      <c r="A84" s="93" t="s">
        <v>89</v>
      </c>
      <c r="B84" s="95">
        <v>50.003999999999998</v>
      </c>
      <c r="C84" s="95">
        <v>50.055999999999997</v>
      </c>
      <c r="D84" s="95">
        <v>50.064</v>
      </c>
      <c r="E84" s="95">
        <v>50.015000000000001</v>
      </c>
      <c r="F84" s="95">
        <v>49.97</v>
      </c>
      <c r="G84" s="95">
        <v>50.014000000000003</v>
      </c>
      <c r="H84" s="95">
        <v>50.002000000000002</v>
      </c>
      <c r="I84" s="95">
        <v>50</v>
      </c>
      <c r="J84" s="95">
        <v>49.996000000000002</v>
      </c>
      <c r="K84" s="95">
        <v>50.031999999999996</v>
      </c>
      <c r="L84" s="95">
        <v>50.012999999999998</v>
      </c>
      <c r="M84" s="95">
        <v>50.024000000000001</v>
      </c>
      <c r="N84" s="95">
        <v>50.037999999999997</v>
      </c>
      <c r="O84" s="95">
        <v>49.965000000000003</v>
      </c>
      <c r="P84" s="95">
        <v>50.012</v>
      </c>
      <c r="Q84" s="95">
        <v>49.996000000000002</v>
      </c>
      <c r="R84" s="95">
        <v>50.036999999999999</v>
      </c>
      <c r="S84" s="95">
        <v>50.070999999999998</v>
      </c>
      <c r="T84" s="95">
        <v>49.973999999999997</v>
      </c>
      <c r="U84" s="95">
        <v>49.959000000000003</v>
      </c>
      <c r="V84" s="95">
        <v>49.978999999999999</v>
      </c>
      <c r="W84" s="95">
        <v>50.04</v>
      </c>
      <c r="X84" s="95">
        <v>50.076000000000001</v>
      </c>
      <c r="Y84" s="186">
        <v>49.993000000000002</v>
      </c>
      <c r="Z84" s="95">
        <v>49.896000000000001</v>
      </c>
      <c r="AA84" s="95">
        <v>49.993000000000002</v>
      </c>
      <c r="AB84" s="95">
        <v>50.085000000000001</v>
      </c>
      <c r="AC84" s="95">
        <v>50.069000000000003</v>
      </c>
      <c r="AD84" s="95">
        <v>50.003999999999998</v>
      </c>
      <c r="AE84" s="95">
        <v>49.945999999999998</v>
      </c>
      <c r="AF84" s="95">
        <v>49.970999999999997</v>
      </c>
      <c r="AG84" s="96"/>
      <c r="AH84" s="53">
        <f t="shared" si="22"/>
        <v>50.085000000000001</v>
      </c>
      <c r="AI84" s="54">
        <f t="shared" si="23"/>
        <v>49.896000000000001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ht="15.75" x14ac:dyDescent="0.25">
      <c r="A85" s="97" t="s">
        <v>90</v>
      </c>
      <c r="B85" s="72">
        <v>125.6</v>
      </c>
      <c r="C85" s="72">
        <v>124.5</v>
      </c>
      <c r="D85" s="72">
        <v>124.9</v>
      </c>
      <c r="E85" s="72">
        <v>125.6</v>
      </c>
      <c r="F85" s="72">
        <v>127.8</v>
      </c>
      <c r="G85" s="72">
        <v>125.7</v>
      </c>
      <c r="H85" s="72">
        <v>125.3</v>
      </c>
      <c r="I85" s="72">
        <v>122.7</v>
      </c>
      <c r="J85" s="72">
        <v>125.4</v>
      </c>
      <c r="K85" s="72">
        <v>126</v>
      </c>
      <c r="L85" s="72">
        <v>123.6</v>
      </c>
      <c r="M85" s="72">
        <v>123.3</v>
      </c>
      <c r="N85" s="72">
        <v>123.2</v>
      </c>
      <c r="O85" s="72">
        <v>123.6</v>
      </c>
      <c r="P85" s="72">
        <v>123.8</v>
      </c>
      <c r="Q85" s="72">
        <v>123</v>
      </c>
      <c r="R85" s="72">
        <v>124.1</v>
      </c>
      <c r="S85" s="72">
        <v>124.1</v>
      </c>
      <c r="T85" s="72">
        <v>123.6</v>
      </c>
      <c r="U85" s="99">
        <v>124.4</v>
      </c>
      <c r="V85" s="99">
        <v>124.7</v>
      </c>
      <c r="W85" s="99">
        <v>123.3</v>
      </c>
      <c r="X85" s="99">
        <v>121.8</v>
      </c>
      <c r="Y85" s="187">
        <v>121.5</v>
      </c>
      <c r="Z85" s="99">
        <v>123.2</v>
      </c>
      <c r="AA85" s="99">
        <v>123.2</v>
      </c>
      <c r="AB85" s="72">
        <v>125.6</v>
      </c>
      <c r="AC85" s="72">
        <v>126.2</v>
      </c>
      <c r="AD85" s="72">
        <v>126.7</v>
      </c>
      <c r="AE85" s="72">
        <v>123.1</v>
      </c>
      <c r="AF85" s="72">
        <v>125.8</v>
      </c>
      <c r="AG85" s="100"/>
      <c r="AH85" s="53">
        <f t="shared" si="22"/>
        <v>127.8</v>
      </c>
      <c r="AI85" s="54">
        <f t="shared" si="23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x14ac:dyDescent="0.25">
      <c r="A86" s="97" t="s">
        <v>91</v>
      </c>
      <c r="B86" s="72">
        <v>130</v>
      </c>
      <c r="C86" s="72">
        <v>128.9</v>
      </c>
      <c r="D86" s="72">
        <v>129.5</v>
      </c>
      <c r="E86" s="72">
        <v>130.30000000000001</v>
      </c>
      <c r="F86" s="72">
        <v>132</v>
      </c>
      <c r="G86" s="72">
        <v>130</v>
      </c>
      <c r="H86" s="72">
        <v>129.4</v>
      </c>
      <c r="I86" s="72">
        <v>127.5</v>
      </c>
      <c r="J86" s="72">
        <v>127.9</v>
      </c>
      <c r="K86" s="72">
        <v>128</v>
      </c>
      <c r="L86" s="72">
        <v>126.2</v>
      </c>
      <c r="M86" s="72">
        <v>125.3</v>
      </c>
      <c r="N86" s="72">
        <v>125.2</v>
      </c>
      <c r="O86" s="72">
        <v>125.4</v>
      </c>
      <c r="P86" s="72">
        <v>125.9</v>
      </c>
      <c r="Q86" s="72">
        <v>125.8</v>
      </c>
      <c r="R86" s="72">
        <v>126.6</v>
      </c>
      <c r="S86" s="72">
        <v>126.6</v>
      </c>
      <c r="T86" s="72">
        <v>126.5</v>
      </c>
      <c r="U86" s="99">
        <v>127.4</v>
      </c>
      <c r="V86" s="99">
        <v>127.7</v>
      </c>
      <c r="W86" s="99">
        <v>125.6</v>
      </c>
      <c r="X86" s="99">
        <v>124</v>
      </c>
      <c r="Y86" s="187">
        <v>123.4</v>
      </c>
      <c r="Z86" s="99">
        <v>124.5</v>
      </c>
      <c r="AA86" s="99">
        <v>124.5</v>
      </c>
      <c r="AB86" s="72">
        <v>127.1</v>
      </c>
      <c r="AC86" s="72">
        <v>127.9</v>
      </c>
      <c r="AD86" s="72">
        <v>128.4</v>
      </c>
      <c r="AE86" s="72">
        <v>126.8</v>
      </c>
      <c r="AF86" s="72">
        <v>129.80000000000001</v>
      </c>
      <c r="AG86" s="100"/>
      <c r="AH86" s="53">
        <f t="shared" si="22"/>
        <v>132</v>
      </c>
      <c r="AI86" s="54">
        <f t="shared" si="23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ht="15.75" x14ac:dyDescent="0.25">
      <c r="A87" s="97" t="s">
        <v>92</v>
      </c>
      <c r="B87" s="72">
        <v>127.6</v>
      </c>
      <c r="C87" s="72">
        <v>130.1</v>
      </c>
      <c r="D87" s="72">
        <v>128.5</v>
      </c>
      <c r="E87" s="72">
        <v>129.30000000000001</v>
      </c>
      <c r="F87" s="72">
        <v>129.4</v>
      </c>
      <c r="G87" s="72">
        <v>128.9</v>
      </c>
      <c r="H87" s="72">
        <v>126.8</v>
      </c>
      <c r="I87" s="72">
        <v>125.3</v>
      </c>
      <c r="J87" s="72">
        <v>128.1</v>
      </c>
      <c r="K87" s="72">
        <v>128.30000000000001</v>
      </c>
      <c r="L87" s="72">
        <v>126</v>
      </c>
      <c r="M87" s="72">
        <v>129.1</v>
      </c>
      <c r="N87" s="72">
        <v>128</v>
      </c>
      <c r="O87" s="72">
        <v>129.9</v>
      </c>
      <c r="P87" s="72">
        <v>131.5</v>
      </c>
      <c r="Q87" s="72">
        <v>132.1</v>
      </c>
      <c r="R87" s="72">
        <v>131.6</v>
      </c>
      <c r="S87" s="72"/>
      <c r="T87" s="72"/>
      <c r="U87" s="72"/>
      <c r="V87" s="72">
        <v>129.5</v>
      </c>
      <c r="W87" s="72">
        <v>130.9</v>
      </c>
      <c r="X87" s="99">
        <v>129.6</v>
      </c>
      <c r="Y87" s="187">
        <v>129.1</v>
      </c>
      <c r="Z87" s="99">
        <v>129.1</v>
      </c>
      <c r="AA87" s="99">
        <v>129.1</v>
      </c>
      <c r="AB87" s="72">
        <v>133</v>
      </c>
      <c r="AC87" s="72">
        <v>132.4</v>
      </c>
      <c r="AD87" s="72">
        <v>128.19999999999999</v>
      </c>
      <c r="AE87" s="72">
        <v>130.69999999999999</v>
      </c>
      <c r="AF87" s="72">
        <v>128.30000000000001</v>
      </c>
      <c r="AG87" s="100"/>
      <c r="AH87" s="53">
        <f t="shared" si="22"/>
        <v>133</v>
      </c>
      <c r="AI87" s="54">
        <f t="shared" si="23"/>
        <v>125.3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ht="15.75" x14ac:dyDescent="0.25">
      <c r="A88" s="101" t="s">
        <v>93</v>
      </c>
      <c r="B88" s="72">
        <v>130.30000000000001</v>
      </c>
      <c r="C88" s="72">
        <v>132.5</v>
      </c>
      <c r="D88" s="72">
        <v>131.19999999999999</v>
      </c>
      <c r="E88" s="72">
        <v>131.80000000000001</v>
      </c>
      <c r="F88" s="72">
        <v>132</v>
      </c>
      <c r="G88" s="72">
        <v>131.30000000000001</v>
      </c>
      <c r="H88" s="72">
        <v>129.30000000000001</v>
      </c>
      <c r="I88" s="72">
        <v>129.6</v>
      </c>
      <c r="J88" s="72">
        <v>132.19999999999999</v>
      </c>
      <c r="K88" s="72">
        <v>132.19999999999999</v>
      </c>
      <c r="L88" s="72">
        <v>129.19999999999999</v>
      </c>
      <c r="M88" s="72">
        <v>132.4</v>
      </c>
      <c r="N88" s="72">
        <v>131.4</v>
      </c>
      <c r="O88" s="72">
        <v>133.5</v>
      </c>
      <c r="P88" s="72">
        <v>135</v>
      </c>
      <c r="Q88" s="72">
        <v>134.30000000000001</v>
      </c>
      <c r="R88" s="72">
        <v>136</v>
      </c>
      <c r="S88" s="72"/>
      <c r="T88" s="72"/>
      <c r="U88" s="72"/>
      <c r="V88" s="72">
        <v>135</v>
      </c>
      <c r="W88" s="72">
        <v>134.4</v>
      </c>
      <c r="X88" s="99">
        <v>133.6</v>
      </c>
      <c r="Y88" s="187">
        <v>133.80000000000001</v>
      </c>
      <c r="Z88" s="99">
        <v>133.80000000000001</v>
      </c>
      <c r="AA88" s="99">
        <v>133.80000000000001</v>
      </c>
      <c r="AB88" s="72">
        <v>135.30000000000001</v>
      </c>
      <c r="AC88" s="72">
        <v>134.80000000000001</v>
      </c>
      <c r="AD88" s="72">
        <v>131.4</v>
      </c>
      <c r="AE88" s="72">
        <v>134</v>
      </c>
      <c r="AF88" s="72">
        <v>132.6</v>
      </c>
      <c r="AG88" s="100"/>
      <c r="AH88" s="53">
        <f t="shared" si="22"/>
        <v>136</v>
      </c>
      <c r="AI88" s="54">
        <f t="shared" si="23"/>
        <v>129.19999999999999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ht="15.75" x14ac:dyDescent="0.25">
      <c r="A89" s="101" t="s">
        <v>94</v>
      </c>
      <c r="B89" s="103">
        <v>132.9</v>
      </c>
      <c r="C89" s="103">
        <v>127.2</v>
      </c>
      <c r="D89" s="103">
        <v>132.4</v>
      </c>
      <c r="E89" s="103">
        <v>130.30000000000001</v>
      </c>
      <c r="F89" s="103">
        <v>132.30000000000001</v>
      </c>
      <c r="G89" s="103">
        <v>129.19999999999999</v>
      </c>
      <c r="H89" s="103">
        <v>134.1</v>
      </c>
      <c r="I89" s="103">
        <v>130.1</v>
      </c>
      <c r="J89" s="103">
        <v>130.30000000000001</v>
      </c>
      <c r="K89" s="103">
        <v>130.4</v>
      </c>
      <c r="L89" s="103">
        <v>132.30000000000001</v>
      </c>
      <c r="M89" s="103">
        <v>134.30000000000001</v>
      </c>
      <c r="N89" s="103">
        <v>133.4</v>
      </c>
      <c r="O89" s="103">
        <v>142.19999999999999</v>
      </c>
      <c r="P89" s="103">
        <v>134.30000000000001</v>
      </c>
      <c r="Q89" s="103">
        <v>133.19999999999999</v>
      </c>
      <c r="R89" s="103">
        <v>133.5</v>
      </c>
      <c r="S89" s="103">
        <v>133.5</v>
      </c>
      <c r="T89" s="103">
        <v>133</v>
      </c>
      <c r="U89" s="103">
        <v>132.6</v>
      </c>
      <c r="V89" s="103">
        <v>134.1</v>
      </c>
      <c r="W89" s="103">
        <v>134.19999999999999</v>
      </c>
      <c r="X89" s="99">
        <v>131.4</v>
      </c>
      <c r="Y89" s="187">
        <v>132.1</v>
      </c>
      <c r="Z89" s="99">
        <v>132.1</v>
      </c>
      <c r="AA89" s="99">
        <v>132.1</v>
      </c>
      <c r="AB89" s="103">
        <v>135</v>
      </c>
      <c r="AC89" s="103">
        <v>135</v>
      </c>
      <c r="AD89" s="103">
        <v>135</v>
      </c>
      <c r="AE89" s="103">
        <v>134.1</v>
      </c>
      <c r="AF89" s="103">
        <v>132.19999999999999</v>
      </c>
      <c r="AG89" s="104"/>
      <c r="AH89" s="53">
        <f t="shared" si="22"/>
        <v>142.19999999999999</v>
      </c>
      <c r="AI89" s="54">
        <f t="shared" si="23"/>
        <v>127.2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ht="15.75" x14ac:dyDescent="0.25">
      <c r="A90" s="97" t="s">
        <v>95</v>
      </c>
      <c r="B90" s="72">
        <v>137.30000000000001</v>
      </c>
      <c r="C90" s="72">
        <v>137</v>
      </c>
      <c r="D90" s="72">
        <v>138.4</v>
      </c>
      <c r="E90" s="72">
        <v>140.6</v>
      </c>
      <c r="F90" s="72">
        <v>136.80000000000001</v>
      </c>
      <c r="G90" s="72">
        <v>137.4</v>
      </c>
      <c r="H90" s="72">
        <v>135.6</v>
      </c>
      <c r="I90" s="72">
        <v>135.30000000000001</v>
      </c>
      <c r="J90" s="72">
        <v>131.30000000000001</v>
      </c>
      <c r="K90" s="72">
        <v>131.6</v>
      </c>
      <c r="L90" s="72">
        <v>132.30000000000001</v>
      </c>
      <c r="M90" s="72">
        <v>128.80000000000001</v>
      </c>
      <c r="N90" s="72">
        <v>131.5</v>
      </c>
      <c r="O90" s="72">
        <v>131.5</v>
      </c>
      <c r="P90" s="72">
        <v>133.80000000000001</v>
      </c>
      <c r="Q90" s="72">
        <v>132.80000000000001</v>
      </c>
      <c r="R90" s="72">
        <v>133.6</v>
      </c>
      <c r="S90" s="72">
        <v>133.6</v>
      </c>
      <c r="T90" s="72">
        <v>132.5</v>
      </c>
      <c r="U90" s="72">
        <v>136</v>
      </c>
      <c r="V90" s="72">
        <v>134.30000000000001</v>
      </c>
      <c r="W90" s="72">
        <v>132.9</v>
      </c>
      <c r="X90" s="99">
        <v>130.4</v>
      </c>
      <c r="Y90" s="188">
        <v>128.80000000000001</v>
      </c>
      <c r="Z90" s="99">
        <v>128.80000000000001</v>
      </c>
      <c r="AA90" s="99">
        <v>128.80000000000001</v>
      </c>
      <c r="AB90" s="72">
        <v>134.80000000000001</v>
      </c>
      <c r="AC90" s="72">
        <v>135.30000000000001</v>
      </c>
      <c r="AD90" s="72">
        <v>135.6</v>
      </c>
      <c r="AE90" s="72">
        <v>138.9</v>
      </c>
      <c r="AF90" s="72">
        <v>133.69999999999999</v>
      </c>
      <c r="AG90" s="100"/>
      <c r="AH90" s="53">
        <f t="shared" si="22"/>
        <v>140.6</v>
      </c>
      <c r="AI90" s="54">
        <f t="shared" si="23"/>
        <v>128.80000000000001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22"/>
        <v>0</v>
      </c>
      <c r="AI91" s="54">
        <f t="shared" si="23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 t="shared" ref="B93" si="36">SUM(B15,B18,B21:B22,B42,B44:B45,B47,B49,B94:B97,B102,B108,B114,B123,B125,B137,B144,B147:B148,B155,B157,B159,B163:B165,B167:B169,B174,B180:B181,B183:B185,B193,B198)</f>
        <v>226.73999999999995</v>
      </c>
      <c r="C93" s="113">
        <f>SUM(C15,C18,C21:C22,C42,C44:C45,C47,C49,C94:C97,C102,C108,C114,C123,C125,C137,C144,C147:C148,C155,C157,C159,C163:C165,C167:C169,C174,C180:C181,C183:C185,C193,C198)</f>
        <v>207.33999999999997</v>
      </c>
      <c r="D93" s="113">
        <f t="shared" ref="D93:AF93" si="37">SUM(D15,D18,D21:D22,D42,D44:D45,D47,D49,D94:D97,D102,D108,D114,D123,D125,D137,D144,D147:D148,D155,D157,D159,D163:D165,D167:D169,D174,D180:D181,D183:D185,D193,D198)</f>
        <v>199.23999999999995</v>
      </c>
      <c r="E93" s="113">
        <f t="shared" si="37"/>
        <v>193.63999999999996</v>
      </c>
      <c r="F93" s="113">
        <f t="shared" si="37"/>
        <v>197.93999999999997</v>
      </c>
      <c r="G93" s="112">
        <f t="shared" si="37"/>
        <v>212.73999999999995</v>
      </c>
      <c r="H93" s="112">
        <f t="shared" si="37"/>
        <v>237.23999999999995</v>
      </c>
      <c r="I93" s="112">
        <f t="shared" si="37"/>
        <v>279.24</v>
      </c>
      <c r="J93" s="112">
        <f t="shared" si="37"/>
        <v>300.84000000000003</v>
      </c>
      <c r="K93" s="112">
        <f t="shared" si="37"/>
        <v>372.64000000000004</v>
      </c>
      <c r="L93" s="112">
        <f t="shared" si="37"/>
        <v>430.44</v>
      </c>
      <c r="M93" s="112">
        <f t="shared" si="37"/>
        <v>464.94000000000005</v>
      </c>
      <c r="N93" s="112">
        <f t="shared" si="37"/>
        <v>459.03999999999996</v>
      </c>
      <c r="O93" s="112">
        <f t="shared" si="37"/>
        <v>455.44000000000005</v>
      </c>
      <c r="P93" s="112">
        <f t="shared" si="37"/>
        <v>437.04</v>
      </c>
      <c r="Q93" s="112">
        <f t="shared" si="37"/>
        <v>416.14</v>
      </c>
      <c r="R93" s="112">
        <f t="shared" si="37"/>
        <v>391.94</v>
      </c>
      <c r="S93" s="112">
        <f t="shared" si="37"/>
        <v>391.74</v>
      </c>
      <c r="T93" s="112">
        <f t="shared" si="37"/>
        <v>402.44000000000005</v>
      </c>
      <c r="U93" s="112">
        <f t="shared" si="37"/>
        <v>395.14</v>
      </c>
      <c r="V93" s="112">
        <f t="shared" si="37"/>
        <v>410.94000000000005</v>
      </c>
      <c r="W93" s="112">
        <f t="shared" si="37"/>
        <v>452.64000000000004</v>
      </c>
      <c r="X93" s="112">
        <f t="shared" si="37"/>
        <v>503.84000000000003</v>
      </c>
      <c r="Y93" s="112">
        <f t="shared" si="37"/>
        <v>516.53999999999985</v>
      </c>
      <c r="Z93" s="112">
        <f t="shared" si="37"/>
        <v>508.74</v>
      </c>
      <c r="AA93" s="112">
        <f t="shared" si="37"/>
        <v>507.84000000000003</v>
      </c>
      <c r="AB93" s="112">
        <f t="shared" si="37"/>
        <v>496.54</v>
      </c>
      <c r="AC93" s="112">
        <f t="shared" si="37"/>
        <v>497.14</v>
      </c>
      <c r="AD93" s="112">
        <f t="shared" si="37"/>
        <v>444.24</v>
      </c>
      <c r="AE93" s="112">
        <f t="shared" si="37"/>
        <v>338.74</v>
      </c>
      <c r="AF93" s="112">
        <f t="shared" si="37"/>
        <v>265.04000000000002</v>
      </c>
      <c r="AG93" s="114"/>
      <c r="AH93" s="53">
        <f>MAX(C93:AF93)</f>
        <v>516.53999999999985</v>
      </c>
      <c r="AI93" s="54">
        <f>MIN(C93:AF93)</f>
        <v>193.63999999999996</v>
      </c>
    </row>
    <row r="94" spans="1:88" x14ac:dyDescent="0.25">
      <c r="A94" s="115" t="s">
        <v>98</v>
      </c>
      <c r="B94" s="118">
        <v>-2.8</v>
      </c>
      <c r="C94" s="57">
        <v>-35.1</v>
      </c>
      <c r="D94" s="57">
        <v>-26.9</v>
      </c>
      <c r="E94" s="57">
        <v>-16.399999999999999</v>
      </c>
      <c r="F94" s="57">
        <v>-12.5</v>
      </c>
      <c r="G94" s="117">
        <v>2.2999999999999998</v>
      </c>
      <c r="H94" s="117">
        <v>2.1</v>
      </c>
      <c r="I94" s="117">
        <v>23</v>
      </c>
      <c r="J94" s="117">
        <v>8.1</v>
      </c>
      <c r="K94" s="117">
        <v>29.3</v>
      </c>
      <c r="L94" s="117">
        <v>55</v>
      </c>
      <c r="M94" s="118">
        <v>58.4</v>
      </c>
      <c r="N94" s="117">
        <v>63.5</v>
      </c>
      <c r="O94" s="117">
        <v>66</v>
      </c>
      <c r="P94" s="117">
        <v>63.2</v>
      </c>
      <c r="Q94" s="117">
        <v>29.8</v>
      </c>
      <c r="R94" s="117">
        <v>29.5</v>
      </c>
      <c r="S94" s="117">
        <v>30.1</v>
      </c>
      <c r="T94" s="117">
        <v>32.799999999999997</v>
      </c>
      <c r="U94" s="118">
        <v>4.4000000000000004</v>
      </c>
      <c r="V94" s="118">
        <v>18</v>
      </c>
      <c r="W94" s="118">
        <v>53.6</v>
      </c>
      <c r="X94" s="117">
        <v>68.7</v>
      </c>
      <c r="Y94" s="117">
        <v>63</v>
      </c>
      <c r="Z94" s="117">
        <v>67</v>
      </c>
      <c r="AA94" s="117">
        <v>61.6</v>
      </c>
      <c r="AB94" s="118">
        <v>51</v>
      </c>
      <c r="AC94" s="118">
        <v>52.1</v>
      </c>
      <c r="AD94" s="118">
        <v>47.9</v>
      </c>
      <c r="AE94" s="118">
        <v>46</v>
      </c>
      <c r="AF94" s="118">
        <v>-9</v>
      </c>
      <c r="AG94" s="119">
        <v>75</v>
      </c>
      <c r="AH94" s="53">
        <f t="shared" ref="AH94:AH99" si="38">IF(ABS(MAX(C94:AF94))&gt;ABS(MIN(C94:AF94)),MAX(C94:AF94),MIN(C94:AF94))</f>
        <v>68.7</v>
      </c>
      <c r="AI94" s="120">
        <f t="shared" ref="AI94:AI99" si="39">INDEX($C$9:$AF$9,1,MATCH(AH94,C94:AF94,0))</f>
        <v>0.75</v>
      </c>
    </row>
    <row r="95" spans="1:88" x14ac:dyDescent="0.25">
      <c r="A95" s="121" t="s">
        <v>99</v>
      </c>
      <c r="B95" s="72">
        <v>-30</v>
      </c>
      <c r="C95" s="59">
        <v>-29</v>
      </c>
      <c r="D95" s="59">
        <v>-37</v>
      </c>
      <c r="E95" s="59">
        <v>-40.700000000000003</v>
      </c>
      <c r="F95" s="59">
        <v>-41.6</v>
      </c>
      <c r="G95" s="59">
        <v>-39.9</v>
      </c>
      <c r="H95" s="59">
        <v>-29</v>
      </c>
      <c r="I95" s="59">
        <v>-18.2</v>
      </c>
      <c r="J95" s="59">
        <v>10</v>
      </c>
      <c r="K95" s="59">
        <v>28.9</v>
      </c>
      <c r="L95" s="59">
        <v>44.6</v>
      </c>
      <c r="M95" s="59">
        <v>54.5</v>
      </c>
      <c r="N95" s="59">
        <v>56.9</v>
      </c>
      <c r="O95" s="59">
        <v>50</v>
      </c>
      <c r="P95" s="59">
        <v>47.2</v>
      </c>
      <c r="Q95" s="59">
        <v>53.4</v>
      </c>
      <c r="R95" s="59">
        <v>53.7</v>
      </c>
      <c r="S95" s="59">
        <v>47</v>
      </c>
      <c r="T95" s="59">
        <v>58.3</v>
      </c>
      <c r="U95" s="59">
        <v>65.099999999999994</v>
      </c>
      <c r="V95" s="59">
        <v>59</v>
      </c>
      <c r="W95" s="59">
        <v>88</v>
      </c>
      <c r="X95" s="59">
        <v>88.6</v>
      </c>
      <c r="Y95" s="59">
        <v>102.7</v>
      </c>
      <c r="Z95" s="59">
        <v>98.2</v>
      </c>
      <c r="AA95" s="59">
        <v>95.3</v>
      </c>
      <c r="AB95" s="72">
        <v>84</v>
      </c>
      <c r="AC95" s="72">
        <v>76.400000000000006</v>
      </c>
      <c r="AD95" s="72">
        <v>61.9</v>
      </c>
      <c r="AE95" s="72">
        <v>3.4</v>
      </c>
      <c r="AF95" s="72">
        <v>-13.3</v>
      </c>
      <c r="AG95" s="119">
        <v>240</v>
      </c>
      <c r="AH95" s="53">
        <f t="shared" si="38"/>
        <v>102.7</v>
      </c>
      <c r="AI95" s="120">
        <f t="shared" si="39"/>
        <v>0.77083333333333337</v>
      </c>
    </row>
    <row r="96" spans="1:88" x14ac:dyDescent="0.25">
      <c r="A96" s="121" t="s">
        <v>100</v>
      </c>
      <c r="B96" s="72">
        <v>-6.8</v>
      </c>
      <c r="C96" s="59">
        <v>-2.6</v>
      </c>
      <c r="D96" s="59">
        <v>-9.3000000000000007</v>
      </c>
      <c r="E96" s="59">
        <v>-9.5</v>
      </c>
      <c r="F96" s="59">
        <v>-3.2</v>
      </c>
      <c r="G96" s="59">
        <v>-7.1</v>
      </c>
      <c r="H96" s="59">
        <v>-6.4</v>
      </c>
      <c r="I96" s="59">
        <v>-3.2</v>
      </c>
      <c r="J96" s="59">
        <v>0</v>
      </c>
      <c r="K96" s="59">
        <v>20.399999999999999</v>
      </c>
      <c r="L96" s="59">
        <v>33.799999999999997</v>
      </c>
      <c r="M96" s="59">
        <v>52.1</v>
      </c>
      <c r="N96" s="59">
        <v>48.7</v>
      </c>
      <c r="O96" s="59">
        <v>52.7</v>
      </c>
      <c r="P96" s="59">
        <v>47.6</v>
      </c>
      <c r="Q96" s="59">
        <v>41.4</v>
      </c>
      <c r="R96" s="59">
        <v>35.9</v>
      </c>
      <c r="S96" s="59">
        <v>33.200000000000003</v>
      </c>
      <c r="T96" s="59">
        <v>28.8</v>
      </c>
      <c r="U96" s="59">
        <v>45.3</v>
      </c>
      <c r="V96" s="59">
        <v>45.7</v>
      </c>
      <c r="W96" s="59">
        <v>55.1</v>
      </c>
      <c r="X96" s="59">
        <v>66.599999999999994</v>
      </c>
      <c r="Y96" s="59">
        <v>67</v>
      </c>
      <c r="Z96" s="59">
        <v>67</v>
      </c>
      <c r="AA96" s="59">
        <v>67</v>
      </c>
      <c r="AB96" s="72">
        <v>59</v>
      </c>
      <c r="AC96" s="72">
        <v>76</v>
      </c>
      <c r="AD96" s="72">
        <v>44.5</v>
      </c>
      <c r="AE96" s="72">
        <v>7.4</v>
      </c>
      <c r="AF96" s="72">
        <v>5</v>
      </c>
      <c r="AG96" s="119">
        <v>60</v>
      </c>
      <c r="AH96" s="53">
        <f t="shared" si="38"/>
        <v>76</v>
      </c>
      <c r="AI96" s="120">
        <f t="shared" si="39"/>
        <v>0.85416666666666663</v>
      </c>
    </row>
    <row r="97" spans="1:37" x14ac:dyDescent="0.25">
      <c r="A97" s="123" t="s">
        <v>101</v>
      </c>
      <c r="B97" s="125">
        <v>88.1</v>
      </c>
      <c r="C97" s="62">
        <v>94.6</v>
      </c>
      <c r="D97" s="62">
        <v>93</v>
      </c>
      <c r="E97" s="62">
        <v>80.8</v>
      </c>
      <c r="F97" s="62">
        <v>75.8</v>
      </c>
      <c r="G97" s="62">
        <v>77.7</v>
      </c>
      <c r="H97" s="62">
        <v>91.1</v>
      </c>
      <c r="I97" s="62">
        <v>97.9</v>
      </c>
      <c r="J97" s="62">
        <v>103</v>
      </c>
      <c r="K97" s="62">
        <v>111</v>
      </c>
      <c r="L97" s="62">
        <v>114</v>
      </c>
      <c r="M97" s="62">
        <v>119.8</v>
      </c>
      <c r="N97" s="62">
        <v>113.1</v>
      </c>
      <c r="O97" s="62">
        <v>112.1</v>
      </c>
      <c r="P97" s="62">
        <v>104.2</v>
      </c>
      <c r="Q97" s="62">
        <v>111.9</v>
      </c>
      <c r="R97" s="62">
        <v>97.7</v>
      </c>
      <c r="S97" s="62">
        <v>114.8</v>
      </c>
      <c r="T97" s="62">
        <v>112.5</v>
      </c>
      <c r="U97" s="62">
        <v>108.9</v>
      </c>
      <c r="V97" s="62">
        <v>117.1</v>
      </c>
      <c r="W97" s="62">
        <v>84.8</v>
      </c>
      <c r="X97" s="62">
        <v>108.5</v>
      </c>
      <c r="Y97" s="62">
        <v>104.5</v>
      </c>
      <c r="Z97" s="62">
        <v>97.2</v>
      </c>
      <c r="AA97" s="62">
        <v>105.6</v>
      </c>
      <c r="AB97" s="125">
        <v>122</v>
      </c>
      <c r="AC97" s="125">
        <v>112.1</v>
      </c>
      <c r="AD97" s="125">
        <v>106.1</v>
      </c>
      <c r="AE97" s="125">
        <v>98.1</v>
      </c>
      <c r="AF97" s="125">
        <v>98.5</v>
      </c>
      <c r="AG97" s="126">
        <v>120</v>
      </c>
      <c r="AH97" s="53">
        <f t="shared" si="38"/>
        <v>122</v>
      </c>
      <c r="AI97" s="120">
        <f t="shared" si="39"/>
        <v>0.83333333333333337</v>
      </c>
    </row>
    <row r="98" spans="1:37" x14ac:dyDescent="0.25">
      <c r="A98" s="123" t="s">
        <v>102</v>
      </c>
      <c r="B98" s="125">
        <v>91.4</v>
      </c>
      <c r="C98" s="62">
        <v>97.1</v>
      </c>
      <c r="D98" s="62">
        <v>98</v>
      </c>
      <c r="E98" s="62">
        <v>88.8</v>
      </c>
      <c r="F98" s="62">
        <v>79.099999999999994</v>
      </c>
      <c r="G98" s="62">
        <v>81</v>
      </c>
      <c r="H98" s="62">
        <v>93.2</v>
      </c>
      <c r="I98" s="62">
        <v>94.7</v>
      </c>
      <c r="J98" s="62">
        <v>85</v>
      </c>
      <c r="K98" s="62">
        <v>85.9</v>
      </c>
      <c r="L98" s="62">
        <v>82.4</v>
      </c>
      <c r="M98" s="62">
        <v>79.7</v>
      </c>
      <c r="N98" s="62">
        <v>79.5</v>
      </c>
      <c r="O98" s="62">
        <v>72</v>
      </c>
      <c r="P98" s="62">
        <v>68.8</v>
      </c>
      <c r="Q98" s="62">
        <v>100</v>
      </c>
      <c r="R98" s="62">
        <v>98.7</v>
      </c>
      <c r="S98" s="62">
        <v>93.3</v>
      </c>
      <c r="T98" s="62">
        <v>95.4</v>
      </c>
      <c r="U98" s="62">
        <v>104.3</v>
      </c>
      <c r="V98" s="62">
        <v>94.5</v>
      </c>
      <c r="W98" s="62">
        <v>97.6</v>
      </c>
      <c r="X98" s="62">
        <v>101.8</v>
      </c>
      <c r="Y98" s="62">
        <v>101.2</v>
      </c>
      <c r="Z98" s="62">
        <v>99.6</v>
      </c>
      <c r="AA98" s="62">
        <v>101.4</v>
      </c>
      <c r="AB98" s="125">
        <v>91.4</v>
      </c>
      <c r="AC98" s="125">
        <v>83.3</v>
      </c>
      <c r="AD98" s="125">
        <v>77.5</v>
      </c>
      <c r="AE98" s="125">
        <v>92.7</v>
      </c>
      <c r="AF98" s="125">
        <v>95.9</v>
      </c>
      <c r="AG98" s="126"/>
      <c r="AH98" s="53">
        <f t="shared" si="38"/>
        <v>104.3</v>
      </c>
      <c r="AI98" s="120">
        <f t="shared" si="39"/>
        <v>0.66666666666666696</v>
      </c>
    </row>
    <row r="99" spans="1:37" ht="15.75" thickBot="1" x14ac:dyDescent="0.3">
      <c r="A99" s="123" t="s">
        <v>103</v>
      </c>
      <c r="B99" s="125">
        <v>70.7</v>
      </c>
      <c r="C99" s="62">
        <v>77.5</v>
      </c>
      <c r="D99" s="62">
        <v>69.900000000000006</v>
      </c>
      <c r="E99" s="62">
        <v>68.599999999999994</v>
      </c>
      <c r="F99" s="62">
        <v>65.599999999999994</v>
      </c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>
        <v>34.6</v>
      </c>
      <c r="T99" s="62">
        <v>32.200000000000003</v>
      </c>
      <c r="U99" s="62">
        <v>43.2</v>
      </c>
      <c r="V99" s="62">
        <v>37.1</v>
      </c>
      <c r="W99" s="62">
        <v>16.5</v>
      </c>
      <c r="X99" s="62">
        <v>9.3000000000000007</v>
      </c>
      <c r="Y99" s="62">
        <v>14.9</v>
      </c>
      <c r="Z99" s="62">
        <v>13.5</v>
      </c>
      <c r="AA99" s="62">
        <v>17.7</v>
      </c>
      <c r="AB99" s="125">
        <v>31.1</v>
      </c>
      <c r="AC99" s="125">
        <v>29.3</v>
      </c>
      <c r="AD99" s="125">
        <v>26.1</v>
      </c>
      <c r="AE99" s="125">
        <v>19.7</v>
      </c>
      <c r="AF99" s="125">
        <v>62.8</v>
      </c>
      <c r="AG99" s="127"/>
      <c r="AH99" s="53">
        <f t="shared" si="38"/>
        <v>77.5</v>
      </c>
      <c r="AI99" s="120">
        <f t="shared" si="39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40">AF101</f>
        <v>9.9</v>
      </c>
      <c r="C101" s="52">
        <v>9.9</v>
      </c>
      <c r="D101" s="133">
        <f t="shared" ref="D101:S106" si="41">C101</f>
        <v>9.9</v>
      </c>
      <c r="E101" s="133">
        <f t="shared" si="41"/>
        <v>9.9</v>
      </c>
      <c r="F101" s="133">
        <f t="shared" si="41"/>
        <v>9.9</v>
      </c>
      <c r="G101" s="133">
        <f t="shared" si="41"/>
        <v>9.9</v>
      </c>
      <c r="H101" s="133">
        <f t="shared" si="41"/>
        <v>9.9</v>
      </c>
      <c r="I101" s="133">
        <f t="shared" si="41"/>
        <v>9.9</v>
      </c>
      <c r="J101" s="133">
        <f t="shared" si="41"/>
        <v>9.9</v>
      </c>
      <c r="K101" s="133">
        <f t="shared" si="41"/>
        <v>9.9</v>
      </c>
      <c r="L101" s="133">
        <f t="shared" si="41"/>
        <v>9.9</v>
      </c>
      <c r="M101" s="133">
        <f t="shared" si="41"/>
        <v>9.9</v>
      </c>
      <c r="N101" s="133">
        <f t="shared" si="41"/>
        <v>9.9</v>
      </c>
      <c r="O101" s="133">
        <f t="shared" si="41"/>
        <v>9.9</v>
      </c>
      <c r="P101" s="133">
        <f t="shared" si="41"/>
        <v>9.9</v>
      </c>
      <c r="Q101" s="133">
        <f t="shared" si="41"/>
        <v>9.9</v>
      </c>
      <c r="R101" s="133">
        <f t="shared" si="41"/>
        <v>9.9</v>
      </c>
      <c r="S101" s="133">
        <f t="shared" si="41"/>
        <v>9.9</v>
      </c>
      <c r="T101" s="133">
        <f t="shared" ref="T101:AF106" si="42">S101</f>
        <v>9.9</v>
      </c>
      <c r="U101" s="133">
        <f t="shared" si="42"/>
        <v>9.9</v>
      </c>
      <c r="V101" s="133">
        <f t="shared" si="42"/>
        <v>9.9</v>
      </c>
      <c r="W101" s="133">
        <f t="shared" si="42"/>
        <v>9.9</v>
      </c>
      <c r="X101" s="133">
        <f t="shared" si="42"/>
        <v>9.9</v>
      </c>
      <c r="Y101" s="133">
        <f t="shared" si="42"/>
        <v>9.9</v>
      </c>
      <c r="Z101" s="133">
        <f t="shared" si="42"/>
        <v>9.9</v>
      </c>
      <c r="AA101" s="133">
        <f t="shared" si="42"/>
        <v>9.9</v>
      </c>
      <c r="AB101" s="133">
        <f t="shared" si="42"/>
        <v>9.9</v>
      </c>
      <c r="AC101" s="133">
        <f t="shared" si="42"/>
        <v>9.9</v>
      </c>
      <c r="AD101" s="133">
        <f t="shared" si="42"/>
        <v>9.9</v>
      </c>
      <c r="AE101" s="133">
        <f t="shared" si="42"/>
        <v>9.9</v>
      </c>
      <c r="AF101" s="133">
        <f t="shared" si="42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40"/>
        <v>9.6</v>
      </c>
      <c r="C102" s="136">
        <v>9.6</v>
      </c>
      <c r="D102" s="135">
        <f t="shared" si="41"/>
        <v>9.6</v>
      </c>
      <c r="E102" s="135">
        <f t="shared" si="41"/>
        <v>9.6</v>
      </c>
      <c r="F102" s="135">
        <f t="shared" si="41"/>
        <v>9.6</v>
      </c>
      <c r="G102" s="135">
        <f t="shared" si="41"/>
        <v>9.6</v>
      </c>
      <c r="H102" s="135">
        <f t="shared" si="41"/>
        <v>9.6</v>
      </c>
      <c r="I102" s="135">
        <f t="shared" si="41"/>
        <v>9.6</v>
      </c>
      <c r="J102" s="135">
        <f t="shared" si="41"/>
        <v>9.6</v>
      </c>
      <c r="K102" s="135">
        <f t="shared" si="41"/>
        <v>9.6</v>
      </c>
      <c r="L102" s="135">
        <f t="shared" si="41"/>
        <v>9.6</v>
      </c>
      <c r="M102" s="135">
        <f t="shared" si="41"/>
        <v>9.6</v>
      </c>
      <c r="N102" s="135">
        <f t="shared" si="41"/>
        <v>9.6</v>
      </c>
      <c r="O102" s="135">
        <f t="shared" si="41"/>
        <v>9.6</v>
      </c>
      <c r="P102" s="135">
        <f t="shared" si="41"/>
        <v>9.6</v>
      </c>
      <c r="Q102" s="135">
        <f t="shared" si="41"/>
        <v>9.6</v>
      </c>
      <c r="R102" s="135">
        <f t="shared" si="41"/>
        <v>9.6</v>
      </c>
      <c r="S102" s="135">
        <f t="shared" si="41"/>
        <v>9.6</v>
      </c>
      <c r="T102" s="135">
        <f t="shared" si="42"/>
        <v>9.6</v>
      </c>
      <c r="U102" s="135">
        <f t="shared" si="42"/>
        <v>9.6</v>
      </c>
      <c r="V102" s="135">
        <f t="shared" si="42"/>
        <v>9.6</v>
      </c>
      <c r="W102" s="135">
        <f t="shared" si="42"/>
        <v>9.6</v>
      </c>
      <c r="X102" s="135">
        <f t="shared" si="42"/>
        <v>9.6</v>
      </c>
      <c r="Y102" s="135">
        <f t="shared" si="42"/>
        <v>9.6</v>
      </c>
      <c r="Z102" s="135">
        <f t="shared" si="42"/>
        <v>9.6</v>
      </c>
      <c r="AA102" s="135">
        <f t="shared" si="42"/>
        <v>9.6</v>
      </c>
      <c r="AB102" s="135">
        <f t="shared" si="42"/>
        <v>9.6</v>
      </c>
      <c r="AC102" s="135">
        <f t="shared" si="42"/>
        <v>9.6</v>
      </c>
      <c r="AD102" s="135">
        <f t="shared" si="42"/>
        <v>9.6</v>
      </c>
      <c r="AE102" s="135">
        <f t="shared" si="42"/>
        <v>9.6</v>
      </c>
      <c r="AF102" s="135">
        <f t="shared" si="42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40"/>
        <v>9.98</v>
      </c>
      <c r="C103" s="136">
        <v>9.98</v>
      </c>
      <c r="D103" s="135">
        <f t="shared" si="41"/>
        <v>9.98</v>
      </c>
      <c r="E103" s="135">
        <f t="shared" si="41"/>
        <v>9.98</v>
      </c>
      <c r="F103" s="135">
        <f t="shared" si="41"/>
        <v>9.98</v>
      </c>
      <c r="G103" s="135">
        <f t="shared" si="41"/>
        <v>9.98</v>
      </c>
      <c r="H103" s="135">
        <f t="shared" si="41"/>
        <v>9.98</v>
      </c>
      <c r="I103" s="135">
        <f t="shared" si="41"/>
        <v>9.98</v>
      </c>
      <c r="J103" s="135">
        <f t="shared" si="41"/>
        <v>9.98</v>
      </c>
      <c r="K103" s="135">
        <f t="shared" si="41"/>
        <v>9.98</v>
      </c>
      <c r="L103" s="135">
        <f t="shared" si="41"/>
        <v>9.98</v>
      </c>
      <c r="M103" s="135">
        <f t="shared" si="41"/>
        <v>9.98</v>
      </c>
      <c r="N103" s="135">
        <f t="shared" si="41"/>
        <v>9.98</v>
      </c>
      <c r="O103" s="135">
        <f t="shared" si="41"/>
        <v>9.98</v>
      </c>
      <c r="P103" s="135">
        <f t="shared" si="41"/>
        <v>9.98</v>
      </c>
      <c r="Q103" s="135">
        <f t="shared" si="41"/>
        <v>9.98</v>
      </c>
      <c r="R103" s="135">
        <f t="shared" si="41"/>
        <v>9.98</v>
      </c>
      <c r="S103" s="135">
        <f t="shared" si="41"/>
        <v>9.98</v>
      </c>
      <c r="T103" s="135">
        <f t="shared" si="42"/>
        <v>9.98</v>
      </c>
      <c r="U103" s="135">
        <f t="shared" si="42"/>
        <v>9.98</v>
      </c>
      <c r="V103" s="135">
        <f t="shared" si="42"/>
        <v>9.98</v>
      </c>
      <c r="W103" s="135">
        <f t="shared" si="42"/>
        <v>9.98</v>
      </c>
      <c r="X103" s="135">
        <f t="shared" si="42"/>
        <v>9.98</v>
      </c>
      <c r="Y103" s="135">
        <f t="shared" si="42"/>
        <v>9.98</v>
      </c>
      <c r="Z103" s="135">
        <f t="shared" si="42"/>
        <v>9.98</v>
      </c>
      <c r="AA103" s="135">
        <f t="shared" si="42"/>
        <v>9.98</v>
      </c>
      <c r="AB103" s="135">
        <f t="shared" si="42"/>
        <v>9.98</v>
      </c>
      <c r="AC103" s="135">
        <f t="shared" si="42"/>
        <v>9.98</v>
      </c>
      <c r="AD103" s="135">
        <f t="shared" si="42"/>
        <v>9.98</v>
      </c>
      <c r="AE103" s="135">
        <f t="shared" si="42"/>
        <v>9.98</v>
      </c>
      <c r="AF103" s="135">
        <f t="shared" si="42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40"/>
        <v>9.1</v>
      </c>
      <c r="C104" s="136">
        <v>9.1</v>
      </c>
      <c r="D104" s="135">
        <f t="shared" si="41"/>
        <v>9.1</v>
      </c>
      <c r="E104" s="135">
        <f t="shared" si="41"/>
        <v>9.1</v>
      </c>
      <c r="F104" s="135">
        <f t="shared" si="41"/>
        <v>9.1</v>
      </c>
      <c r="G104" s="135">
        <f t="shared" si="41"/>
        <v>9.1</v>
      </c>
      <c r="H104" s="135">
        <f t="shared" si="41"/>
        <v>9.1</v>
      </c>
      <c r="I104" s="135">
        <f t="shared" si="41"/>
        <v>9.1</v>
      </c>
      <c r="J104" s="135">
        <f t="shared" si="41"/>
        <v>9.1</v>
      </c>
      <c r="K104" s="135">
        <f t="shared" si="41"/>
        <v>9.1</v>
      </c>
      <c r="L104" s="135">
        <f t="shared" si="41"/>
        <v>9.1</v>
      </c>
      <c r="M104" s="135">
        <f t="shared" si="41"/>
        <v>9.1</v>
      </c>
      <c r="N104" s="135">
        <f t="shared" si="41"/>
        <v>9.1</v>
      </c>
      <c r="O104" s="135">
        <f t="shared" si="41"/>
        <v>9.1</v>
      </c>
      <c r="P104" s="135">
        <f t="shared" si="41"/>
        <v>9.1</v>
      </c>
      <c r="Q104" s="135">
        <f t="shared" si="41"/>
        <v>9.1</v>
      </c>
      <c r="R104" s="135">
        <f t="shared" si="41"/>
        <v>9.1</v>
      </c>
      <c r="S104" s="135">
        <f t="shared" si="41"/>
        <v>9.1</v>
      </c>
      <c r="T104" s="135">
        <f t="shared" si="42"/>
        <v>9.1</v>
      </c>
      <c r="U104" s="135">
        <f t="shared" si="42"/>
        <v>9.1</v>
      </c>
      <c r="V104" s="135">
        <f t="shared" si="42"/>
        <v>9.1</v>
      </c>
      <c r="W104" s="135">
        <f t="shared" si="42"/>
        <v>9.1</v>
      </c>
      <c r="X104" s="135">
        <f t="shared" si="42"/>
        <v>9.1</v>
      </c>
      <c r="Y104" s="135">
        <f t="shared" si="42"/>
        <v>9.1</v>
      </c>
      <c r="Z104" s="135">
        <f t="shared" si="42"/>
        <v>9.1</v>
      </c>
      <c r="AA104" s="135">
        <f t="shared" si="42"/>
        <v>9.1</v>
      </c>
      <c r="AB104" s="135">
        <f t="shared" si="42"/>
        <v>9.1</v>
      </c>
      <c r="AC104" s="135">
        <f t="shared" si="42"/>
        <v>9.1</v>
      </c>
      <c r="AD104" s="135">
        <f t="shared" si="42"/>
        <v>9.1</v>
      </c>
      <c r="AE104" s="135">
        <f t="shared" si="42"/>
        <v>9.1</v>
      </c>
      <c r="AF104" s="135">
        <f t="shared" si="42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40"/>
        <v>9.18</v>
      </c>
      <c r="C105" s="136">
        <v>9.18</v>
      </c>
      <c r="D105" s="135">
        <f t="shared" si="41"/>
        <v>9.18</v>
      </c>
      <c r="E105" s="135">
        <f t="shared" si="41"/>
        <v>9.18</v>
      </c>
      <c r="F105" s="135">
        <f t="shared" si="41"/>
        <v>9.18</v>
      </c>
      <c r="G105" s="135">
        <f t="shared" si="41"/>
        <v>9.18</v>
      </c>
      <c r="H105" s="135">
        <f t="shared" si="41"/>
        <v>9.18</v>
      </c>
      <c r="I105" s="135">
        <f t="shared" si="41"/>
        <v>9.18</v>
      </c>
      <c r="J105" s="135">
        <f t="shared" si="41"/>
        <v>9.18</v>
      </c>
      <c r="K105" s="135">
        <f t="shared" si="41"/>
        <v>9.18</v>
      </c>
      <c r="L105" s="135">
        <f t="shared" si="41"/>
        <v>9.18</v>
      </c>
      <c r="M105" s="135">
        <f t="shared" si="41"/>
        <v>9.18</v>
      </c>
      <c r="N105" s="135">
        <f t="shared" si="41"/>
        <v>9.18</v>
      </c>
      <c r="O105" s="135">
        <f t="shared" si="41"/>
        <v>9.18</v>
      </c>
      <c r="P105" s="135">
        <f t="shared" si="41"/>
        <v>9.18</v>
      </c>
      <c r="Q105" s="135">
        <f t="shared" si="41"/>
        <v>9.18</v>
      </c>
      <c r="R105" s="135">
        <f t="shared" si="41"/>
        <v>9.18</v>
      </c>
      <c r="S105" s="135">
        <f t="shared" si="41"/>
        <v>9.18</v>
      </c>
      <c r="T105" s="135">
        <f t="shared" si="42"/>
        <v>9.18</v>
      </c>
      <c r="U105" s="135">
        <f t="shared" si="42"/>
        <v>9.18</v>
      </c>
      <c r="V105" s="135">
        <f t="shared" si="42"/>
        <v>9.18</v>
      </c>
      <c r="W105" s="135">
        <f t="shared" si="42"/>
        <v>9.18</v>
      </c>
      <c r="X105" s="135">
        <f t="shared" si="42"/>
        <v>9.18</v>
      </c>
      <c r="Y105" s="135">
        <f t="shared" si="42"/>
        <v>9.18</v>
      </c>
      <c r="Z105" s="135">
        <f t="shared" si="42"/>
        <v>9.18</v>
      </c>
      <c r="AA105" s="135">
        <f t="shared" si="42"/>
        <v>9.18</v>
      </c>
      <c r="AB105" s="135">
        <f t="shared" si="42"/>
        <v>9.18</v>
      </c>
      <c r="AC105" s="135">
        <f t="shared" si="42"/>
        <v>9.18</v>
      </c>
      <c r="AD105" s="135">
        <f t="shared" si="42"/>
        <v>9.18</v>
      </c>
      <c r="AE105" s="135">
        <f t="shared" si="42"/>
        <v>9.18</v>
      </c>
      <c r="AF105" s="135">
        <f t="shared" si="42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40"/>
        <v>7</v>
      </c>
      <c r="C106" s="136">
        <v>7</v>
      </c>
      <c r="D106" s="135">
        <f t="shared" si="41"/>
        <v>7</v>
      </c>
      <c r="E106" s="135">
        <f t="shared" si="41"/>
        <v>7</v>
      </c>
      <c r="F106" s="135">
        <f t="shared" si="41"/>
        <v>7</v>
      </c>
      <c r="G106" s="135">
        <f t="shared" si="41"/>
        <v>7</v>
      </c>
      <c r="H106" s="135">
        <f t="shared" si="41"/>
        <v>7</v>
      </c>
      <c r="I106" s="135">
        <f t="shared" si="41"/>
        <v>7</v>
      </c>
      <c r="J106" s="135">
        <f t="shared" si="41"/>
        <v>7</v>
      </c>
      <c r="K106" s="135">
        <f t="shared" si="41"/>
        <v>7</v>
      </c>
      <c r="L106" s="135">
        <f t="shared" si="41"/>
        <v>7</v>
      </c>
      <c r="M106" s="135">
        <f t="shared" si="41"/>
        <v>7</v>
      </c>
      <c r="N106" s="135">
        <f t="shared" si="41"/>
        <v>7</v>
      </c>
      <c r="O106" s="135">
        <f t="shared" si="41"/>
        <v>7</v>
      </c>
      <c r="P106" s="135">
        <f t="shared" si="41"/>
        <v>7</v>
      </c>
      <c r="Q106" s="135">
        <f t="shared" si="41"/>
        <v>7</v>
      </c>
      <c r="R106" s="135">
        <f t="shared" si="41"/>
        <v>7</v>
      </c>
      <c r="S106" s="135">
        <f t="shared" si="41"/>
        <v>7</v>
      </c>
      <c r="T106" s="135">
        <f t="shared" si="42"/>
        <v>7</v>
      </c>
      <c r="U106" s="135">
        <f t="shared" si="42"/>
        <v>7</v>
      </c>
      <c r="V106" s="135">
        <f t="shared" si="42"/>
        <v>7</v>
      </c>
      <c r="W106" s="135">
        <f t="shared" si="42"/>
        <v>7</v>
      </c>
      <c r="X106" s="135">
        <f t="shared" si="42"/>
        <v>7</v>
      </c>
      <c r="Y106" s="135">
        <f t="shared" si="42"/>
        <v>7</v>
      </c>
      <c r="Z106" s="135">
        <f t="shared" si="42"/>
        <v>7</v>
      </c>
      <c r="AA106" s="135">
        <f t="shared" si="42"/>
        <v>7</v>
      </c>
      <c r="AB106" s="135">
        <f t="shared" si="42"/>
        <v>7</v>
      </c>
      <c r="AC106" s="135">
        <f t="shared" si="42"/>
        <v>7</v>
      </c>
      <c r="AD106" s="135">
        <f t="shared" si="42"/>
        <v>7</v>
      </c>
      <c r="AE106" s="135">
        <f t="shared" si="42"/>
        <v>7</v>
      </c>
      <c r="AF106" s="135">
        <f t="shared" si="42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43">C108</f>
        <v>2.25</v>
      </c>
      <c r="E108" s="135">
        <f t="shared" si="43"/>
        <v>2.25</v>
      </c>
      <c r="F108" s="135">
        <f t="shared" si="43"/>
        <v>2.25</v>
      </c>
      <c r="G108" s="135">
        <f t="shared" si="43"/>
        <v>2.25</v>
      </c>
      <c r="H108" s="135">
        <f t="shared" si="43"/>
        <v>2.25</v>
      </c>
      <c r="I108" s="135">
        <f t="shared" si="43"/>
        <v>2.25</v>
      </c>
      <c r="J108" s="135">
        <f t="shared" si="43"/>
        <v>2.25</v>
      </c>
      <c r="K108" s="135">
        <f t="shared" si="43"/>
        <v>2.25</v>
      </c>
      <c r="L108" s="135">
        <f t="shared" si="43"/>
        <v>2.25</v>
      </c>
      <c r="M108" s="135">
        <f t="shared" si="43"/>
        <v>2.25</v>
      </c>
      <c r="N108" s="135">
        <f t="shared" si="43"/>
        <v>2.25</v>
      </c>
      <c r="O108" s="135">
        <f t="shared" si="43"/>
        <v>2.25</v>
      </c>
      <c r="P108" s="135">
        <f t="shared" si="43"/>
        <v>2.25</v>
      </c>
      <c r="Q108" s="135">
        <f t="shared" si="43"/>
        <v>2.25</v>
      </c>
      <c r="R108" s="135">
        <f t="shared" si="43"/>
        <v>2.25</v>
      </c>
      <c r="S108" s="135">
        <f t="shared" si="43"/>
        <v>2.25</v>
      </c>
      <c r="T108" s="135">
        <f t="shared" ref="T108:AF109" si="44">S108</f>
        <v>2.25</v>
      </c>
      <c r="U108" s="135">
        <f t="shared" si="44"/>
        <v>2.25</v>
      </c>
      <c r="V108" s="135">
        <f t="shared" si="44"/>
        <v>2.25</v>
      </c>
      <c r="W108" s="135">
        <f t="shared" si="44"/>
        <v>2.25</v>
      </c>
      <c r="X108" s="135">
        <f t="shared" si="44"/>
        <v>2.25</v>
      </c>
      <c r="Y108" s="135">
        <f t="shared" si="44"/>
        <v>2.25</v>
      </c>
      <c r="Z108" s="135">
        <f t="shared" si="44"/>
        <v>2.25</v>
      </c>
      <c r="AA108" s="135">
        <f t="shared" si="44"/>
        <v>2.25</v>
      </c>
      <c r="AB108" s="135">
        <f t="shared" si="44"/>
        <v>2.25</v>
      </c>
      <c r="AC108" s="135">
        <f t="shared" si="44"/>
        <v>2.25</v>
      </c>
      <c r="AD108" s="135">
        <f t="shared" si="44"/>
        <v>2.25</v>
      </c>
      <c r="AE108" s="135">
        <f t="shared" si="44"/>
        <v>2.25</v>
      </c>
      <c r="AF108" s="135">
        <f t="shared" si="44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43"/>
        <v>1.64</v>
      </c>
      <c r="E109" s="135">
        <f t="shared" si="43"/>
        <v>1.64</v>
      </c>
      <c r="F109" s="135">
        <f t="shared" si="43"/>
        <v>1.64</v>
      </c>
      <c r="G109" s="135">
        <f t="shared" si="43"/>
        <v>1.64</v>
      </c>
      <c r="H109" s="135">
        <f t="shared" si="43"/>
        <v>1.64</v>
      </c>
      <c r="I109" s="135">
        <f t="shared" si="43"/>
        <v>1.64</v>
      </c>
      <c r="J109" s="135">
        <f t="shared" si="43"/>
        <v>1.64</v>
      </c>
      <c r="K109" s="135">
        <f t="shared" si="43"/>
        <v>1.64</v>
      </c>
      <c r="L109" s="135">
        <f t="shared" si="43"/>
        <v>1.64</v>
      </c>
      <c r="M109" s="135">
        <f t="shared" si="43"/>
        <v>1.64</v>
      </c>
      <c r="N109" s="135">
        <f t="shared" si="43"/>
        <v>1.64</v>
      </c>
      <c r="O109" s="135">
        <f t="shared" si="43"/>
        <v>1.64</v>
      </c>
      <c r="P109" s="135">
        <f t="shared" si="43"/>
        <v>1.64</v>
      </c>
      <c r="Q109" s="135">
        <f t="shared" si="43"/>
        <v>1.64</v>
      </c>
      <c r="R109" s="135">
        <f t="shared" si="43"/>
        <v>1.64</v>
      </c>
      <c r="S109" s="135">
        <f t="shared" si="43"/>
        <v>1.64</v>
      </c>
      <c r="T109" s="135">
        <f t="shared" si="44"/>
        <v>1.64</v>
      </c>
      <c r="U109" s="135">
        <f t="shared" si="44"/>
        <v>1.64</v>
      </c>
      <c r="V109" s="135">
        <f t="shared" si="44"/>
        <v>1.64</v>
      </c>
      <c r="W109" s="135">
        <f t="shared" si="44"/>
        <v>1.64</v>
      </c>
      <c r="X109" s="135">
        <f t="shared" si="44"/>
        <v>1.64</v>
      </c>
      <c r="Y109" s="135">
        <f t="shared" si="44"/>
        <v>1.64</v>
      </c>
      <c r="Z109" s="135">
        <f t="shared" si="44"/>
        <v>1.64</v>
      </c>
      <c r="AA109" s="135">
        <f t="shared" si="44"/>
        <v>1.64</v>
      </c>
      <c r="AB109" s="135">
        <f t="shared" si="44"/>
        <v>1.64</v>
      </c>
      <c r="AC109" s="135">
        <f t="shared" si="44"/>
        <v>1.64</v>
      </c>
      <c r="AD109" s="135">
        <f t="shared" si="44"/>
        <v>1.64</v>
      </c>
      <c r="AE109" s="135">
        <f t="shared" si="44"/>
        <v>1.64</v>
      </c>
      <c r="AF109" s="135">
        <f t="shared" si="44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45">AF111</f>
        <v>1.62</v>
      </c>
      <c r="C111" s="136">
        <v>1.62</v>
      </c>
      <c r="D111" s="135">
        <f t="shared" ref="D111:S118" si="46">C111</f>
        <v>1.62</v>
      </c>
      <c r="E111" s="135">
        <f t="shared" si="46"/>
        <v>1.62</v>
      </c>
      <c r="F111" s="135">
        <f t="shared" si="46"/>
        <v>1.62</v>
      </c>
      <c r="G111" s="135">
        <f t="shared" si="46"/>
        <v>1.62</v>
      </c>
      <c r="H111" s="135">
        <f t="shared" si="46"/>
        <v>1.62</v>
      </c>
      <c r="I111" s="135">
        <f t="shared" si="46"/>
        <v>1.62</v>
      </c>
      <c r="J111" s="135">
        <f t="shared" si="46"/>
        <v>1.62</v>
      </c>
      <c r="K111" s="135">
        <f t="shared" si="46"/>
        <v>1.62</v>
      </c>
      <c r="L111" s="135">
        <f t="shared" si="46"/>
        <v>1.62</v>
      </c>
      <c r="M111" s="135">
        <f t="shared" si="46"/>
        <v>1.62</v>
      </c>
      <c r="N111" s="135">
        <f t="shared" si="46"/>
        <v>1.62</v>
      </c>
      <c r="O111" s="135">
        <f t="shared" si="46"/>
        <v>1.62</v>
      </c>
      <c r="P111" s="135">
        <f t="shared" si="46"/>
        <v>1.62</v>
      </c>
      <c r="Q111" s="135">
        <f t="shared" si="46"/>
        <v>1.62</v>
      </c>
      <c r="R111" s="135">
        <f t="shared" si="46"/>
        <v>1.62</v>
      </c>
      <c r="S111" s="135">
        <f t="shared" si="46"/>
        <v>1.62</v>
      </c>
      <c r="T111" s="135">
        <f t="shared" ref="T111:AF126" si="47">S111</f>
        <v>1.62</v>
      </c>
      <c r="U111" s="135">
        <f t="shared" si="47"/>
        <v>1.62</v>
      </c>
      <c r="V111" s="135">
        <f t="shared" si="47"/>
        <v>1.62</v>
      </c>
      <c r="W111" s="135">
        <f t="shared" si="47"/>
        <v>1.62</v>
      </c>
      <c r="X111" s="135">
        <f t="shared" si="47"/>
        <v>1.62</v>
      </c>
      <c r="Y111" s="135">
        <f t="shared" si="47"/>
        <v>1.62</v>
      </c>
      <c r="Z111" s="135">
        <f t="shared" si="47"/>
        <v>1.62</v>
      </c>
      <c r="AA111" s="135">
        <f t="shared" si="47"/>
        <v>1.62</v>
      </c>
      <c r="AB111" s="135">
        <f t="shared" si="47"/>
        <v>1.62</v>
      </c>
      <c r="AC111" s="135">
        <f t="shared" si="47"/>
        <v>1.62</v>
      </c>
      <c r="AD111" s="135">
        <f t="shared" si="47"/>
        <v>1.62</v>
      </c>
      <c r="AE111" s="135">
        <f t="shared" si="47"/>
        <v>1.62</v>
      </c>
      <c r="AF111" s="135">
        <f t="shared" si="47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45"/>
        <v>8.36</v>
      </c>
      <c r="C112" s="136">
        <v>8.36</v>
      </c>
      <c r="D112" s="135">
        <f t="shared" si="46"/>
        <v>8.36</v>
      </c>
      <c r="E112" s="135">
        <f t="shared" si="46"/>
        <v>8.36</v>
      </c>
      <c r="F112" s="135">
        <f t="shared" si="46"/>
        <v>8.36</v>
      </c>
      <c r="G112" s="135">
        <f t="shared" si="46"/>
        <v>8.36</v>
      </c>
      <c r="H112" s="135">
        <f t="shared" si="46"/>
        <v>8.36</v>
      </c>
      <c r="I112" s="135">
        <f t="shared" si="46"/>
        <v>8.36</v>
      </c>
      <c r="J112" s="135">
        <f t="shared" si="46"/>
        <v>8.36</v>
      </c>
      <c r="K112" s="135">
        <f t="shared" si="46"/>
        <v>8.36</v>
      </c>
      <c r="L112" s="135">
        <f t="shared" si="46"/>
        <v>8.36</v>
      </c>
      <c r="M112" s="135">
        <f t="shared" si="46"/>
        <v>8.36</v>
      </c>
      <c r="N112" s="135">
        <f t="shared" si="46"/>
        <v>8.36</v>
      </c>
      <c r="O112" s="135">
        <f t="shared" si="46"/>
        <v>8.36</v>
      </c>
      <c r="P112" s="135">
        <f t="shared" si="46"/>
        <v>8.36</v>
      </c>
      <c r="Q112" s="135">
        <f t="shared" si="46"/>
        <v>8.36</v>
      </c>
      <c r="R112" s="135">
        <f t="shared" si="46"/>
        <v>8.36</v>
      </c>
      <c r="S112" s="135">
        <f t="shared" si="46"/>
        <v>8.36</v>
      </c>
      <c r="T112" s="135">
        <f t="shared" si="47"/>
        <v>8.36</v>
      </c>
      <c r="U112" s="135">
        <f t="shared" si="47"/>
        <v>8.36</v>
      </c>
      <c r="V112" s="135">
        <f t="shared" si="47"/>
        <v>8.36</v>
      </c>
      <c r="W112" s="135">
        <f t="shared" si="47"/>
        <v>8.36</v>
      </c>
      <c r="X112" s="135">
        <f t="shared" si="47"/>
        <v>8.36</v>
      </c>
      <c r="Y112" s="135">
        <f t="shared" si="47"/>
        <v>8.36</v>
      </c>
      <c r="Z112" s="135">
        <f t="shared" si="47"/>
        <v>8.36</v>
      </c>
      <c r="AA112" s="135">
        <f t="shared" si="47"/>
        <v>8.36</v>
      </c>
      <c r="AB112" s="135">
        <f t="shared" si="47"/>
        <v>8.36</v>
      </c>
      <c r="AC112" s="135">
        <f t="shared" si="47"/>
        <v>8.36</v>
      </c>
      <c r="AD112" s="135">
        <f t="shared" si="47"/>
        <v>8.36</v>
      </c>
      <c r="AE112" s="135">
        <f t="shared" si="47"/>
        <v>8.36</v>
      </c>
      <c r="AF112" s="135">
        <f t="shared" si="47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45"/>
        <v>5.4</v>
      </c>
      <c r="C113" s="136">
        <v>8</v>
      </c>
      <c r="D113" s="135">
        <f t="shared" si="46"/>
        <v>8</v>
      </c>
      <c r="E113" s="135">
        <f t="shared" si="46"/>
        <v>8</v>
      </c>
      <c r="F113" s="135">
        <f t="shared" si="46"/>
        <v>8</v>
      </c>
      <c r="G113" s="135">
        <f t="shared" si="46"/>
        <v>8</v>
      </c>
      <c r="H113" s="135">
        <f t="shared" si="46"/>
        <v>8</v>
      </c>
      <c r="I113" s="135">
        <f t="shared" si="46"/>
        <v>8</v>
      </c>
      <c r="J113" s="135">
        <v>5.4</v>
      </c>
      <c r="K113" s="135">
        <f t="shared" si="46"/>
        <v>5.4</v>
      </c>
      <c r="L113" s="135">
        <f t="shared" si="46"/>
        <v>5.4</v>
      </c>
      <c r="M113" s="135">
        <f t="shared" si="46"/>
        <v>5.4</v>
      </c>
      <c r="N113" s="135">
        <f t="shared" si="46"/>
        <v>5.4</v>
      </c>
      <c r="O113" s="135">
        <f t="shared" si="46"/>
        <v>5.4</v>
      </c>
      <c r="P113" s="135">
        <f t="shared" si="46"/>
        <v>5.4</v>
      </c>
      <c r="Q113" s="135">
        <f t="shared" si="46"/>
        <v>5.4</v>
      </c>
      <c r="R113" s="135">
        <f t="shared" si="46"/>
        <v>5.4</v>
      </c>
      <c r="S113" s="135">
        <f t="shared" si="46"/>
        <v>5.4</v>
      </c>
      <c r="T113" s="135">
        <f t="shared" si="47"/>
        <v>5.4</v>
      </c>
      <c r="U113" s="135">
        <f t="shared" si="47"/>
        <v>5.4</v>
      </c>
      <c r="V113" s="135">
        <f t="shared" si="47"/>
        <v>5.4</v>
      </c>
      <c r="W113" s="135">
        <f t="shared" si="47"/>
        <v>5.4</v>
      </c>
      <c r="X113" s="135">
        <f t="shared" si="47"/>
        <v>5.4</v>
      </c>
      <c r="Y113" s="135">
        <f t="shared" si="47"/>
        <v>5.4</v>
      </c>
      <c r="Z113" s="135">
        <f t="shared" si="47"/>
        <v>5.4</v>
      </c>
      <c r="AA113" s="135">
        <f t="shared" si="47"/>
        <v>5.4</v>
      </c>
      <c r="AB113" s="135">
        <f t="shared" si="47"/>
        <v>5.4</v>
      </c>
      <c r="AC113" s="135">
        <f t="shared" si="47"/>
        <v>5.4</v>
      </c>
      <c r="AD113" s="135">
        <f t="shared" si="47"/>
        <v>5.4</v>
      </c>
      <c r="AE113" s="135">
        <f t="shared" si="47"/>
        <v>5.4</v>
      </c>
      <c r="AF113" s="135">
        <f t="shared" si="47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45"/>
        <v>6.57</v>
      </c>
      <c r="C114" s="136">
        <v>6.57</v>
      </c>
      <c r="D114" s="135">
        <f t="shared" si="46"/>
        <v>6.57</v>
      </c>
      <c r="E114" s="135">
        <f t="shared" si="46"/>
        <v>6.57</v>
      </c>
      <c r="F114" s="135">
        <f t="shared" si="46"/>
        <v>6.57</v>
      </c>
      <c r="G114" s="135">
        <f t="shared" si="46"/>
        <v>6.57</v>
      </c>
      <c r="H114" s="135">
        <f t="shared" si="46"/>
        <v>6.57</v>
      </c>
      <c r="I114" s="135">
        <f t="shared" si="46"/>
        <v>6.57</v>
      </c>
      <c r="J114" s="135">
        <f t="shared" si="46"/>
        <v>6.57</v>
      </c>
      <c r="K114" s="135">
        <f t="shared" si="46"/>
        <v>6.57</v>
      </c>
      <c r="L114" s="135">
        <f t="shared" si="46"/>
        <v>6.57</v>
      </c>
      <c r="M114" s="135">
        <f t="shared" si="46"/>
        <v>6.57</v>
      </c>
      <c r="N114" s="135">
        <f t="shared" si="46"/>
        <v>6.57</v>
      </c>
      <c r="O114" s="135">
        <f t="shared" si="46"/>
        <v>6.57</v>
      </c>
      <c r="P114" s="135">
        <f t="shared" si="46"/>
        <v>6.57</v>
      </c>
      <c r="Q114" s="135">
        <f t="shared" si="46"/>
        <v>6.57</v>
      </c>
      <c r="R114" s="135">
        <f t="shared" si="46"/>
        <v>6.57</v>
      </c>
      <c r="S114" s="135">
        <f t="shared" si="46"/>
        <v>6.57</v>
      </c>
      <c r="T114" s="135">
        <f t="shared" si="47"/>
        <v>6.57</v>
      </c>
      <c r="U114" s="135">
        <f t="shared" si="47"/>
        <v>6.57</v>
      </c>
      <c r="V114" s="135">
        <f t="shared" si="47"/>
        <v>6.57</v>
      </c>
      <c r="W114" s="135">
        <f t="shared" si="47"/>
        <v>6.57</v>
      </c>
      <c r="X114" s="135">
        <f t="shared" si="47"/>
        <v>6.57</v>
      </c>
      <c r="Y114" s="135">
        <f t="shared" si="47"/>
        <v>6.57</v>
      </c>
      <c r="Z114" s="135">
        <f t="shared" si="47"/>
        <v>6.57</v>
      </c>
      <c r="AA114" s="135">
        <f t="shared" si="47"/>
        <v>6.57</v>
      </c>
      <c r="AB114" s="135">
        <f t="shared" si="47"/>
        <v>6.57</v>
      </c>
      <c r="AC114" s="135">
        <f t="shared" si="47"/>
        <v>6.57</v>
      </c>
      <c r="AD114" s="135">
        <f t="shared" si="47"/>
        <v>6.57</v>
      </c>
      <c r="AE114" s="135">
        <f t="shared" si="47"/>
        <v>6.57</v>
      </c>
      <c r="AF114" s="135">
        <f t="shared" si="47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45"/>
        <v>3.43</v>
      </c>
      <c r="C115" s="136">
        <v>3.43</v>
      </c>
      <c r="D115" s="135">
        <f t="shared" si="46"/>
        <v>3.43</v>
      </c>
      <c r="E115" s="135">
        <f t="shared" si="46"/>
        <v>3.43</v>
      </c>
      <c r="F115" s="135">
        <f t="shared" si="46"/>
        <v>3.43</v>
      </c>
      <c r="G115" s="135">
        <f t="shared" si="46"/>
        <v>3.43</v>
      </c>
      <c r="H115" s="135">
        <f t="shared" si="46"/>
        <v>3.43</v>
      </c>
      <c r="I115" s="135">
        <f t="shared" si="46"/>
        <v>3.43</v>
      </c>
      <c r="J115" s="135">
        <f t="shared" si="46"/>
        <v>3.43</v>
      </c>
      <c r="K115" s="135">
        <f t="shared" si="46"/>
        <v>3.43</v>
      </c>
      <c r="L115" s="135">
        <f t="shared" si="46"/>
        <v>3.43</v>
      </c>
      <c r="M115" s="135">
        <f t="shared" si="46"/>
        <v>3.43</v>
      </c>
      <c r="N115" s="135">
        <f t="shared" si="46"/>
        <v>3.43</v>
      </c>
      <c r="O115" s="135">
        <f t="shared" si="46"/>
        <v>3.43</v>
      </c>
      <c r="P115" s="135">
        <f t="shared" si="46"/>
        <v>3.43</v>
      </c>
      <c r="Q115" s="135">
        <f t="shared" si="46"/>
        <v>3.43</v>
      </c>
      <c r="R115" s="135">
        <f t="shared" si="46"/>
        <v>3.43</v>
      </c>
      <c r="S115" s="135">
        <f t="shared" si="46"/>
        <v>3.43</v>
      </c>
      <c r="T115" s="135">
        <f t="shared" si="47"/>
        <v>3.43</v>
      </c>
      <c r="U115" s="135">
        <f t="shared" si="47"/>
        <v>3.43</v>
      </c>
      <c r="V115" s="135">
        <f t="shared" si="47"/>
        <v>3.43</v>
      </c>
      <c r="W115" s="135">
        <f t="shared" si="47"/>
        <v>3.43</v>
      </c>
      <c r="X115" s="135">
        <f t="shared" si="47"/>
        <v>3.43</v>
      </c>
      <c r="Y115" s="135">
        <f t="shared" si="47"/>
        <v>3.43</v>
      </c>
      <c r="Z115" s="135">
        <f t="shared" si="47"/>
        <v>3.43</v>
      </c>
      <c r="AA115" s="135">
        <f t="shared" si="47"/>
        <v>3.43</v>
      </c>
      <c r="AB115" s="135">
        <f t="shared" si="47"/>
        <v>3.43</v>
      </c>
      <c r="AC115" s="135">
        <f t="shared" si="47"/>
        <v>3.43</v>
      </c>
      <c r="AD115" s="135">
        <f t="shared" si="47"/>
        <v>3.43</v>
      </c>
      <c r="AE115" s="135">
        <f t="shared" si="47"/>
        <v>3.43</v>
      </c>
      <c r="AF115" s="135">
        <f t="shared" si="47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45"/>
        <v>2.96</v>
      </c>
      <c r="C116" s="136">
        <v>2.96</v>
      </c>
      <c r="D116" s="135">
        <f t="shared" si="46"/>
        <v>2.96</v>
      </c>
      <c r="E116" s="135">
        <f t="shared" si="46"/>
        <v>2.96</v>
      </c>
      <c r="F116" s="135">
        <f t="shared" si="46"/>
        <v>2.96</v>
      </c>
      <c r="G116" s="135">
        <f t="shared" si="46"/>
        <v>2.96</v>
      </c>
      <c r="H116" s="135">
        <f t="shared" si="46"/>
        <v>2.96</v>
      </c>
      <c r="I116" s="135">
        <f t="shared" si="46"/>
        <v>2.96</v>
      </c>
      <c r="J116" s="135">
        <f t="shared" si="46"/>
        <v>2.96</v>
      </c>
      <c r="K116" s="135">
        <f t="shared" si="46"/>
        <v>2.96</v>
      </c>
      <c r="L116" s="135">
        <f t="shared" si="46"/>
        <v>2.96</v>
      </c>
      <c r="M116" s="135">
        <f t="shared" si="46"/>
        <v>2.96</v>
      </c>
      <c r="N116" s="135">
        <f t="shared" si="46"/>
        <v>2.96</v>
      </c>
      <c r="O116" s="135">
        <f t="shared" si="46"/>
        <v>2.96</v>
      </c>
      <c r="P116" s="135">
        <f t="shared" si="46"/>
        <v>2.96</v>
      </c>
      <c r="Q116" s="135">
        <f t="shared" si="46"/>
        <v>2.96</v>
      </c>
      <c r="R116" s="135">
        <f t="shared" si="46"/>
        <v>2.96</v>
      </c>
      <c r="S116" s="135">
        <f t="shared" si="46"/>
        <v>2.96</v>
      </c>
      <c r="T116" s="135">
        <f t="shared" si="47"/>
        <v>2.96</v>
      </c>
      <c r="U116" s="135">
        <f t="shared" si="47"/>
        <v>2.96</v>
      </c>
      <c r="V116" s="135">
        <f t="shared" si="47"/>
        <v>2.96</v>
      </c>
      <c r="W116" s="135">
        <f t="shared" si="47"/>
        <v>2.96</v>
      </c>
      <c r="X116" s="135">
        <f t="shared" si="47"/>
        <v>2.96</v>
      </c>
      <c r="Y116" s="135">
        <f t="shared" si="47"/>
        <v>2.96</v>
      </c>
      <c r="Z116" s="135">
        <f t="shared" si="47"/>
        <v>2.96</v>
      </c>
      <c r="AA116" s="135">
        <f t="shared" si="47"/>
        <v>2.96</v>
      </c>
      <c r="AB116" s="135">
        <f t="shared" si="47"/>
        <v>2.96</v>
      </c>
      <c r="AC116" s="135">
        <f t="shared" si="47"/>
        <v>2.96</v>
      </c>
      <c r="AD116" s="135">
        <f t="shared" si="47"/>
        <v>2.96</v>
      </c>
      <c r="AE116" s="135">
        <f t="shared" si="47"/>
        <v>2.96</v>
      </c>
      <c r="AF116" s="135">
        <f t="shared" si="47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45"/>
        <v>8</v>
      </c>
      <c r="C117" s="136">
        <v>8</v>
      </c>
      <c r="D117" s="135">
        <f t="shared" si="46"/>
        <v>8</v>
      </c>
      <c r="E117" s="135">
        <f t="shared" si="46"/>
        <v>8</v>
      </c>
      <c r="F117" s="135">
        <f t="shared" si="46"/>
        <v>8</v>
      </c>
      <c r="G117" s="135">
        <f t="shared" si="46"/>
        <v>8</v>
      </c>
      <c r="H117" s="135">
        <f t="shared" si="46"/>
        <v>8</v>
      </c>
      <c r="I117" s="135">
        <f t="shared" si="46"/>
        <v>8</v>
      </c>
      <c r="J117" s="135">
        <f t="shared" si="46"/>
        <v>8</v>
      </c>
      <c r="K117" s="135">
        <f t="shared" si="46"/>
        <v>8</v>
      </c>
      <c r="L117" s="135">
        <f t="shared" si="46"/>
        <v>8</v>
      </c>
      <c r="M117" s="135">
        <f t="shared" si="46"/>
        <v>8</v>
      </c>
      <c r="N117" s="135">
        <f t="shared" si="46"/>
        <v>8</v>
      </c>
      <c r="O117" s="135">
        <f t="shared" si="46"/>
        <v>8</v>
      </c>
      <c r="P117" s="135">
        <f t="shared" si="46"/>
        <v>8</v>
      </c>
      <c r="Q117" s="135">
        <f t="shared" si="46"/>
        <v>8</v>
      </c>
      <c r="R117" s="135">
        <f t="shared" si="46"/>
        <v>8</v>
      </c>
      <c r="S117" s="135">
        <f t="shared" si="46"/>
        <v>8</v>
      </c>
      <c r="T117" s="135">
        <f t="shared" si="47"/>
        <v>8</v>
      </c>
      <c r="U117" s="135">
        <f t="shared" si="47"/>
        <v>8</v>
      </c>
      <c r="V117" s="135">
        <f t="shared" si="47"/>
        <v>8</v>
      </c>
      <c r="W117" s="135">
        <f t="shared" si="47"/>
        <v>8</v>
      </c>
      <c r="X117" s="135">
        <f t="shared" si="47"/>
        <v>8</v>
      </c>
      <c r="Y117" s="135">
        <f t="shared" si="47"/>
        <v>8</v>
      </c>
      <c r="Z117" s="135">
        <f t="shared" si="47"/>
        <v>8</v>
      </c>
      <c r="AA117" s="135">
        <f t="shared" si="47"/>
        <v>8</v>
      </c>
      <c r="AB117" s="135">
        <f t="shared" si="47"/>
        <v>8</v>
      </c>
      <c r="AC117" s="135">
        <f t="shared" si="47"/>
        <v>8</v>
      </c>
      <c r="AD117" s="135">
        <f t="shared" si="47"/>
        <v>8</v>
      </c>
      <c r="AE117" s="135">
        <f t="shared" si="47"/>
        <v>8</v>
      </c>
      <c r="AF117" s="135">
        <f t="shared" si="47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45"/>
        <v>7</v>
      </c>
      <c r="C118" s="136">
        <v>7</v>
      </c>
      <c r="D118" s="135">
        <f>C118</f>
        <v>7</v>
      </c>
      <c r="E118" s="135">
        <f t="shared" si="46"/>
        <v>7</v>
      </c>
      <c r="F118" s="135">
        <f t="shared" si="46"/>
        <v>7</v>
      </c>
      <c r="G118" s="135">
        <f t="shared" si="46"/>
        <v>7</v>
      </c>
      <c r="H118" s="135">
        <f t="shared" si="46"/>
        <v>7</v>
      </c>
      <c r="I118" s="135">
        <f t="shared" si="46"/>
        <v>7</v>
      </c>
      <c r="J118" s="135">
        <f t="shared" si="46"/>
        <v>7</v>
      </c>
      <c r="K118" s="135">
        <f t="shared" si="46"/>
        <v>7</v>
      </c>
      <c r="L118" s="135">
        <f t="shared" si="46"/>
        <v>7</v>
      </c>
      <c r="M118" s="135">
        <f t="shared" si="46"/>
        <v>7</v>
      </c>
      <c r="N118" s="135">
        <f t="shared" si="46"/>
        <v>7</v>
      </c>
      <c r="O118" s="135">
        <f t="shared" si="46"/>
        <v>7</v>
      </c>
      <c r="P118" s="135">
        <f t="shared" si="46"/>
        <v>7</v>
      </c>
      <c r="Q118" s="135">
        <f t="shared" si="46"/>
        <v>7</v>
      </c>
      <c r="R118" s="135">
        <f t="shared" si="46"/>
        <v>7</v>
      </c>
      <c r="S118" s="135">
        <f t="shared" si="46"/>
        <v>7</v>
      </c>
      <c r="T118" s="135">
        <f t="shared" si="47"/>
        <v>7</v>
      </c>
      <c r="U118" s="135">
        <f t="shared" si="47"/>
        <v>7</v>
      </c>
      <c r="V118" s="135">
        <f t="shared" si="47"/>
        <v>7</v>
      </c>
      <c r="W118" s="135">
        <f t="shared" si="47"/>
        <v>7</v>
      </c>
      <c r="X118" s="135">
        <f t="shared" si="47"/>
        <v>7</v>
      </c>
      <c r="Y118" s="135">
        <f t="shared" si="47"/>
        <v>7</v>
      </c>
      <c r="Z118" s="135">
        <f t="shared" si="47"/>
        <v>7</v>
      </c>
      <c r="AA118" s="135">
        <f t="shared" si="47"/>
        <v>7</v>
      </c>
      <c r="AB118" s="135">
        <f t="shared" si="47"/>
        <v>7</v>
      </c>
      <c r="AC118" s="135">
        <f t="shared" si="47"/>
        <v>7</v>
      </c>
      <c r="AD118" s="135">
        <f t="shared" si="47"/>
        <v>7</v>
      </c>
      <c r="AE118" s="135">
        <f t="shared" si="47"/>
        <v>7</v>
      </c>
      <c r="AF118" s="135">
        <f t="shared" si="47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45"/>
        <v>3.47</v>
      </c>
      <c r="C119" s="136">
        <v>3.47</v>
      </c>
      <c r="D119" s="135">
        <f t="shared" ref="D119:S128" si="48">C119</f>
        <v>3.47</v>
      </c>
      <c r="E119" s="135">
        <f t="shared" si="48"/>
        <v>3.47</v>
      </c>
      <c r="F119" s="135">
        <f t="shared" si="48"/>
        <v>3.47</v>
      </c>
      <c r="G119" s="135">
        <f t="shared" si="48"/>
        <v>3.47</v>
      </c>
      <c r="H119" s="135">
        <f t="shared" si="48"/>
        <v>3.47</v>
      </c>
      <c r="I119" s="135">
        <f t="shared" si="48"/>
        <v>3.47</v>
      </c>
      <c r="J119" s="135">
        <f t="shared" si="48"/>
        <v>3.47</v>
      </c>
      <c r="K119" s="135">
        <f t="shared" si="48"/>
        <v>3.47</v>
      </c>
      <c r="L119" s="135">
        <f t="shared" si="48"/>
        <v>3.47</v>
      </c>
      <c r="M119" s="135">
        <f t="shared" si="48"/>
        <v>3.47</v>
      </c>
      <c r="N119" s="135">
        <f t="shared" si="48"/>
        <v>3.47</v>
      </c>
      <c r="O119" s="135">
        <f t="shared" si="48"/>
        <v>3.47</v>
      </c>
      <c r="P119" s="135">
        <f t="shared" si="48"/>
        <v>3.47</v>
      </c>
      <c r="Q119" s="135">
        <f t="shared" si="48"/>
        <v>3.47</v>
      </c>
      <c r="R119" s="135">
        <f t="shared" si="48"/>
        <v>3.47</v>
      </c>
      <c r="S119" s="135">
        <f t="shared" si="48"/>
        <v>3.47</v>
      </c>
      <c r="T119" s="135">
        <f t="shared" si="47"/>
        <v>3.47</v>
      </c>
      <c r="U119" s="135">
        <f t="shared" si="47"/>
        <v>3.47</v>
      </c>
      <c r="V119" s="135">
        <f t="shared" si="47"/>
        <v>3.47</v>
      </c>
      <c r="W119" s="135">
        <f t="shared" si="47"/>
        <v>3.47</v>
      </c>
      <c r="X119" s="135">
        <f t="shared" si="47"/>
        <v>3.47</v>
      </c>
      <c r="Y119" s="135">
        <f t="shared" si="47"/>
        <v>3.47</v>
      </c>
      <c r="Z119" s="135">
        <f t="shared" si="47"/>
        <v>3.47</v>
      </c>
      <c r="AA119" s="135">
        <f t="shared" si="47"/>
        <v>3.47</v>
      </c>
      <c r="AB119" s="135">
        <f t="shared" si="47"/>
        <v>3.47</v>
      </c>
      <c r="AC119" s="135">
        <f t="shared" si="47"/>
        <v>3.47</v>
      </c>
      <c r="AD119" s="135">
        <f t="shared" si="47"/>
        <v>3.47</v>
      </c>
      <c r="AE119" s="135">
        <f t="shared" si="47"/>
        <v>3.47</v>
      </c>
      <c r="AF119" s="135">
        <f t="shared" si="47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45"/>
        <v>2.1</v>
      </c>
      <c r="C120" s="136">
        <v>2.1</v>
      </c>
      <c r="D120" s="135">
        <f t="shared" si="48"/>
        <v>2.1</v>
      </c>
      <c r="E120" s="135">
        <f t="shared" si="48"/>
        <v>2.1</v>
      </c>
      <c r="F120" s="135">
        <f t="shared" si="48"/>
        <v>2.1</v>
      </c>
      <c r="G120" s="135">
        <f t="shared" si="48"/>
        <v>2.1</v>
      </c>
      <c r="H120" s="135">
        <f t="shared" si="48"/>
        <v>2.1</v>
      </c>
      <c r="I120" s="135">
        <f t="shared" si="48"/>
        <v>2.1</v>
      </c>
      <c r="J120" s="135">
        <f t="shared" si="48"/>
        <v>2.1</v>
      </c>
      <c r="K120" s="135">
        <f t="shared" si="48"/>
        <v>2.1</v>
      </c>
      <c r="L120" s="135">
        <f t="shared" si="48"/>
        <v>2.1</v>
      </c>
      <c r="M120" s="135">
        <f t="shared" si="48"/>
        <v>2.1</v>
      </c>
      <c r="N120" s="135">
        <f t="shared" si="48"/>
        <v>2.1</v>
      </c>
      <c r="O120" s="135">
        <f t="shared" si="48"/>
        <v>2.1</v>
      </c>
      <c r="P120" s="135">
        <f t="shared" si="48"/>
        <v>2.1</v>
      </c>
      <c r="Q120" s="135">
        <f t="shared" si="48"/>
        <v>2.1</v>
      </c>
      <c r="R120" s="135">
        <f t="shared" si="48"/>
        <v>2.1</v>
      </c>
      <c r="S120" s="135">
        <f t="shared" si="48"/>
        <v>2.1</v>
      </c>
      <c r="T120" s="135">
        <f t="shared" si="47"/>
        <v>2.1</v>
      </c>
      <c r="U120" s="135">
        <f t="shared" si="47"/>
        <v>2.1</v>
      </c>
      <c r="V120" s="135">
        <f t="shared" si="47"/>
        <v>2.1</v>
      </c>
      <c r="W120" s="135">
        <f t="shared" si="47"/>
        <v>2.1</v>
      </c>
      <c r="X120" s="135">
        <f t="shared" si="47"/>
        <v>2.1</v>
      </c>
      <c r="Y120" s="135">
        <f t="shared" si="47"/>
        <v>2.1</v>
      </c>
      <c r="Z120" s="135">
        <f t="shared" si="47"/>
        <v>2.1</v>
      </c>
      <c r="AA120" s="135">
        <f t="shared" si="47"/>
        <v>2.1</v>
      </c>
      <c r="AB120" s="135">
        <f t="shared" si="47"/>
        <v>2.1</v>
      </c>
      <c r="AC120" s="135">
        <f t="shared" si="47"/>
        <v>2.1</v>
      </c>
      <c r="AD120" s="135">
        <f t="shared" si="47"/>
        <v>2.1</v>
      </c>
      <c r="AE120" s="135">
        <f t="shared" si="47"/>
        <v>2.1</v>
      </c>
      <c r="AF120" s="135">
        <f t="shared" si="47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45"/>
        <v>9.3000000000000007</v>
      </c>
      <c r="C121" s="136">
        <v>9.3000000000000007</v>
      </c>
      <c r="D121" s="135">
        <f t="shared" si="48"/>
        <v>9.3000000000000007</v>
      </c>
      <c r="E121" s="135">
        <f t="shared" si="48"/>
        <v>9.3000000000000007</v>
      </c>
      <c r="F121" s="135">
        <f t="shared" si="48"/>
        <v>9.3000000000000007</v>
      </c>
      <c r="G121" s="135">
        <f t="shared" si="48"/>
        <v>9.3000000000000007</v>
      </c>
      <c r="H121" s="135">
        <f t="shared" si="48"/>
        <v>9.3000000000000007</v>
      </c>
      <c r="I121" s="135">
        <f t="shared" si="48"/>
        <v>9.3000000000000007</v>
      </c>
      <c r="J121" s="135">
        <f t="shared" si="48"/>
        <v>9.3000000000000007</v>
      </c>
      <c r="K121" s="135">
        <f t="shared" si="48"/>
        <v>9.3000000000000007</v>
      </c>
      <c r="L121" s="135">
        <f t="shared" si="48"/>
        <v>9.3000000000000007</v>
      </c>
      <c r="M121" s="135">
        <f t="shared" si="48"/>
        <v>9.3000000000000007</v>
      </c>
      <c r="N121" s="135">
        <f t="shared" si="48"/>
        <v>9.3000000000000007</v>
      </c>
      <c r="O121" s="135">
        <f t="shared" si="48"/>
        <v>9.3000000000000007</v>
      </c>
      <c r="P121" s="135">
        <f t="shared" si="48"/>
        <v>9.3000000000000007</v>
      </c>
      <c r="Q121" s="135">
        <f t="shared" si="48"/>
        <v>9.3000000000000007</v>
      </c>
      <c r="R121" s="135">
        <f t="shared" si="48"/>
        <v>9.3000000000000007</v>
      </c>
      <c r="S121" s="135">
        <f t="shared" si="48"/>
        <v>9.3000000000000007</v>
      </c>
      <c r="T121" s="135">
        <f t="shared" si="47"/>
        <v>9.3000000000000007</v>
      </c>
      <c r="U121" s="135">
        <f t="shared" si="47"/>
        <v>9.3000000000000007</v>
      </c>
      <c r="V121" s="135">
        <f t="shared" si="47"/>
        <v>9.3000000000000007</v>
      </c>
      <c r="W121" s="135">
        <f t="shared" si="47"/>
        <v>9.3000000000000007</v>
      </c>
      <c r="X121" s="135">
        <f t="shared" si="47"/>
        <v>9.3000000000000007</v>
      </c>
      <c r="Y121" s="135">
        <f t="shared" si="47"/>
        <v>9.3000000000000007</v>
      </c>
      <c r="Z121" s="135">
        <f t="shared" si="47"/>
        <v>9.3000000000000007</v>
      </c>
      <c r="AA121" s="135">
        <f t="shared" si="47"/>
        <v>9.3000000000000007</v>
      </c>
      <c r="AB121" s="135">
        <f t="shared" si="47"/>
        <v>9.3000000000000007</v>
      </c>
      <c r="AC121" s="135">
        <f t="shared" si="47"/>
        <v>9.3000000000000007</v>
      </c>
      <c r="AD121" s="135">
        <f t="shared" si="47"/>
        <v>9.3000000000000007</v>
      </c>
      <c r="AE121" s="135">
        <f t="shared" si="47"/>
        <v>9.3000000000000007</v>
      </c>
      <c r="AF121" s="135">
        <f t="shared" si="47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45"/>
        <v>0</v>
      </c>
      <c r="C122" s="136">
        <v>0</v>
      </c>
      <c r="D122" s="135">
        <f t="shared" si="48"/>
        <v>0</v>
      </c>
      <c r="E122" s="135">
        <f t="shared" si="48"/>
        <v>0</v>
      </c>
      <c r="F122" s="135">
        <f t="shared" si="48"/>
        <v>0</v>
      </c>
      <c r="G122" s="135">
        <f t="shared" si="48"/>
        <v>0</v>
      </c>
      <c r="H122" s="135">
        <f t="shared" si="48"/>
        <v>0</v>
      </c>
      <c r="I122" s="135">
        <f t="shared" si="48"/>
        <v>0</v>
      </c>
      <c r="J122" s="135">
        <f t="shared" si="48"/>
        <v>0</v>
      </c>
      <c r="K122" s="135">
        <f t="shared" si="48"/>
        <v>0</v>
      </c>
      <c r="L122" s="135">
        <f t="shared" si="48"/>
        <v>0</v>
      </c>
      <c r="M122" s="135">
        <f t="shared" si="48"/>
        <v>0</v>
      </c>
      <c r="N122" s="135">
        <f t="shared" si="48"/>
        <v>0</v>
      </c>
      <c r="O122" s="135">
        <f t="shared" si="48"/>
        <v>0</v>
      </c>
      <c r="P122" s="135">
        <f t="shared" si="48"/>
        <v>0</v>
      </c>
      <c r="Q122" s="135">
        <f t="shared" si="48"/>
        <v>0</v>
      </c>
      <c r="R122" s="135">
        <f t="shared" si="48"/>
        <v>0</v>
      </c>
      <c r="S122" s="135">
        <f t="shared" si="48"/>
        <v>0</v>
      </c>
      <c r="T122" s="135">
        <f t="shared" si="47"/>
        <v>0</v>
      </c>
      <c r="U122" s="135">
        <f t="shared" si="47"/>
        <v>0</v>
      </c>
      <c r="V122" s="135">
        <f t="shared" si="47"/>
        <v>0</v>
      </c>
      <c r="W122" s="135">
        <f t="shared" si="47"/>
        <v>0</v>
      </c>
      <c r="X122" s="135">
        <f t="shared" si="47"/>
        <v>0</v>
      </c>
      <c r="Y122" s="135">
        <f t="shared" si="47"/>
        <v>0</v>
      </c>
      <c r="Z122" s="135">
        <f t="shared" si="47"/>
        <v>0</v>
      </c>
      <c r="AA122" s="135">
        <f t="shared" si="47"/>
        <v>0</v>
      </c>
      <c r="AB122" s="135">
        <f t="shared" si="47"/>
        <v>0</v>
      </c>
      <c r="AC122" s="135">
        <f t="shared" si="47"/>
        <v>0</v>
      </c>
      <c r="AD122" s="135">
        <f t="shared" si="47"/>
        <v>0</v>
      </c>
      <c r="AE122" s="135">
        <f t="shared" si="47"/>
        <v>0</v>
      </c>
      <c r="AF122" s="135">
        <f t="shared" si="47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45"/>
        <v>0</v>
      </c>
      <c r="C123" s="136">
        <v>0</v>
      </c>
      <c r="D123" s="135">
        <f t="shared" si="48"/>
        <v>0</v>
      </c>
      <c r="E123" s="135">
        <f t="shared" si="48"/>
        <v>0</v>
      </c>
      <c r="F123" s="135">
        <f t="shared" si="48"/>
        <v>0</v>
      </c>
      <c r="G123" s="135">
        <f t="shared" si="48"/>
        <v>0</v>
      </c>
      <c r="H123" s="135">
        <f t="shared" si="48"/>
        <v>0</v>
      </c>
      <c r="I123" s="135">
        <f t="shared" si="48"/>
        <v>0</v>
      </c>
      <c r="J123" s="135">
        <f t="shared" si="48"/>
        <v>0</v>
      </c>
      <c r="K123" s="135">
        <f t="shared" si="48"/>
        <v>0</v>
      </c>
      <c r="L123" s="135">
        <f t="shared" si="48"/>
        <v>0</v>
      </c>
      <c r="M123" s="135">
        <f t="shared" si="48"/>
        <v>0</v>
      </c>
      <c r="N123" s="135">
        <f t="shared" si="48"/>
        <v>0</v>
      </c>
      <c r="O123" s="135">
        <f t="shared" si="48"/>
        <v>0</v>
      </c>
      <c r="P123" s="135">
        <f t="shared" si="48"/>
        <v>0</v>
      </c>
      <c r="Q123" s="135">
        <f t="shared" si="48"/>
        <v>0</v>
      </c>
      <c r="R123" s="135">
        <f t="shared" si="48"/>
        <v>0</v>
      </c>
      <c r="S123" s="135">
        <f t="shared" si="48"/>
        <v>0</v>
      </c>
      <c r="T123" s="135">
        <f t="shared" si="47"/>
        <v>0</v>
      </c>
      <c r="U123" s="135">
        <f t="shared" si="47"/>
        <v>0</v>
      </c>
      <c r="V123" s="135">
        <f t="shared" si="47"/>
        <v>0</v>
      </c>
      <c r="W123" s="135">
        <f t="shared" si="47"/>
        <v>0</v>
      </c>
      <c r="X123" s="135">
        <f t="shared" si="47"/>
        <v>0</v>
      </c>
      <c r="Y123" s="135">
        <f t="shared" si="47"/>
        <v>0</v>
      </c>
      <c r="Z123" s="135">
        <f t="shared" si="47"/>
        <v>0</v>
      </c>
      <c r="AA123" s="135">
        <f t="shared" si="47"/>
        <v>0</v>
      </c>
      <c r="AB123" s="135">
        <f t="shared" si="47"/>
        <v>0</v>
      </c>
      <c r="AC123" s="135">
        <f t="shared" si="47"/>
        <v>0</v>
      </c>
      <c r="AD123" s="135">
        <f t="shared" si="47"/>
        <v>0</v>
      </c>
      <c r="AE123" s="135">
        <f t="shared" si="47"/>
        <v>0</v>
      </c>
      <c r="AF123" s="135">
        <f t="shared" si="47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45"/>
        <v>5</v>
      </c>
      <c r="C124" s="136">
        <v>5</v>
      </c>
      <c r="D124" s="135">
        <f t="shared" si="48"/>
        <v>5</v>
      </c>
      <c r="E124" s="135">
        <f t="shared" si="48"/>
        <v>5</v>
      </c>
      <c r="F124" s="135">
        <f t="shared" si="48"/>
        <v>5</v>
      </c>
      <c r="G124" s="135">
        <f t="shared" si="48"/>
        <v>5</v>
      </c>
      <c r="H124" s="135">
        <f t="shared" si="48"/>
        <v>5</v>
      </c>
      <c r="I124" s="135">
        <f t="shared" si="48"/>
        <v>5</v>
      </c>
      <c r="J124" s="135">
        <f t="shared" si="48"/>
        <v>5</v>
      </c>
      <c r="K124" s="135">
        <f t="shared" si="48"/>
        <v>5</v>
      </c>
      <c r="L124" s="135">
        <f t="shared" si="48"/>
        <v>5</v>
      </c>
      <c r="M124" s="135">
        <f t="shared" si="48"/>
        <v>5</v>
      </c>
      <c r="N124" s="135">
        <f t="shared" si="48"/>
        <v>5</v>
      </c>
      <c r="O124" s="135">
        <f t="shared" si="48"/>
        <v>5</v>
      </c>
      <c r="P124" s="135">
        <f t="shared" si="48"/>
        <v>5</v>
      </c>
      <c r="Q124" s="135">
        <f t="shared" si="48"/>
        <v>5</v>
      </c>
      <c r="R124" s="135">
        <f t="shared" si="48"/>
        <v>5</v>
      </c>
      <c r="S124" s="135">
        <f t="shared" si="48"/>
        <v>5</v>
      </c>
      <c r="T124" s="135">
        <f t="shared" si="47"/>
        <v>5</v>
      </c>
      <c r="U124" s="135">
        <f t="shared" si="47"/>
        <v>5</v>
      </c>
      <c r="V124" s="135">
        <f t="shared" si="47"/>
        <v>5</v>
      </c>
      <c r="W124" s="135">
        <f t="shared" si="47"/>
        <v>5</v>
      </c>
      <c r="X124" s="135">
        <f t="shared" si="47"/>
        <v>5</v>
      </c>
      <c r="Y124" s="135">
        <f t="shared" si="47"/>
        <v>5</v>
      </c>
      <c r="Z124" s="135">
        <f t="shared" si="47"/>
        <v>5</v>
      </c>
      <c r="AA124" s="135">
        <f t="shared" si="47"/>
        <v>5</v>
      </c>
      <c r="AB124" s="135">
        <f t="shared" si="47"/>
        <v>5</v>
      </c>
      <c r="AC124" s="135">
        <f t="shared" si="47"/>
        <v>5</v>
      </c>
      <c r="AD124" s="135">
        <f t="shared" si="47"/>
        <v>5</v>
      </c>
      <c r="AE124" s="135">
        <f t="shared" si="47"/>
        <v>5</v>
      </c>
      <c r="AF124" s="135">
        <f t="shared" si="47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45"/>
        <v>1</v>
      </c>
      <c r="C125" s="136">
        <v>1</v>
      </c>
      <c r="D125" s="135">
        <f t="shared" si="48"/>
        <v>1</v>
      </c>
      <c r="E125" s="135">
        <f t="shared" si="48"/>
        <v>1</v>
      </c>
      <c r="F125" s="135">
        <f t="shared" si="48"/>
        <v>1</v>
      </c>
      <c r="G125" s="135">
        <f t="shared" si="48"/>
        <v>1</v>
      </c>
      <c r="H125" s="135">
        <f t="shared" si="48"/>
        <v>1</v>
      </c>
      <c r="I125" s="135">
        <f t="shared" si="48"/>
        <v>1</v>
      </c>
      <c r="J125" s="135">
        <f t="shared" si="48"/>
        <v>1</v>
      </c>
      <c r="K125" s="135">
        <f t="shared" si="48"/>
        <v>1</v>
      </c>
      <c r="L125" s="135">
        <f t="shared" si="48"/>
        <v>1</v>
      </c>
      <c r="M125" s="135">
        <f t="shared" si="48"/>
        <v>1</v>
      </c>
      <c r="N125" s="135">
        <f t="shared" si="48"/>
        <v>1</v>
      </c>
      <c r="O125" s="135">
        <f t="shared" si="48"/>
        <v>1</v>
      </c>
      <c r="P125" s="135">
        <f t="shared" si="48"/>
        <v>1</v>
      </c>
      <c r="Q125" s="135">
        <f t="shared" si="48"/>
        <v>1</v>
      </c>
      <c r="R125" s="135">
        <f t="shared" si="48"/>
        <v>1</v>
      </c>
      <c r="S125" s="135">
        <f t="shared" si="48"/>
        <v>1</v>
      </c>
      <c r="T125" s="135">
        <f t="shared" si="47"/>
        <v>1</v>
      </c>
      <c r="U125" s="135">
        <f t="shared" si="47"/>
        <v>1</v>
      </c>
      <c r="V125" s="135">
        <f t="shared" si="47"/>
        <v>1</v>
      </c>
      <c r="W125" s="135">
        <f t="shared" si="47"/>
        <v>1</v>
      </c>
      <c r="X125" s="135">
        <f t="shared" si="47"/>
        <v>1</v>
      </c>
      <c r="Y125" s="135">
        <f t="shared" si="47"/>
        <v>1</v>
      </c>
      <c r="Z125" s="135">
        <f t="shared" si="47"/>
        <v>1</v>
      </c>
      <c r="AA125" s="135">
        <f t="shared" si="47"/>
        <v>1</v>
      </c>
      <c r="AB125" s="135">
        <f t="shared" si="47"/>
        <v>1</v>
      </c>
      <c r="AC125" s="135">
        <f t="shared" si="47"/>
        <v>1</v>
      </c>
      <c r="AD125" s="135">
        <f t="shared" si="47"/>
        <v>1</v>
      </c>
      <c r="AE125" s="135">
        <f t="shared" si="47"/>
        <v>1</v>
      </c>
      <c r="AF125" s="135">
        <f t="shared" si="47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45"/>
        <v>1.58</v>
      </c>
      <c r="C126" s="136">
        <v>1.58</v>
      </c>
      <c r="D126" s="135">
        <f t="shared" si="48"/>
        <v>1.58</v>
      </c>
      <c r="E126" s="135">
        <f t="shared" si="48"/>
        <v>1.58</v>
      </c>
      <c r="F126" s="135">
        <f t="shared" si="48"/>
        <v>1.58</v>
      </c>
      <c r="G126" s="135">
        <f t="shared" si="48"/>
        <v>1.58</v>
      </c>
      <c r="H126" s="135">
        <f t="shared" si="48"/>
        <v>1.58</v>
      </c>
      <c r="I126" s="135">
        <f t="shared" si="48"/>
        <v>1.58</v>
      </c>
      <c r="J126" s="135">
        <f t="shared" si="48"/>
        <v>1.58</v>
      </c>
      <c r="K126" s="135">
        <f t="shared" si="48"/>
        <v>1.58</v>
      </c>
      <c r="L126" s="135">
        <f t="shared" si="48"/>
        <v>1.58</v>
      </c>
      <c r="M126" s="135">
        <f t="shared" si="48"/>
        <v>1.58</v>
      </c>
      <c r="N126" s="135">
        <f t="shared" si="48"/>
        <v>1.58</v>
      </c>
      <c r="O126" s="135">
        <f t="shared" si="48"/>
        <v>1.58</v>
      </c>
      <c r="P126" s="135">
        <f t="shared" si="48"/>
        <v>1.58</v>
      </c>
      <c r="Q126" s="135">
        <f t="shared" si="48"/>
        <v>1.58</v>
      </c>
      <c r="R126" s="135">
        <f t="shared" si="48"/>
        <v>1.58</v>
      </c>
      <c r="S126" s="135">
        <f t="shared" si="48"/>
        <v>1.58</v>
      </c>
      <c r="T126" s="135">
        <f t="shared" si="47"/>
        <v>1.58</v>
      </c>
      <c r="U126" s="135">
        <f t="shared" si="47"/>
        <v>1.58</v>
      </c>
      <c r="V126" s="135">
        <f t="shared" si="47"/>
        <v>1.58</v>
      </c>
      <c r="W126" s="135">
        <f t="shared" si="47"/>
        <v>1.58</v>
      </c>
      <c r="X126" s="135">
        <f t="shared" si="47"/>
        <v>1.58</v>
      </c>
      <c r="Y126" s="135">
        <f t="shared" si="47"/>
        <v>1.58</v>
      </c>
      <c r="Z126" s="135">
        <f t="shared" si="47"/>
        <v>1.58</v>
      </c>
      <c r="AA126" s="135">
        <f t="shared" si="47"/>
        <v>1.58</v>
      </c>
      <c r="AB126" s="135">
        <f t="shared" si="47"/>
        <v>1.58</v>
      </c>
      <c r="AC126" s="135">
        <f t="shared" si="47"/>
        <v>1.58</v>
      </c>
      <c r="AD126" s="135">
        <f t="shared" si="47"/>
        <v>1.58</v>
      </c>
      <c r="AE126" s="135">
        <f t="shared" si="47"/>
        <v>1.58</v>
      </c>
      <c r="AF126" s="135">
        <f t="shared" si="47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45"/>
        <v>1.46</v>
      </c>
      <c r="C127" s="136">
        <v>1.46</v>
      </c>
      <c r="D127" s="135">
        <f t="shared" si="48"/>
        <v>1.46</v>
      </c>
      <c r="E127" s="135">
        <f t="shared" si="48"/>
        <v>1.46</v>
      </c>
      <c r="F127" s="135">
        <f t="shared" si="48"/>
        <v>1.46</v>
      </c>
      <c r="G127" s="135">
        <f t="shared" si="48"/>
        <v>1.46</v>
      </c>
      <c r="H127" s="135">
        <f t="shared" si="48"/>
        <v>1.46</v>
      </c>
      <c r="I127" s="135">
        <f t="shared" si="48"/>
        <v>1.46</v>
      </c>
      <c r="J127" s="135">
        <f t="shared" si="48"/>
        <v>1.46</v>
      </c>
      <c r="K127" s="135">
        <f t="shared" si="48"/>
        <v>1.46</v>
      </c>
      <c r="L127" s="135">
        <f t="shared" si="48"/>
        <v>1.46</v>
      </c>
      <c r="M127" s="135">
        <f t="shared" si="48"/>
        <v>1.46</v>
      </c>
      <c r="N127" s="135">
        <f t="shared" si="48"/>
        <v>1.46</v>
      </c>
      <c r="O127" s="135">
        <f t="shared" si="48"/>
        <v>1.46</v>
      </c>
      <c r="P127" s="135">
        <f t="shared" si="48"/>
        <v>1.46</v>
      </c>
      <c r="Q127" s="135">
        <f t="shared" si="48"/>
        <v>1.46</v>
      </c>
      <c r="R127" s="135">
        <f t="shared" si="48"/>
        <v>1.46</v>
      </c>
      <c r="S127" s="135">
        <f t="shared" si="48"/>
        <v>1.46</v>
      </c>
      <c r="T127" s="135">
        <f t="shared" ref="T127:AF128" si="49">S127</f>
        <v>1.46</v>
      </c>
      <c r="U127" s="135">
        <f t="shared" si="49"/>
        <v>1.46</v>
      </c>
      <c r="V127" s="135">
        <f t="shared" si="49"/>
        <v>1.46</v>
      </c>
      <c r="W127" s="135">
        <f t="shared" si="49"/>
        <v>1.46</v>
      </c>
      <c r="X127" s="135">
        <f t="shared" si="49"/>
        <v>1.46</v>
      </c>
      <c r="Y127" s="135">
        <f t="shared" si="49"/>
        <v>1.46</v>
      </c>
      <c r="Z127" s="135">
        <f t="shared" si="49"/>
        <v>1.46</v>
      </c>
      <c r="AA127" s="135">
        <f t="shared" si="49"/>
        <v>1.46</v>
      </c>
      <c r="AB127" s="135">
        <f t="shared" si="49"/>
        <v>1.46</v>
      </c>
      <c r="AC127" s="135">
        <f t="shared" si="49"/>
        <v>1.46</v>
      </c>
      <c r="AD127" s="135">
        <f t="shared" si="49"/>
        <v>1.46</v>
      </c>
      <c r="AE127" s="135">
        <f t="shared" si="49"/>
        <v>1.46</v>
      </c>
      <c r="AF127" s="135">
        <f t="shared" si="49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45"/>
        <v>1.48</v>
      </c>
      <c r="C128" s="136">
        <v>1.48</v>
      </c>
      <c r="D128" s="135">
        <f t="shared" si="48"/>
        <v>1.48</v>
      </c>
      <c r="E128" s="135">
        <f t="shared" si="48"/>
        <v>1.48</v>
      </c>
      <c r="F128" s="135">
        <f t="shared" si="48"/>
        <v>1.48</v>
      </c>
      <c r="G128" s="135">
        <f t="shared" si="48"/>
        <v>1.48</v>
      </c>
      <c r="H128" s="135">
        <f t="shared" si="48"/>
        <v>1.48</v>
      </c>
      <c r="I128" s="135">
        <f t="shared" si="48"/>
        <v>1.48</v>
      </c>
      <c r="J128" s="135">
        <f t="shared" si="48"/>
        <v>1.48</v>
      </c>
      <c r="K128" s="135">
        <f t="shared" si="48"/>
        <v>1.48</v>
      </c>
      <c r="L128" s="135">
        <f t="shared" si="48"/>
        <v>1.48</v>
      </c>
      <c r="M128" s="135">
        <f t="shared" si="48"/>
        <v>1.48</v>
      </c>
      <c r="N128" s="135">
        <f t="shared" si="48"/>
        <v>1.48</v>
      </c>
      <c r="O128" s="135">
        <f t="shared" si="48"/>
        <v>1.48</v>
      </c>
      <c r="P128" s="135">
        <f t="shared" si="48"/>
        <v>1.48</v>
      </c>
      <c r="Q128" s="135">
        <f t="shared" si="48"/>
        <v>1.48</v>
      </c>
      <c r="R128" s="135">
        <f t="shared" si="48"/>
        <v>1.48</v>
      </c>
      <c r="S128" s="135">
        <f t="shared" si="48"/>
        <v>1.48</v>
      </c>
      <c r="T128" s="135">
        <f t="shared" si="49"/>
        <v>1.48</v>
      </c>
      <c r="U128" s="135">
        <f t="shared" si="49"/>
        <v>1.48</v>
      </c>
      <c r="V128" s="135">
        <f t="shared" si="49"/>
        <v>1.48</v>
      </c>
      <c r="W128" s="135">
        <f t="shared" si="49"/>
        <v>1.48</v>
      </c>
      <c r="X128" s="135">
        <f t="shared" si="49"/>
        <v>1.48</v>
      </c>
      <c r="Y128" s="135">
        <f t="shared" si="49"/>
        <v>1.48</v>
      </c>
      <c r="Z128" s="135">
        <f t="shared" si="49"/>
        <v>1.48</v>
      </c>
      <c r="AA128" s="135">
        <f t="shared" si="49"/>
        <v>1.48</v>
      </c>
      <c r="AB128" s="135">
        <f t="shared" si="49"/>
        <v>1.48</v>
      </c>
      <c r="AC128" s="135">
        <f t="shared" si="49"/>
        <v>1.48</v>
      </c>
      <c r="AD128" s="135">
        <f t="shared" si="49"/>
        <v>1.48</v>
      </c>
      <c r="AE128" s="135">
        <f t="shared" si="49"/>
        <v>1.48</v>
      </c>
      <c r="AF128" s="135">
        <f t="shared" si="49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50">AF130</f>
        <v>2.2000000000000002</v>
      </c>
      <c r="C130" s="136">
        <v>2.2000000000000002</v>
      </c>
      <c r="D130" s="135">
        <f t="shared" ref="D130:S137" si="51">C130</f>
        <v>2.2000000000000002</v>
      </c>
      <c r="E130" s="135">
        <f t="shared" si="51"/>
        <v>2.2000000000000002</v>
      </c>
      <c r="F130" s="135">
        <f t="shared" si="51"/>
        <v>2.2000000000000002</v>
      </c>
      <c r="G130" s="135">
        <f t="shared" si="51"/>
        <v>2.2000000000000002</v>
      </c>
      <c r="H130" s="135">
        <f t="shared" si="51"/>
        <v>2.2000000000000002</v>
      </c>
      <c r="I130" s="135">
        <f t="shared" si="51"/>
        <v>2.2000000000000002</v>
      </c>
      <c r="J130" s="135">
        <f t="shared" si="51"/>
        <v>2.2000000000000002</v>
      </c>
      <c r="K130" s="135">
        <f t="shared" si="51"/>
        <v>2.2000000000000002</v>
      </c>
      <c r="L130" s="135">
        <f t="shared" si="51"/>
        <v>2.2000000000000002</v>
      </c>
      <c r="M130" s="135">
        <f t="shared" si="51"/>
        <v>2.2000000000000002</v>
      </c>
      <c r="N130" s="135">
        <f t="shared" si="51"/>
        <v>2.2000000000000002</v>
      </c>
      <c r="O130" s="135">
        <f t="shared" si="51"/>
        <v>2.2000000000000002</v>
      </c>
      <c r="P130" s="135">
        <f t="shared" si="51"/>
        <v>2.2000000000000002</v>
      </c>
      <c r="Q130" s="135">
        <f t="shared" si="51"/>
        <v>2.2000000000000002</v>
      </c>
      <c r="R130" s="135">
        <f t="shared" si="51"/>
        <v>2.2000000000000002</v>
      </c>
      <c r="S130" s="135">
        <f t="shared" si="51"/>
        <v>2.2000000000000002</v>
      </c>
      <c r="T130" s="135">
        <f t="shared" ref="T130:AF137" si="52">S130</f>
        <v>2.2000000000000002</v>
      </c>
      <c r="U130" s="135">
        <f t="shared" si="52"/>
        <v>2.2000000000000002</v>
      </c>
      <c r="V130" s="135">
        <f t="shared" si="52"/>
        <v>2.2000000000000002</v>
      </c>
      <c r="W130" s="135">
        <f t="shared" si="52"/>
        <v>2.2000000000000002</v>
      </c>
      <c r="X130" s="135">
        <f t="shared" si="52"/>
        <v>2.2000000000000002</v>
      </c>
      <c r="Y130" s="135">
        <f t="shared" si="52"/>
        <v>2.2000000000000002</v>
      </c>
      <c r="Z130" s="135">
        <f t="shared" si="52"/>
        <v>2.2000000000000002</v>
      </c>
      <c r="AA130" s="135">
        <f t="shared" si="52"/>
        <v>2.2000000000000002</v>
      </c>
      <c r="AB130" s="135">
        <f t="shared" si="52"/>
        <v>2.2000000000000002</v>
      </c>
      <c r="AC130" s="135">
        <f t="shared" si="52"/>
        <v>2.2000000000000002</v>
      </c>
      <c r="AD130" s="135">
        <f t="shared" si="52"/>
        <v>2.2000000000000002</v>
      </c>
      <c r="AE130" s="135">
        <f t="shared" si="52"/>
        <v>2.2000000000000002</v>
      </c>
      <c r="AF130" s="135">
        <f t="shared" si="52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50"/>
        <v>2</v>
      </c>
      <c r="C131" s="136">
        <v>2</v>
      </c>
      <c r="D131" s="135">
        <f t="shared" si="51"/>
        <v>2</v>
      </c>
      <c r="E131" s="135">
        <f t="shared" si="51"/>
        <v>2</v>
      </c>
      <c r="F131" s="135">
        <f t="shared" si="51"/>
        <v>2</v>
      </c>
      <c r="G131" s="135">
        <f t="shared" si="51"/>
        <v>2</v>
      </c>
      <c r="H131" s="135">
        <f t="shared" si="51"/>
        <v>2</v>
      </c>
      <c r="I131" s="135">
        <f t="shared" si="51"/>
        <v>2</v>
      </c>
      <c r="J131" s="135">
        <f t="shared" si="51"/>
        <v>2</v>
      </c>
      <c r="K131" s="135">
        <f t="shared" si="51"/>
        <v>2</v>
      </c>
      <c r="L131" s="135">
        <f t="shared" si="51"/>
        <v>2</v>
      </c>
      <c r="M131" s="135">
        <f t="shared" si="51"/>
        <v>2</v>
      </c>
      <c r="N131" s="135">
        <f t="shared" si="51"/>
        <v>2</v>
      </c>
      <c r="O131" s="135">
        <f t="shared" si="51"/>
        <v>2</v>
      </c>
      <c r="P131" s="135">
        <f t="shared" si="51"/>
        <v>2</v>
      </c>
      <c r="Q131" s="135">
        <f t="shared" si="51"/>
        <v>2</v>
      </c>
      <c r="R131" s="135">
        <f t="shared" si="51"/>
        <v>2</v>
      </c>
      <c r="S131" s="135">
        <f t="shared" si="51"/>
        <v>2</v>
      </c>
      <c r="T131" s="135">
        <f t="shared" si="52"/>
        <v>2</v>
      </c>
      <c r="U131" s="135">
        <f t="shared" si="52"/>
        <v>2</v>
      </c>
      <c r="V131" s="135">
        <f t="shared" si="52"/>
        <v>2</v>
      </c>
      <c r="W131" s="135">
        <f t="shared" si="52"/>
        <v>2</v>
      </c>
      <c r="X131" s="135">
        <f t="shared" si="52"/>
        <v>2</v>
      </c>
      <c r="Y131" s="135">
        <f t="shared" si="52"/>
        <v>2</v>
      </c>
      <c r="Z131" s="135">
        <f t="shared" si="52"/>
        <v>2</v>
      </c>
      <c r="AA131" s="135">
        <f t="shared" si="52"/>
        <v>2</v>
      </c>
      <c r="AB131" s="135">
        <f t="shared" si="52"/>
        <v>2</v>
      </c>
      <c r="AC131" s="135">
        <f t="shared" si="52"/>
        <v>2</v>
      </c>
      <c r="AD131" s="135">
        <f t="shared" si="52"/>
        <v>2</v>
      </c>
      <c r="AE131" s="135">
        <f t="shared" si="52"/>
        <v>2</v>
      </c>
      <c r="AF131" s="135">
        <f t="shared" si="52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50"/>
        <v>1.25</v>
      </c>
      <c r="C132" s="136">
        <v>1.25</v>
      </c>
      <c r="D132" s="135">
        <f t="shared" si="51"/>
        <v>1.25</v>
      </c>
      <c r="E132" s="135">
        <f t="shared" si="51"/>
        <v>1.25</v>
      </c>
      <c r="F132" s="135">
        <f t="shared" si="51"/>
        <v>1.25</v>
      </c>
      <c r="G132" s="135">
        <f t="shared" si="51"/>
        <v>1.25</v>
      </c>
      <c r="H132" s="135">
        <f t="shared" si="51"/>
        <v>1.25</v>
      </c>
      <c r="I132" s="135">
        <f t="shared" si="51"/>
        <v>1.25</v>
      </c>
      <c r="J132" s="135">
        <f t="shared" si="51"/>
        <v>1.25</v>
      </c>
      <c r="K132" s="135">
        <f t="shared" si="51"/>
        <v>1.25</v>
      </c>
      <c r="L132" s="135">
        <f t="shared" si="51"/>
        <v>1.25</v>
      </c>
      <c r="M132" s="135">
        <f t="shared" si="51"/>
        <v>1.25</v>
      </c>
      <c r="N132" s="135">
        <f t="shared" si="51"/>
        <v>1.25</v>
      </c>
      <c r="O132" s="135">
        <f t="shared" si="51"/>
        <v>1.25</v>
      </c>
      <c r="P132" s="135">
        <f t="shared" si="51"/>
        <v>1.25</v>
      </c>
      <c r="Q132" s="135">
        <f t="shared" si="51"/>
        <v>1.25</v>
      </c>
      <c r="R132" s="135">
        <f t="shared" si="51"/>
        <v>1.25</v>
      </c>
      <c r="S132" s="135">
        <f t="shared" si="51"/>
        <v>1.25</v>
      </c>
      <c r="T132" s="135">
        <f t="shared" si="52"/>
        <v>1.25</v>
      </c>
      <c r="U132" s="135">
        <f t="shared" si="52"/>
        <v>1.25</v>
      </c>
      <c r="V132" s="135">
        <f t="shared" si="52"/>
        <v>1.25</v>
      </c>
      <c r="W132" s="135">
        <f t="shared" si="52"/>
        <v>1.25</v>
      </c>
      <c r="X132" s="135">
        <f t="shared" si="52"/>
        <v>1.25</v>
      </c>
      <c r="Y132" s="135">
        <f t="shared" si="52"/>
        <v>1.25</v>
      </c>
      <c r="Z132" s="135">
        <f t="shared" si="52"/>
        <v>1.25</v>
      </c>
      <c r="AA132" s="135">
        <f t="shared" si="52"/>
        <v>1.25</v>
      </c>
      <c r="AB132" s="135">
        <f t="shared" si="52"/>
        <v>1.25</v>
      </c>
      <c r="AC132" s="135">
        <f t="shared" si="52"/>
        <v>1.25</v>
      </c>
      <c r="AD132" s="135">
        <f t="shared" si="52"/>
        <v>1.25</v>
      </c>
      <c r="AE132" s="135">
        <f t="shared" si="52"/>
        <v>1.25</v>
      </c>
      <c r="AF132" s="135">
        <f t="shared" si="52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50"/>
        <v>1.1499999999999999</v>
      </c>
      <c r="C133" s="136">
        <v>1.1499999999999999</v>
      </c>
      <c r="D133" s="135">
        <f t="shared" si="51"/>
        <v>1.1499999999999999</v>
      </c>
      <c r="E133" s="135">
        <f t="shared" si="51"/>
        <v>1.1499999999999999</v>
      </c>
      <c r="F133" s="135">
        <f t="shared" si="51"/>
        <v>1.1499999999999999</v>
      </c>
      <c r="G133" s="135">
        <f t="shared" si="51"/>
        <v>1.1499999999999999</v>
      </c>
      <c r="H133" s="135">
        <f t="shared" si="51"/>
        <v>1.1499999999999999</v>
      </c>
      <c r="I133" s="135">
        <f t="shared" si="51"/>
        <v>1.1499999999999999</v>
      </c>
      <c r="J133" s="135">
        <f t="shared" si="51"/>
        <v>1.1499999999999999</v>
      </c>
      <c r="K133" s="135">
        <f t="shared" si="51"/>
        <v>1.1499999999999999</v>
      </c>
      <c r="L133" s="135">
        <f t="shared" si="51"/>
        <v>1.1499999999999999</v>
      </c>
      <c r="M133" s="135">
        <f t="shared" si="51"/>
        <v>1.1499999999999999</v>
      </c>
      <c r="N133" s="135">
        <f t="shared" si="51"/>
        <v>1.1499999999999999</v>
      </c>
      <c r="O133" s="135">
        <f t="shared" si="51"/>
        <v>1.1499999999999999</v>
      </c>
      <c r="P133" s="135">
        <f t="shared" si="51"/>
        <v>1.1499999999999999</v>
      </c>
      <c r="Q133" s="135">
        <f t="shared" si="51"/>
        <v>1.1499999999999999</v>
      </c>
      <c r="R133" s="135">
        <f t="shared" si="51"/>
        <v>1.1499999999999999</v>
      </c>
      <c r="S133" s="135">
        <f t="shared" si="51"/>
        <v>1.1499999999999999</v>
      </c>
      <c r="T133" s="135">
        <f t="shared" si="52"/>
        <v>1.1499999999999999</v>
      </c>
      <c r="U133" s="135">
        <f t="shared" si="52"/>
        <v>1.1499999999999999</v>
      </c>
      <c r="V133" s="135">
        <f t="shared" si="52"/>
        <v>1.1499999999999999</v>
      </c>
      <c r="W133" s="135">
        <f t="shared" si="52"/>
        <v>1.1499999999999999</v>
      </c>
      <c r="X133" s="135">
        <f t="shared" si="52"/>
        <v>1.1499999999999999</v>
      </c>
      <c r="Y133" s="135">
        <f t="shared" si="52"/>
        <v>1.1499999999999999</v>
      </c>
      <c r="Z133" s="135">
        <f t="shared" si="52"/>
        <v>1.1499999999999999</v>
      </c>
      <c r="AA133" s="135">
        <f t="shared" si="52"/>
        <v>1.1499999999999999</v>
      </c>
      <c r="AB133" s="135">
        <f t="shared" si="52"/>
        <v>1.1499999999999999</v>
      </c>
      <c r="AC133" s="135">
        <f t="shared" si="52"/>
        <v>1.1499999999999999</v>
      </c>
      <c r="AD133" s="135">
        <f t="shared" si="52"/>
        <v>1.1499999999999999</v>
      </c>
      <c r="AE133" s="135">
        <f t="shared" si="52"/>
        <v>1.1499999999999999</v>
      </c>
      <c r="AF133" s="135">
        <f t="shared" si="52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50"/>
        <v>2.133</v>
      </c>
      <c r="C134" s="136">
        <v>2.133</v>
      </c>
      <c r="D134" s="135">
        <f t="shared" si="51"/>
        <v>2.133</v>
      </c>
      <c r="E134" s="135">
        <f t="shared" si="51"/>
        <v>2.133</v>
      </c>
      <c r="F134" s="135">
        <f t="shared" si="51"/>
        <v>2.133</v>
      </c>
      <c r="G134" s="135">
        <f t="shared" si="51"/>
        <v>2.133</v>
      </c>
      <c r="H134" s="135">
        <f t="shared" si="51"/>
        <v>2.133</v>
      </c>
      <c r="I134" s="135">
        <f t="shared" si="51"/>
        <v>2.133</v>
      </c>
      <c r="J134" s="135">
        <f t="shared" si="51"/>
        <v>2.133</v>
      </c>
      <c r="K134" s="135">
        <f t="shared" si="51"/>
        <v>2.133</v>
      </c>
      <c r="L134" s="135">
        <f t="shared" si="51"/>
        <v>2.133</v>
      </c>
      <c r="M134" s="135">
        <f t="shared" si="51"/>
        <v>2.133</v>
      </c>
      <c r="N134" s="135">
        <f t="shared" si="51"/>
        <v>2.133</v>
      </c>
      <c r="O134" s="135">
        <f t="shared" si="51"/>
        <v>2.133</v>
      </c>
      <c r="P134" s="135">
        <f t="shared" si="51"/>
        <v>2.133</v>
      </c>
      <c r="Q134" s="135">
        <f t="shared" si="51"/>
        <v>2.133</v>
      </c>
      <c r="R134" s="135">
        <f t="shared" si="51"/>
        <v>2.133</v>
      </c>
      <c r="S134" s="135">
        <f t="shared" si="51"/>
        <v>2.133</v>
      </c>
      <c r="T134" s="135">
        <f t="shared" si="52"/>
        <v>2.133</v>
      </c>
      <c r="U134" s="135">
        <f t="shared" si="52"/>
        <v>2.133</v>
      </c>
      <c r="V134" s="135">
        <f t="shared" si="52"/>
        <v>2.133</v>
      </c>
      <c r="W134" s="135">
        <f t="shared" si="52"/>
        <v>2.133</v>
      </c>
      <c r="X134" s="135">
        <f t="shared" si="52"/>
        <v>2.133</v>
      </c>
      <c r="Y134" s="135">
        <f t="shared" si="52"/>
        <v>2.133</v>
      </c>
      <c r="Z134" s="135">
        <f t="shared" si="52"/>
        <v>2.133</v>
      </c>
      <c r="AA134" s="135">
        <f t="shared" si="52"/>
        <v>2.133</v>
      </c>
      <c r="AB134" s="135">
        <f t="shared" si="52"/>
        <v>2.133</v>
      </c>
      <c r="AC134" s="135">
        <f t="shared" si="52"/>
        <v>2.133</v>
      </c>
      <c r="AD134" s="135">
        <f t="shared" si="52"/>
        <v>2.133</v>
      </c>
      <c r="AE134" s="135">
        <f t="shared" si="52"/>
        <v>2.133</v>
      </c>
      <c r="AF134" s="135">
        <f t="shared" si="52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50"/>
        <v>2.09</v>
      </c>
      <c r="C135" s="136">
        <v>2.09</v>
      </c>
      <c r="D135" s="135">
        <f t="shared" si="51"/>
        <v>2.09</v>
      </c>
      <c r="E135" s="135">
        <f t="shared" si="51"/>
        <v>2.09</v>
      </c>
      <c r="F135" s="135">
        <f t="shared" si="51"/>
        <v>2.09</v>
      </c>
      <c r="G135" s="135">
        <f t="shared" si="51"/>
        <v>2.09</v>
      </c>
      <c r="H135" s="135">
        <f t="shared" si="51"/>
        <v>2.09</v>
      </c>
      <c r="I135" s="135">
        <f t="shared" si="51"/>
        <v>2.09</v>
      </c>
      <c r="J135" s="135">
        <f t="shared" si="51"/>
        <v>2.09</v>
      </c>
      <c r="K135" s="135">
        <f t="shared" si="51"/>
        <v>2.09</v>
      </c>
      <c r="L135" s="135">
        <f t="shared" si="51"/>
        <v>2.09</v>
      </c>
      <c r="M135" s="135">
        <f t="shared" si="51"/>
        <v>2.09</v>
      </c>
      <c r="N135" s="135">
        <f t="shared" si="51"/>
        <v>2.09</v>
      </c>
      <c r="O135" s="135">
        <f t="shared" si="51"/>
        <v>2.09</v>
      </c>
      <c r="P135" s="135">
        <f t="shared" si="51"/>
        <v>2.09</v>
      </c>
      <c r="Q135" s="135">
        <f t="shared" si="51"/>
        <v>2.09</v>
      </c>
      <c r="R135" s="135">
        <f t="shared" si="51"/>
        <v>2.09</v>
      </c>
      <c r="S135" s="135">
        <f t="shared" si="51"/>
        <v>2.09</v>
      </c>
      <c r="T135" s="135">
        <f t="shared" si="52"/>
        <v>2.09</v>
      </c>
      <c r="U135" s="135">
        <f t="shared" si="52"/>
        <v>2.09</v>
      </c>
      <c r="V135" s="135">
        <f t="shared" si="52"/>
        <v>2.09</v>
      </c>
      <c r="W135" s="135">
        <f t="shared" si="52"/>
        <v>2.09</v>
      </c>
      <c r="X135" s="135">
        <f t="shared" si="52"/>
        <v>2.09</v>
      </c>
      <c r="Y135" s="135">
        <f t="shared" si="52"/>
        <v>2.09</v>
      </c>
      <c r="Z135" s="135">
        <f t="shared" si="52"/>
        <v>2.09</v>
      </c>
      <c r="AA135" s="135">
        <f t="shared" si="52"/>
        <v>2.09</v>
      </c>
      <c r="AB135" s="135">
        <f t="shared" si="52"/>
        <v>2.09</v>
      </c>
      <c r="AC135" s="135">
        <f t="shared" si="52"/>
        <v>2.09</v>
      </c>
      <c r="AD135" s="135">
        <f t="shared" si="52"/>
        <v>2.09</v>
      </c>
      <c r="AE135" s="135">
        <f t="shared" si="52"/>
        <v>2.09</v>
      </c>
      <c r="AF135" s="135">
        <f t="shared" si="52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50"/>
        <v>1.1399999999999999</v>
      </c>
      <c r="C136" s="136">
        <v>1.1399999999999999</v>
      </c>
      <c r="D136" s="135">
        <f t="shared" si="51"/>
        <v>1.1399999999999999</v>
      </c>
      <c r="E136" s="135">
        <f t="shared" si="51"/>
        <v>1.1399999999999999</v>
      </c>
      <c r="F136" s="135">
        <f t="shared" si="51"/>
        <v>1.1399999999999999</v>
      </c>
      <c r="G136" s="135">
        <f t="shared" si="51"/>
        <v>1.1399999999999999</v>
      </c>
      <c r="H136" s="135">
        <f t="shared" si="51"/>
        <v>1.1399999999999999</v>
      </c>
      <c r="I136" s="135">
        <f t="shared" si="51"/>
        <v>1.1399999999999999</v>
      </c>
      <c r="J136" s="135">
        <f t="shared" si="51"/>
        <v>1.1399999999999999</v>
      </c>
      <c r="K136" s="135">
        <f t="shared" si="51"/>
        <v>1.1399999999999999</v>
      </c>
      <c r="L136" s="135">
        <f t="shared" si="51"/>
        <v>1.1399999999999999</v>
      </c>
      <c r="M136" s="135">
        <f t="shared" si="51"/>
        <v>1.1399999999999999</v>
      </c>
      <c r="N136" s="135">
        <f t="shared" si="51"/>
        <v>1.1399999999999999</v>
      </c>
      <c r="O136" s="135">
        <f t="shared" si="51"/>
        <v>1.1399999999999999</v>
      </c>
      <c r="P136" s="135">
        <f t="shared" si="51"/>
        <v>1.1399999999999999</v>
      </c>
      <c r="Q136" s="135">
        <f t="shared" si="51"/>
        <v>1.1399999999999999</v>
      </c>
      <c r="R136" s="135">
        <f t="shared" si="51"/>
        <v>1.1399999999999999</v>
      </c>
      <c r="S136" s="135">
        <f t="shared" si="51"/>
        <v>1.1399999999999999</v>
      </c>
      <c r="T136" s="135">
        <f t="shared" si="52"/>
        <v>1.1399999999999999</v>
      </c>
      <c r="U136" s="135">
        <f t="shared" si="52"/>
        <v>1.1399999999999999</v>
      </c>
      <c r="V136" s="135">
        <f t="shared" si="52"/>
        <v>1.1399999999999999</v>
      </c>
      <c r="W136" s="135">
        <f t="shared" si="52"/>
        <v>1.1399999999999999</v>
      </c>
      <c r="X136" s="135">
        <f t="shared" si="52"/>
        <v>1.1399999999999999</v>
      </c>
      <c r="Y136" s="135">
        <f t="shared" si="52"/>
        <v>1.1399999999999999</v>
      </c>
      <c r="Z136" s="135">
        <f t="shared" si="52"/>
        <v>1.1399999999999999</v>
      </c>
      <c r="AA136" s="135">
        <f t="shared" si="52"/>
        <v>1.1399999999999999</v>
      </c>
      <c r="AB136" s="135">
        <f t="shared" si="52"/>
        <v>1.1399999999999999</v>
      </c>
      <c r="AC136" s="135">
        <f t="shared" si="52"/>
        <v>1.1399999999999999</v>
      </c>
      <c r="AD136" s="135">
        <f t="shared" si="52"/>
        <v>1.1399999999999999</v>
      </c>
      <c r="AE136" s="135">
        <f t="shared" si="52"/>
        <v>1.1399999999999999</v>
      </c>
      <c r="AF136" s="135">
        <f t="shared" si="52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50"/>
        <v>0.82</v>
      </c>
      <c r="C137" s="136">
        <v>0.82</v>
      </c>
      <c r="D137" s="135">
        <f t="shared" si="51"/>
        <v>0.82</v>
      </c>
      <c r="E137" s="135">
        <f t="shared" si="51"/>
        <v>0.82</v>
      </c>
      <c r="F137" s="135">
        <f t="shared" si="51"/>
        <v>0.82</v>
      </c>
      <c r="G137" s="135">
        <f t="shared" si="51"/>
        <v>0.82</v>
      </c>
      <c r="H137" s="135">
        <f t="shared" si="51"/>
        <v>0.82</v>
      </c>
      <c r="I137" s="135">
        <f t="shared" si="51"/>
        <v>0.82</v>
      </c>
      <c r="J137" s="135">
        <f t="shared" si="51"/>
        <v>0.82</v>
      </c>
      <c r="K137" s="135">
        <f t="shared" si="51"/>
        <v>0.82</v>
      </c>
      <c r="L137" s="135">
        <f t="shared" si="51"/>
        <v>0.82</v>
      </c>
      <c r="M137" s="135">
        <f t="shared" si="51"/>
        <v>0.82</v>
      </c>
      <c r="N137" s="135">
        <f t="shared" si="51"/>
        <v>0.82</v>
      </c>
      <c r="O137" s="135">
        <f t="shared" si="51"/>
        <v>0.82</v>
      </c>
      <c r="P137" s="135">
        <f t="shared" si="51"/>
        <v>0.82</v>
      </c>
      <c r="Q137" s="135">
        <f t="shared" si="51"/>
        <v>0.82</v>
      </c>
      <c r="R137" s="135">
        <f t="shared" si="51"/>
        <v>0.82</v>
      </c>
      <c r="S137" s="135">
        <f t="shared" si="51"/>
        <v>0.82</v>
      </c>
      <c r="T137" s="135">
        <f t="shared" si="52"/>
        <v>0.82</v>
      </c>
      <c r="U137" s="135">
        <f t="shared" si="52"/>
        <v>0.82</v>
      </c>
      <c r="V137" s="135">
        <f t="shared" si="52"/>
        <v>0.82</v>
      </c>
      <c r="W137" s="135">
        <f t="shared" si="52"/>
        <v>0.82</v>
      </c>
      <c r="X137" s="135">
        <f t="shared" si="52"/>
        <v>0.82</v>
      </c>
      <c r="Y137" s="135">
        <f t="shared" si="52"/>
        <v>0.82</v>
      </c>
      <c r="Z137" s="135">
        <f t="shared" si="52"/>
        <v>0.82</v>
      </c>
      <c r="AA137" s="135">
        <f t="shared" si="52"/>
        <v>0.82</v>
      </c>
      <c r="AB137" s="135">
        <f t="shared" si="52"/>
        <v>0.82</v>
      </c>
      <c r="AC137" s="135">
        <f t="shared" si="52"/>
        <v>0.82</v>
      </c>
      <c r="AD137" s="135">
        <f t="shared" si="52"/>
        <v>0.82</v>
      </c>
      <c r="AE137" s="135">
        <f t="shared" si="52"/>
        <v>0.82</v>
      </c>
      <c r="AF137" s="135">
        <f t="shared" si="52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53">AF139</f>
        <v>2</v>
      </c>
      <c r="C139" s="136">
        <v>2</v>
      </c>
      <c r="D139" s="135">
        <f t="shared" ref="D139:S145" si="54">C139</f>
        <v>2</v>
      </c>
      <c r="E139" s="135">
        <f t="shared" si="54"/>
        <v>2</v>
      </c>
      <c r="F139" s="135">
        <f t="shared" si="54"/>
        <v>2</v>
      </c>
      <c r="G139" s="135">
        <f t="shared" si="54"/>
        <v>2</v>
      </c>
      <c r="H139" s="135">
        <f t="shared" si="54"/>
        <v>2</v>
      </c>
      <c r="I139" s="135">
        <f t="shared" si="54"/>
        <v>2</v>
      </c>
      <c r="J139" s="135">
        <f t="shared" si="54"/>
        <v>2</v>
      </c>
      <c r="K139" s="135">
        <f t="shared" si="54"/>
        <v>2</v>
      </c>
      <c r="L139" s="135">
        <f t="shared" si="54"/>
        <v>2</v>
      </c>
      <c r="M139" s="135">
        <f t="shared" si="54"/>
        <v>2</v>
      </c>
      <c r="N139" s="135">
        <f t="shared" si="54"/>
        <v>2</v>
      </c>
      <c r="O139" s="135">
        <f t="shared" si="54"/>
        <v>2</v>
      </c>
      <c r="P139" s="135">
        <f t="shared" si="54"/>
        <v>2</v>
      </c>
      <c r="Q139" s="135">
        <f t="shared" si="54"/>
        <v>2</v>
      </c>
      <c r="R139" s="135">
        <f t="shared" si="54"/>
        <v>2</v>
      </c>
      <c r="S139" s="135">
        <f t="shared" si="54"/>
        <v>2</v>
      </c>
      <c r="T139" s="135">
        <f t="shared" ref="T139:AF145" si="55">S139</f>
        <v>2</v>
      </c>
      <c r="U139" s="135">
        <f t="shared" si="55"/>
        <v>2</v>
      </c>
      <c r="V139" s="135">
        <f t="shared" si="55"/>
        <v>2</v>
      </c>
      <c r="W139" s="135">
        <f t="shared" si="55"/>
        <v>2</v>
      </c>
      <c r="X139" s="135">
        <f t="shared" si="55"/>
        <v>2</v>
      </c>
      <c r="Y139" s="135">
        <f t="shared" si="55"/>
        <v>2</v>
      </c>
      <c r="Z139" s="135">
        <f t="shared" si="55"/>
        <v>2</v>
      </c>
      <c r="AA139" s="135">
        <f t="shared" si="55"/>
        <v>2</v>
      </c>
      <c r="AB139" s="135">
        <f t="shared" si="55"/>
        <v>2</v>
      </c>
      <c r="AC139" s="135">
        <f t="shared" si="55"/>
        <v>2</v>
      </c>
      <c r="AD139" s="135">
        <f t="shared" si="55"/>
        <v>2</v>
      </c>
      <c r="AE139" s="135">
        <f t="shared" si="55"/>
        <v>2</v>
      </c>
      <c r="AF139" s="135">
        <f t="shared" si="55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53"/>
        <v>5.61</v>
      </c>
      <c r="C140" s="136">
        <v>5.61</v>
      </c>
      <c r="D140" s="135">
        <f t="shared" si="54"/>
        <v>5.61</v>
      </c>
      <c r="E140" s="135">
        <f t="shared" si="54"/>
        <v>5.61</v>
      </c>
      <c r="F140" s="135">
        <f t="shared" si="54"/>
        <v>5.61</v>
      </c>
      <c r="G140" s="135">
        <f t="shared" si="54"/>
        <v>5.61</v>
      </c>
      <c r="H140" s="135">
        <f t="shared" si="54"/>
        <v>5.61</v>
      </c>
      <c r="I140" s="135">
        <f t="shared" si="54"/>
        <v>5.61</v>
      </c>
      <c r="J140" s="135">
        <f t="shared" si="54"/>
        <v>5.61</v>
      </c>
      <c r="K140" s="135">
        <f t="shared" si="54"/>
        <v>5.61</v>
      </c>
      <c r="L140" s="135">
        <f t="shared" si="54"/>
        <v>5.61</v>
      </c>
      <c r="M140" s="135">
        <f t="shared" si="54"/>
        <v>5.61</v>
      </c>
      <c r="N140" s="135">
        <f t="shared" si="54"/>
        <v>5.61</v>
      </c>
      <c r="O140" s="135">
        <f t="shared" si="54"/>
        <v>5.61</v>
      </c>
      <c r="P140" s="135">
        <f t="shared" si="54"/>
        <v>5.61</v>
      </c>
      <c r="Q140" s="135">
        <f t="shared" si="54"/>
        <v>5.61</v>
      </c>
      <c r="R140" s="135">
        <f t="shared" si="54"/>
        <v>5.61</v>
      </c>
      <c r="S140" s="135">
        <f t="shared" si="54"/>
        <v>5.61</v>
      </c>
      <c r="T140" s="135">
        <f t="shared" si="55"/>
        <v>5.61</v>
      </c>
      <c r="U140" s="135">
        <f t="shared" si="55"/>
        <v>5.61</v>
      </c>
      <c r="V140" s="135">
        <f t="shared" si="55"/>
        <v>5.61</v>
      </c>
      <c r="W140" s="135">
        <f t="shared" si="55"/>
        <v>5.61</v>
      </c>
      <c r="X140" s="135">
        <f t="shared" si="55"/>
        <v>5.61</v>
      </c>
      <c r="Y140" s="135">
        <f t="shared" si="55"/>
        <v>5.61</v>
      </c>
      <c r="Z140" s="135">
        <f t="shared" si="55"/>
        <v>5.61</v>
      </c>
      <c r="AA140" s="135">
        <f t="shared" si="55"/>
        <v>5.61</v>
      </c>
      <c r="AB140" s="135">
        <f t="shared" si="55"/>
        <v>5.61</v>
      </c>
      <c r="AC140" s="135">
        <f t="shared" si="55"/>
        <v>5.61</v>
      </c>
      <c r="AD140" s="135">
        <f t="shared" si="55"/>
        <v>5.61</v>
      </c>
      <c r="AE140" s="135">
        <f t="shared" si="55"/>
        <v>5.61</v>
      </c>
      <c r="AF140" s="135">
        <f t="shared" si="55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53"/>
        <v>1.25</v>
      </c>
      <c r="C141" s="136">
        <v>1.25</v>
      </c>
      <c r="D141" s="135">
        <f t="shared" si="54"/>
        <v>1.25</v>
      </c>
      <c r="E141" s="135">
        <f t="shared" si="54"/>
        <v>1.25</v>
      </c>
      <c r="F141" s="135">
        <f t="shared" si="54"/>
        <v>1.25</v>
      </c>
      <c r="G141" s="135">
        <f t="shared" si="54"/>
        <v>1.25</v>
      </c>
      <c r="H141" s="135">
        <f t="shared" si="54"/>
        <v>1.25</v>
      </c>
      <c r="I141" s="135">
        <f t="shared" si="54"/>
        <v>1.25</v>
      </c>
      <c r="J141" s="135">
        <f t="shared" si="54"/>
        <v>1.25</v>
      </c>
      <c r="K141" s="135">
        <f t="shared" si="54"/>
        <v>1.25</v>
      </c>
      <c r="L141" s="135">
        <f t="shared" si="54"/>
        <v>1.25</v>
      </c>
      <c r="M141" s="135">
        <f t="shared" si="54"/>
        <v>1.25</v>
      </c>
      <c r="N141" s="135">
        <f t="shared" si="54"/>
        <v>1.25</v>
      </c>
      <c r="O141" s="135">
        <f t="shared" si="54"/>
        <v>1.25</v>
      </c>
      <c r="P141" s="135">
        <f t="shared" si="54"/>
        <v>1.25</v>
      </c>
      <c r="Q141" s="135">
        <f t="shared" si="54"/>
        <v>1.25</v>
      </c>
      <c r="R141" s="135">
        <f t="shared" si="54"/>
        <v>1.25</v>
      </c>
      <c r="S141" s="135">
        <f t="shared" si="54"/>
        <v>1.25</v>
      </c>
      <c r="T141" s="135">
        <f t="shared" si="55"/>
        <v>1.25</v>
      </c>
      <c r="U141" s="135">
        <f t="shared" si="55"/>
        <v>1.25</v>
      </c>
      <c r="V141" s="135">
        <f t="shared" si="55"/>
        <v>1.25</v>
      </c>
      <c r="W141" s="135">
        <f t="shared" si="55"/>
        <v>1.25</v>
      </c>
      <c r="X141" s="135">
        <f t="shared" si="55"/>
        <v>1.25</v>
      </c>
      <c r="Y141" s="135">
        <f t="shared" si="55"/>
        <v>1.25</v>
      </c>
      <c r="Z141" s="135">
        <f t="shared" si="55"/>
        <v>1.25</v>
      </c>
      <c r="AA141" s="135">
        <f t="shared" si="55"/>
        <v>1.25</v>
      </c>
      <c r="AB141" s="135">
        <f t="shared" si="55"/>
        <v>1.25</v>
      </c>
      <c r="AC141" s="135">
        <f t="shared" si="55"/>
        <v>1.25</v>
      </c>
      <c r="AD141" s="135">
        <f t="shared" si="55"/>
        <v>1.25</v>
      </c>
      <c r="AE141" s="135">
        <f t="shared" si="55"/>
        <v>1.25</v>
      </c>
      <c r="AF141" s="135">
        <f t="shared" si="55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53"/>
        <v>1.25</v>
      </c>
      <c r="C142" s="136">
        <v>1.25</v>
      </c>
      <c r="D142" s="135">
        <f t="shared" si="54"/>
        <v>1.25</v>
      </c>
      <c r="E142" s="135">
        <f t="shared" si="54"/>
        <v>1.25</v>
      </c>
      <c r="F142" s="135">
        <f t="shared" si="54"/>
        <v>1.25</v>
      </c>
      <c r="G142" s="135">
        <f t="shared" si="54"/>
        <v>1.25</v>
      </c>
      <c r="H142" s="135">
        <f t="shared" si="54"/>
        <v>1.25</v>
      </c>
      <c r="I142" s="135">
        <f t="shared" si="54"/>
        <v>1.25</v>
      </c>
      <c r="J142" s="135">
        <f t="shared" si="54"/>
        <v>1.25</v>
      </c>
      <c r="K142" s="135">
        <f t="shared" si="54"/>
        <v>1.25</v>
      </c>
      <c r="L142" s="135">
        <f t="shared" si="54"/>
        <v>1.25</v>
      </c>
      <c r="M142" s="135">
        <f t="shared" si="54"/>
        <v>1.25</v>
      </c>
      <c r="N142" s="135">
        <f t="shared" si="54"/>
        <v>1.25</v>
      </c>
      <c r="O142" s="135">
        <f t="shared" si="54"/>
        <v>1.25</v>
      </c>
      <c r="P142" s="135">
        <f t="shared" si="54"/>
        <v>1.25</v>
      </c>
      <c r="Q142" s="135">
        <f t="shared" si="54"/>
        <v>1.25</v>
      </c>
      <c r="R142" s="135">
        <f t="shared" si="54"/>
        <v>1.25</v>
      </c>
      <c r="S142" s="135">
        <f t="shared" si="54"/>
        <v>1.25</v>
      </c>
      <c r="T142" s="135">
        <f t="shared" si="55"/>
        <v>1.25</v>
      </c>
      <c r="U142" s="135">
        <f t="shared" si="55"/>
        <v>1.25</v>
      </c>
      <c r="V142" s="135">
        <f t="shared" si="55"/>
        <v>1.25</v>
      </c>
      <c r="W142" s="135">
        <f t="shared" si="55"/>
        <v>1.25</v>
      </c>
      <c r="X142" s="135">
        <f t="shared" si="55"/>
        <v>1.25</v>
      </c>
      <c r="Y142" s="135">
        <f t="shared" si="55"/>
        <v>1.25</v>
      </c>
      <c r="Z142" s="135">
        <f t="shared" si="55"/>
        <v>1.25</v>
      </c>
      <c r="AA142" s="135">
        <f t="shared" si="55"/>
        <v>1.25</v>
      </c>
      <c r="AB142" s="135">
        <f t="shared" si="55"/>
        <v>1.25</v>
      </c>
      <c r="AC142" s="135">
        <f t="shared" si="55"/>
        <v>1.25</v>
      </c>
      <c r="AD142" s="135">
        <f t="shared" si="55"/>
        <v>1.25</v>
      </c>
      <c r="AE142" s="135">
        <f t="shared" si="55"/>
        <v>1.25</v>
      </c>
      <c r="AF142" s="135">
        <f t="shared" si="55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53"/>
        <v>1.46</v>
      </c>
      <c r="C143" s="136">
        <v>1.46</v>
      </c>
      <c r="D143" s="135">
        <f t="shared" si="54"/>
        <v>1.46</v>
      </c>
      <c r="E143" s="135">
        <f t="shared" si="54"/>
        <v>1.46</v>
      </c>
      <c r="F143" s="135">
        <f t="shared" si="54"/>
        <v>1.46</v>
      </c>
      <c r="G143" s="135">
        <f t="shared" si="54"/>
        <v>1.46</v>
      </c>
      <c r="H143" s="135">
        <f t="shared" si="54"/>
        <v>1.46</v>
      </c>
      <c r="I143" s="135">
        <f t="shared" si="54"/>
        <v>1.46</v>
      </c>
      <c r="J143" s="135">
        <f t="shared" si="54"/>
        <v>1.46</v>
      </c>
      <c r="K143" s="135">
        <f t="shared" si="54"/>
        <v>1.46</v>
      </c>
      <c r="L143" s="135">
        <f t="shared" si="54"/>
        <v>1.46</v>
      </c>
      <c r="M143" s="135">
        <f t="shared" si="54"/>
        <v>1.46</v>
      </c>
      <c r="N143" s="135">
        <f t="shared" si="54"/>
        <v>1.46</v>
      </c>
      <c r="O143" s="135">
        <f t="shared" si="54"/>
        <v>1.46</v>
      </c>
      <c r="P143" s="135">
        <f t="shared" si="54"/>
        <v>1.46</v>
      </c>
      <c r="Q143" s="135">
        <f t="shared" si="54"/>
        <v>1.46</v>
      </c>
      <c r="R143" s="135">
        <f t="shared" si="54"/>
        <v>1.46</v>
      </c>
      <c r="S143" s="135">
        <f t="shared" si="54"/>
        <v>1.46</v>
      </c>
      <c r="T143" s="135">
        <f t="shared" si="55"/>
        <v>1.46</v>
      </c>
      <c r="U143" s="135">
        <f t="shared" si="55"/>
        <v>1.46</v>
      </c>
      <c r="V143" s="135">
        <f t="shared" si="55"/>
        <v>1.46</v>
      </c>
      <c r="W143" s="135">
        <f t="shared" si="55"/>
        <v>1.46</v>
      </c>
      <c r="X143" s="135">
        <f t="shared" si="55"/>
        <v>1.46</v>
      </c>
      <c r="Y143" s="135">
        <f t="shared" si="55"/>
        <v>1.46</v>
      </c>
      <c r="Z143" s="135">
        <f t="shared" si="55"/>
        <v>1.46</v>
      </c>
      <c r="AA143" s="135">
        <f t="shared" si="55"/>
        <v>1.46</v>
      </c>
      <c r="AB143" s="135">
        <f t="shared" si="55"/>
        <v>1.46</v>
      </c>
      <c r="AC143" s="135">
        <f t="shared" si="55"/>
        <v>1.46</v>
      </c>
      <c r="AD143" s="135">
        <f t="shared" si="55"/>
        <v>1.46</v>
      </c>
      <c r="AE143" s="135">
        <f t="shared" si="55"/>
        <v>1.46</v>
      </c>
      <c r="AF143" s="135">
        <f t="shared" si="55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53"/>
        <v>3</v>
      </c>
      <c r="C144" s="136">
        <v>3</v>
      </c>
      <c r="D144" s="135">
        <f t="shared" si="54"/>
        <v>3</v>
      </c>
      <c r="E144" s="135">
        <f t="shared" si="54"/>
        <v>3</v>
      </c>
      <c r="F144" s="135">
        <f t="shared" si="54"/>
        <v>3</v>
      </c>
      <c r="G144" s="135">
        <f t="shared" si="54"/>
        <v>3</v>
      </c>
      <c r="H144" s="135">
        <f t="shared" si="54"/>
        <v>3</v>
      </c>
      <c r="I144" s="135">
        <f t="shared" si="54"/>
        <v>3</v>
      </c>
      <c r="J144" s="135">
        <f t="shared" si="54"/>
        <v>3</v>
      </c>
      <c r="K144" s="135">
        <f t="shared" si="54"/>
        <v>3</v>
      </c>
      <c r="L144" s="135">
        <f t="shared" si="54"/>
        <v>3</v>
      </c>
      <c r="M144" s="135">
        <f t="shared" si="54"/>
        <v>3</v>
      </c>
      <c r="N144" s="135">
        <f t="shared" si="54"/>
        <v>3</v>
      </c>
      <c r="O144" s="135">
        <f t="shared" si="54"/>
        <v>3</v>
      </c>
      <c r="P144" s="135">
        <f t="shared" si="54"/>
        <v>3</v>
      </c>
      <c r="Q144" s="135">
        <f t="shared" si="54"/>
        <v>3</v>
      </c>
      <c r="R144" s="135">
        <f t="shared" si="54"/>
        <v>3</v>
      </c>
      <c r="S144" s="135">
        <f t="shared" si="54"/>
        <v>3</v>
      </c>
      <c r="T144" s="135">
        <f t="shared" si="55"/>
        <v>3</v>
      </c>
      <c r="U144" s="135">
        <f t="shared" si="55"/>
        <v>3</v>
      </c>
      <c r="V144" s="135">
        <f t="shared" si="55"/>
        <v>3</v>
      </c>
      <c r="W144" s="135">
        <f t="shared" si="55"/>
        <v>3</v>
      </c>
      <c r="X144" s="135">
        <f t="shared" si="55"/>
        <v>3</v>
      </c>
      <c r="Y144" s="135">
        <f t="shared" si="55"/>
        <v>3</v>
      </c>
      <c r="Z144" s="135">
        <f t="shared" si="55"/>
        <v>3</v>
      </c>
      <c r="AA144" s="135">
        <f t="shared" si="55"/>
        <v>3</v>
      </c>
      <c r="AB144" s="135">
        <f t="shared" si="55"/>
        <v>3</v>
      </c>
      <c r="AC144" s="135">
        <f t="shared" si="55"/>
        <v>3</v>
      </c>
      <c r="AD144" s="135">
        <f t="shared" si="55"/>
        <v>3</v>
      </c>
      <c r="AE144" s="135">
        <f t="shared" si="55"/>
        <v>3</v>
      </c>
      <c r="AF144" s="135">
        <f t="shared" si="55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53"/>
        <v>3.3</v>
      </c>
      <c r="C145" s="136">
        <v>3.3</v>
      </c>
      <c r="D145" s="135">
        <f t="shared" si="54"/>
        <v>3.3</v>
      </c>
      <c r="E145" s="135">
        <f t="shared" si="54"/>
        <v>3.3</v>
      </c>
      <c r="F145" s="135">
        <f t="shared" si="54"/>
        <v>3.3</v>
      </c>
      <c r="G145" s="135">
        <f t="shared" si="54"/>
        <v>3.3</v>
      </c>
      <c r="H145" s="135">
        <f t="shared" si="54"/>
        <v>3.3</v>
      </c>
      <c r="I145" s="135">
        <f t="shared" si="54"/>
        <v>3.3</v>
      </c>
      <c r="J145" s="135">
        <f t="shared" si="54"/>
        <v>3.3</v>
      </c>
      <c r="K145" s="135">
        <f t="shared" si="54"/>
        <v>3.3</v>
      </c>
      <c r="L145" s="135">
        <f t="shared" si="54"/>
        <v>3.3</v>
      </c>
      <c r="M145" s="135">
        <f t="shared" si="54"/>
        <v>3.3</v>
      </c>
      <c r="N145" s="135">
        <f t="shared" si="54"/>
        <v>3.3</v>
      </c>
      <c r="O145" s="135">
        <f t="shared" si="54"/>
        <v>3.3</v>
      </c>
      <c r="P145" s="135">
        <f t="shared" si="54"/>
        <v>3.3</v>
      </c>
      <c r="Q145" s="135">
        <f t="shared" si="54"/>
        <v>3.3</v>
      </c>
      <c r="R145" s="135">
        <f t="shared" si="54"/>
        <v>3.3</v>
      </c>
      <c r="S145" s="135">
        <f t="shared" si="54"/>
        <v>3.3</v>
      </c>
      <c r="T145" s="135">
        <f t="shared" si="55"/>
        <v>3.3</v>
      </c>
      <c r="U145" s="135">
        <f t="shared" si="55"/>
        <v>3.3</v>
      </c>
      <c r="V145" s="135">
        <f t="shared" si="55"/>
        <v>3.3</v>
      </c>
      <c r="W145" s="135">
        <f t="shared" si="55"/>
        <v>3.3</v>
      </c>
      <c r="X145" s="135">
        <f t="shared" si="55"/>
        <v>3.3</v>
      </c>
      <c r="Y145" s="135">
        <f t="shared" si="55"/>
        <v>3.3</v>
      </c>
      <c r="Z145" s="135">
        <f t="shared" si="55"/>
        <v>3.3</v>
      </c>
      <c r="AA145" s="135">
        <f t="shared" si="55"/>
        <v>3.3</v>
      </c>
      <c r="AB145" s="135">
        <f t="shared" si="55"/>
        <v>3.3</v>
      </c>
      <c r="AC145" s="135">
        <f t="shared" si="55"/>
        <v>3.3</v>
      </c>
      <c r="AD145" s="135">
        <f t="shared" si="55"/>
        <v>3.3</v>
      </c>
      <c r="AE145" s="135">
        <f t="shared" si="55"/>
        <v>3.3</v>
      </c>
      <c r="AF145" s="135">
        <f t="shared" si="55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56">C147</f>
        <v>1.76</v>
      </c>
      <c r="E147" s="135">
        <f t="shared" si="56"/>
        <v>1.76</v>
      </c>
      <c r="F147" s="135">
        <f t="shared" si="56"/>
        <v>1.76</v>
      </c>
      <c r="G147" s="135">
        <f t="shared" si="56"/>
        <v>1.76</v>
      </c>
      <c r="H147" s="135">
        <f t="shared" si="56"/>
        <v>1.76</v>
      </c>
      <c r="I147" s="135">
        <f t="shared" si="56"/>
        <v>1.76</v>
      </c>
      <c r="J147" s="135">
        <f t="shared" si="56"/>
        <v>1.76</v>
      </c>
      <c r="K147" s="135">
        <f t="shared" si="56"/>
        <v>1.76</v>
      </c>
      <c r="L147" s="135">
        <f t="shared" si="56"/>
        <v>1.76</v>
      </c>
      <c r="M147" s="135">
        <f t="shared" si="56"/>
        <v>1.76</v>
      </c>
      <c r="N147" s="135">
        <f t="shared" si="56"/>
        <v>1.76</v>
      </c>
      <c r="O147" s="135">
        <f t="shared" si="56"/>
        <v>1.76</v>
      </c>
      <c r="P147" s="135">
        <f t="shared" si="56"/>
        <v>1.76</v>
      </c>
      <c r="Q147" s="135">
        <f t="shared" si="56"/>
        <v>1.76</v>
      </c>
      <c r="R147" s="135">
        <f t="shared" si="56"/>
        <v>1.76</v>
      </c>
      <c r="S147" s="135">
        <f t="shared" si="56"/>
        <v>1.76</v>
      </c>
      <c r="T147" s="135">
        <f t="shared" ref="T147:AF148" si="57">S147</f>
        <v>1.76</v>
      </c>
      <c r="U147" s="135">
        <f t="shared" si="57"/>
        <v>1.76</v>
      </c>
      <c r="V147" s="135">
        <f t="shared" si="57"/>
        <v>1.76</v>
      </c>
      <c r="W147" s="135">
        <f t="shared" si="57"/>
        <v>1.76</v>
      </c>
      <c r="X147" s="135">
        <f t="shared" si="57"/>
        <v>1.76</v>
      </c>
      <c r="Y147" s="135">
        <f t="shared" si="57"/>
        <v>1.76</v>
      </c>
      <c r="Z147" s="135">
        <f t="shared" si="57"/>
        <v>1.76</v>
      </c>
      <c r="AA147" s="135">
        <f t="shared" si="57"/>
        <v>1.76</v>
      </c>
      <c r="AB147" s="135">
        <f t="shared" si="57"/>
        <v>1.76</v>
      </c>
      <c r="AC147" s="135">
        <f t="shared" si="57"/>
        <v>1.76</v>
      </c>
      <c r="AD147" s="135">
        <f t="shared" si="57"/>
        <v>1.76</v>
      </c>
      <c r="AE147" s="135">
        <f t="shared" si="57"/>
        <v>1.76</v>
      </c>
      <c r="AF147" s="135">
        <f t="shared" si="57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56"/>
        <v>0</v>
      </c>
      <c r="E148" s="135">
        <f t="shared" si="56"/>
        <v>0</v>
      </c>
      <c r="F148" s="135">
        <f t="shared" si="56"/>
        <v>0</v>
      </c>
      <c r="G148" s="135">
        <f t="shared" si="56"/>
        <v>0</v>
      </c>
      <c r="H148" s="135">
        <f t="shared" si="56"/>
        <v>0</v>
      </c>
      <c r="I148" s="135">
        <f t="shared" si="56"/>
        <v>0</v>
      </c>
      <c r="J148" s="135">
        <f t="shared" si="56"/>
        <v>0</v>
      </c>
      <c r="K148" s="135">
        <f t="shared" si="56"/>
        <v>0</v>
      </c>
      <c r="L148" s="135">
        <f t="shared" si="56"/>
        <v>0</v>
      </c>
      <c r="M148" s="135">
        <f t="shared" si="56"/>
        <v>0</v>
      </c>
      <c r="N148" s="135">
        <f t="shared" si="56"/>
        <v>0</v>
      </c>
      <c r="O148" s="135">
        <f t="shared" si="56"/>
        <v>0</v>
      </c>
      <c r="P148" s="135">
        <f t="shared" si="56"/>
        <v>0</v>
      </c>
      <c r="Q148" s="135">
        <f t="shared" si="56"/>
        <v>0</v>
      </c>
      <c r="R148" s="135">
        <f t="shared" si="56"/>
        <v>0</v>
      </c>
      <c r="S148" s="135">
        <f t="shared" si="56"/>
        <v>0</v>
      </c>
      <c r="T148" s="135">
        <f t="shared" si="57"/>
        <v>0</v>
      </c>
      <c r="U148" s="135">
        <f t="shared" si="57"/>
        <v>0</v>
      </c>
      <c r="V148" s="135">
        <f t="shared" si="57"/>
        <v>0</v>
      </c>
      <c r="W148" s="135">
        <f t="shared" si="57"/>
        <v>0</v>
      </c>
      <c r="X148" s="135">
        <f t="shared" si="57"/>
        <v>0</v>
      </c>
      <c r="Y148" s="135">
        <f t="shared" si="57"/>
        <v>0</v>
      </c>
      <c r="Z148" s="135">
        <f t="shared" si="57"/>
        <v>0</v>
      </c>
      <c r="AA148" s="135">
        <f t="shared" si="57"/>
        <v>0</v>
      </c>
      <c r="AB148" s="135">
        <f t="shared" si="57"/>
        <v>0</v>
      </c>
      <c r="AC148" s="135">
        <f t="shared" si="57"/>
        <v>0</v>
      </c>
      <c r="AD148" s="135">
        <f t="shared" si="57"/>
        <v>0</v>
      </c>
      <c r="AE148" s="135">
        <f t="shared" si="57"/>
        <v>0</v>
      </c>
      <c r="AF148" s="135">
        <f t="shared" si="57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58">C150</f>
        <v>0.1</v>
      </c>
      <c r="E150" s="135">
        <f t="shared" si="58"/>
        <v>0.1</v>
      </c>
      <c r="F150" s="135">
        <f t="shared" si="58"/>
        <v>0.1</v>
      </c>
      <c r="G150" s="135">
        <f t="shared" si="58"/>
        <v>0.1</v>
      </c>
      <c r="H150" s="135">
        <f t="shared" si="58"/>
        <v>0.1</v>
      </c>
      <c r="I150" s="135">
        <f t="shared" si="58"/>
        <v>0.1</v>
      </c>
      <c r="J150" s="135">
        <f t="shared" si="58"/>
        <v>0.1</v>
      </c>
      <c r="K150" s="135">
        <f t="shared" si="58"/>
        <v>0.1</v>
      </c>
      <c r="L150" s="135">
        <f t="shared" si="58"/>
        <v>0.1</v>
      </c>
      <c r="M150" s="135">
        <f t="shared" si="58"/>
        <v>0.1</v>
      </c>
      <c r="N150" s="135">
        <f t="shared" si="58"/>
        <v>0.1</v>
      </c>
      <c r="O150" s="135">
        <f t="shared" si="58"/>
        <v>0.1</v>
      </c>
      <c r="P150" s="135">
        <f t="shared" si="58"/>
        <v>0.1</v>
      </c>
      <c r="Q150" s="135">
        <f t="shared" si="58"/>
        <v>0.1</v>
      </c>
      <c r="R150" s="135">
        <f t="shared" si="58"/>
        <v>0.1</v>
      </c>
      <c r="S150" s="135">
        <f t="shared" si="58"/>
        <v>0.1</v>
      </c>
      <c r="T150" s="135">
        <f t="shared" ref="T150:AF153" si="59">S150</f>
        <v>0.1</v>
      </c>
      <c r="U150" s="135">
        <f t="shared" si="59"/>
        <v>0.1</v>
      </c>
      <c r="V150" s="135">
        <f t="shared" si="59"/>
        <v>0.1</v>
      </c>
      <c r="W150" s="135">
        <f t="shared" si="59"/>
        <v>0.1</v>
      </c>
      <c r="X150" s="135">
        <f t="shared" si="59"/>
        <v>0.1</v>
      </c>
      <c r="Y150" s="135">
        <f t="shared" si="59"/>
        <v>0.1</v>
      </c>
      <c r="Z150" s="135">
        <f t="shared" si="59"/>
        <v>0.1</v>
      </c>
      <c r="AA150" s="135">
        <f t="shared" si="59"/>
        <v>0.1</v>
      </c>
      <c r="AB150" s="135">
        <f t="shared" si="59"/>
        <v>0.1</v>
      </c>
      <c r="AC150" s="135">
        <f t="shared" si="59"/>
        <v>0.1</v>
      </c>
      <c r="AD150" s="135">
        <f t="shared" si="59"/>
        <v>0.1</v>
      </c>
      <c r="AE150" s="135">
        <f t="shared" si="59"/>
        <v>0.1</v>
      </c>
      <c r="AF150" s="135">
        <f t="shared" si="59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58"/>
        <v>2.0499999999999998</v>
      </c>
      <c r="E151" s="135">
        <f t="shared" si="58"/>
        <v>2.0499999999999998</v>
      </c>
      <c r="F151" s="135">
        <f t="shared" si="58"/>
        <v>2.0499999999999998</v>
      </c>
      <c r="G151" s="135">
        <f t="shared" si="58"/>
        <v>2.0499999999999998</v>
      </c>
      <c r="H151" s="135">
        <f t="shared" si="58"/>
        <v>2.0499999999999998</v>
      </c>
      <c r="I151" s="135">
        <f t="shared" si="58"/>
        <v>2.0499999999999998</v>
      </c>
      <c r="J151" s="135">
        <f t="shared" si="58"/>
        <v>2.0499999999999998</v>
      </c>
      <c r="K151" s="135">
        <f t="shared" si="58"/>
        <v>2.0499999999999998</v>
      </c>
      <c r="L151" s="135">
        <f t="shared" si="58"/>
        <v>2.0499999999999998</v>
      </c>
      <c r="M151" s="135">
        <f t="shared" si="58"/>
        <v>2.0499999999999998</v>
      </c>
      <c r="N151" s="135">
        <f t="shared" si="58"/>
        <v>2.0499999999999998</v>
      </c>
      <c r="O151" s="135">
        <f t="shared" si="58"/>
        <v>2.0499999999999998</v>
      </c>
      <c r="P151" s="135">
        <f t="shared" si="58"/>
        <v>2.0499999999999998</v>
      </c>
      <c r="Q151" s="135">
        <f t="shared" si="58"/>
        <v>2.0499999999999998</v>
      </c>
      <c r="R151" s="135">
        <f t="shared" si="58"/>
        <v>2.0499999999999998</v>
      </c>
      <c r="S151" s="135">
        <f t="shared" si="58"/>
        <v>2.0499999999999998</v>
      </c>
      <c r="T151" s="135">
        <f t="shared" si="59"/>
        <v>2.0499999999999998</v>
      </c>
      <c r="U151" s="135">
        <f t="shared" si="59"/>
        <v>2.0499999999999998</v>
      </c>
      <c r="V151" s="135">
        <f t="shared" si="59"/>
        <v>2.0499999999999998</v>
      </c>
      <c r="W151" s="135">
        <f t="shared" si="59"/>
        <v>2.0499999999999998</v>
      </c>
      <c r="X151" s="135">
        <f t="shared" si="59"/>
        <v>2.0499999999999998</v>
      </c>
      <c r="Y151" s="135">
        <f t="shared" si="59"/>
        <v>2.0499999999999998</v>
      </c>
      <c r="Z151" s="135">
        <f t="shared" si="59"/>
        <v>2.0499999999999998</v>
      </c>
      <c r="AA151" s="135">
        <f t="shared" si="59"/>
        <v>2.0499999999999998</v>
      </c>
      <c r="AB151" s="135">
        <f t="shared" si="59"/>
        <v>2.0499999999999998</v>
      </c>
      <c r="AC151" s="135">
        <f t="shared" si="59"/>
        <v>2.0499999999999998</v>
      </c>
      <c r="AD151" s="135">
        <f t="shared" si="59"/>
        <v>2.0499999999999998</v>
      </c>
      <c r="AE151" s="135">
        <f t="shared" si="59"/>
        <v>2.0499999999999998</v>
      </c>
      <c r="AF151" s="135">
        <f t="shared" si="59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58"/>
        <v>2.7</v>
      </c>
      <c r="E152" s="135">
        <f t="shared" si="58"/>
        <v>2.7</v>
      </c>
      <c r="F152" s="135">
        <f t="shared" si="58"/>
        <v>2.7</v>
      </c>
      <c r="G152" s="135">
        <f t="shared" si="58"/>
        <v>2.7</v>
      </c>
      <c r="H152" s="135">
        <f t="shared" si="58"/>
        <v>2.7</v>
      </c>
      <c r="I152" s="135">
        <f t="shared" si="58"/>
        <v>2.7</v>
      </c>
      <c r="J152" s="135">
        <f t="shared" si="58"/>
        <v>2.7</v>
      </c>
      <c r="K152" s="135">
        <f t="shared" si="58"/>
        <v>2.7</v>
      </c>
      <c r="L152" s="135">
        <f t="shared" si="58"/>
        <v>2.7</v>
      </c>
      <c r="M152" s="135">
        <f t="shared" si="58"/>
        <v>2.7</v>
      </c>
      <c r="N152" s="135">
        <f t="shared" si="58"/>
        <v>2.7</v>
      </c>
      <c r="O152" s="135">
        <f t="shared" si="58"/>
        <v>2.7</v>
      </c>
      <c r="P152" s="135">
        <f t="shared" si="58"/>
        <v>2.7</v>
      </c>
      <c r="Q152" s="135">
        <f t="shared" si="58"/>
        <v>2.7</v>
      </c>
      <c r="R152" s="135">
        <f t="shared" si="58"/>
        <v>2.7</v>
      </c>
      <c r="S152" s="135">
        <f t="shared" si="58"/>
        <v>2.7</v>
      </c>
      <c r="T152" s="135">
        <f t="shared" si="59"/>
        <v>2.7</v>
      </c>
      <c r="U152" s="135">
        <f t="shared" si="59"/>
        <v>2.7</v>
      </c>
      <c r="V152" s="135">
        <f t="shared" si="59"/>
        <v>2.7</v>
      </c>
      <c r="W152" s="135">
        <f t="shared" si="59"/>
        <v>2.7</v>
      </c>
      <c r="X152" s="135">
        <f t="shared" si="59"/>
        <v>2.7</v>
      </c>
      <c r="Y152" s="135">
        <f t="shared" si="59"/>
        <v>2.7</v>
      </c>
      <c r="Z152" s="135">
        <f t="shared" si="59"/>
        <v>2.7</v>
      </c>
      <c r="AA152" s="135">
        <f t="shared" si="59"/>
        <v>2.7</v>
      </c>
      <c r="AB152" s="135">
        <f t="shared" si="59"/>
        <v>2.7</v>
      </c>
      <c r="AC152" s="135">
        <f t="shared" si="59"/>
        <v>2.7</v>
      </c>
      <c r="AD152" s="135">
        <f t="shared" si="59"/>
        <v>2.7</v>
      </c>
      <c r="AE152" s="135">
        <f t="shared" si="59"/>
        <v>2.7</v>
      </c>
      <c r="AF152" s="135">
        <f t="shared" si="59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58"/>
        <v>2.15</v>
      </c>
      <c r="E153" s="135">
        <f t="shared" si="58"/>
        <v>2.15</v>
      </c>
      <c r="F153" s="135">
        <f t="shared" si="58"/>
        <v>2.15</v>
      </c>
      <c r="G153" s="135">
        <f t="shared" si="58"/>
        <v>2.15</v>
      </c>
      <c r="H153" s="135">
        <f t="shared" si="58"/>
        <v>2.15</v>
      </c>
      <c r="I153" s="135">
        <f t="shared" si="58"/>
        <v>2.15</v>
      </c>
      <c r="J153" s="135">
        <f t="shared" si="58"/>
        <v>2.15</v>
      </c>
      <c r="K153" s="135">
        <f t="shared" si="58"/>
        <v>2.15</v>
      </c>
      <c r="L153" s="135">
        <f t="shared" si="58"/>
        <v>2.15</v>
      </c>
      <c r="M153" s="135">
        <f t="shared" si="58"/>
        <v>2.15</v>
      </c>
      <c r="N153" s="135">
        <f t="shared" si="58"/>
        <v>2.15</v>
      </c>
      <c r="O153" s="135">
        <f t="shared" si="58"/>
        <v>2.15</v>
      </c>
      <c r="P153" s="135">
        <f t="shared" si="58"/>
        <v>2.15</v>
      </c>
      <c r="Q153" s="135">
        <f t="shared" si="58"/>
        <v>2.15</v>
      </c>
      <c r="R153" s="135">
        <f t="shared" si="58"/>
        <v>2.15</v>
      </c>
      <c r="S153" s="135">
        <f t="shared" si="58"/>
        <v>2.15</v>
      </c>
      <c r="T153" s="135">
        <f t="shared" si="59"/>
        <v>2.15</v>
      </c>
      <c r="U153" s="135">
        <f t="shared" si="59"/>
        <v>2.15</v>
      </c>
      <c r="V153" s="135">
        <f t="shared" si="59"/>
        <v>2.15</v>
      </c>
      <c r="W153" s="135">
        <f t="shared" si="59"/>
        <v>2.15</v>
      </c>
      <c r="X153" s="135">
        <f t="shared" si="59"/>
        <v>2.15</v>
      </c>
      <c r="Y153" s="135">
        <f t="shared" si="59"/>
        <v>2.15</v>
      </c>
      <c r="Z153" s="135">
        <f t="shared" si="59"/>
        <v>2.15</v>
      </c>
      <c r="AA153" s="135">
        <f t="shared" si="59"/>
        <v>2.15</v>
      </c>
      <c r="AB153" s="135">
        <f t="shared" si="59"/>
        <v>2.15</v>
      </c>
      <c r="AC153" s="135">
        <f t="shared" si="59"/>
        <v>2.15</v>
      </c>
      <c r="AD153" s="135">
        <f t="shared" si="59"/>
        <v>2.15</v>
      </c>
      <c r="AE153" s="135">
        <f t="shared" si="59"/>
        <v>2.15</v>
      </c>
      <c r="AF153" s="135">
        <f t="shared" si="59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60">AF155</f>
        <v>0.9</v>
      </c>
      <c r="C155" s="136">
        <v>0.9</v>
      </c>
      <c r="D155" s="135">
        <f t="shared" ref="D155:S167" si="61">C155</f>
        <v>0.9</v>
      </c>
      <c r="E155" s="135">
        <f t="shared" si="61"/>
        <v>0.9</v>
      </c>
      <c r="F155" s="135">
        <f t="shared" si="61"/>
        <v>0.9</v>
      </c>
      <c r="G155" s="135">
        <f t="shared" si="61"/>
        <v>0.9</v>
      </c>
      <c r="H155" s="135">
        <f t="shared" si="61"/>
        <v>0.9</v>
      </c>
      <c r="I155" s="135">
        <f t="shared" si="61"/>
        <v>0.9</v>
      </c>
      <c r="J155" s="135">
        <f t="shared" si="61"/>
        <v>0.9</v>
      </c>
      <c r="K155" s="135">
        <f t="shared" si="61"/>
        <v>0.9</v>
      </c>
      <c r="L155" s="135">
        <f t="shared" si="61"/>
        <v>0.9</v>
      </c>
      <c r="M155" s="135">
        <f t="shared" si="61"/>
        <v>0.9</v>
      </c>
      <c r="N155" s="135">
        <f t="shared" si="61"/>
        <v>0.9</v>
      </c>
      <c r="O155" s="135">
        <f t="shared" si="61"/>
        <v>0.9</v>
      </c>
      <c r="P155" s="135">
        <f t="shared" si="61"/>
        <v>0.9</v>
      </c>
      <c r="Q155" s="135">
        <f t="shared" si="61"/>
        <v>0.9</v>
      </c>
      <c r="R155" s="135">
        <f t="shared" si="61"/>
        <v>0.9</v>
      </c>
      <c r="S155" s="135">
        <f t="shared" si="61"/>
        <v>0.9</v>
      </c>
      <c r="T155" s="135">
        <f t="shared" ref="S155:AF167" si="62">S155</f>
        <v>0.9</v>
      </c>
      <c r="U155" s="135">
        <f t="shared" si="62"/>
        <v>0.9</v>
      </c>
      <c r="V155" s="135">
        <f t="shared" si="62"/>
        <v>0.9</v>
      </c>
      <c r="W155" s="135">
        <f t="shared" si="62"/>
        <v>0.9</v>
      </c>
      <c r="X155" s="135">
        <f t="shared" si="62"/>
        <v>0.9</v>
      </c>
      <c r="Y155" s="135">
        <f t="shared" si="62"/>
        <v>0.9</v>
      </c>
      <c r="Z155" s="135">
        <f t="shared" si="62"/>
        <v>0.9</v>
      </c>
      <c r="AA155" s="135">
        <f t="shared" si="62"/>
        <v>0.9</v>
      </c>
      <c r="AB155" s="135">
        <f t="shared" si="62"/>
        <v>0.9</v>
      </c>
      <c r="AC155" s="135">
        <f t="shared" si="62"/>
        <v>0.9</v>
      </c>
      <c r="AD155" s="135">
        <f t="shared" si="62"/>
        <v>0.9</v>
      </c>
      <c r="AE155" s="135">
        <f t="shared" si="62"/>
        <v>0.9</v>
      </c>
      <c r="AF155" s="135">
        <f t="shared" si="62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60"/>
        <v>1.08</v>
      </c>
      <c r="C156" s="136">
        <v>1.08</v>
      </c>
      <c r="D156" s="135">
        <f t="shared" si="61"/>
        <v>1.08</v>
      </c>
      <c r="E156" s="135">
        <f t="shared" si="61"/>
        <v>1.08</v>
      </c>
      <c r="F156" s="135">
        <f t="shared" si="61"/>
        <v>1.08</v>
      </c>
      <c r="G156" s="135">
        <f t="shared" si="61"/>
        <v>1.08</v>
      </c>
      <c r="H156" s="135">
        <f t="shared" si="61"/>
        <v>1.08</v>
      </c>
      <c r="I156" s="135">
        <f t="shared" si="61"/>
        <v>1.08</v>
      </c>
      <c r="J156" s="135">
        <f t="shared" si="61"/>
        <v>1.08</v>
      </c>
      <c r="K156" s="135">
        <f t="shared" si="61"/>
        <v>1.08</v>
      </c>
      <c r="L156" s="135">
        <f t="shared" si="61"/>
        <v>1.08</v>
      </c>
      <c r="M156" s="135">
        <f t="shared" si="61"/>
        <v>1.08</v>
      </c>
      <c r="N156" s="135">
        <f t="shared" si="61"/>
        <v>1.08</v>
      </c>
      <c r="O156" s="135">
        <f t="shared" si="61"/>
        <v>1.08</v>
      </c>
      <c r="P156" s="135">
        <f t="shared" si="61"/>
        <v>1.08</v>
      </c>
      <c r="Q156" s="135">
        <f t="shared" si="61"/>
        <v>1.08</v>
      </c>
      <c r="R156" s="135">
        <f t="shared" si="61"/>
        <v>1.08</v>
      </c>
      <c r="S156" s="135">
        <f t="shared" si="61"/>
        <v>1.08</v>
      </c>
      <c r="T156" s="135">
        <f t="shared" si="62"/>
        <v>1.08</v>
      </c>
      <c r="U156" s="135">
        <f t="shared" si="62"/>
        <v>1.08</v>
      </c>
      <c r="V156" s="135">
        <f t="shared" si="62"/>
        <v>1.08</v>
      </c>
      <c r="W156" s="135">
        <f t="shared" si="62"/>
        <v>1.08</v>
      </c>
      <c r="X156" s="135">
        <f t="shared" si="62"/>
        <v>1.08</v>
      </c>
      <c r="Y156" s="135">
        <f t="shared" si="62"/>
        <v>1.08</v>
      </c>
      <c r="Z156" s="135">
        <f t="shared" si="62"/>
        <v>1.08</v>
      </c>
      <c r="AA156" s="135">
        <f t="shared" si="62"/>
        <v>1.08</v>
      </c>
      <c r="AB156" s="135">
        <f t="shared" si="62"/>
        <v>1.08</v>
      </c>
      <c r="AC156" s="135">
        <f t="shared" si="62"/>
        <v>1.08</v>
      </c>
      <c r="AD156" s="135">
        <f t="shared" si="62"/>
        <v>1.08</v>
      </c>
      <c r="AE156" s="135">
        <f t="shared" si="62"/>
        <v>1.08</v>
      </c>
      <c r="AF156" s="135">
        <f t="shared" si="62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60"/>
        <v>2.37</v>
      </c>
      <c r="C157" s="136">
        <v>2.37</v>
      </c>
      <c r="D157" s="135">
        <f t="shared" si="61"/>
        <v>2.37</v>
      </c>
      <c r="E157" s="135">
        <f t="shared" si="61"/>
        <v>2.37</v>
      </c>
      <c r="F157" s="135">
        <f t="shared" si="61"/>
        <v>2.37</v>
      </c>
      <c r="G157" s="135">
        <f t="shared" si="61"/>
        <v>2.37</v>
      </c>
      <c r="H157" s="135">
        <f t="shared" si="61"/>
        <v>2.37</v>
      </c>
      <c r="I157" s="135">
        <f t="shared" si="61"/>
        <v>2.37</v>
      </c>
      <c r="J157" s="135">
        <f t="shared" si="61"/>
        <v>2.37</v>
      </c>
      <c r="K157" s="135">
        <f t="shared" si="61"/>
        <v>2.37</v>
      </c>
      <c r="L157" s="135">
        <f t="shared" si="61"/>
        <v>2.37</v>
      </c>
      <c r="M157" s="135">
        <f t="shared" si="61"/>
        <v>2.37</v>
      </c>
      <c r="N157" s="135">
        <f t="shared" si="61"/>
        <v>2.37</v>
      </c>
      <c r="O157" s="135">
        <f t="shared" si="61"/>
        <v>2.37</v>
      </c>
      <c r="P157" s="135">
        <f t="shared" si="61"/>
        <v>2.37</v>
      </c>
      <c r="Q157" s="135">
        <f t="shared" si="61"/>
        <v>2.37</v>
      </c>
      <c r="R157" s="135">
        <f t="shared" si="61"/>
        <v>2.37</v>
      </c>
      <c r="S157" s="135">
        <f t="shared" si="61"/>
        <v>2.37</v>
      </c>
      <c r="T157" s="135">
        <f t="shared" si="62"/>
        <v>2.37</v>
      </c>
      <c r="U157" s="135">
        <f t="shared" si="62"/>
        <v>2.37</v>
      </c>
      <c r="V157" s="135">
        <f t="shared" si="62"/>
        <v>2.37</v>
      </c>
      <c r="W157" s="135">
        <f t="shared" si="62"/>
        <v>2.37</v>
      </c>
      <c r="X157" s="135">
        <f t="shared" si="62"/>
        <v>2.37</v>
      </c>
      <c r="Y157" s="135">
        <f t="shared" si="62"/>
        <v>2.37</v>
      </c>
      <c r="Z157" s="135">
        <f t="shared" si="62"/>
        <v>2.37</v>
      </c>
      <c r="AA157" s="135">
        <f t="shared" si="62"/>
        <v>2.37</v>
      </c>
      <c r="AB157" s="135">
        <f t="shared" si="62"/>
        <v>2.37</v>
      </c>
      <c r="AC157" s="135">
        <f t="shared" si="62"/>
        <v>2.37</v>
      </c>
      <c r="AD157" s="135">
        <f t="shared" si="62"/>
        <v>2.37</v>
      </c>
      <c r="AE157" s="135">
        <f t="shared" si="62"/>
        <v>2.37</v>
      </c>
      <c r="AF157" s="135">
        <f t="shared" si="62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60"/>
        <v>1.81</v>
      </c>
      <c r="C158" s="136">
        <v>1.81</v>
      </c>
      <c r="D158" s="135">
        <f t="shared" si="61"/>
        <v>1.81</v>
      </c>
      <c r="E158" s="135">
        <f t="shared" si="61"/>
        <v>1.81</v>
      </c>
      <c r="F158" s="135">
        <f t="shared" si="61"/>
        <v>1.81</v>
      </c>
      <c r="G158" s="135">
        <f t="shared" si="61"/>
        <v>1.81</v>
      </c>
      <c r="H158" s="135">
        <f t="shared" si="61"/>
        <v>1.81</v>
      </c>
      <c r="I158" s="135">
        <f t="shared" si="61"/>
        <v>1.81</v>
      </c>
      <c r="J158" s="135">
        <f t="shared" si="61"/>
        <v>1.81</v>
      </c>
      <c r="K158" s="135">
        <f t="shared" si="61"/>
        <v>1.81</v>
      </c>
      <c r="L158" s="135">
        <f t="shared" si="61"/>
        <v>1.81</v>
      </c>
      <c r="M158" s="135">
        <f t="shared" si="61"/>
        <v>1.81</v>
      </c>
      <c r="N158" s="135">
        <f t="shared" si="61"/>
        <v>1.81</v>
      </c>
      <c r="O158" s="135">
        <f t="shared" si="61"/>
        <v>1.81</v>
      </c>
      <c r="P158" s="135">
        <f t="shared" si="61"/>
        <v>1.81</v>
      </c>
      <c r="Q158" s="135">
        <f t="shared" si="61"/>
        <v>1.81</v>
      </c>
      <c r="R158" s="135">
        <f t="shared" si="61"/>
        <v>1.81</v>
      </c>
      <c r="S158" s="135">
        <f t="shared" si="61"/>
        <v>1.81</v>
      </c>
      <c r="T158" s="135">
        <f t="shared" si="62"/>
        <v>1.81</v>
      </c>
      <c r="U158" s="135">
        <f t="shared" si="62"/>
        <v>1.81</v>
      </c>
      <c r="V158" s="135">
        <f t="shared" si="62"/>
        <v>1.81</v>
      </c>
      <c r="W158" s="135">
        <f t="shared" si="62"/>
        <v>1.81</v>
      </c>
      <c r="X158" s="135">
        <f t="shared" si="62"/>
        <v>1.81</v>
      </c>
      <c r="Y158" s="135">
        <f t="shared" si="62"/>
        <v>1.81</v>
      </c>
      <c r="Z158" s="135">
        <f t="shared" si="62"/>
        <v>1.81</v>
      </c>
      <c r="AA158" s="135">
        <f t="shared" si="62"/>
        <v>1.81</v>
      </c>
      <c r="AB158" s="135">
        <f t="shared" si="62"/>
        <v>1.81</v>
      </c>
      <c r="AC158" s="135">
        <f t="shared" si="62"/>
        <v>1.81</v>
      </c>
      <c r="AD158" s="135">
        <f t="shared" si="62"/>
        <v>1.81</v>
      </c>
      <c r="AE158" s="135">
        <f t="shared" si="62"/>
        <v>1.81</v>
      </c>
      <c r="AF158" s="135">
        <f t="shared" si="62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60"/>
        <v>1.0900000000000001</v>
      </c>
      <c r="C159" s="136">
        <v>1.0900000000000001</v>
      </c>
      <c r="D159" s="135">
        <f t="shared" si="61"/>
        <v>1.0900000000000001</v>
      </c>
      <c r="E159" s="135">
        <f t="shared" si="61"/>
        <v>1.0900000000000001</v>
      </c>
      <c r="F159" s="135">
        <f t="shared" si="61"/>
        <v>1.0900000000000001</v>
      </c>
      <c r="G159" s="135">
        <f t="shared" si="61"/>
        <v>1.0900000000000001</v>
      </c>
      <c r="H159" s="135">
        <f t="shared" si="61"/>
        <v>1.0900000000000001</v>
      </c>
      <c r="I159" s="135">
        <f t="shared" si="61"/>
        <v>1.0900000000000001</v>
      </c>
      <c r="J159" s="135">
        <f t="shared" si="61"/>
        <v>1.0900000000000001</v>
      </c>
      <c r="K159" s="135">
        <f t="shared" si="61"/>
        <v>1.0900000000000001</v>
      </c>
      <c r="L159" s="135">
        <f t="shared" si="61"/>
        <v>1.0900000000000001</v>
      </c>
      <c r="M159" s="135">
        <f t="shared" si="61"/>
        <v>1.0900000000000001</v>
      </c>
      <c r="N159" s="135">
        <f t="shared" si="61"/>
        <v>1.0900000000000001</v>
      </c>
      <c r="O159" s="135">
        <f t="shared" si="61"/>
        <v>1.0900000000000001</v>
      </c>
      <c r="P159" s="135">
        <f t="shared" si="61"/>
        <v>1.0900000000000001</v>
      </c>
      <c r="Q159" s="135">
        <f t="shared" si="61"/>
        <v>1.0900000000000001</v>
      </c>
      <c r="R159" s="135">
        <f t="shared" si="61"/>
        <v>1.0900000000000001</v>
      </c>
      <c r="S159" s="135">
        <f t="shared" si="61"/>
        <v>1.0900000000000001</v>
      </c>
      <c r="T159" s="135">
        <f t="shared" si="62"/>
        <v>1.0900000000000001</v>
      </c>
      <c r="U159" s="135">
        <f t="shared" si="62"/>
        <v>1.0900000000000001</v>
      </c>
      <c r="V159" s="135">
        <f t="shared" si="62"/>
        <v>1.0900000000000001</v>
      </c>
      <c r="W159" s="135">
        <f t="shared" si="62"/>
        <v>1.0900000000000001</v>
      </c>
      <c r="X159" s="135">
        <f t="shared" si="62"/>
        <v>1.0900000000000001</v>
      </c>
      <c r="Y159" s="135">
        <f t="shared" si="62"/>
        <v>1.0900000000000001</v>
      </c>
      <c r="Z159" s="135">
        <f t="shared" si="62"/>
        <v>1.0900000000000001</v>
      </c>
      <c r="AA159" s="135">
        <f t="shared" si="62"/>
        <v>1.0900000000000001</v>
      </c>
      <c r="AB159" s="135">
        <f t="shared" si="62"/>
        <v>1.0900000000000001</v>
      </c>
      <c r="AC159" s="135">
        <f t="shared" si="62"/>
        <v>1.0900000000000001</v>
      </c>
      <c r="AD159" s="135">
        <f t="shared" si="62"/>
        <v>1.0900000000000001</v>
      </c>
      <c r="AE159" s="135">
        <f t="shared" si="62"/>
        <v>1.0900000000000001</v>
      </c>
      <c r="AF159" s="135">
        <f t="shared" si="62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60"/>
        <v>1.58</v>
      </c>
      <c r="C160" s="136">
        <v>1.58</v>
      </c>
      <c r="D160" s="135">
        <f t="shared" si="61"/>
        <v>1.58</v>
      </c>
      <c r="E160" s="135">
        <f t="shared" si="61"/>
        <v>1.58</v>
      </c>
      <c r="F160" s="135">
        <f t="shared" si="61"/>
        <v>1.58</v>
      </c>
      <c r="G160" s="135">
        <f t="shared" si="61"/>
        <v>1.58</v>
      </c>
      <c r="H160" s="135">
        <f t="shared" si="61"/>
        <v>1.58</v>
      </c>
      <c r="I160" s="135">
        <f t="shared" si="61"/>
        <v>1.58</v>
      </c>
      <c r="J160" s="135">
        <f t="shared" si="61"/>
        <v>1.58</v>
      </c>
      <c r="K160" s="135">
        <f t="shared" si="61"/>
        <v>1.58</v>
      </c>
      <c r="L160" s="135">
        <f t="shared" si="61"/>
        <v>1.58</v>
      </c>
      <c r="M160" s="135">
        <f t="shared" si="61"/>
        <v>1.58</v>
      </c>
      <c r="N160" s="135">
        <f t="shared" si="61"/>
        <v>1.58</v>
      </c>
      <c r="O160" s="135">
        <f t="shared" si="61"/>
        <v>1.58</v>
      </c>
      <c r="P160" s="135">
        <f t="shared" si="61"/>
        <v>1.58</v>
      </c>
      <c r="Q160" s="135">
        <f t="shared" si="61"/>
        <v>1.58</v>
      </c>
      <c r="R160" s="135">
        <f t="shared" si="61"/>
        <v>1.58</v>
      </c>
      <c r="S160" s="135">
        <f t="shared" si="61"/>
        <v>1.58</v>
      </c>
      <c r="T160" s="135">
        <f t="shared" si="62"/>
        <v>1.58</v>
      </c>
      <c r="U160" s="135">
        <f t="shared" si="62"/>
        <v>1.58</v>
      </c>
      <c r="V160" s="135">
        <f t="shared" si="62"/>
        <v>1.58</v>
      </c>
      <c r="W160" s="135">
        <f t="shared" si="62"/>
        <v>1.58</v>
      </c>
      <c r="X160" s="135">
        <f t="shared" si="62"/>
        <v>1.58</v>
      </c>
      <c r="Y160" s="135">
        <f t="shared" si="62"/>
        <v>1.58</v>
      </c>
      <c r="Z160" s="135">
        <f t="shared" si="62"/>
        <v>1.58</v>
      </c>
      <c r="AA160" s="135">
        <f t="shared" si="62"/>
        <v>1.58</v>
      </c>
      <c r="AB160" s="135">
        <f t="shared" si="62"/>
        <v>1.58</v>
      </c>
      <c r="AC160" s="135">
        <f t="shared" si="62"/>
        <v>1.58</v>
      </c>
      <c r="AD160" s="135">
        <f t="shared" si="62"/>
        <v>1.58</v>
      </c>
      <c r="AE160" s="135">
        <f t="shared" si="62"/>
        <v>1.58</v>
      </c>
      <c r="AF160" s="135">
        <f t="shared" si="62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60"/>
        <v>2</v>
      </c>
      <c r="C161" s="136">
        <v>2</v>
      </c>
      <c r="D161" s="135">
        <f t="shared" si="61"/>
        <v>2</v>
      </c>
      <c r="E161" s="135">
        <f t="shared" si="61"/>
        <v>2</v>
      </c>
      <c r="F161" s="135">
        <f t="shared" si="61"/>
        <v>2</v>
      </c>
      <c r="G161" s="135">
        <f t="shared" si="61"/>
        <v>2</v>
      </c>
      <c r="H161" s="135">
        <f t="shared" si="61"/>
        <v>2</v>
      </c>
      <c r="I161" s="135">
        <f t="shared" si="61"/>
        <v>2</v>
      </c>
      <c r="J161" s="135">
        <f t="shared" si="61"/>
        <v>2</v>
      </c>
      <c r="K161" s="135">
        <f t="shared" si="61"/>
        <v>2</v>
      </c>
      <c r="L161" s="135">
        <f t="shared" si="61"/>
        <v>2</v>
      </c>
      <c r="M161" s="135">
        <f t="shared" si="61"/>
        <v>2</v>
      </c>
      <c r="N161" s="135">
        <f t="shared" si="61"/>
        <v>2</v>
      </c>
      <c r="O161" s="135">
        <f t="shared" si="61"/>
        <v>2</v>
      </c>
      <c r="P161" s="135">
        <f t="shared" si="61"/>
        <v>2</v>
      </c>
      <c r="Q161" s="135">
        <f t="shared" si="61"/>
        <v>2</v>
      </c>
      <c r="R161" s="135">
        <f t="shared" si="61"/>
        <v>2</v>
      </c>
      <c r="S161" s="135">
        <f t="shared" si="61"/>
        <v>2</v>
      </c>
      <c r="T161" s="135">
        <f t="shared" si="62"/>
        <v>2</v>
      </c>
      <c r="U161" s="135">
        <f t="shared" si="62"/>
        <v>2</v>
      </c>
      <c r="V161" s="135">
        <f t="shared" si="62"/>
        <v>2</v>
      </c>
      <c r="W161" s="135">
        <f t="shared" si="62"/>
        <v>2</v>
      </c>
      <c r="X161" s="135">
        <f t="shared" si="62"/>
        <v>2</v>
      </c>
      <c r="Y161" s="135">
        <f t="shared" si="62"/>
        <v>2</v>
      </c>
      <c r="Z161" s="135">
        <f t="shared" si="62"/>
        <v>2</v>
      </c>
      <c r="AA161" s="135">
        <f t="shared" si="62"/>
        <v>2</v>
      </c>
      <c r="AB161" s="135">
        <f t="shared" si="62"/>
        <v>2</v>
      </c>
      <c r="AC161" s="135">
        <f t="shared" si="62"/>
        <v>2</v>
      </c>
      <c r="AD161" s="135">
        <f t="shared" si="62"/>
        <v>2</v>
      </c>
      <c r="AE161" s="135">
        <f t="shared" si="62"/>
        <v>2</v>
      </c>
      <c r="AF161" s="135">
        <f t="shared" si="62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60"/>
        <v>0.47</v>
      </c>
      <c r="C162" s="136">
        <v>0.47</v>
      </c>
      <c r="D162" s="135">
        <f t="shared" si="61"/>
        <v>0.47</v>
      </c>
      <c r="E162" s="135">
        <f t="shared" si="61"/>
        <v>0.47</v>
      </c>
      <c r="F162" s="135">
        <f t="shared" si="61"/>
        <v>0.47</v>
      </c>
      <c r="G162" s="135">
        <f t="shared" si="61"/>
        <v>0.47</v>
      </c>
      <c r="H162" s="135">
        <f t="shared" si="61"/>
        <v>0.47</v>
      </c>
      <c r="I162" s="135">
        <f t="shared" si="61"/>
        <v>0.47</v>
      </c>
      <c r="J162" s="135">
        <f t="shared" si="61"/>
        <v>0.47</v>
      </c>
      <c r="K162" s="135">
        <f t="shared" si="61"/>
        <v>0.47</v>
      </c>
      <c r="L162" s="135">
        <f t="shared" si="61"/>
        <v>0.47</v>
      </c>
      <c r="M162" s="135">
        <f t="shared" si="61"/>
        <v>0.47</v>
      </c>
      <c r="N162" s="135">
        <f t="shared" si="61"/>
        <v>0.47</v>
      </c>
      <c r="O162" s="135">
        <f t="shared" si="61"/>
        <v>0.47</v>
      </c>
      <c r="P162" s="135">
        <f t="shared" si="61"/>
        <v>0.47</v>
      </c>
      <c r="Q162" s="135">
        <f t="shared" si="61"/>
        <v>0.47</v>
      </c>
      <c r="R162" s="135">
        <f t="shared" si="61"/>
        <v>0.47</v>
      </c>
      <c r="S162" s="135">
        <f t="shared" si="61"/>
        <v>0.47</v>
      </c>
      <c r="T162" s="135">
        <f t="shared" si="62"/>
        <v>0.47</v>
      </c>
      <c r="U162" s="135">
        <f t="shared" si="62"/>
        <v>0.47</v>
      </c>
      <c r="V162" s="135">
        <f t="shared" si="62"/>
        <v>0.47</v>
      </c>
      <c r="W162" s="135">
        <f t="shared" si="62"/>
        <v>0.47</v>
      </c>
      <c r="X162" s="135">
        <f t="shared" si="62"/>
        <v>0.47</v>
      </c>
      <c r="Y162" s="135">
        <f t="shared" si="62"/>
        <v>0.47</v>
      </c>
      <c r="Z162" s="135">
        <f t="shared" si="62"/>
        <v>0.47</v>
      </c>
      <c r="AA162" s="135">
        <f t="shared" si="62"/>
        <v>0.47</v>
      </c>
      <c r="AB162" s="135">
        <f t="shared" si="62"/>
        <v>0.47</v>
      </c>
      <c r="AC162" s="135">
        <f t="shared" si="62"/>
        <v>0.47</v>
      </c>
      <c r="AD162" s="135">
        <f t="shared" si="62"/>
        <v>0.47</v>
      </c>
      <c r="AE162" s="135">
        <f t="shared" si="62"/>
        <v>0.47</v>
      </c>
      <c r="AF162" s="135">
        <f t="shared" si="62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60"/>
        <v>0</v>
      </c>
      <c r="C163" s="136">
        <v>0</v>
      </c>
      <c r="D163" s="135">
        <f t="shared" si="61"/>
        <v>0</v>
      </c>
      <c r="E163" s="135">
        <f t="shared" si="61"/>
        <v>0</v>
      </c>
      <c r="F163" s="135">
        <f t="shared" si="61"/>
        <v>0</v>
      </c>
      <c r="G163" s="135">
        <f t="shared" si="61"/>
        <v>0</v>
      </c>
      <c r="H163" s="135">
        <f t="shared" si="61"/>
        <v>0</v>
      </c>
      <c r="I163" s="135">
        <f t="shared" si="61"/>
        <v>0</v>
      </c>
      <c r="J163" s="135">
        <f t="shared" si="61"/>
        <v>0</v>
      </c>
      <c r="K163" s="135">
        <f t="shared" si="61"/>
        <v>0</v>
      </c>
      <c r="L163" s="135">
        <f t="shared" si="61"/>
        <v>0</v>
      </c>
      <c r="M163" s="135">
        <f t="shared" si="61"/>
        <v>0</v>
      </c>
      <c r="N163" s="135">
        <f t="shared" si="61"/>
        <v>0</v>
      </c>
      <c r="O163" s="135">
        <f t="shared" si="61"/>
        <v>0</v>
      </c>
      <c r="P163" s="135">
        <f t="shared" si="61"/>
        <v>0</v>
      </c>
      <c r="Q163" s="135">
        <f t="shared" si="61"/>
        <v>0</v>
      </c>
      <c r="R163" s="135">
        <f t="shared" si="61"/>
        <v>0</v>
      </c>
      <c r="S163" s="135">
        <f t="shared" si="61"/>
        <v>0</v>
      </c>
      <c r="T163" s="135">
        <f t="shared" si="62"/>
        <v>0</v>
      </c>
      <c r="U163" s="135">
        <f t="shared" si="62"/>
        <v>0</v>
      </c>
      <c r="V163" s="135">
        <f t="shared" si="62"/>
        <v>0</v>
      </c>
      <c r="W163" s="135">
        <f t="shared" si="62"/>
        <v>0</v>
      </c>
      <c r="X163" s="135">
        <f t="shared" si="62"/>
        <v>0</v>
      </c>
      <c r="Y163" s="135">
        <f t="shared" si="62"/>
        <v>0</v>
      </c>
      <c r="Z163" s="135">
        <f t="shared" si="62"/>
        <v>0</v>
      </c>
      <c r="AA163" s="135">
        <f t="shared" si="62"/>
        <v>0</v>
      </c>
      <c r="AB163" s="135">
        <f t="shared" si="62"/>
        <v>0</v>
      </c>
      <c r="AC163" s="135">
        <f t="shared" si="62"/>
        <v>0</v>
      </c>
      <c r="AD163" s="135">
        <f t="shared" si="62"/>
        <v>0</v>
      </c>
      <c r="AE163" s="135">
        <f t="shared" si="62"/>
        <v>0</v>
      </c>
      <c r="AF163" s="135">
        <f t="shared" si="62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60"/>
        <v>0</v>
      </c>
      <c r="C164" s="136">
        <v>0</v>
      </c>
      <c r="D164" s="135">
        <f t="shared" si="61"/>
        <v>0</v>
      </c>
      <c r="E164" s="135">
        <f t="shared" si="61"/>
        <v>0</v>
      </c>
      <c r="F164" s="135">
        <f t="shared" si="61"/>
        <v>0</v>
      </c>
      <c r="G164" s="135">
        <f t="shared" si="61"/>
        <v>0</v>
      </c>
      <c r="H164" s="135">
        <f t="shared" si="61"/>
        <v>0</v>
      </c>
      <c r="I164" s="135">
        <f t="shared" si="61"/>
        <v>0</v>
      </c>
      <c r="J164" s="135">
        <f t="shared" si="61"/>
        <v>0</v>
      </c>
      <c r="K164" s="135">
        <f t="shared" si="61"/>
        <v>0</v>
      </c>
      <c r="L164" s="135">
        <f t="shared" si="61"/>
        <v>0</v>
      </c>
      <c r="M164" s="135">
        <f t="shared" si="61"/>
        <v>0</v>
      </c>
      <c r="N164" s="135">
        <f t="shared" si="61"/>
        <v>0</v>
      </c>
      <c r="O164" s="135">
        <f t="shared" si="61"/>
        <v>0</v>
      </c>
      <c r="P164" s="135">
        <f t="shared" si="61"/>
        <v>0</v>
      </c>
      <c r="Q164" s="135">
        <f t="shared" si="61"/>
        <v>0</v>
      </c>
      <c r="R164" s="135">
        <f t="shared" si="61"/>
        <v>0</v>
      </c>
      <c r="S164" s="135">
        <f t="shared" si="62"/>
        <v>0</v>
      </c>
      <c r="T164" s="135">
        <f t="shared" si="62"/>
        <v>0</v>
      </c>
      <c r="U164" s="135">
        <f t="shared" si="62"/>
        <v>0</v>
      </c>
      <c r="V164" s="135">
        <f t="shared" si="62"/>
        <v>0</v>
      </c>
      <c r="W164" s="135">
        <f t="shared" si="62"/>
        <v>0</v>
      </c>
      <c r="X164" s="135">
        <f t="shared" si="62"/>
        <v>0</v>
      </c>
      <c r="Y164" s="135">
        <f t="shared" si="62"/>
        <v>0</v>
      </c>
      <c r="Z164" s="135">
        <f t="shared" si="62"/>
        <v>0</v>
      </c>
      <c r="AA164" s="135">
        <f t="shared" si="62"/>
        <v>0</v>
      </c>
      <c r="AB164" s="135">
        <f t="shared" si="62"/>
        <v>0</v>
      </c>
      <c r="AC164" s="135">
        <f t="shared" si="62"/>
        <v>0</v>
      </c>
      <c r="AD164" s="135">
        <f t="shared" si="62"/>
        <v>0</v>
      </c>
      <c r="AE164" s="135">
        <f t="shared" si="62"/>
        <v>0</v>
      </c>
      <c r="AF164" s="135">
        <f t="shared" si="62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60"/>
        <v>0.8</v>
      </c>
      <c r="C165" s="136">
        <v>0.8</v>
      </c>
      <c r="D165" s="135">
        <f t="shared" si="61"/>
        <v>0.8</v>
      </c>
      <c r="E165" s="135">
        <f t="shared" si="61"/>
        <v>0.8</v>
      </c>
      <c r="F165" s="135">
        <f t="shared" si="61"/>
        <v>0.8</v>
      </c>
      <c r="G165" s="135">
        <f t="shared" si="61"/>
        <v>0.8</v>
      </c>
      <c r="H165" s="135">
        <f t="shared" si="61"/>
        <v>0.8</v>
      </c>
      <c r="I165" s="135">
        <f t="shared" si="61"/>
        <v>0.8</v>
      </c>
      <c r="J165" s="135">
        <f t="shared" si="61"/>
        <v>0.8</v>
      </c>
      <c r="K165" s="135">
        <f t="shared" si="61"/>
        <v>0.8</v>
      </c>
      <c r="L165" s="135">
        <f t="shared" si="61"/>
        <v>0.8</v>
      </c>
      <c r="M165" s="135">
        <f t="shared" si="61"/>
        <v>0.8</v>
      </c>
      <c r="N165" s="135">
        <f t="shared" si="61"/>
        <v>0.8</v>
      </c>
      <c r="O165" s="135">
        <f t="shared" si="61"/>
        <v>0.8</v>
      </c>
      <c r="P165" s="135">
        <f t="shared" si="61"/>
        <v>0.8</v>
      </c>
      <c r="Q165" s="135">
        <f t="shared" si="61"/>
        <v>0.8</v>
      </c>
      <c r="R165" s="135">
        <f t="shared" si="61"/>
        <v>0.8</v>
      </c>
      <c r="S165" s="135">
        <f t="shared" si="62"/>
        <v>0.8</v>
      </c>
      <c r="T165" s="135">
        <f t="shared" si="62"/>
        <v>0.8</v>
      </c>
      <c r="U165" s="135">
        <f t="shared" si="62"/>
        <v>0.8</v>
      </c>
      <c r="V165" s="135">
        <f t="shared" si="62"/>
        <v>0.8</v>
      </c>
      <c r="W165" s="135">
        <f t="shared" si="62"/>
        <v>0.8</v>
      </c>
      <c r="X165" s="135">
        <f t="shared" si="62"/>
        <v>0.8</v>
      </c>
      <c r="Y165" s="135">
        <f t="shared" si="62"/>
        <v>0.8</v>
      </c>
      <c r="Z165" s="135">
        <f t="shared" si="62"/>
        <v>0.8</v>
      </c>
      <c r="AA165" s="135">
        <f t="shared" si="62"/>
        <v>0.8</v>
      </c>
      <c r="AB165" s="135">
        <f t="shared" si="62"/>
        <v>0.8</v>
      </c>
      <c r="AC165" s="135">
        <f t="shared" si="62"/>
        <v>0.8</v>
      </c>
      <c r="AD165" s="135">
        <f t="shared" si="62"/>
        <v>0.8</v>
      </c>
      <c r="AE165" s="135">
        <f t="shared" si="62"/>
        <v>0.8</v>
      </c>
      <c r="AF165" s="135">
        <f t="shared" si="62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60"/>
        <v>1.5</v>
      </c>
      <c r="C166" s="136">
        <v>1.5</v>
      </c>
      <c r="D166" s="135">
        <f t="shared" si="61"/>
        <v>1.5</v>
      </c>
      <c r="E166" s="135">
        <f t="shared" si="61"/>
        <v>1.5</v>
      </c>
      <c r="F166" s="135">
        <f t="shared" si="61"/>
        <v>1.5</v>
      </c>
      <c r="G166" s="135">
        <f t="shared" si="61"/>
        <v>1.5</v>
      </c>
      <c r="H166" s="135">
        <f t="shared" si="61"/>
        <v>1.5</v>
      </c>
      <c r="I166" s="135">
        <f t="shared" si="61"/>
        <v>1.5</v>
      </c>
      <c r="J166" s="135">
        <f t="shared" si="61"/>
        <v>1.5</v>
      </c>
      <c r="K166" s="135">
        <f t="shared" si="61"/>
        <v>1.5</v>
      </c>
      <c r="L166" s="135">
        <f t="shared" si="61"/>
        <v>1.5</v>
      </c>
      <c r="M166" s="135">
        <f t="shared" si="61"/>
        <v>1.5</v>
      </c>
      <c r="N166" s="135">
        <f t="shared" si="61"/>
        <v>1.5</v>
      </c>
      <c r="O166" s="135">
        <f t="shared" si="61"/>
        <v>1.5</v>
      </c>
      <c r="P166" s="135">
        <f t="shared" si="61"/>
        <v>1.5</v>
      </c>
      <c r="Q166" s="135">
        <f t="shared" si="61"/>
        <v>1.5</v>
      </c>
      <c r="R166" s="135">
        <f t="shared" si="61"/>
        <v>1.5</v>
      </c>
      <c r="S166" s="135">
        <f t="shared" si="62"/>
        <v>1.5</v>
      </c>
      <c r="T166" s="135">
        <f t="shared" si="62"/>
        <v>1.5</v>
      </c>
      <c r="U166" s="135">
        <f t="shared" si="62"/>
        <v>1.5</v>
      </c>
      <c r="V166" s="135">
        <f t="shared" si="62"/>
        <v>1.5</v>
      </c>
      <c r="W166" s="135">
        <f t="shared" si="62"/>
        <v>1.5</v>
      </c>
      <c r="X166" s="135">
        <f t="shared" si="62"/>
        <v>1.5</v>
      </c>
      <c r="Y166" s="135">
        <f t="shared" si="62"/>
        <v>1.5</v>
      </c>
      <c r="Z166" s="135">
        <f t="shared" si="62"/>
        <v>1.5</v>
      </c>
      <c r="AA166" s="135">
        <f t="shared" si="62"/>
        <v>1.5</v>
      </c>
      <c r="AB166" s="135">
        <f t="shared" si="62"/>
        <v>1.5</v>
      </c>
      <c r="AC166" s="135">
        <f t="shared" si="62"/>
        <v>1.5</v>
      </c>
      <c r="AD166" s="135">
        <f t="shared" si="62"/>
        <v>1.5</v>
      </c>
      <c r="AE166" s="135">
        <f t="shared" si="62"/>
        <v>1.5</v>
      </c>
      <c r="AF166" s="135">
        <f t="shared" si="62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60"/>
        <v>1</v>
      </c>
      <c r="C167" s="136">
        <v>1</v>
      </c>
      <c r="D167" s="135">
        <f t="shared" si="61"/>
        <v>1</v>
      </c>
      <c r="E167" s="135">
        <f t="shared" si="61"/>
        <v>1</v>
      </c>
      <c r="F167" s="135">
        <f t="shared" si="61"/>
        <v>1</v>
      </c>
      <c r="G167" s="135">
        <f t="shared" si="61"/>
        <v>1</v>
      </c>
      <c r="H167" s="135">
        <f t="shared" si="61"/>
        <v>1</v>
      </c>
      <c r="I167" s="135">
        <f t="shared" si="61"/>
        <v>1</v>
      </c>
      <c r="J167" s="135">
        <f t="shared" si="61"/>
        <v>1</v>
      </c>
      <c r="K167" s="135">
        <f t="shared" si="61"/>
        <v>1</v>
      </c>
      <c r="L167" s="135">
        <f t="shared" si="61"/>
        <v>1</v>
      </c>
      <c r="M167" s="135">
        <f t="shared" si="61"/>
        <v>1</v>
      </c>
      <c r="N167" s="135">
        <f t="shared" si="61"/>
        <v>1</v>
      </c>
      <c r="O167" s="135">
        <f t="shared" si="61"/>
        <v>1</v>
      </c>
      <c r="P167" s="135">
        <f t="shared" si="61"/>
        <v>1</v>
      </c>
      <c r="Q167" s="135">
        <f t="shared" si="61"/>
        <v>1</v>
      </c>
      <c r="R167" s="135">
        <f t="shared" si="61"/>
        <v>1</v>
      </c>
      <c r="S167" s="135">
        <f t="shared" si="62"/>
        <v>1</v>
      </c>
      <c r="T167" s="135">
        <f t="shared" si="62"/>
        <v>1</v>
      </c>
      <c r="U167" s="135">
        <f t="shared" si="62"/>
        <v>1</v>
      </c>
      <c r="V167" s="135">
        <f t="shared" si="62"/>
        <v>1</v>
      </c>
      <c r="W167" s="135">
        <f t="shared" si="62"/>
        <v>1</v>
      </c>
      <c r="X167" s="135">
        <f t="shared" si="62"/>
        <v>1</v>
      </c>
      <c r="Y167" s="135">
        <f t="shared" si="62"/>
        <v>1</v>
      </c>
      <c r="Z167" s="135">
        <f t="shared" si="62"/>
        <v>1</v>
      </c>
      <c r="AA167" s="135">
        <f t="shared" si="62"/>
        <v>1</v>
      </c>
      <c r="AB167" s="135">
        <f t="shared" si="62"/>
        <v>1</v>
      </c>
      <c r="AC167" s="135">
        <f t="shared" si="62"/>
        <v>1</v>
      </c>
      <c r="AD167" s="135">
        <f t="shared" si="62"/>
        <v>1</v>
      </c>
      <c r="AE167" s="135">
        <f t="shared" si="62"/>
        <v>1</v>
      </c>
      <c r="AF167" s="135">
        <f t="shared" si="62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63">AF169</f>
        <v>1</v>
      </c>
      <c r="C169" s="136">
        <v>1</v>
      </c>
      <c r="D169" s="135">
        <f t="shared" ref="D169:S176" si="64">C169</f>
        <v>1</v>
      </c>
      <c r="E169" s="135">
        <f t="shared" si="64"/>
        <v>1</v>
      </c>
      <c r="F169" s="135">
        <f t="shared" si="64"/>
        <v>1</v>
      </c>
      <c r="G169" s="135">
        <f t="shared" si="64"/>
        <v>1</v>
      </c>
      <c r="H169" s="135">
        <f t="shared" si="64"/>
        <v>1</v>
      </c>
      <c r="I169" s="135">
        <f t="shared" si="64"/>
        <v>1</v>
      </c>
      <c r="J169" s="135">
        <f t="shared" si="64"/>
        <v>1</v>
      </c>
      <c r="K169" s="135">
        <f t="shared" si="64"/>
        <v>1</v>
      </c>
      <c r="L169" s="135">
        <f t="shared" si="64"/>
        <v>1</v>
      </c>
      <c r="M169" s="135">
        <f t="shared" si="64"/>
        <v>1</v>
      </c>
      <c r="N169" s="135">
        <f t="shared" si="64"/>
        <v>1</v>
      </c>
      <c r="O169" s="135">
        <f t="shared" si="64"/>
        <v>1</v>
      </c>
      <c r="P169" s="135">
        <f t="shared" si="64"/>
        <v>1</v>
      </c>
      <c r="Q169" s="135">
        <f t="shared" si="64"/>
        <v>1</v>
      </c>
      <c r="R169" s="135">
        <f t="shared" si="64"/>
        <v>1</v>
      </c>
      <c r="S169" s="135">
        <f t="shared" si="64"/>
        <v>1</v>
      </c>
      <c r="T169" s="135">
        <f t="shared" ref="S169:AF176" si="65">S169</f>
        <v>1</v>
      </c>
      <c r="U169" s="135">
        <f t="shared" si="65"/>
        <v>1</v>
      </c>
      <c r="V169" s="135">
        <f t="shared" si="65"/>
        <v>1</v>
      </c>
      <c r="W169" s="135">
        <f t="shared" si="65"/>
        <v>1</v>
      </c>
      <c r="X169" s="135">
        <f t="shared" si="65"/>
        <v>1</v>
      </c>
      <c r="Y169" s="135">
        <f t="shared" si="65"/>
        <v>1</v>
      </c>
      <c r="Z169" s="135">
        <f t="shared" si="65"/>
        <v>1</v>
      </c>
      <c r="AA169" s="135">
        <f t="shared" si="65"/>
        <v>1</v>
      </c>
      <c r="AB169" s="135">
        <f t="shared" si="65"/>
        <v>1</v>
      </c>
      <c r="AC169" s="135">
        <f t="shared" si="65"/>
        <v>1</v>
      </c>
      <c r="AD169" s="135">
        <f t="shared" si="65"/>
        <v>1</v>
      </c>
      <c r="AE169" s="135">
        <f t="shared" si="65"/>
        <v>1</v>
      </c>
      <c r="AF169" s="135">
        <f t="shared" si="65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63"/>
        <v>0.42</v>
      </c>
      <c r="C170" s="136">
        <v>0.42</v>
      </c>
      <c r="D170" s="135">
        <f t="shared" si="64"/>
        <v>0.42</v>
      </c>
      <c r="E170" s="135">
        <f t="shared" si="64"/>
        <v>0.42</v>
      </c>
      <c r="F170" s="135">
        <f t="shared" si="64"/>
        <v>0.42</v>
      </c>
      <c r="G170" s="135">
        <f t="shared" si="64"/>
        <v>0.42</v>
      </c>
      <c r="H170" s="135">
        <f t="shared" si="64"/>
        <v>0.42</v>
      </c>
      <c r="I170" s="135">
        <f t="shared" si="64"/>
        <v>0.42</v>
      </c>
      <c r="J170" s="135">
        <f t="shared" si="64"/>
        <v>0.42</v>
      </c>
      <c r="K170" s="135">
        <f t="shared" si="64"/>
        <v>0.42</v>
      </c>
      <c r="L170" s="135">
        <f t="shared" si="64"/>
        <v>0.42</v>
      </c>
      <c r="M170" s="135">
        <f t="shared" si="64"/>
        <v>0.42</v>
      </c>
      <c r="N170" s="135">
        <f t="shared" si="64"/>
        <v>0.42</v>
      </c>
      <c r="O170" s="135">
        <f t="shared" si="64"/>
        <v>0.42</v>
      </c>
      <c r="P170" s="135">
        <f t="shared" si="64"/>
        <v>0.42</v>
      </c>
      <c r="Q170" s="135">
        <f t="shared" si="64"/>
        <v>0.42</v>
      </c>
      <c r="R170" s="135">
        <f t="shared" si="64"/>
        <v>0.42</v>
      </c>
      <c r="S170" s="135">
        <f t="shared" si="65"/>
        <v>0.42</v>
      </c>
      <c r="T170" s="135">
        <f t="shared" si="65"/>
        <v>0.42</v>
      </c>
      <c r="U170" s="135">
        <f t="shared" si="65"/>
        <v>0.42</v>
      </c>
      <c r="V170" s="135">
        <f t="shared" si="65"/>
        <v>0.42</v>
      </c>
      <c r="W170" s="135">
        <f t="shared" si="65"/>
        <v>0.42</v>
      </c>
      <c r="X170" s="135">
        <f t="shared" si="65"/>
        <v>0.42</v>
      </c>
      <c r="Y170" s="135">
        <f t="shared" si="65"/>
        <v>0.42</v>
      </c>
      <c r="Z170" s="135">
        <f t="shared" si="65"/>
        <v>0.42</v>
      </c>
      <c r="AA170" s="135">
        <f t="shared" si="65"/>
        <v>0.42</v>
      </c>
      <c r="AB170" s="135">
        <f t="shared" si="65"/>
        <v>0.42</v>
      </c>
      <c r="AC170" s="135">
        <f t="shared" si="65"/>
        <v>0.42</v>
      </c>
      <c r="AD170" s="135">
        <f t="shared" si="65"/>
        <v>0.42</v>
      </c>
      <c r="AE170" s="135">
        <f t="shared" si="65"/>
        <v>0.42</v>
      </c>
      <c r="AF170" s="135">
        <f t="shared" si="65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63"/>
        <v>0.46</v>
      </c>
      <c r="C171" s="136">
        <v>0.46</v>
      </c>
      <c r="D171" s="135">
        <f t="shared" si="64"/>
        <v>0.46</v>
      </c>
      <c r="E171" s="135">
        <f t="shared" si="64"/>
        <v>0.46</v>
      </c>
      <c r="F171" s="135">
        <f t="shared" si="64"/>
        <v>0.46</v>
      </c>
      <c r="G171" s="135">
        <f t="shared" si="64"/>
        <v>0.46</v>
      </c>
      <c r="H171" s="135">
        <f t="shared" si="64"/>
        <v>0.46</v>
      </c>
      <c r="I171" s="135">
        <f t="shared" si="64"/>
        <v>0.46</v>
      </c>
      <c r="J171" s="135">
        <f t="shared" si="64"/>
        <v>0.46</v>
      </c>
      <c r="K171" s="135">
        <f t="shared" si="64"/>
        <v>0.46</v>
      </c>
      <c r="L171" s="135">
        <f t="shared" si="64"/>
        <v>0.46</v>
      </c>
      <c r="M171" s="135">
        <f t="shared" si="64"/>
        <v>0.46</v>
      </c>
      <c r="N171" s="135">
        <f t="shared" si="64"/>
        <v>0.46</v>
      </c>
      <c r="O171" s="135">
        <f t="shared" si="64"/>
        <v>0.46</v>
      </c>
      <c r="P171" s="135">
        <f t="shared" si="64"/>
        <v>0.46</v>
      </c>
      <c r="Q171" s="135">
        <f t="shared" si="64"/>
        <v>0.46</v>
      </c>
      <c r="R171" s="135">
        <f t="shared" si="64"/>
        <v>0.46</v>
      </c>
      <c r="S171" s="135">
        <f t="shared" si="65"/>
        <v>0.46</v>
      </c>
      <c r="T171" s="135">
        <f t="shared" si="65"/>
        <v>0.46</v>
      </c>
      <c r="U171" s="135">
        <f t="shared" si="65"/>
        <v>0.46</v>
      </c>
      <c r="V171" s="135">
        <f t="shared" si="65"/>
        <v>0.46</v>
      </c>
      <c r="W171" s="135">
        <f t="shared" si="65"/>
        <v>0.46</v>
      </c>
      <c r="X171" s="135">
        <f t="shared" si="65"/>
        <v>0.46</v>
      </c>
      <c r="Y171" s="135">
        <f t="shared" si="65"/>
        <v>0.46</v>
      </c>
      <c r="Z171" s="135">
        <f t="shared" si="65"/>
        <v>0.46</v>
      </c>
      <c r="AA171" s="135">
        <f t="shared" si="65"/>
        <v>0.46</v>
      </c>
      <c r="AB171" s="135">
        <f t="shared" si="65"/>
        <v>0.46</v>
      </c>
      <c r="AC171" s="135">
        <f t="shared" si="65"/>
        <v>0.46</v>
      </c>
      <c r="AD171" s="135">
        <f t="shared" si="65"/>
        <v>0.46</v>
      </c>
      <c r="AE171" s="135">
        <f t="shared" si="65"/>
        <v>0.46</v>
      </c>
      <c r="AF171" s="135">
        <f t="shared" si="65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63"/>
        <v>0.85</v>
      </c>
      <c r="C172" s="136">
        <v>0.85</v>
      </c>
      <c r="D172" s="135">
        <f t="shared" si="64"/>
        <v>0.85</v>
      </c>
      <c r="E172" s="135">
        <f t="shared" si="64"/>
        <v>0.85</v>
      </c>
      <c r="F172" s="135">
        <f t="shared" si="64"/>
        <v>0.85</v>
      </c>
      <c r="G172" s="135">
        <f t="shared" si="64"/>
        <v>0.85</v>
      </c>
      <c r="H172" s="135">
        <f t="shared" si="64"/>
        <v>0.85</v>
      </c>
      <c r="I172" s="135">
        <f t="shared" si="64"/>
        <v>0.85</v>
      </c>
      <c r="J172" s="135">
        <f t="shared" si="64"/>
        <v>0.85</v>
      </c>
      <c r="K172" s="135">
        <f t="shared" si="64"/>
        <v>0.85</v>
      </c>
      <c r="L172" s="135">
        <f t="shared" si="64"/>
        <v>0.85</v>
      </c>
      <c r="M172" s="135">
        <f t="shared" si="64"/>
        <v>0.85</v>
      </c>
      <c r="N172" s="135">
        <f t="shared" si="64"/>
        <v>0.85</v>
      </c>
      <c r="O172" s="135">
        <f t="shared" si="64"/>
        <v>0.85</v>
      </c>
      <c r="P172" s="135">
        <f t="shared" si="64"/>
        <v>0.85</v>
      </c>
      <c r="Q172" s="135">
        <f t="shared" si="64"/>
        <v>0.85</v>
      </c>
      <c r="R172" s="135">
        <f t="shared" si="64"/>
        <v>0.85</v>
      </c>
      <c r="S172" s="135">
        <f t="shared" si="65"/>
        <v>0.85</v>
      </c>
      <c r="T172" s="135">
        <f t="shared" si="65"/>
        <v>0.85</v>
      </c>
      <c r="U172" s="135">
        <f t="shared" si="65"/>
        <v>0.85</v>
      </c>
      <c r="V172" s="135">
        <f t="shared" si="65"/>
        <v>0.85</v>
      </c>
      <c r="W172" s="135">
        <f t="shared" si="65"/>
        <v>0.85</v>
      </c>
      <c r="X172" s="135">
        <f t="shared" si="65"/>
        <v>0.85</v>
      </c>
      <c r="Y172" s="135">
        <f t="shared" si="65"/>
        <v>0.85</v>
      </c>
      <c r="Z172" s="135">
        <f t="shared" si="65"/>
        <v>0.85</v>
      </c>
      <c r="AA172" s="135">
        <f t="shared" si="65"/>
        <v>0.85</v>
      </c>
      <c r="AB172" s="135">
        <f t="shared" si="65"/>
        <v>0.85</v>
      </c>
      <c r="AC172" s="135">
        <f t="shared" si="65"/>
        <v>0.85</v>
      </c>
      <c r="AD172" s="135">
        <f t="shared" si="65"/>
        <v>0.85</v>
      </c>
      <c r="AE172" s="135">
        <f t="shared" si="65"/>
        <v>0.85</v>
      </c>
      <c r="AF172" s="135">
        <f t="shared" si="65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63"/>
        <v>0.9</v>
      </c>
      <c r="C173" s="136">
        <v>0.9</v>
      </c>
      <c r="D173" s="135">
        <f t="shared" si="64"/>
        <v>0.9</v>
      </c>
      <c r="E173" s="135">
        <f t="shared" si="64"/>
        <v>0.9</v>
      </c>
      <c r="F173" s="135">
        <f t="shared" si="64"/>
        <v>0.9</v>
      </c>
      <c r="G173" s="135">
        <f t="shared" si="64"/>
        <v>0.9</v>
      </c>
      <c r="H173" s="135">
        <f t="shared" si="64"/>
        <v>0.9</v>
      </c>
      <c r="I173" s="135">
        <f t="shared" si="64"/>
        <v>0.9</v>
      </c>
      <c r="J173" s="135">
        <f t="shared" si="64"/>
        <v>0.9</v>
      </c>
      <c r="K173" s="135">
        <f t="shared" si="64"/>
        <v>0.9</v>
      </c>
      <c r="L173" s="135">
        <f t="shared" si="64"/>
        <v>0.9</v>
      </c>
      <c r="M173" s="135">
        <f t="shared" si="64"/>
        <v>0.9</v>
      </c>
      <c r="N173" s="135">
        <f t="shared" si="64"/>
        <v>0.9</v>
      </c>
      <c r="O173" s="135">
        <f t="shared" si="64"/>
        <v>0.9</v>
      </c>
      <c r="P173" s="135">
        <f t="shared" si="64"/>
        <v>0.9</v>
      </c>
      <c r="Q173" s="135">
        <f t="shared" si="64"/>
        <v>0.9</v>
      </c>
      <c r="R173" s="135">
        <f t="shared" si="64"/>
        <v>0.9</v>
      </c>
      <c r="S173" s="135">
        <f t="shared" si="65"/>
        <v>0.9</v>
      </c>
      <c r="T173" s="135">
        <f t="shared" si="65"/>
        <v>0.9</v>
      </c>
      <c r="U173" s="135">
        <f t="shared" si="65"/>
        <v>0.9</v>
      </c>
      <c r="V173" s="135">
        <f t="shared" si="65"/>
        <v>0.9</v>
      </c>
      <c r="W173" s="135">
        <f t="shared" si="65"/>
        <v>0.9</v>
      </c>
      <c r="X173" s="135">
        <f t="shared" si="65"/>
        <v>0.9</v>
      </c>
      <c r="Y173" s="135">
        <f t="shared" si="65"/>
        <v>0.9</v>
      </c>
      <c r="Z173" s="135">
        <f t="shared" si="65"/>
        <v>0.9</v>
      </c>
      <c r="AA173" s="135">
        <f t="shared" si="65"/>
        <v>0.9</v>
      </c>
      <c r="AB173" s="135">
        <f t="shared" si="65"/>
        <v>0.9</v>
      </c>
      <c r="AC173" s="135">
        <f t="shared" si="65"/>
        <v>0.9</v>
      </c>
      <c r="AD173" s="135">
        <f t="shared" si="65"/>
        <v>0.9</v>
      </c>
      <c r="AE173" s="135">
        <f t="shared" si="65"/>
        <v>0.9</v>
      </c>
      <c r="AF173" s="135">
        <f t="shared" si="65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63"/>
        <v>0.44</v>
      </c>
      <c r="C174" s="136">
        <v>0.44</v>
      </c>
      <c r="D174" s="135">
        <f t="shared" si="64"/>
        <v>0.44</v>
      </c>
      <c r="E174" s="135">
        <f t="shared" si="64"/>
        <v>0.44</v>
      </c>
      <c r="F174" s="135">
        <f t="shared" si="64"/>
        <v>0.44</v>
      </c>
      <c r="G174" s="135">
        <f t="shared" si="64"/>
        <v>0.44</v>
      </c>
      <c r="H174" s="135">
        <f t="shared" si="64"/>
        <v>0.44</v>
      </c>
      <c r="I174" s="135">
        <f t="shared" si="64"/>
        <v>0.44</v>
      </c>
      <c r="J174" s="135">
        <f t="shared" si="64"/>
        <v>0.44</v>
      </c>
      <c r="K174" s="135">
        <f t="shared" si="64"/>
        <v>0.44</v>
      </c>
      <c r="L174" s="135">
        <f t="shared" si="64"/>
        <v>0.44</v>
      </c>
      <c r="M174" s="135">
        <f t="shared" si="64"/>
        <v>0.44</v>
      </c>
      <c r="N174" s="135">
        <f t="shared" si="64"/>
        <v>0.44</v>
      </c>
      <c r="O174" s="135">
        <f t="shared" si="64"/>
        <v>0.44</v>
      </c>
      <c r="P174" s="135">
        <f t="shared" si="64"/>
        <v>0.44</v>
      </c>
      <c r="Q174" s="135">
        <f t="shared" si="64"/>
        <v>0.44</v>
      </c>
      <c r="R174" s="135">
        <f t="shared" si="64"/>
        <v>0.44</v>
      </c>
      <c r="S174" s="135">
        <f t="shared" si="65"/>
        <v>0.44</v>
      </c>
      <c r="T174" s="135">
        <f t="shared" si="65"/>
        <v>0.44</v>
      </c>
      <c r="U174" s="135">
        <f t="shared" si="65"/>
        <v>0.44</v>
      </c>
      <c r="V174" s="135">
        <f t="shared" si="65"/>
        <v>0.44</v>
      </c>
      <c r="W174" s="135">
        <f t="shared" si="65"/>
        <v>0.44</v>
      </c>
      <c r="X174" s="135">
        <f t="shared" si="65"/>
        <v>0.44</v>
      </c>
      <c r="Y174" s="135">
        <f t="shared" si="65"/>
        <v>0.44</v>
      </c>
      <c r="Z174" s="135">
        <f t="shared" si="65"/>
        <v>0.44</v>
      </c>
      <c r="AA174" s="135">
        <f t="shared" si="65"/>
        <v>0.44</v>
      </c>
      <c r="AB174" s="135">
        <f t="shared" si="65"/>
        <v>0.44</v>
      </c>
      <c r="AC174" s="135">
        <f t="shared" si="65"/>
        <v>0.44</v>
      </c>
      <c r="AD174" s="135">
        <f t="shared" si="65"/>
        <v>0.44</v>
      </c>
      <c r="AE174" s="135">
        <f t="shared" si="65"/>
        <v>0.44</v>
      </c>
      <c r="AF174" s="135">
        <f t="shared" si="65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63"/>
        <v>2.1</v>
      </c>
      <c r="C175" s="136">
        <v>2.1</v>
      </c>
      <c r="D175" s="135">
        <f t="shared" si="64"/>
        <v>2.1</v>
      </c>
      <c r="E175" s="135">
        <f t="shared" si="64"/>
        <v>2.1</v>
      </c>
      <c r="F175" s="135">
        <f t="shared" si="64"/>
        <v>2.1</v>
      </c>
      <c r="G175" s="135">
        <f t="shared" si="64"/>
        <v>2.1</v>
      </c>
      <c r="H175" s="135">
        <f t="shared" si="64"/>
        <v>2.1</v>
      </c>
      <c r="I175" s="135">
        <f t="shared" si="64"/>
        <v>2.1</v>
      </c>
      <c r="J175" s="135">
        <f t="shared" si="64"/>
        <v>2.1</v>
      </c>
      <c r="K175" s="135">
        <f t="shared" si="64"/>
        <v>2.1</v>
      </c>
      <c r="L175" s="135">
        <f t="shared" si="64"/>
        <v>2.1</v>
      </c>
      <c r="M175" s="135">
        <f t="shared" si="64"/>
        <v>2.1</v>
      </c>
      <c r="N175" s="135">
        <f t="shared" si="64"/>
        <v>2.1</v>
      </c>
      <c r="O175" s="135">
        <f t="shared" si="64"/>
        <v>2.1</v>
      </c>
      <c r="P175" s="135">
        <f t="shared" si="64"/>
        <v>2.1</v>
      </c>
      <c r="Q175" s="135">
        <f t="shared" si="64"/>
        <v>2.1</v>
      </c>
      <c r="R175" s="135">
        <f t="shared" si="64"/>
        <v>2.1</v>
      </c>
      <c r="S175" s="135">
        <f t="shared" si="65"/>
        <v>2.1</v>
      </c>
      <c r="T175" s="135">
        <f t="shared" si="65"/>
        <v>2.1</v>
      </c>
      <c r="U175" s="135">
        <f t="shared" si="65"/>
        <v>2.1</v>
      </c>
      <c r="V175" s="135">
        <f t="shared" si="65"/>
        <v>2.1</v>
      </c>
      <c r="W175" s="135">
        <f t="shared" si="65"/>
        <v>2.1</v>
      </c>
      <c r="X175" s="135">
        <f t="shared" si="65"/>
        <v>2.1</v>
      </c>
      <c r="Y175" s="135">
        <f t="shared" si="65"/>
        <v>2.1</v>
      </c>
      <c r="Z175" s="135">
        <f t="shared" si="65"/>
        <v>2.1</v>
      </c>
      <c r="AA175" s="135">
        <f t="shared" si="65"/>
        <v>2.1</v>
      </c>
      <c r="AB175" s="135">
        <f t="shared" si="65"/>
        <v>2.1</v>
      </c>
      <c r="AC175" s="135">
        <f t="shared" si="65"/>
        <v>2.1</v>
      </c>
      <c r="AD175" s="135">
        <f t="shared" si="65"/>
        <v>2.1</v>
      </c>
      <c r="AE175" s="135">
        <f t="shared" si="65"/>
        <v>2.1</v>
      </c>
      <c r="AF175" s="135">
        <f t="shared" si="65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63"/>
        <v>0.9</v>
      </c>
      <c r="C176" s="136">
        <v>0.9</v>
      </c>
      <c r="D176" s="135">
        <f t="shared" si="64"/>
        <v>0.9</v>
      </c>
      <c r="E176" s="135">
        <f t="shared" si="64"/>
        <v>0.9</v>
      </c>
      <c r="F176" s="135">
        <f t="shared" si="64"/>
        <v>0.9</v>
      </c>
      <c r="G176" s="135">
        <f t="shared" si="64"/>
        <v>0.9</v>
      </c>
      <c r="H176" s="135">
        <f t="shared" si="64"/>
        <v>0.9</v>
      </c>
      <c r="I176" s="135">
        <f t="shared" si="64"/>
        <v>0.9</v>
      </c>
      <c r="J176" s="135">
        <f t="shared" si="64"/>
        <v>0.9</v>
      </c>
      <c r="K176" s="135">
        <f t="shared" si="64"/>
        <v>0.9</v>
      </c>
      <c r="L176" s="135">
        <f t="shared" si="64"/>
        <v>0.9</v>
      </c>
      <c r="M176" s="135">
        <f t="shared" si="64"/>
        <v>0.9</v>
      </c>
      <c r="N176" s="135">
        <f t="shared" si="64"/>
        <v>0.9</v>
      </c>
      <c r="O176" s="135">
        <f t="shared" si="64"/>
        <v>0.9</v>
      </c>
      <c r="P176" s="135">
        <f t="shared" si="64"/>
        <v>0.9</v>
      </c>
      <c r="Q176" s="135">
        <f t="shared" si="64"/>
        <v>0.9</v>
      </c>
      <c r="R176" s="135">
        <f t="shared" si="64"/>
        <v>0.9</v>
      </c>
      <c r="S176" s="135">
        <f t="shared" si="65"/>
        <v>0.9</v>
      </c>
      <c r="T176" s="135">
        <f t="shared" si="65"/>
        <v>0.9</v>
      </c>
      <c r="U176" s="135">
        <f t="shared" si="65"/>
        <v>0.9</v>
      </c>
      <c r="V176" s="135">
        <f t="shared" si="65"/>
        <v>0.9</v>
      </c>
      <c r="W176" s="135">
        <f t="shared" si="65"/>
        <v>0.9</v>
      </c>
      <c r="X176" s="135">
        <f t="shared" si="65"/>
        <v>0.9</v>
      </c>
      <c r="Y176" s="135">
        <f t="shared" si="65"/>
        <v>0.9</v>
      </c>
      <c r="Z176" s="135">
        <f t="shared" si="65"/>
        <v>0.9</v>
      </c>
      <c r="AA176" s="135">
        <f t="shared" si="65"/>
        <v>0.9</v>
      </c>
      <c r="AB176" s="135">
        <f t="shared" si="65"/>
        <v>0.9</v>
      </c>
      <c r="AC176" s="135">
        <f t="shared" si="65"/>
        <v>0.9</v>
      </c>
      <c r="AD176" s="135">
        <f t="shared" si="65"/>
        <v>0.9</v>
      </c>
      <c r="AE176" s="135">
        <f t="shared" si="65"/>
        <v>0.9</v>
      </c>
      <c r="AF176" s="135">
        <f t="shared" si="65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66">AF178</f>
        <v>0.57999999999999996</v>
      </c>
      <c r="C178" s="136">
        <v>0.57999999999999996</v>
      </c>
      <c r="D178" s="135">
        <f t="shared" ref="D178:S190" si="67">C178</f>
        <v>0.57999999999999996</v>
      </c>
      <c r="E178" s="135">
        <f t="shared" si="67"/>
        <v>0.57999999999999996</v>
      </c>
      <c r="F178" s="135">
        <f t="shared" si="67"/>
        <v>0.57999999999999996</v>
      </c>
      <c r="G178" s="135">
        <f t="shared" si="67"/>
        <v>0.57999999999999996</v>
      </c>
      <c r="H178" s="135">
        <f t="shared" si="67"/>
        <v>0.57999999999999996</v>
      </c>
      <c r="I178" s="135">
        <f t="shared" si="67"/>
        <v>0.57999999999999996</v>
      </c>
      <c r="J178" s="135">
        <f t="shared" si="67"/>
        <v>0.57999999999999996</v>
      </c>
      <c r="K178" s="135">
        <f t="shared" si="67"/>
        <v>0.57999999999999996</v>
      </c>
      <c r="L178" s="135">
        <f t="shared" si="67"/>
        <v>0.57999999999999996</v>
      </c>
      <c r="M178" s="135">
        <f t="shared" si="67"/>
        <v>0.57999999999999996</v>
      </c>
      <c r="N178" s="135">
        <f t="shared" si="67"/>
        <v>0.57999999999999996</v>
      </c>
      <c r="O178" s="135">
        <f t="shared" si="67"/>
        <v>0.57999999999999996</v>
      </c>
      <c r="P178" s="135">
        <f t="shared" si="67"/>
        <v>0.57999999999999996</v>
      </c>
      <c r="Q178" s="135">
        <f t="shared" si="67"/>
        <v>0.57999999999999996</v>
      </c>
      <c r="R178" s="135">
        <f t="shared" si="67"/>
        <v>0.57999999999999996</v>
      </c>
      <c r="S178" s="135">
        <f t="shared" si="67"/>
        <v>0.57999999999999996</v>
      </c>
      <c r="T178" s="135">
        <f t="shared" ref="S178:AF190" si="68">S178</f>
        <v>0.57999999999999996</v>
      </c>
      <c r="U178" s="135">
        <f t="shared" si="68"/>
        <v>0.57999999999999996</v>
      </c>
      <c r="V178" s="135">
        <f t="shared" si="68"/>
        <v>0.57999999999999996</v>
      </c>
      <c r="W178" s="135">
        <f t="shared" si="68"/>
        <v>0.57999999999999996</v>
      </c>
      <c r="X178" s="135">
        <f t="shared" si="68"/>
        <v>0.57999999999999996</v>
      </c>
      <c r="Y178" s="135">
        <f t="shared" si="68"/>
        <v>0.57999999999999996</v>
      </c>
      <c r="Z178" s="135">
        <f t="shared" si="68"/>
        <v>0.57999999999999996</v>
      </c>
      <c r="AA178" s="135">
        <f t="shared" si="68"/>
        <v>0.57999999999999996</v>
      </c>
      <c r="AB178" s="135">
        <f t="shared" si="68"/>
        <v>0.57999999999999996</v>
      </c>
      <c r="AC178" s="135">
        <f t="shared" si="68"/>
        <v>0.57999999999999996</v>
      </c>
      <c r="AD178" s="135">
        <f t="shared" si="68"/>
        <v>0.57999999999999996</v>
      </c>
      <c r="AE178" s="135">
        <f t="shared" si="68"/>
        <v>0.57999999999999996</v>
      </c>
      <c r="AF178" s="135">
        <f t="shared" si="68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66"/>
        <v>0.8</v>
      </c>
      <c r="C179" s="136">
        <v>0.8</v>
      </c>
      <c r="D179" s="135">
        <f t="shared" si="67"/>
        <v>0.8</v>
      </c>
      <c r="E179" s="135">
        <f t="shared" si="67"/>
        <v>0.8</v>
      </c>
      <c r="F179" s="135">
        <f t="shared" si="67"/>
        <v>0.8</v>
      </c>
      <c r="G179" s="135">
        <f t="shared" si="67"/>
        <v>0.8</v>
      </c>
      <c r="H179" s="135">
        <f t="shared" si="67"/>
        <v>0.8</v>
      </c>
      <c r="I179" s="135">
        <f t="shared" si="67"/>
        <v>0.8</v>
      </c>
      <c r="J179" s="135">
        <f t="shared" si="67"/>
        <v>0.8</v>
      </c>
      <c r="K179" s="135">
        <f t="shared" si="67"/>
        <v>0.8</v>
      </c>
      <c r="L179" s="135">
        <f t="shared" si="67"/>
        <v>0.8</v>
      </c>
      <c r="M179" s="135">
        <f t="shared" si="67"/>
        <v>0.8</v>
      </c>
      <c r="N179" s="135">
        <f t="shared" si="67"/>
        <v>0.8</v>
      </c>
      <c r="O179" s="135">
        <f t="shared" si="67"/>
        <v>0.8</v>
      </c>
      <c r="P179" s="135">
        <f t="shared" si="67"/>
        <v>0.8</v>
      </c>
      <c r="Q179" s="135">
        <f t="shared" si="67"/>
        <v>0.8</v>
      </c>
      <c r="R179" s="135">
        <f t="shared" si="67"/>
        <v>0.8</v>
      </c>
      <c r="S179" s="135">
        <f t="shared" si="67"/>
        <v>0.8</v>
      </c>
      <c r="T179" s="135">
        <f t="shared" si="68"/>
        <v>0.8</v>
      </c>
      <c r="U179" s="135">
        <f t="shared" si="68"/>
        <v>0.8</v>
      </c>
      <c r="V179" s="135">
        <f t="shared" si="68"/>
        <v>0.8</v>
      </c>
      <c r="W179" s="135">
        <f t="shared" si="68"/>
        <v>0.8</v>
      </c>
      <c r="X179" s="135">
        <f t="shared" si="68"/>
        <v>0.8</v>
      </c>
      <c r="Y179" s="135">
        <f t="shared" si="68"/>
        <v>0.8</v>
      </c>
      <c r="Z179" s="135">
        <f t="shared" si="68"/>
        <v>0.8</v>
      </c>
      <c r="AA179" s="135">
        <f t="shared" si="68"/>
        <v>0.8</v>
      </c>
      <c r="AB179" s="135">
        <f t="shared" si="68"/>
        <v>0.8</v>
      </c>
      <c r="AC179" s="135">
        <f t="shared" si="68"/>
        <v>0.8</v>
      </c>
      <c r="AD179" s="135">
        <f t="shared" si="68"/>
        <v>0.8</v>
      </c>
      <c r="AE179" s="135">
        <f t="shared" si="68"/>
        <v>0.8</v>
      </c>
      <c r="AF179" s="135">
        <f t="shared" si="68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66"/>
        <v>0</v>
      </c>
      <c r="C180" s="136">
        <v>0</v>
      </c>
      <c r="D180" s="135">
        <f t="shared" si="67"/>
        <v>0</v>
      </c>
      <c r="E180" s="135">
        <f t="shared" si="67"/>
        <v>0</v>
      </c>
      <c r="F180" s="135">
        <f t="shared" si="67"/>
        <v>0</v>
      </c>
      <c r="G180" s="135">
        <f t="shared" si="67"/>
        <v>0</v>
      </c>
      <c r="H180" s="135">
        <f t="shared" si="67"/>
        <v>0</v>
      </c>
      <c r="I180" s="135">
        <f t="shared" si="67"/>
        <v>0</v>
      </c>
      <c r="J180" s="135">
        <f t="shared" si="67"/>
        <v>0</v>
      </c>
      <c r="K180" s="135">
        <f t="shared" si="67"/>
        <v>0</v>
      </c>
      <c r="L180" s="135">
        <f t="shared" si="67"/>
        <v>0</v>
      </c>
      <c r="M180" s="135">
        <f t="shared" si="67"/>
        <v>0</v>
      </c>
      <c r="N180" s="135">
        <f t="shared" si="67"/>
        <v>0</v>
      </c>
      <c r="O180" s="135">
        <f t="shared" si="67"/>
        <v>0</v>
      </c>
      <c r="P180" s="135">
        <f t="shared" si="67"/>
        <v>0</v>
      </c>
      <c r="Q180" s="135">
        <f t="shared" si="67"/>
        <v>0</v>
      </c>
      <c r="R180" s="135">
        <f t="shared" si="67"/>
        <v>0</v>
      </c>
      <c r="S180" s="135">
        <f t="shared" si="67"/>
        <v>0</v>
      </c>
      <c r="T180" s="135">
        <f t="shared" si="68"/>
        <v>0</v>
      </c>
      <c r="U180" s="135">
        <f t="shared" si="68"/>
        <v>0</v>
      </c>
      <c r="V180" s="135">
        <f t="shared" si="68"/>
        <v>0</v>
      </c>
      <c r="W180" s="135">
        <f t="shared" si="68"/>
        <v>0</v>
      </c>
      <c r="X180" s="135">
        <f t="shared" si="68"/>
        <v>0</v>
      </c>
      <c r="Y180" s="135">
        <f t="shared" si="68"/>
        <v>0</v>
      </c>
      <c r="Z180" s="135">
        <f t="shared" si="68"/>
        <v>0</v>
      </c>
      <c r="AA180" s="135">
        <f t="shared" si="68"/>
        <v>0</v>
      </c>
      <c r="AB180" s="135">
        <f t="shared" si="68"/>
        <v>0</v>
      </c>
      <c r="AC180" s="135">
        <f t="shared" si="68"/>
        <v>0</v>
      </c>
      <c r="AD180" s="135">
        <f t="shared" si="68"/>
        <v>0</v>
      </c>
      <c r="AE180" s="135">
        <f t="shared" si="68"/>
        <v>0</v>
      </c>
      <c r="AF180" s="135">
        <f t="shared" si="68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66"/>
        <v>0.6</v>
      </c>
      <c r="C181" s="136">
        <v>0.6</v>
      </c>
      <c r="D181" s="135">
        <f t="shared" si="67"/>
        <v>0.6</v>
      </c>
      <c r="E181" s="135">
        <f t="shared" si="67"/>
        <v>0.6</v>
      </c>
      <c r="F181" s="135">
        <f t="shared" si="67"/>
        <v>0.6</v>
      </c>
      <c r="G181" s="135">
        <f t="shared" si="67"/>
        <v>0.6</v>
      </c>
      <c r="H181" s="135">
        <f t="shared" si="67"/>
        <v>0.6</v>
      </c>
      <c r="I181" s="135">
        <f t="shared" si="67"/>
        <v>0.6</v>
      </c>
      <c r="J181" s="135">
        <f t="shared" si="67"/>
        <v>0.6</v>
      </c>
      <c r="K181" s="135">
        <f t="shared" si="67"/>
        <v>0.6</v>
      </c>
      <c r="L181" s="135">
        <f t="shared" si="67"/>
        <v>0.6</v>
      </c>
      <c r="M181" s="135">
        <f t="shared" si="67"/>
        <v>0.6</v>
      </c>
      <c r="N181" s="135">
        <f t="shared" si="67"/>
        <v>0.6</v>
      </c>
      <c r="O181" s="135">
        <f t="shared" si="67"/>
        <v>0.6</v>
      </c>
      <c r="P181" s="135">
        <f t="shared" si="67"/>
        <v>0.6</v>
      </c>
      <c r="Q181" s="135">
        <f t="shared" si="67"/>
        <v>0.6</v>
      </c>
      <c r="R181" s="135">
        <f t="shared" si="67"/>
        <v>0.6</v>
      </c>
      <c r="S181" s="135">
        <f t="shared" si="67"/>
        <v>0.6</v>
      </c>
      <c r="T181" s="135">
        <f t="shared" si="68"/>
        <v>0.6</v>
      </c>
      <c r="U181" s="135">
        <f t="shared" si="68"/>
        <v>0.6</v>
      </c>
      <c r="V181" s="135">
        <f t="shared" si="68"/>
        <v>0.6</v>
      </c>
      <c r="W181" s="135">
        <f t="shared" si="68"/>
        <v>0.6</v>
      </c>
      <c r="X181" s="135">
        <f t="shared" si="68"/>
        <v>0.6</v>
      </c>
      <c r="Y181" s="135">
        <f t="shared" si="68"/>
        <v>0.6</v>
      </c>
      <c r="Z181" s="135">
        <f t="shared" si="68"/>
        <v>0.6</v>
      </c>
      <c r="AA181" s="135">
        <f t="shared" si="68"/>
        <v>0.6</v>
      </c>
      <c r="AB181" s="135">
        <f t="shared" si="68"/>
        <v>0.6</v>
      </c>
      <c r="AC181" s="135">
        <f t="shared" si="68"/>
        <v>0.6</v>
      </c>
      <c r="AD181" s="135">
        <f t="shared" si="68"/>
        <v>0.6</v>
      </c>
      <c r="AE181" s="135">
        <f t="shared" si="68"/>
        <v>0.6</v>
      </c>
      <c r="AF181" s="135">
        <f t="shared" si="68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66"/>
        <v>0.6</v>
      </c>
      <c r="C182" s="136">
        <v>0.6</v>
      </c>
      <c r="D182" s="135">
        <f t="shared" si="67"/>
        <v>0.6</v>
      </c>
      <c r="E182" s="135">
        <f t="shared" si="67"/>
        <v>0.6</v>
      </c>
      <c r="F182" s="135">
        <f t="shared" si="67"/>
        <v>0.6</v>
      </c>
      <c r="G182" s="135">
        <f t="shared" si="67"/>
        <v>0.6</v>
      </c>
      <c r="H182" s="135">
        <f t="shared" si="67"/>
        <v>0.6</v>
      </c>
      <c r="I182" s="135">
        <f t="shared" si="67"/>
        <v>0.6</v>
      </c>
      <c r="J182" s="135">
        <f t="shared" si="67"/>
        <v>0.6</v>
      </c>
      <c r="K182" s="135">
        <f t="shared" si="67"/>
        <v>0.6</v>
      </c>
      <c r="L182" s="135">
        <f t="shared" si="67"/>
        <v>0.6</v>
      </c>
      <c r="M182" s="135">
        <f t="shared" si="67"/>
        <v>0.6</v>
      </c>
      <c r="N182" s="135">
        <f t="shared" si="67"/>
        <v>0.6</v>
      </c>
      <c r="O182" s="135">
        <f t="shared" si="67"/>
        <v>0.6</v>
      </c>
      <c r="P182" s="135">
        <f t="shared" si="67"/>
        <v>0.6</v>
      </c>
      <c r="Q182" s="135">
        <f t="shared" si="67"/>
        <v>0.6</v>
      </c>
      <c r="R182" s="135">
        <f t="shared" si="67"/>
        <v>0.6</v>
      </c>
      <c r="S182" s="135">
        <f t="shared" si="67"/>
        <v>0.6</v>
      </c>
      <c r="T182" s="135">
        <f t="shared" si="68"/>
        <v>0.6</v>
      </c>
      <c r="U182" s="135">
        <f t="shared" si="68"/>
        <v>0.6</v>
      </c>
      <c r="V182" s="135">
        <f t="shared" si="68"/>
        <v>0.6</v>
      </c>
      <c r="W182" s="135">
        <f t="shared" si="68"/>
        <v>0.6</v>
      </c>
      <c r="X182" s="135">
        <f t="shared" si="68"/>
        <v>0.6</v>
      </c>
      <c r="Y182" s="135">
        <f t="shared" si="68"/>
        <v>0.6</v>
      </c>
      <c r="Z182" s="135">
        <f t="shared" si="68"/>
        <v>0.6</v>
      </c>
      <c r="AA182" s="135">
        <f t="shared" si="68"/>
        <v>0.6</v>
      </c>
      <c r="AB182" s="135">
        <f t="shared" si="68"/>
        <v>0.6</v>
      </c>
      <c r="AC182" s="135">
        <f t="shared" si="68"/>
        <v>0.6</v>
      </c>
      <c r="AD182" s="135">
        <f t="shared" si="68"/>
        <v>0.6</v>
      </c>
      <c r="AE182" s="135">
        <f t="shared" si="68"/>
        <v>0.6</v>
      </c>
      <c r="AF182" s="135">
        <f t="shared" si="68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66"/>
        <v>0.35</v>
      </c>
      <c r="C183" s="136">
        <v>0.35</v>
      </c>
      <c r="D183" s="135">
        <f t="shared" si="67"/>
        <v>0.35</v>
      </c>
      <c r="E183" s="135">
        <f t="shared" si="67"/>
        <v>0.35</v>
      </c>
      <c r="F183" s="135">
        <f t="shared" si="67"/>
        <v>0.35</v>
      </c>
      <c r="G183" s="135">
        <f t="shared" si="67"/>
        <v>0.35</v>
      </c>
      <c r="H183" s="135">
        <f t="shared" si="67"/>
        <v>0.35</v>
      </c>
      <c r="I183" s="135">
        <f t="shared" si="67"/>
        <v>0.35</v>
      </c>
      <c r="J183" s="135">
        <f t="shared" si="67"/>
        <v>0.35</v>
      </c>
      <c r="K183" s="135">
        <f t="shared" si="67"/>
        <v>0.35</v>
      </c>
      <c r="L183" s="135">
        <f t="shared" si="67"/>
        <v>0.35</v>
      </c>
      <c r="M183" s="135">
        <f t="shared" si="67"/>
        <v>0.35</v>
      </c>
      <c r="N183" s="135">
        <f t="shared" si="67"/>
        <v>0.35</v>
      </c>
      <c r="O183" s="135">
        <f t="shared" si="67"/>
        <v>0.35</v>
      </c>
      <c r="P183" s="135">
        <f t="shared" si="67"/>
        <v>0.35</v>
      </c>
      <c r="Q183" s="135">
        <f t="shared" si="67"/>
        <v>0.35</v>
      </c>
      <c r="R183" s="135">
        <f t="shared" si="67"/>
        <v>0.35</v>
      </c>
      <c r="S183" s="135">
        <f t="shared" si="67"/>
        <v>0.35</v>
      </c>
      <c r="T183" s="135">
        <f t="shared" si="68"/>
        <v>0.35</v>
      </c>
      <c r="U183" s="135">
        <f t="shared" si="68"/>
        <v>0.35</v>
      </c>
      <c r="V183" s="135">
        <f t="shared" si="68"/>
        <v>0.35</v>
      </c>
      <c r="W183" s="135">
        <f t="shared" si="68"/>
        <v>0.35</v>
      </c>
      <c r="X183" s="135">
        <f t="shared" si="68"/>
        <v>0.35</v>
      </c>
      <c r="Y183" s="135">
        <f t="shared" si="68"/>
        <v>0.35</v>
      </c>
      <c r="Z183" s="135">
        <f t="shared" si="68"/>
        <v>0.35</v>
      </c>
      <c r="AA183" s="135">
        <f t="shared" si="68"/>
        <v>0.35</v>
      </c>
      <c r="AB183" s="135">
        <f t="shared" si="68"/>
        <v>0.35</v>
      </c>
      <c r="AC183" s="135">
        <f t="shared" si="68"/>
        <v>0.35</v>
      </c>
      <c r="AD183" s="135">
        <f t="shared" si="68"/>
        <v>0.35</v>
      </c>
      <c r="AE183" s="135">
        <f t="shared" si="68"/>
        <v>0.35</v>
      </c>
      <c r="AF183" s="135">
        <f t="shared" si="68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66"/>
        <v>0.28999999999999998</v>
      </c>
      <c r="C184" s="136">
        <v>0.28999999999999998</v>
      </c>
      <c r="D184" s="135">
        <f t="shared" si="67"/>
        <v>0.28999999999999998</v>
      </c>
      <c r="E184" s="135">
        <f t="shared" si="67"/>
        <v>0.28999999999999998</v>
      </c>
      <c r="F184" s="135">
        <f t="shared" si="67"/>
        <v>0.28999999999999998</v>
      </c>
      <c r="G184" s="135">
        <f t="shared" si="67"/>
        <v>0.28999999999999998</v>
      </c>
      <c r="H184" s="135">
        <f t="shared" si="67"/>
        <v>0.28999999999999998</v>
      </c>
      <c r="I184" s="135">
        <f t="shared" si="67"/>
        <v>0.28999999999999998</v>
      </c>
      <c r="J184" s="135">
        <f t="shared" si="67"/>
        <v>0.28999999999999998</v>
      </c>
      <c r="K184" s="135">
        <f t="shared" si="67"/>
        <v>0.28999999999999998</v>
      </c>
      <c r="L184" s="135">
        <f t="shared" si="67"/>
        <v>0.28999999999999998</v>
      </c>
      <c r="M184" s="135">
        <f t="shared" si="67"/>
        <v>0.28999999999999998</v>
      </c>
      <c r="N184" s="135">
        <f t="shared" si="67"/>
        <v>0.28999999999999998</v>
      </c>
      <c r="O184" s="135">
        <f t="shared" si="67"/>
        <v>0.28999999999999998</v>
      </c>
      <c r="P184" s="135">
        <f t="shared" si="67"/>
        <v>0.28999999999999998</v>
      </c>
      <c r="Q184" s="135">
        <f t="shared" si="67"/>
        <v>0.28999999999999998</v>
      </c>
      <c r="R184" s="135">
        <f t="shared" si="67"/>
        <v>0.28999999999999998</v>
      </c>
      <c r="S184" s="135">
        <f t="shared" si="67"/>
        <v>0.28999999999999998</v>
      </c>
      <c r="T184" s="135">
        <f t="shared" si="68"/>
        <v>0.28999999999999998</v>
      </c>
      <c r="U184" s="135">
        <f t="shared" si="68"/>
        <v>0.28999999999999998</v>
      </c>
      <c r="V184" s="135">
        <f t="shared" si="68"/>
        <v>0.28999999999999998</v>
      </c>
      <c r="W184" s="135">
        <f t="shared" si="68"/>
        <v>0.28999999999999998</v>
      </c>
      <c r="X184" s="135">
        <f t="shared" si="68"/>
        <v>0.28999999999999998</v>
      </c>
      <c r="Y184" s="135">
        <f t="shared" si="68"/>
        <v>0.28999999999999998</v>
      </c>
      <c r="Z184" s="135">
        <f t="shared" si="68"/>
        <v>0.28999999999999998</v>
      </c>
      <c r="AA184" s="135">
        <f t="shared" si="68"/>
        <v>0.28999999999999998</v>
      </c>
      <c r="AB184" s="135">
        <f t="shared" si="68"/>
        <v>0.28999999999999998</v>
      </c>
      <c r="AC184" s="135">
        <f t="shared" si="68"/>
        <v>0.28999999999999998</v>
      </c>
      <c r="AD184" s="135">
        <f t="shared" si="68"/>
        <v>0.28999999999999998</v>
      </c>
      <c r="AE184" s="135">
        <f t="shared" si="68"/>
        <v>0.28999999999999998</v>
      </c>
      <c r="AF184" s="135">
        <f t="shared" si="68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66"/>
        <v>0.06</v>
      </c>
      <c r="C185" s="136">
        <v>0.06</v>
      </c>
      <c r="D185" s="135">
        <f t="shared" si="67"/>
        <v>0.06</v>
      </c>
      <c r="E185" s="135">
        <f t="shared" si="67"/>
        <v>0.06</v>
      </c>
      <c r="F185" s="135">
        <f t="shared" si="67"/>
        <v>0.06</v>
      </c>
      <c r="G185" s="135">
        <f t="shared" si="67"/>
        <v>0.06</v>
      </c>
      <c r="H185" s="135">
        <f t="shared" si="67"/>
        <v>0.06</v>
      </c>
      <c r="I185" s="135">
        <f t="shared" si="67"/>
        <v>0.06</v>
      </c>
      <c r="J185" s="135">
        <f t="shared" si="67"/>
        <v>0.06</v>
      </c>
      <c r="K185" s="135">
        <f t="shared" si="67"/>
        <v>0.06</v>
      </c>
      <c r="L185" s="135">
        <f t="shared" si="67"/>
        <v>0.06</v>
      </c>
      <c r="M185" s="135">
        <f t="shared" si="67"/>
        <v>0.06</v>
      </c>
      <c r="N185" s="135">
        <f t="shared" si="67"/>
        <v>0.06</v>
      </c>
      <c r="O185" s="135">
        <f t="shared" si="67"/>
        <v>0.06</v>
      </c>
      <c r="P185" s="135">
        <f t="shared" si="67"/>
        <v>0.06</v>
      </c>
      <c r="Q185" s="135">
        <f t="shared" si="67"/>
        <v>0.06</v>
      </c>
      <c r="R185" s="135">
        <f t="shared" si="67"/>
        <v>0.06</v>
      </c>
      <c r="S185" s="135">
        <f t="shared" si="67"/>
        <v>0.06</v>
      </c>
      <c r="T185" s="135">
        <f t="shared" si="68"/>
        <v>0.06</v>
      </c>
      <c r="U185" s="135">
        <f t="shared" si="68"/>
        <v>0.06</v>
      </c>
      <c r="V185" s="135">
        <f t="shared" si="68"/>
        <v>0.06</v>
      </c>
      <c r="W185" s="135">
        <f t="shared" si="68"/>
        <v>0.06</v>
      </c>
      <c r="X185" s="135">
        <f t="shared" si="68"/>
        <v>0.06</v>
      </c>
      <c r="Y185" s="135">
        <f t="shared" si="68"/>
        <v>0.06</v>
      </c>
      <c r="Z185" s="135">
        <f t="shared" si="68"/>
        <v>0.06</v>
      </c>
      <c r="AA185" s="135">
        <f t="shared" si="68"/>
        <v>0.06</v>
      </c>
      <c r="AB185" s="135">
        <f t="shared" si="68"/>
        <v>0.06</v>
      </c>
      <c r="AC185" s="135">
        <f t="shared" si="68"/>
        <v>0.06</v>
      </c>
      <c r="AD185" s="135">
        <f t="shared" si="68"/>
        <v>0.06</v>
      </c>
      <c r="AE185" s="135">
        <f t="shared" si="68"/>
        <v>0.06</v>
      </c>
      <c r="AF185" s="135">
        <f t="shared" si="68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66"/>
        <v>0.11</v>
      </c>
      <c r="C186" s="136">
        <v>0.11</v>
      </c>
      <c r="D186" s="135">
        <f t="shared" si="67"/>
        <v>0.11</v>
      </c>
      <c r="E186" s="135">
        <f t="shared" si="67"/>
        <v>0.11</v>
      </c>
      <c r="F186" s="135">
        <f t="shared" si="67"/>
        <v>0.11</v>
      </c>
      <c r="G186" s="135">
        <f t="shared" si="67"/>
        <v>0.11</v>
      </c>
      <c r="H186" s="135">
        <f t="shared" si="67"/>
        <v>0.11</v>
      </c>
      <c r="I186" s="135">
        <f t="shared" si="67"/>
        <v>0.11</v>
      </c>
      <c r="J186" s="135">
        <f t="shared" si="67"/>
        <v>0.11</v>
      </c>
      <c r="K186" s="135">
        <f t="shared" si="67"/>
        <v>0.11</v>
      </c>
      <c r="L186" s="135">
        <f t="shared" si="67"/>
        <v>0.11</v>
      </c>
      <c r="M186" s="135">
        <f t="shared" si="67"/>
        <v>0.11</v>
      </c>
      <c r="N186" s="135">
        <f t="shared" si="67"/>
        <v>0.11</v>
      </c>
      <c r="O186" s="135">
        <f t="shared" si="67"/>
        <v>0.11</v>
      </c>
      <c r="P186" s="135">
        <f t="shared" si="67"/>
        <v>0.11</v>
      </c>
      <c r="Q186" s="135">
        <f t="shared" si="67"/>
        <v>0.11</v>
      </c>
      <c r="R186" s="135">
        <f t="shared" si="67"/>
        <v>0.11</v>
      </c>
      <c r="S186" s="135">
        <f t="shared" si="67"/>
        <v>0.11</v>
      </c>
      <c r="T186" s="135">
        <f t="shared" si="68"/>
        <v>0.11</v>
      </c>
      <c r="U186" s="135">
        <f t="shared" si="68"/>
        <v>0.11</v>
      </c>
      <c r="V186" s="135">
        <f t="shared" si="68"/>
        <v>0.11</v>
      </c>
      <c r="W186" s="135">
        <f t="shared" si="68"/>
        <v>0.11</v>
      </c>
      <c r="X186" s="135">
        <f t="shared" si="68"/>
        <v>0.11</v>
      </c>
      <c r="Y186" s="135">
        <f t="shared" si="68"/>
        <v>0.11</v>
      </c>
      <c r="Z186" s="135">
        <f t="shared" si="68"/>
        <v>0.11</v>
      </c>
      <c r="AA186" s="135">
        <f t="shared" si="68"/>
        <v>0.11</v>
      </c>
      <c r="AB186" s="135">
        <f t="shared" si="68"/>
        <v>0.11</v>
      </c>
      <c r="AC186" s="135">
        <f t="shared" si="68"/>
        <v>0.11</v>
      </c>
      <c r="AD186" s="135">
        <f t="shared" si="68"/>
        <v>0.11</v>
      </c>
      <c r="AE186" s="135">
        <f t="shared" si="68"/>
        <v>0.11</v>
      </c>
      <c r="AF186" s="135">
        <f t="shared" si="68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66"/>
        <v>0.1</v>
      </c>
      <c r="C187" s="136">
        <v>0.1</v>
      </c>
      <c r="D187" s="135">
        <f t="shared" si="67"/>
        <v>0.1</v>
      </c>
      <c r="E187" s="135">
        <f t="shared" si="67"/>
        <v>0.1</v>
      </c>
      <c r="F187" s="135">
        <f t="shared" si="67"/>
        <v>0.1</v>
      </c>
      <c r="G187" s="135">
        <f t="shared" si="67"/>
        <v>0.1</v>
      </c>
      <c r="H187" s="135">
        <f t="shared" si="67"/>
        <v>0.1</v>
      </c>
      <c r="I187" s="135">
        <f t="shared" si="67"/>
        <v>0.1</v>
      </c>
      <c r="J187" s="135">
        <f t="shared" si="67"/>
        <v>0.1</v>
      </c>
      <c r="K187" s="135">
        <f t="shared" si="67"/>
        <v>0.1</v>
      </c>
      <c r="L187" s="135">
        <f t="shared" si="67"/>
        <v>0.1</v>
      </c>
      <c r="M187" s="135">
        <f t="shared" si="67"/>
        <v>0.1</v>
      </c>
      <c r="N187" s="135">
        <f t="shared" si="67"/>
        <v>0.1</v>
      </c>
      <c r="O187" s="135">
        <f t="shared" si="67"/>
        <v>0.1</v>
      </c>
      <c r="P187" s="135">
        <f t="shared" si="67"/>
        <v>0.1</v>
      </c>
      <c r="Q187" s="135">
        <f t="shared" si="67"/>
        <v>0.1</v>
      </c>
      <c r="R187" s="135">
        <f t="shared" si="67"/>
        <v>0.1</v>
      </c>
      <c r="S187" s="135">
        <f t="shared" si="68"/>
        <v>0.1</v>
      </c>
      <c r="T187" s="135">
        <f t="shared" si="68"/>
        <v>0.1</v>
      </c>
      <c r="U187" s="135">
        <f t="shared" si="68"/>
        <v>0.1</v>
      </c>
      <c r="V187" s="135">
        <f t="shared" si="68"/>
        <v>0.1</v>
      </c>
      <c r="W187" s="135">
        <f t="shared" si="68"/>
        <v>0.1</v>
      </c>
      <c r="X187" s="135">
        <f t="shared" si="68"/>
        <v>0.1</v>
      </c>
      <c r="Y187" s="135">
        <f t="shared" si="68"/>
        <v>0.1</v>
      </c>
      <c r="Z187" s="135">
        <f t="shared" si="68"/>
        <v>0.1</v>
      </c>
      <c r="AA187" s="135">
        <f t="shared" si="68"/>
        <v>0.1</v>
      </c>
      <c r="AB187" s="135">
        <f t="shared" si="68"/>
        <v>0.1</v>
      </c>
      <c r="AC187" s="135">
        <f t="shared" si="68"/>
        <v>0.1</v>
      </c>
      <c r="AD187" s="135">
        <f t="shared" si="68"/>
        <v>0.1</v>
      </c>
      <c r="AE187" s="135">
        <f t="shared" si="68"/>
        <v>0.1</v>
      </c>
      <c r="AF187" s="135">
        <f t="shared" si="68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66"/>
        <v>0.09</v>
      </c>
      <c r="C188" s="136">
        <v>0.09</v>
      </c>
      <c r="D188" s="135">
        <f t="shared" si="67"/>
        <v>0.09</v>
      </c>
      <c r="E188" s="135">
        <f t="shared" si="67"/>
        <v>0.09</v>
      </c>
      <c r="F188" s="135">
        <f t="shared" si="67"/>
        <v>0.09</v>
      </c>
      <c r="G188" s="135">
        <f t="shared" si="67"/>
        <v>0.09</v>
      </c>
      <c r="H188" s="135">
        <f t="shared" si="67"/>
        <v>0.09</v>
      </c>
      <c r="I188" s="135">
        <f t="shared" si="67"/>
        <v>0.09</v>
      </c>
      <c r="J188" s="135">
        <f t="shared" si="67"/>
        <v>0.09</v>
      </c>
      <c r="K188" s="135">
        <f t="shared" si="67"/>
        <v>0.09</v>
      </c>
      <c r="L188" s="135">
        <f t="shared" si="67"/>
        <v>0.09</v>
      </c>
      <c r="M188" s="135">
        <f t="shared" si="67"/>
        <v>0.09</v>
      </c>
      <c r="N188" s="135">
        <f t="shared" si="67"/>
        <v>0.09</v>
      </c>
      <c r="O188" s="135">
        <f t="shared" si="67"/>
        <v>0.09</v>
      </c>
      <c r="P188" s="135">
        <f t="shared" si="67"/>
        <v>0.09</v>
      </c>
      <c r="Q188" s="135">
        <f t="shared" si="67"/>
        <v>0.09</v>
      </c>
      <c r="R188" s="135">
        <f t="shared" si="67"/>
        <v>0.09</v>
      </c>
      <c r="S188" s="135">
        <f t="shared" si="68"/>
        <v>0.09</v>
      </c>
      <c r="T188" s="135">
        <f t="shared" si="68"/>
        <v>0.09</v>
      </c>
      <c r="U188" s="135">
        <f t="shared" si="68"/>
        <v>0.09</v>
      </c>
      <c r="V188" s="135">
        <f t="shared" si="68"/>
        <v>0.09</v>
      </c>
      <c r="W188" s="135">
        <f t="shared" si="68"/>
        <v>0.09</v>
      </c>
      <c r="X188" s="135">
        <f t="shared" si="68"/>
        <v>0.09</v>
      </c>
      <c r="Y188" s="135">
        <f t="shared" si="68"/>
        <v>0.09</v>
      </c>
      <c r="Z188" s="135">
        <f t="shared" si="68"/>
        <v>0.09</v>
      </c>
      <c r="AA188" s="135">
        <f t="shared" si="68"/>
        <v>0.09</v>
      </c>
      <c r="AB188" s="135">
        <f t="shared" si="68"/>
        <v>0.09</v>
      </c>
      <c r="AC188" s="135">
        <f t="shared" si="68"/>
        <v>0.09</v>
      </c>
      <c r="AD188" s="135">
        <f t="shared" si="68"/>
        <v>0.09</v>
      </c>
      <c r="AE188" s="135">
        <f t="shared" si="68"/>
        <v>0.09</v>
      </c>
      <c r="AF188" s="135">
        <f t="shared" si="68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66"/>
        <v>0.04</v>
      </c>
      <c r="C189" s="52">
        <v>0.04</v>
      </c>
      <c r="D189" s="135">
        <f t="shared" si="67"/>
        <v>0.04</v>
      </c>
      <c r="E189" s="135">
        <f t="shared" si="67"/>
        <v>0.04</v>
      </c>
      <c r="F189" s="135">
        <f t="shared" si="67"/>
        <v>0.04</v>
      </c>
      <c r="G189" s="135">
        <f t="shared" si="67"/>
        <v>0.04</v>
      </c>
      <c r="H189" s="135">
        <f t="shared" si="67"/>
        <v>0.04</v>
      </c>
      <c r="I189" s="135">
        <f t="shared" si="67"/>
        <v>0.04</v>
      </c>
      <c r="J189" s="135">
        <f t="shared" si="67"/>
        <v>0.04</v>
      </c>
      <c r="K189" s="135">
        <f t="shared" si="67"/>
        <v>0.04</v>
      </c>
      <c r="L189" s="135">
        <f t="shared" si="67"/>
        <v>0.04</v>
      </c>
      <c r="M189" s="135">
        <f t="shared" si="67"/>
        <v>0.04</v>
      </c>
      <c r="N189" s="135">
        <f t="shared" si="67"/>
        <v>0.04</v>
      </c>
      <c r="O189" s="135">
        <f t="shared" si="67"/>
        <v>0.04</v>
      </c>
      <c r="P189" s="135">
        <f t="shared" si="67"/>
        <v>0.04</v>
      </c>
      <c r="Q189" s="135">
        <f t="shared" si="67"/>
        <v>0.04</v>
      </c>
      <c r="R189" s="135">
        <f t="shared" si="67"/>
        <v>0.04</v>
      </c>
      <c r="S189" s="135">
        <f t="shared" si="68"/>
        <v>0.04</v>
      </c>
      <c r="T189" s="135">
        <f t="shared" si="68"/>
        <v>0.04</v>
      </c>
      <c r="U189" s="135">
        <f t="shared" si="68"/>
        <v>0.04</v>
      </c>
      <c r="V189" s="135">
        <f t="shared" si="68"/>
        <v>0.04</v>
      </c>
      <c r="W189" s="135">
        <f t="shared" si="68"/>
        <v>0.04</v>
      </c>
      <c r="X189" s="135">
        <f t="shared" si="68"/>
        <v>0.04</v>
      </c>
      <c r="Y189" s="135">
        <f t="shared" si="68"/>
        <v>0.04</v>
      </c>
      <c r="Z189" s="135">
        <f t="shared" si="68"/>
        <v>0.04</v>
      </c>
      <c r="AA189" s="135">
        <f t="shared" si="68"/>
        <v>0.04</v>
      </c>
      <c r="AB189" s="135">
        <f t="shared" si="68"/>
        <v>0.04</v>
      </c>
      <c r="AC189" s="135">
        <f t="shared" si="68"/>
        <v>0.04</v>
      </c>
      <c r="AD189" s="135">
        <f t="shared" si="68"/>
        <v>0.04</v>
      </c>
      <c r="AE189" s="135">
        <f t="shared" si="68"/>
        <v>0.04</v>
      </c>
      <c r="AF189" s="135">
        <f t="shared" si="68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66"/>
        <v>2.3E-2</v>
      </c>
      <c r="C190" s="52">
        <v>2.3E-2</v>
      </c>
      <c r="D190" s="135">
        <f>C190</f>
        <v>2.3E-2</v>
      </c>
      <c r="E190" s="135">
        <f t="shared" si="67"/>
        <v>2.3E-2</v>
      </c>
      <c r="F190" s="135">
        <f t="shared" si="67"/>
        <v>2.3E-2</v>
      </c>
      <c r="G190" s="135">
        <f t="shared" si="67"/>
        <v>2.3E-2</v>
      </c>
      <c r="H190" s="135">
        <f t="shared" si="67"/>
        <v>2.3E-2</v>
      </c>
      <c r="I190" s="135">
        <f t="shared" si="67"/>
        <v>2.3E-2</v>
      </c>
      <c r="J190" s="135">
        <f t="shared" si="67"/>
        <v>2.3E-2</v>
      </c>
      <c r="K190" s="135">
        <f t="shared" si="67"/>
        <v>2.3E-2</v>
      </c>
      <c r="L190" s="135">
        <f t="shared" si="67"/>
        <v>2.3E-2</v>
      </c>
      <c r="M190" s="135">
        <f t="shared" si="67"/>
        <v>2.3E-2</v>
      </c>
      <c r="N190" s="135">
        <f t="shared" si="67"/>
        <v>2.3E-2</v>
      </c>
      <c r="O190" s="135">
        <f t="shared" si="67"/>
        <v>2.3E-2</v>
      </c>
      <c r="P190" s="135">
        <f t="shared" si="67"/>
        <v>2.3E-2</v>
      </c>
      <c r="Q190" s="135">
        <f t="shared" si="67"/>
        <v>2.3E-2</v>
      </c>
      <c r="R190" s="135">
        <f t="shared" si="67"/>
        <v>2.3E-2</v>
      </c>
      <c r="S190" s="135">
        <f t="shared" si="68"/>
        <v>2.3E-2</v>
      </c>
      <c r="T190" s="135">
        <f t="shared" si="68"/>
        <v>2.3E-2</v>
      </c>
      <c r="U190" s="135">
        <f t="shared" si="68"/>
        <v>2.3E-2</v>
      </c>
      <c r="V190" s="135">
        <f t="shared" si="68"/>
        <v>2.3E-2</v>
      </c>
      <c r="W190" s="135">
        <f t="shared" si="68"/>
        <v>2.3E-2</v>
      </c>
      <c r="X190" s="135">
        <f t="shared" si="68"/>
        <v>2.3E-2</v>
      </c>
      <c r="Y190" s="135">
        <f t="shared" si="68"/>
        <v>2.3E-2</v>
      </c>
      <c r="Z190" s="135">
        <f t="shared" si="68"/>
        <v>2.3E-2</v>
      </c>
      <c r="AA190" s="135">
        <f t="shared" si="68"/>
        <v>2.3E-2</v>
      </c>
      <c r="AB190" s="135">
        <f t="shared" si="68"/>
        <v>2.3E-2</v>
      </c>
      <c r="AC190" s="135">
        <f t="shared" si="68"/>
        <v>2.3E-2</v>
      </c>
      <c r="AD190" s="135">
        <f t="shared" si="68"/>
        <v>2.3E-2</v>
      </c>
      <c r="AE190" s="135">
        <f t="shared" si="68"/>
        <v>2.3E-2</v>
      </c>
      <c r="AF190" s="135">
        <f t="shared" si="68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69">SUM(C101:C190)</f>
        <v>194.70600000000002</v>
      </c>
      <c r="D191" s="140">
        <f t="shared" si="69"/>
        <v>194.70600000000002</v>
      </c>
      <c r="E191" s="140">
        <f t="shared" si="69"/>
        <v>194.70600000000002</v>
      </c>
      <c r="F191" s="140">
        <f t="shared" si="69"/>
        <v>194.70600000000002</v>
      </c>
      <c r="G191" s="140">
        <f t="shared" si="69"/>
        <v>194.70600000000002</v>
      </c>
      <c r="H191" s="140">
        <f t="shared" si="69"/>
        <v>194.70600000000002</v>
      </c>
      <c r="I191" s="140">
        <f t="shared" si="69"/>
        <v>194.70600000000002</v>
      </c>
      <c r="J191" s="140">
        <f t="shared" si="69"/>
        <v>192.10600000000005</v>
      </c>
      <c r="K191" s="140">
        <f t="shared" si="69"/>
        <v>192.10600000000005</v>
      </c>
      <c r="L191" s="140">
        <f t="shared" si="69"/>
        <v>192.10600000000005</v>
      </c>
      <c r="M191" s="140">
        <f t="shared" si="69"/>
        <v>192.10600000000005</v>
      </c>
      <c r="N191" s="140">
        <f t="shared" si="69"/>
        <v>192.10600000000005</v>
      </c>
      <c r="O191" s="140">
        <f t="shared" si="69"/>
        <v>192.10600000000005</v>
      </c>
      <c r="P191" s="140">
        <f t="shared" si="69"/>
        <v>192.10600000000005</v>
      </c>
      <c r="Q191" s="140">
        <f t="shared" si="69"/>
        <v>192.10600000000005</v>
      </c>
      <c r="R191" s="140">
        <f t="shared" si="69"/>
        <v>192.10600000000005</v>
      </c>
      <c r="S191" s="140">
        <f t="shared" si="69"/>
        <v>192.10600000000005</v>
      </c>
      <c r="T191" s="140">
        <f t="shared" si="69"/>
        <v>192.10600000000005</v>
      </c>
      <c r="U191" s="140">
        <f t="shared" si="69"/>
        <v>192.10600000000005</v>
      </c>
      <c r="V191" s="140">
        <f t="shared" si="69"/>
        <v>192.10600000000005</v>
      </c>
      <c r="W191" s="140">
        <f t="shared" si="69"/>
        <v>192.10600000000005</v>
      </c>
      <c r="X191" s="140">
        <f t="shared" si="69"/>
        <v>192.10600000000005</v>
      </c>
      <c r="Y191" s="140">
        <f t="shared" si="69"/>
        <v>192.10600000000005</v>
      </c>
      <c r="Z191" s="140">
        <f t="shared" si="69"/>
        <v>192.10600000000005</v>
      </c>
      <c r="AA191" s="140">
        <f t="shared" si="69"/>
        <v>192.10600000000005</v>
      </c>
      <c r="AB191" s="140">
        <f t="shared" si="69"/>
        <v>192.10600000000005</v>
      </c>
      <c r="AC191" s="140">
        <f t="shared" si="69"/>
        <v>192.10600000000005</v>
      </c>
      <c r="AD191" s="140">
        <f t="shared" si="69"/>
        <v>192.10600000000005</v>
      </c>
      <c r="AE191" s="140">
        <f t="shared" si="69"/>
        <v>192.10600000000005</v>
      </c>
      <c r="AF191" s="140">
        <f t="shared" si="69"/>
        <v>192.10600000000005</v>
      </c>
      <c r="AG191" s="141">
        <f t="shared" si="69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70">AF193</f>
        <v>0.3</v>
      </c>
      <c r="C193" s="142">
        <v>0.3</v>
      </c>
      <c r="D193" s="142">
        <f t="shared" ref="D193:S198" si="71">C193</f>
        <v>0.3</v>
      </c>
      <c r="E193" s="142">
        <f t="shared" si="71"/>
        <v>0.3</v>
      </c>
      <c r="F193" s="142">
        <f t="shared" si="71"/>
        <v>0.3</v>
      </c>
      <c r="G193" s="142">
        <f t="shared" si="71"/>
        <v>0.3</v>
      </c>
      <c r="H193" s="142">
        <f t="shared" si="71"/>
        <v>0.3</v>
      </c>
      <c r="I193" s="142">
        <f t="shared" si="71"/>
        <v>0.3</v>
      </c>
      <c r="J193" s="142">
        <f t="shared" si="71"/>
        <v>0.3</v>
      </c>
      <c r="K193" s="142">
        <f t="shared" si="71"/>
        <v>0.3</v>
      </c>
      <c r="L193" s="142">
        <f t="shared" si="71"/>
        <v>0.3</v>
      </c>
      <c r="M193" s="142">
        <f t="shared" si="71"/>
        <v>0.3</v>
      </c>
      <c r="N193" s="142">
        <f t="shared" si="71"/>
        <v>0.3</v>
      </c>
      <c r="O193" s="142">
        <f t="shared" si="71"/>
        <v>0.3</v>
      </c>
      <c r="P193" s="142">
        <f t="shared" si="71"/>
        <v>0.3</v>
      </c>
      <c r="Q193" s="142">
        <f t="shared" si="71"/>
        <v>0.3</v>
      </c>
      <c r="R193" s="142">
        <f t="shared" si="71"/>
        <v>0.3</v>
      </c>
      <c r="S193" s="142">
        <f t="shared" si="71"/>
        <v>0.3</v>
      </c>
      <c r="T193" s="142">
        <f t="shared" ref="T193:AF198" si="72">S193</f>
        <v>0.3</v>
      </c>
      <c r="U193" s="142">
        <f t="shared" si="72"/>
        <v>0.3</v>
      </c>
      <c r="V193" s="142">
        <f t="shared" si="72"/>
        <v>0.3</v>
      </c>
      <c r="W193" s="142">
        <f t="shared" si="72"/>
        <v>0.3</v>
      </c>
      <c r="X193" s="142">
        <f t="shared" si="72"/>
        <v>0.3</v>
      </c>
      <c r="Y193" s="142">
        <f t="shared" si="72"/>
        <v>0.3</v>
      </c>
      <c r="Z193" s="142">
        <f t="shared" si="72"/>
        <v>0.3</v>
      </c>
      <c r="AA193" s="142">
        <f t="shared" si="72"/>
        <v>0.3</v>
      </c>
      <c r="AB193" s="142">
        <f t="shared" si="72"/>
        <v>0.3</v>
      </c>
      <c r="AC193" s="142">
        <f t="shared" si="72"/>
        <v>0.3</v>
      </c>
      <c r="AD193" s="142">
        <f t="shared" si="72"/>
        <v>0.3</v>
      </c>
      <c r="AE193" s="142">
        <f t="shared" si="72"/>
        <v>0.3</v>
      </c>
      <c r="AF193" s="142">
        <f t="shared" si="72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70"/>
        <v>0.4</v>
      </c>
      <c r="C194" s="135">
        <v>0.4</v>
      </c>
      <c r="D194" s="135">
        <f t="shared" si="71"/>
        <v>0.4</v>
      </c>
      <c r="E194" s="135">
        <f t="shared" si="71"/>
        <v>0.4</v>
      </c>
      <c r="F194" s="135">
        <f t="shared" si="71"/>
        <v>0.4</v>
      </c>
      <c r="G194" s="135">
        <f t="shared" si="71"/>
        <v>0.4</v>
      </c>
      <c r="H194" s="135">
        <f t="shared" si="71"/>
        <v>0.4</v>
      </c>
      <c r="I194" s="135">
        <f t="shared" si="71"/>
        <v>0.4</v>
      </c>
      <c r="J194" s="135">
        <f t="shared" si="71"/>
        <v>0.4</v>
      </c>
      <c r="K194" s="135">
        <f t="shared" si="71"/>
        <v>0.4</v>
      </c>
      <c r="L194" s="135">
        <f t="shared" si="71"/>
        <v>0.4</v>
      </c>
      <c r="M194" s="135">
        <f t="shared" si="71"/>
        <v>0.4</v>
      </c>
      <c r="N194" s="135">
        <f t="shared" si="71"/>
        <v>0.4</v>
      </c>
      <c r="O194" s="135">
        <f t="shared" si="71"/>
        <v>0.4</v>
      </c>
      <c r="P194" s="135">
        <f t="shared" si="71"/>
        <v>0.4</v>
      </c>
      <c r="Q194" s="135">
        <f t="shared" si="71"/>
        <v>0.4</v>
      </c>
      <c r="R194" s="135">
        <f t="shared" si="71"/>
        <v>0.4</v>
      </c>
      <c r="S194" s="135">
        <f t="shared" si="71"/>
        <v>0.4</v>
      </c>
      <c r="T194" s="135">
        <f t="shared" si="72"/>
        <v>0.4</v>
      </c>
      <c r="U194" s="135">
        <f t="shared" si="72"/>
        <v>0.4</v>
      </c>
      <c r="V194" s="135">
        <f t="shared" si="72"/>
        <v>0.4</v>
      </c>
      <c r="W194" s="135">
        <f>V194</f>
        <v>0.4</v>
      </c>
      <c r="X194" s="135">
        <f>W194</f>
        <v>0.4</v>
      </c>
      <c r="Y194" s="135">
        <f t="shared" si="72"/>
        <v>0.4</v>
      </c>
      <c r="Z194" s="135">
        <f t="shared" si="72"/>
        <v>0.4</v>
      </c>
      <c r="AA194" s="135">
        <f t="shared" si="72"/>
        <v>0.4</v>
      </c>
      <c r="AB194" s="135">
        <f t="shared" si="72"/>
        <v>0.4</v>
      </c>
      <c r="AC194" s="135">
        <f t="shared" si="72"/>
        <v>0.4</v>
      </c>
      <c r="AD194" s="135">
        <f t="shared" si="72"/>
        <v>0.4</v>
      </c>
      <c r="AE194" s="135">
        <f t="shared" si="72"/>
        <v>0.4</v>
      </c>
      <c r="AF194" s="135">
        <f t="shared" si="72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70"/>
        <v>1.5</v>
      </c>
      <c r="C195" s="135">
        <v>1.5</v>
      </c>
      <c r="D195" s="135">
        <f t="shared" si="71"/>
        <v>1.5</v>
      </c>
      <c r="E195" s="135">
        <f t="shared" si="71"/>
        <v>1.5</v>
      </c>
      <c r="F195" s="135">
        <f t="shared" si="71"/>
        <v>1.5</v>
      </c>
      <c r="G195" s="135">
        <f t="shared" si="71"/>
        <v>1.5</v>
      </c>
      <c r="H195" s="135">
        <f t="shared" si="71"/>
        <v>1.5</v>
      </c>
      <c r="I195" s="135">
        <f t="shared" si="71"/>
        <v>1.5</v>
      </c>
      <c r="J195" s="135">
        <f t="shared" si="71"/>
        <v>1.5</v>
      </c>
      <c r="K195" s="135">
        <f t="shared" si="71"/>
        <v>1.5</v>
      </c>
      <c r="L195" s="135">
        <f t="shared" si="71"/>
        <v>1.5</v>
      </c>
      <c r="M195" s="135">
        <f t="shared" si="71"/>
        <v>1.5</v>
      </c>
      <c r="N195" s="135">
        <f t="shared" si="71"/>
        <v>1.5</v>
      </c>
      <c r="O195" s="135">
        <f t="shared" si="71"/>
        <v>1.5</v>
      </c>
      <c r="P195" s="135">
        <f t="shared" si="71"/>
        <v>1.5</v>
      </c>
      <c r="Q195" s="135">
        <f t="shared" si="71"/>
        <v>1.5</v>
      </c>
      <c r="R195" s="135">
        <f t="shared" si="71"/>
        <v>1.5</v>
      </c>
      <c r="S195" s="135">
        <f t="shared" si="71"/>
        <v>1.5</v>
      </c>
      <c r="T195" s="135">
        <f t="shared" si="72"/>
        <v>1.5</v>
      </c>
      <c r="U195" s="135">
        <f t="shared" si="72"/>
        <v>1.5</v>
      </c>
      <c r="V195" s="135">
        <f t="shared" si="72"/>
        <v>1.5</v>
      </c>
      <c r="W195" s="135">
        <f t="shared" si="72"/>
        <v>1.5</v>
      </c>
      <c r="X195" s="135">
        <f t="shared" si="72"/>
        <v>1.5</v>
      </c>
      <c r="Y195" s="135">
        <f t="shared" si="72"/>
        <v>1.5</v>
      </c>
      <c r="Z195" s="135">
        <f t="shared" si="72"/>
        <v>1.5</v>
      </c>
      <c r="AA195" s="135">
        <f t="shared" si="72"/>
        <v>1.5</v>
      </c>
      <c r="AB195" s="135">
        <f t="shared" si="72"/>
        <v>1.5</v>
      </c>
      <c r="AC195" s="135">
        <f t="shared" si="72"/>
        <v>1.5</v>
      </c>
      <c r="AD195" s="135">
        <f t="shared" si="72"/>
        <v>1.5</v>
      </c>
      <c r="AE195" s="135">
        <f t="shared" si="72"/>
        <v>1.5</v>
      </c>
      <c r="AF195" s="135">
        <f t="shared" si="72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70"/>
        <v>0.3</v>
      </c>
      <c r="C196" s="135">
        <v>0.3</v>
      </c>
      <c r="D196" s="135">
        <f t="shared" si="71"/>
        <v>0.3</v>
      </c>
      <c r="E196" s="135">
        <f t="shared" si="71"/>
        <v>0.3</v>
      </c>
      <c r="F196" s="135">
        <f t="shared" si="71"/>
        <v>0.3</v>
      </c>
      <c r="G196" s="135">
        <f t="shared" si="71"/>
        <v>0.3</v>
      </c>
      <c r="H196" s="135">
        <f t="shared" si="71"/>
        <v>0.3</v>
      </c>
      <c r="I196" s="135">
        <f t="shared" si="71"/>
        <v>0.3</v>
      </c>
      <c r="J196" s="135">
        <f t="shared" si="71"/>
        <v>0.3</v>
      </c>
      <c r="K196" s="135">
        <f t="shared" si="71"/>
        <v>0.3</v>
      </c>
      <c r="L196" s="135">
        <f t="shared" si="71"/>
        <v>0.3</v>
      </c>
      <c r="M196" s="135">
        <f t="shared" si="71"/>
        <v>0.3</v>
      </c>
      <c r="N196" s="135">
        <f t="shared" si="71"/>
        <v>0.3</v>
      </c>
      <c r="O196" s="135">
        <f t="shared" si="71"/>
        <v>0.3</v>
      </c>
      <c r="P196" s="135">
        <f t="shared" si="71"/>
        <v>0.3</v>
      </c>
      <c r="Q196" s="135">
        <f t="shared" si="71"/>
        <v>0.3</v>
      </c>
      <c r="R196" s="135">
        <f t="shared" si="71"/>
        <v>0.3</v>
      </c>
      <c r="S196" s="135">
        <f t="shared" si="71"/>
        <v>0.3</v>
      </c>
      <c r="T196" s="135">
        <f t="shared" si="72"/>
        <v>0.3</v>
      </c>
      <c r="U196" s="135">
        <f t="shared" si="72"/>
        <v>0.3</v>
      </c>
      <c r="V196" s="135">
        <f t="shared" si="72"/>
        <v>0.3</v>
      </c>
      <c r="W196" s="135">
        <f t="shared" si="72"/>
        <v>0.3</v>
      </c>
      <c r="X196" s="135">
        <f t="shared" si="72"/>
        <v>0.3</v>
      </c>
      <c r="Y196" s="135">
        <f t="shared" si="72"/>
        <v>0.3</v>
      </c>
      <c r="Z196" s="135">
        <f t="shared" si="72"/>
        <v>0.3</v>
      </c>
      <c r="AA196" s="135">
        <f t="shared" si="72"/>
        <v>0.3</v>
      </c>
      <c r="AB196" s="135">
        <f t="shared" si="72"/>
        <v>0.3</v>
      </c>
      <c r="AC196" s="135">
        <f t="shared" si="72"/>
        <v>0.3</v>
      </c>
      <c r="AD196" s="135">
        <f t="shared" si="72"/>
        <v>0.3</v>
      </c>
      <c r="AE196" s="135">
        <f t="shared" si="72"/>
        <v>0.3</v>
      </c>
      <c r="AF196" s="135">
        <f t="shared" si="72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70"/>
        <v>0.4</v>
      </c>
      <c r="C197" s="135">
        <v>0.4</v>
      </c>
      <c r="D197" s="135">
        <f t="shared" si="71"/>
        <v>0.4</v>
      </c>
      <c r="E197" s="135">
        <f t="shared" si="71"/>
        <v>0.4</v>
      </c>
      <c r="F197" s="135">
        <f t="shared" si="71"/>
        <v>0.4</v>
      </c>
      <c r="G197" s="135">
        <f t="shared" si="71"/>
        <v>0.4</v>
      </c>
      <c r="H197" s="135">
        <f t="shared" si="71"/>
        <v>0.4</v>
      </c>
      <c r="I197" s="135">
        <f t="shared" si="71"/>
        <v>0.4</v>
      </c>
      <c r="J197" s="135">
        <f t="shared" si="71"/>
        <v>0.4</v>
      </c>
      <c r="K197" s="135">
        <f t="shared" si="71"/>
        <v>0.4</v>
      </c>
      <c r="L197" s="135">
        <f t="shared" si="71"/>
        <v>0.4</v>
      </c>
      <c r="M197" s="135">
        <f t="shared" si="71"/>
        <v>0.4</v>
      </c>
      <c r="N197" s="135">
        <f t="shared" si="71"/>
        <v>0.4</v>
      </c>
      <c r="O197" s="135">
        <f t="shared" si="71"/>
        <v>0.4</v>
      </c>
      <c r="P197" s="135">
        <f t="shared" si="71"/>
        <v>0.4</v>
      </c>
      <c r="Q197" s="135">
        <f t="shared" si="71"/>
        <v>0.4</v>
      </c>
      <c r="R197" s="135">
        <f t="shared" si="71"/>
        <v>0.4</v>
      </c>
      <c r="S197" s="135">
        <f t="shared" si="71"/>
        <v>0.4</v>
      </c>
      <c r="T197" s="135">
        <f t="shared" si="72"/>
        <v>0.4</v>
      </c>
      <c r="U197" s="135">
        <f t="shared" si="72"/>
        <v>0.4</v>
      </c>
      <c r="V197" s="135">
        <f t="shared" si="72"/>
        <v>0.4</v>
      </c>
      <c r="W197" s="135">
        <f t="shared" si="72"/>
        <v>0.4</v>
      </c>
      <c r="X197" s="135">
        <f t="shared" si="72"/>
        <v>0.4</v>
      </c>
      <c r="Y197" s="135">
        <f t="shared" si="72"/>
        <v>0.4</v>
      </c>
      <c r="Z197" s="135">
        <f t="shared" si="72"/>
        <v>0.4</v>
      </c>
      <c r="AA197" s="135">
        <f t="shared" si="72"/>
        <v>0.4</v>
      </c>
      <c r="AB197" s="135">
        <f t="shared" si="72"/>
        <v>0.4</v>
      </c>
      <c r="AC197" s="135">
        <f t="shared" si="72"/>
        <v>0.4</v>
      </c>
      <c r="AD197" s="135">
        <f t="shared" si="72"/>
        <v>0.4</v>
      </c>
      <c r="AE197" s="135">
        <f t="shared" si="72"/>
        <v>0.4</v>
      </c>
      <c r="AF197" s="135">
        <f t="shared" si="72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70"/>
        <v>0.64</v>
      </c>
      <c r="C198" s="145">
        <v>0.64</v>
      </c>
      <c r="D198" s="145">
        <f t="shared" si="71"/>
        <v>0.64</v>
      </c>
      <c r="E198" s="145">
        <f t="shared" si="71"/>
        <v>0.64</v>
      </c>
      <c r="F198" s="145">
        <f t="shared" si="71"/>
        <v>0.64</v>
      </c>
      <c r="G198" s="145">
        <f t="shared" si="71"/>
        <v>0.64</v>
      </c>
      <c r="H198" s="145">
        <f t="shared" si="71"/>
        <v>0.64</v>
      </c>
      <c r="I198" s="145">
        <f t="shared" si="71"/>
        <v>0.64</v>
      </c>
      <c r="J198" s="145">
        <f t="shared" si="71"/>
        <v>0.64</v>
      </c>
      <c r="K198" s="145">
        <f t="shared" si="71"/>
        <v>0.64</v>
      </c>
      <c r="L198" s="145">
        <f t="shared" si="71"/>
        <v>0.64</v>
      </c>
      <c r="M198" s="145">
        <f t="shared" si="71"/>
        <v>0.64</v>
      </c>
      <c r="N198" s="145">
        <f t="shared" si="71"/>
        <v>0.64</v>
      </c>
      <c r="O198" s="145">
        <f t="shared" si="71"/>
        <v>0.64</v>
      </c>
      <c r="P198" s="145">
        <f t="shared" si="71"/>
        <v>0.64</v>
      </c>
      <c r="Q198" s="145">
        <f t="shared" si="71"/>
        <v>0.64</v>
      </c>
      <c r="R198" s="145">
        <f t="shared" si="71"/>
        <v>0.64</v>
      </c>
      <c r="S198" s="145">
        <f t="shared" si="71"/>
        <v>0.64</v>
      </c>
      <c r="T198" s="145">
        <f t="shared" si="72"/>
        <v>0.64</v>
      </c>
      <c r="U198" s="145">
        <f t="shared" si="72"/>
        <v>0.64</v>
      </c>
      <c r="V198" s="145">
        <f t="shared" si="72"/>
        <v>0.64</v>
      </c>
      <c r="W198" s="145">
        <f t="shared" si="72"/>
        <v>0.64</v>
      </c>
      <c r="X198" s="145">
        <f t="shared" si="72"/>
        <v>0.64</v>
      </c>
      <c r="Y198" s="145">
        <f t="shared" si="72"/>
        <v>0.64</v>
      </c>
      <c r="Z198" s="145">
        <f t="shared" si="72"/>
        <v>0.64</v>
      </c>
      <c r="AA198" s="145">
        <f t="shared" si="72"/>
        <v>0.64</v>
      </c>
      <c r="AB198" s="145">
        <f t="shared" si="72"/>
        <v>0.64</v>
      </c>
      <c r="AC198" s="145">
        <f t="shared" si="72"/>
        <v>0.64</v>
      </c>
      <c r="AD198" s="145">
        <f t="shared" si="72"/>
        <v>0.64</v>
      </c>
      <c r="AE198" s="145">
        <f t="shared" si="72"/>
        <v>0.64</v>
      </c>
      <c r="AF198" s="145">
        <f t="shared" si="72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73">SUM(D193:D198)</f>
        <v>3.54</v>
      </c>
      <c r="E199" s="148">
        <f t="shared" si="73"/>
        <v>3.54</v>
      </c>
      <c r="F199" s="148">
        <f t="shared" si="73"/>
        <v>3.54</v>
      </c>
      <c r="G199" s="148">
        <f t="shared" si="73"/>
        <v>3.54</v>
      </c>
      <c r="H199" s="148">
        <f t="shared" si="73"/>
        <v>3.54</v>
      </c>
      <c r="I199" s="148">
        <f t="shared" si="73"/>
        <v>3.54</v>
      </c>
      <c r="J199" s="148">
        <f t="shared" si="73"/>
        <v>3.54</v>
      </c>
      <c r="K199" s="148">
        <f t="shared" si="73"/>
        <v>3.54</v>
      </c>
      <c r="L199" s="148">
        <f t="shared" si="73"/>
        <v>3.54</v>
      </c>
      <c r="M199" s="148">
        <f>SUM(M193:M198)</f>
        <v>3.54</v>
      </c>
      <c r="N199" s="148">
        <f t="shared" ref="N199:S199" si="74">SUM(N193:N198)</f>
        <v>3.54</v>
      </c>
      <c r="O199" s="148">
        <f t="shared" si="74"/>
        <v>3.54</v>
      </c>
      <c r="P199" s="148">
        <f t="shared" si="74"/>
        <v>3.54</v>
      </c>
      <c r="Q199" s="148">
        <f t="shared" si="74"/>
        <v>3.54</v>
      </c>
      <c r="R199" s="148">
        <f t="shared" si="74"/>
        <v>3.54</v>
      </c>
      <c r="S199" s="148">
        <f t="shared" si="74"/>
        <v>3.54</v>
      </c>
      <c r="T199" s="148">
        <f>SUM(T193:T198)</f>
        <v>3.54</v>
      </c>
      <c r="U199" s="148">
        <f t="shared" ref="U199:AG199" si="75">SUM(U193:U198)</f>
        <v>3.54</v>
      </c>
      <c r="V199" s="148">
        <f t="shared" si="75"/>
        <v>3.54</v>
      </c>
      <c r="W199" s="148">
        <f t="shared" si="75"/>
        <v>3.54</v>
      </c>
      <c r="X199" s="148">
        <f t="shared" si="75"/>
        <v>3.54</v>
      </c>
      <c r="Y199" s="148">
        <f t="shared" si="75"/>
        <v>3.54</v>
      </c>
      <c r="Z199" s="148">
        <f t="shared" si="75"/>
        <v>3.54</v>
      </c>
      <c r="AA199" s="148">
        <f t="shared" si="75"/>
        <v>3.54</v>
      </c>
      <c r="AB199" s="148">
        <f t="shared" si="75"/>
        <v>3.54</v>
      </c>
      <c r="AC199" s="148">
        <f t="shared" si="75"/>
        <v>3.54</v>
      </c>
      <c r="AD199" s="148">
        <f t="shared" si="75"/>
        <v>3.54</v>
      </c>
      <c r="AE199" s="148">
        <f t="shared" si="75"/>
        <v>3.54</v>
      </c>
      <c r="AF199" s="148">
        <f t="shared" si="75"/>
        <v>3.54</v>
      </c>
      <c r="AG199" s="149">
        <f t="shared" si="75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1571.8400000000001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2078/10/13)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76">B75</f>
        <v>1008.04</v>
      </c>
      <c r="U213" s="173">
        <f t="shared" si="76"/>
        <v>934.44</v>
      </c>
      <c r="V213" s="173">
        <f t="shared" si="76"/>
        <v>904.04</v>
      </c>
      <c r="W213" s="173">
        <f t="shared" si="76"/>
        <v>901.54</v>
      </c>
      <c r="X213" s="173">
        <f t="shared" si="76"/>
        <v>887.74</v>
      </c>
      <c r="Y213" s="173">
        <f t="shared" si="76"/>
        <v>951.04</v>
      </c>
      <c r="Z213" s="173">
        <f t="shared" si="76"/>
        <v>1017.4399999999998</v>
      </c>
      <c r="AA213" s="173">
        <f t="shared" si="76"/>
        <v>1111.3399999999999</v>
      </c>
      <c r="AB213" s="173">
        <f t="shared" si="76"/>
        <v>1225.8399999999999</v>
      </c>
      <c r="AC213" s="173">
        <f t="shared" si="76"/>
        <v>1303.3399999999999</v>
      </c>
      <c r="AD213" s="173">
        <f t="shared" si="76"/>
        <v>1473.6399999999999</v>
      </c>
      <c r="AE213" s="173">
        <f t="shared" si="76"/>
        <v>1571.8400000000001</v>
      </c>
      <c r="AF213" s="173">
        <f t="shared" si="76"/>
        <v>1540.54</v>
      </c>
      <c r="AG213" s="173">
        <f t="shared" si="76"/>
        <v>1479.74</v>
      </c>
      <c r="AH213" s="173">
        <f t="shared" si="76"/>
        <v>1434.74</v>
      </c>
      <c r="AI213" s="173">
        <f t="shared" si="76"/>
        <v>1365.6399999999999</v>
      </c>
      <c r="AJ213" s="173">
        <f t="shared" si="76"/>
        <v>1317.74</v>
      </c>
      <c r="AK213" s="173">
        <f t="shared" si="76"/>
        <v>1305.54</v>
      </c>
      <c r="AL213" s="173">
        <f t="shared" si="76"/>
        <v>1318.44</v>
      </c>
      <c r="AM213" s="173">
        <f t="shared" si="76"/>
        <v>1334.1399999999999</v>
      </c>
      <c r="AN213" s="173">
        <f t="shared" si="76"/>
        <v>1382.94</v>
      </c>
      <c r="AO213" s="173">
        <f t="shared" si="76"/>
        <v>1470.8400000000001</v>
      </c>
      <c r="AP213" s="173">
        <f t="shared" si="76"/>
        <v>1617.34</v>
      </c>
      <c r="AQ213" s="173">
        <f t="shared" si="76"/>
        <v>1695.04</v>
      </c>
      <c r="AR213" s="173">
        <f t="shared" si="76"/>
        <v>1631.44</v>
      </c>
      <c r="AS213" s="173">
        <f t="shared" si="76"/>
        <v>1577.24</v>
      </c>
      <c r="AT213" s="173">
        <f t="shared" si="76"/>
        <v>1490.24</v>
      </c>
      <c r="AU213" s="173">
        <f t="shared" si="76"/>
        <v>1468.64</v>
      </c>
      <c r="AV213" s="173">
        <f t="shared" si="76"/>
        <v>1378.04</v>
      </c>
      <c r="AW213" s="173">
        <f t="shared" si="76"/>
        <v>1170.44</v>
      </c>
      <c r="AX213" s="173">
        <f t="shared" si="76"/>
        <v>1000.1399999999999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77">C198</f>
        <v>0.64</v>
      </c>
      <c r="C234" s="176">
        <f t="shared" si="77"/>
        <v>0.64</v>
      </c>
      <c r="D234" s="176">
        <f t="shared" si="77"/>
        <v>0.64</v>
      </c>
      <c r="E234" s="176">
        <f t="shared" si="77"/>
        <v>0.64</v>
      </c>
      <c r="F234" s="176">
        <f t="shared" si="77"/>
        <v>0.64</v>
      </c>
      <c r="G234" s="176">
        <f t="shared" si="77"/>
        <v>0.64</v>
      </c>
      <c r="H234" s="176">
        <f t="shared" si="77"/>
        <v>0.64</v>
      </c>
      <c r="I234" s="176">
        <f t="shared" si="77"/>
        <v>0.64</v>
      </c>
      <c r="J234" s="176">
        <f t="shared" si="77"/>
        <v>0.64</v>
      </c>
      <c r="K234" s="176">
        <f t="shared" si="77"/>
        <v>0.64</v>
      </c>
      <c r="L234" s="176">
        <f t="shared" si="77"/>
        <v>0.64</v>
      </c>
      <c r="M234" s="176">
        <f t="shared" si="77"/>
        <v>0.64</v>
      </c>
      <c r="N234" s="176">
        <f t="shared" si="77"/>
        <v>0.64</v>
      </c>
      <c r="O234" s="176">
        <f t="shared" si="77"/>
        <v>0.64</v>
      </c>
      <c r="P234" s="176">
        <f t="shared" si="77"/>
        <v>0.64</v>
      </c>
      <c r="Q234" s="176">
        <f t="shared" si="77"/>
        <v>0.64</v>
      </c>
      <c r="R234" s="176">
        <f t="shared" si="77"/>
        <v>0.64</v>
      </c>
      <c r="S234" s="176">
        <f t="shared" si="77"/>
        <v>0.64</v>
      </c>
      <c r="T234" s="176">
        <f t="shared" si="77"/>
        <v>0.64</v>
      </c>
      <c r="U234" s="176">
        <f t="shared" si="77"/>
        <v>0.64</v>
      </c>
      <c r="V234" s="176">
        <f t="shared" si="77"/>
        <v>0.64</v>
      </c>
      <c r="W234" s="176">
        <f t="shared" si="77"/>
        <v>0.64</v>
      </c>
      <c r="X234" s="176">
        <f t="shared" si="77"/>
        <v>0.64</v>
      </c>
      <c r="Y234" s="176">
        <f t="shared" si="77"/>
        <v>0.64</v>
      </c>
      <c r="Z234" s="176">
        <f t="shared" si="77"/>
        <v>0.64</v>
      </c>
      <c r="AA234" s="176">
        <f t="shared" si="77"/>
        <v>0.64</v>
      </c>
      <c r="AB234" s="176">
        <f t="shared" si="77"/>
        <v>0.64</v>
      </c>
      <c r="AC234" s="176">
        <f t="shared" si="77"/>
        <v>0.64</v>
      </c>
      <c r="AD234" s="176">
        <f t="shared" si="77"/>
        <v>0.64</v>
      </c>
      <c r="AE234" s="176">
        <f t="shared" si="77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78">IF(C202&lt;100,"",C202-520)</f>
        <v/>
      </c>
      <c r="D235" s="119" t="str">
        <f t="shared" si="78"/>
        <v/>
      </c>
      <c r="E235" s="119" t="str">
        <f t="shared" si="78"/>
        <v/>
      </c>
      <c r="F235" s="119" t="str">
        <f t="shared" si="78"/>
        <v/>
      </c>
      <c r="G235" s="119" t="str">
        <f t="shared" si="78"/>
        <v/>
      </c>
      <c r="H235" s="119" t="str">
        <f t="shared" si="78"/>
        <v/>
      </c>
      <c r="I235" s="119" t="str">
        <f t="shared" si="78"/>
        <v/>
      </c>
      <c r="J235" s="119" t="str">
        <f t="shared" si="78"/>
        <v/>
      </c>
      <c r="K235" s="119" t="str">
        <f t="shared" si="78"/>
        <v/>
      </c>
      <c r="L235" s="119" t="str">
        <f t="shared" si="78"/>
        <v/>
      </c>
      <c r="M235" s="119" t="str">
        <f t="shared" si="78"/>
        <v/>
      </c>
      <c r="N235" s="119" t="str">
        <f t="shared" si="78"/>
        <v/>
      </c>
      <c r="O235" s="119" t="str">
        <f t="shared" si="78"/>
        <v/>
      </c>
      <c r="P235" s="119" t="str">
        <f t="shared" si="78"/>
        <v/>
      </c>
      <c r="Q235" s="119" t="str">
        <f t="shared" si="78"/>
        <v/>
      </c>
      <c r="R235" s="119" t="str">
        <f t="shared" si="78"/>
        <v/>
      </c>
      <c r="S235" s="119" t="str">
        <f t="shared" si="78"/>
        <v/>
      </c>
      <c r="T235" s="119" t="str">
        <f t="shared" si="78"/>
        <v/>
      </c>
      <c r="U235" s="119" t="str">
        <f t="shared" si="78"/>
        <v/>
      </c>
      <c r="V235" s="119" t="str">
        <f t="shared" si="78"/>
        <v/>
      </c>
      <c r="W235" s="119" t="str">
        <f t="shared" si="78"/>
        <v/>
      </c>
      <c r="X235" s="119" t="str">
        <f t="shared" si="78"/>
        <v/>
      </c>
      <c r="Y235" s="119" t="str">
        <f t="shared" si="78"/>
        <v/>
      </c>
      <c r="Z235" s="119" t="str">
        <f t="shared" si="78"/>
        <v/>
      </c>
      <c r="AA235" s="119" t="str">
        <f t="shared" si="78"/>
        <v/>
      </c>
      <c r="AB235" s="119" t="str">
        <f t="shared" si="78"/>
        <v/>
      </c>
      <c r="AC235" s="119" t="str">
        <f t="shared" si="78"/>
        <v/>
      </c>
      <c r="AD235" s="119" t="str">
        <f t="shared" si="78"/>
        <v/>
      </c>
      <c r="AE235" s="119" t="str">
        <f t="shared" si="78"/>
        <v/>
      </c>
      <c r="AF235" s="119" t="str">
        <f t="shared" si="78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79">IF(B203&lt;100,"",B203-620)</f>
        <v/>
      </c>
      <c r="C236" s="119" t="str">
        <f t="shared" si="79"/>
        <v/>
      </c>
      <c r="D236" s="119" t="str">
        <f t="shared" si="79"/>
        <v/>
      </c>
      <c r="E236" s="119" t="str">
        <f t="shared" si="79"/>
        <v/>
      </c>
      <c r="F236" s="119" t="str">
        <f t="shared" si="79"/>
        <v/>
      </c>
      <c r="G236" s="119" t="str">
        <f t="shared" si="79"/>
        <v/>
      </c>
      <c r="H236" s="119" t="str">
        <f t="shared" si="79"/>
        <v/>
      </c>
      <c r="I236" s="119" t="str">
        <f t="shared" si="79"/>
        <v/>
      </c>
      <c r="J236" s="119" t="str">
        <f t="shared" si="79"/>
        <v/>
      </c>
      <c r="K236" s="119" t="str">
        <f t="shared" si="79"/>
        <v/>
      </c>
      <c r="L236" s="119" t="str">
        <f t="shared" si="79"/>
        <v/>
      </c>
      <c r="M236" s="119" t="str">
        <f t="shared" si="79"/>
        <v/>
      </c>
      <c r="N236" s="119" t="str">
        <f t="shared" si="79"/>
        <v/>
      </c>
      <c r="O236" s="119" t="str">
        <f t="shared" si="79"/>
        <v/>
      </c>
      <c r="P236" s="119" t="str">
        <f t="shared" si="79"/>
        <v/>
      </c>
      <c r="Q236" s="119" t="str">
        <f t="shared" si="79"/>
        <v/>
      </c>
      <c r="R236" s="119" t="str">
        <f t="shared" si="79"/>
        <v/>
      </c>
      <c r="S236" s="119" t="str">
        <f t="shared" si="79"/>
        <v/>
      </c>
      <c r="T236" s="119" t="str">
        <f t="shared" si="79"/>
        <v/>
      </c>
      <c r="U236" s="119" t="str">
        <f t="shared" si="79"/>
        <v/>
      </c>
      <c r="V236" s="119" t="str">
        <f t="shared" si="79"/>
        <v/>
      </c>
      <c r="W236" s="119" t="str">
        <f t="shared" si="79"/>
        <v/>
      </c>
      <c r="X236" s="119" t="str">
        <f t="shared" si="79"/>
        <v/>
      </c>
      <c r="Y236" s="119" t="str">
        <f t="shared" si="79"/>
        <v/>
      </c>
      <c r="Z236" s="119" t="str">
        <f t="shared" si="79"/>
        <v/>
      </c>
      <c r="AA236" s="119" t="str">
        <f t="shared" si="79"/>
        <v/>
      </c>
      <c r="AB236" s="119" t="str">
        <f t="shared" si="79"/>
        <v/>
      </c>
      <c r="AC236" s="119" t="str">
        <f t="shared" si="79"/>
        <v/>
      </c>
      <c r="AD236" s="119" t="str">
        <f t="shared" si="79"/>
        <v/>
      </c>
      <c r="AE236" s="119" t="str">
        <f t="shared" si="79"/>
        <v/>
      </c>
      <c r="AF236" s="119" t="str">
        <f t="shared" si="79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80">IF(B204&lt;100,"",B204-330)</f>
        <v/>
      </c>
      <c r="C237" s="119" t="str">
        <f t="shared" si="80"/>
        <v/>
      </c>
      <c r="D237" s="119" t="str">
        <f t="shared" si="80"/>
        <v/>
      </c>
      <c r="E237" s="119" t="str">
        <f t="shared" si="80"/>
        <v/>
      </c>
      <c r="F237" s="119" t="str">
        <f t="shared" si="80"/>
        <v/>
      </c>
      <c r="G237" s="119" t="str">
        <f t="shared" si="80"/>
        <v/>
      </c>
      <c r="H237" s="119" t="str">
        <f t="shared" si="80"/>
        <v/>
      </c>
      <c r="I237" s="119" t="str">
        <f t="shared" si="80"/>
        <v/>
      </c>
      <c r="J237" s="119" t="str">
        <f t="shared" si="80"/>
        <v/>
      </c>
      <c r="K237" s="119" t="str">
        <f t="shared" si="80"/>
        <v/>
      </c>
      <c r="L237" s="119" t="str">
        <f t="shared" si="80"/>
        <v/>
      </c>
      <c r="M237" s="119" t="str">
        <f t="shared" si="80"/>
        <v/>
      </c>
      <c r="N237" s="119" t="str">
        <f t="shared" si="80"/>
        <v/>
      </c>
      <c r="O237" s="119" t="str">
        <f t="shared" si="80"/>
        <v/>
      </c>
      <c r="P237" s="119" t="str">
        <f t="shared" si="80"/>
        <v/>
      </c>
      <c r="Q237" s="119" t="str">
        <f t="shared" si="80"/>
        <v/>
      </c>
      <c r="R237" s="119" t="str">
        <f t="shared" si="80"/>
        <v/>
      </c>
      <c r="S237" s="119" t="str">
        <f t="shared" si="80"/>
        <v/>
      </c>
      <c r="T237" s="119" t="str">
        <f t="shared" si="80"/>
        <v/>
      </c>
      <c r="U237" s="119" t="str">
        <f t="shared" si="80"/>
        <v/>
      </c>
      <c r="V237" s="119" t="str">
        <f t="shared" si="80"/>
        <v/>
      </c>
      <c r="W237" s="119" t="str">
        <f t="shared" si="80"/>
        <v/>
      </c>
      <c r="X237" s="119" t="str">
        <f t="shared" si="80"/>
        <v/>
      </c>
      <c r="Y237" s="119" t="str">
        <f t="shared" si="80"/>
        <v/>
      </c>
      <c r="Z237" s="119" t="str">
        <f t="shared" si="80"/>
        <v/>
      </c>
      <c r="AA237" s="119" t="str">
        <f t="shared" si="80"/>
        <v/>
      </c>
      <c r="AB237" s="119" t="str">
        <f t="shared" si="80"/>
        <v/>
      </c>
      <c r="AC237" s="119" t="str">
        <f t="shared" si="80"/>
        <v/>
      </c>
      <c r="AD237" s="119" t="str">
        <f t="shared" si="80"/>
        <v/>
      </c>
      <c r="AE237" s="119" t="str">
        <f t="shared" si="80"/>
        <v/>
      </c>
      <c r="AF237" s="119" t="str">
        <f t="shared" si="80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81">IF(C205&lt;100,"",C205-1500)</f>
        <v/>
      </c>
      <c r="D238" s="119" t="str">
        <f t="shared" si="81"/>
        <v/>
      </c>
      <c r="E238" s="119" t="str">
        <f t="shared" si="81"/>
        <v/>
      </c>
      <c r="F238" s="119" t="str">
        <f t="shared" si="81"/>
        <v/>
      </c>
      <c r="G238" s="119" t="str">
        <f t="shared" si="81"/>
        <v/>
      </c>
      <c r="H238" s="119" t="str">
        <f t="shared" si="81"/>
        <v/>
      </c>
      <c r="I238" s="119" t="str">
        <f t="shared" si="81"/>
        <v/>
      </c>
      <c r="J238" s="119" t="str">
        <f t="shared" si="81"/>
        <v/>
      </c>
      <c r="K238" s="119" t="str">
        <f t="shared" si="81"/>
        <v/>
      </c>
      <c r="L238" s="119" t="str">
        <f t="shared" si="81"/>
        <v/>
      </c>
      <c r="M238" s="119" t="str">
        <f t="shared" si="81"/>
        <v/>
      </c>
      <c r="N238" s="119" t="str">
        <f t="shared" si="81"/>
        <v/>
      </c>
      <c r="O238" s="119" t="str">
        <f t="shared" si="81"/>
        <v/>
      </c>
      <c r="P238" s="119" t="str">
        <f t="shared" si="81"/>
        <v/>
      </c>
      <c r="Q238" s="119" t="str">
        <f t="shared" si="81"/>
        <v/>
      </c>
      <c r="R238" s="119" t="str">
        <f t="shared" si="81"/>
        <v/>
      </c>
      <c r="S238" s="119" t="str">
        <f t="shared" si="81"/>
        <v/>
      </c>
      <c r="T238" s="119" t="str">
        <f t="shared" si="81"/>
        <v/>
      </c>
      <c r="U238" s="119" t="str">
        <f t="shared" si="81"/>
        <v/>
      </c>
      <c r="V238" s="119" t="str">
        <f t="shared" si="81"/>
        <v/>
      </c>
      <c r="W238" s="119" t="str">
        <f t="shared" si="81"/>
        <v/>
      </c>
      <c r="X238" s="119" t="str">
        <f t="shared" si="81"/>
        <v/>
      </c>
      <c r="Y238" s="119" t="str">
        <f t="shared" si="81"/>
        <v/>
      </c>
      <c r="Z238" s="119" t="str">
        <f t="shared" si="81"/>
        <v/>
      </c>
      <c r="AA238" s="119" t="str">
        <f t="shared" si="81"/>
        <v/>
      </c>
      <c r="AB238" s="119" t="str">
        <f t="shared" si="81"/>
        <v/>
      </c>
      <c r="AC238" s="119" t="str">
        <f t="shared" si="81"/>
        <v/>
      </c>
      <c r="AD238" s="119" t="str">
        <f t="shared" si="81"/>
        <v/>
      </c>
      <c r="AE238" s="119" t="str">
        <f t="shared" si="81"/>
        <v/>
      </c>
      <c r="AF238" s="119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15">
      <iconSet iconSet="3TrafficLights2" reverse="1">
        <cfvo type="percent" val="0"/>
        <cfvo type="num" val="1"/>
        <cfvo type="num" val="1"/>
      </iconSet>
    </cfRule>
  </conditionalFormatting>
  <conditionalFormatting sqref="M37:R37 C57:L59 P39:R39 M39:O42 P40:Q42 R42 M12:M14 R40:T41 M58:W59 X91:Y91 AB81:AF81 C81:R81 C56:AF56 C82:AF83 D193:AF199 B193:B199 AB84:AF91 M53:X55 C68:AF80 B9:AF10 B191:AF191 AF57:AF67 AG73 AB94:AF99 U212:AF212 J61:N61 J60:O60 Z53:AF55 X85:X90 AA40:AE43 M11:AF11 D60:I61 D63:L67 O12:Q14 N62:N67 O61:O67 P60:R67 R45:X45 U40:Z42 AA91 S18:AF30">
    <cfRule type="expression" dxfId="8071" priority="611">
      <formula>B$9&gt;=20/24</formula>
    </cfRule>
    <cfRule type="expression" dxfId="8070" priority="612">
      <formula>AND(B$9&gt;=14/24,B$9&lt;20/24)</formula>
    </cfRule>
    <cfRule type="expression" dxfId="8069" priority="613">
      <formula>AND(B$9&gt;=8/24,B$9&lt;14/24)</formula>
    </cfRule>
    <cfRule type="expression" dxfId="8068" priority="614">
      <formula>B$9&lt;8/24</formula>
    </cfRule>
  </conditionalFormatting>
  <conditionalFormatting sqref="AL4:AL6">
    <cfRule type="iconSet" priority="61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067" priority="606">
      <formula>M$9&gt;=20/24</formula>
    </cfRule>
    <cfRule type="expression" dxfId="8066" priority="607">
      <formula>AND(M$9&gt;=14/24,M$9&lt;20/24)</formula>
    </cfRule>
    <cfRule type="expression" dxfId="8065" priority="608">
      <formula>AND(M$9&gt;=8/24,M$9&lt;14/24)</formula>
    </cfRule>
    <cfRule type="expression" dxfId="8064" priority="609">
      <formula>M$9&lt;8/24</formula>
    </cfRule>
  </conditionalFormatting>
  <conditionalFormatting sqref="M43 O43:R43">
    <cfRule type="expression" dxfId="8063" priority="602">
      <formula>M$9&gt;=20/24</formula>
    </cfRule>
    <cfRule type="expression" dxfId="8062" priority="603">
      <formula>AND(M$9&gt;=14/24,M$9&lt;20/24)</formula>
    </cfRule>
    <cfRule type="expression" dxfId="8061" priority="604">
      <formula>AND(M$9&gt;=8/24,M$9&lt;14/24)</formula>
    </cfRule>
    <cfRule type="expression" dxfId="8060" priority="605">
      <formula>M$9&lt;8/24</formula>
    </cfRule>
  </conditionalFormatting>
  <conditionalFormatting sqref="S39:AE39">
    <cfRule type="expression" dxfId="8059" priority="598">
      <formula>S$9&gt;=20/24</formula>
    </cfRule>
    <cfRule type="expression" dxfId="8058" priority="599">
      <formula>AND(S$9&gt;=14/24,S$9&lt;20/24)</formula>
    </cfRule>
    <cfRule type="expression" dxfId="8057" priority="600">
      <formula>AND(S$9&gt;=8/24,S$9&lt;14/24)</formula>
    </cfRule>
    <cfRule type="expression" dxfId="8056" priority="601">
      <formula>S$9&lt;8/24</formula>
    </cfRule>
  </conditionalFormatting>
  <conditionalFormatting sqref="S57:X57 Z57:AE57">
    <cfRule type="expression" dxfId="8055" priority="594">
      <formula>S$9&gt;=20/24</formula>
    </cfRule>
    <cfRule type="expression" dxfId="8054" priority="595">
      <formula>AND(S$9&gt;=14/24,S$9&lt;20/24)</formula>
    </cfRule>
    <cfRule type="expression" dxfId="8053" priority="596">
      <formula>AND(S$9&gt;=8/24,S$9&lt;14/24)</formula>
    </cfRule>
    <cfRule type="expression" dxfId="8052" priority="597">
      <formula>S$9&lt;8/24</formula>
    </cfRule>
  </conditionalFormatting>
  <conditionalFormatting sqref="S81:AA81">
    <cfRule type="expression" dxfId="8051" priority="590">
      <formula>S$9&gt;=20/24</formula>
    </cfRule>
    <cfRule type="expression" dxfId="8050" priority="591">
      <formula>AND(S$9&gt;=14/24,S$9&lt;20/24)</formula>
    </cfRule>
    <cfRule type="expression" dxfId="8049" priority="592">
      <formula>AND(S$9&gt;=8/24,S$9&lt;14/24)</formula>
    </cfRule>
    <cfRule type="expression" dxfId="8048" priority="593">
      <formula>S$9&lt;8/24</formula>
    </cfRule>
  </conditionalFormatting>
  <conditionalFormatting sqref="U84:X84 Z84:AA84">
    <cfRule type="expression" dxfId="8047" priority="586">
      <formula>U$9&gt;=20/24</formula>
    </cfRule>
    <cfRule type="expression" dxfId="8046" priority="587">
      <formula>AND(U$9&gt;=14/24,U$9&lt;20/24)</formula>
    </cfRule>
    <cfRule type="expression" dxfId="8045" priority="588">
      <formula>AND(U$9&gt;=8/24,U$9&lt;14/24)</formula>
    </cfRule>
    <cfRule type="expression" dxfId="8044" priority="589">
      <formula>U$9&lt;8/24</formula>
    </cfRule>
  </conditionalFormatting>
  <conditionalFormatting sqref="R45:X45">
    <cfRule type="expression" dxfId="8043" priority="574">
      <formula>R$9&gt;=20/24</formula>
    </cfRule>
    <cfRule type="expression" dxfId="8042" priority="575">
      <formula>AND(R$9&gt;=14/24,R$9&lt;20/24)</formula>
    </cfRule>
    <cfRule type="expression" dxfId="8041" priority="576">
      <formula>AND(R$9&gt;=8/24,R$9&lt;14/24)</formula>
    </cfRule>
    <cfRule type="expression" dxfId="8040" priority="577">
      <formula>R$9&lt;8/24</formula>
    </cfRule>
  </conditionalFormatting>
  <conditionalFormatting sqref="S37:AE37">
    <cfRule type="expression" dxfId="8039" priority="570">
      <formula>S$9&gt;=20/24</formula>
    </cfRule>
    <cfRule type="expression" dxfId="8038" priority="571">
      <formula>AND(S$9&gt;=14/24,S$9&lt;20/24)</formula>
    </cfRule>
    <cfRule type="expression" dxfId="8037" priority="572">
      <formula>AND(S$9&gt;=8/24,S$9&lt;14/24)</formula>
    </cfRule>
    <cfRule type="expression" dxfId="8036" priority="573">
      <formula>S$9&lt;8/24</formula>
    </cfRule>
  </conditionalFormatting>
  <conditionalFormatting sqref="S31:AF32 S35:AF35">
    <cfRule type="expression" dxfId="8035" priority="566">
      <formula>S$9&gt;=20/24</formula>
    </cfRule>
    <cfRule type="expression" dxfId="8034" priority="567">
      <formula>AND(S$9&gt;=14/24,S$9&lt;20/24)</formula>
    </cfRule>
    <cfRule type="expression" dxfId="8033" priority="568">
      <formula>AND(S$9&gt;=8/24,S$9&lt;14/24)</formula>
    </cfRule>
    <cfRule type="expression" dxfId="8032" priority="569">
      <formula>S$9&lt;8/24</formula>
    </cfRule>
  </conditionalFormatting>
  <conditionalFormatting sqref="S42:T43 U43:Z43 Y45:AF48">
    <cfRule type="expression" dxfId="8031" priority="562">
      <formula>S$9&gt;=20/24</formula>
    </cfRule>
    <cfRule type="expression" dxfId="8030" priority="563">
      <formula>AND(S$9&gt;=14/24,S$9&lt;20/24)</formula>
    </cfRule>
    <cfRule type="expression" dxfId="8029" priority="564">
      <formula>AND(S$9&gt;=8/24,S$9&lt;14/24)</formula>
    </cfRule>
    <cfRule type="expression" dxfId="8028" priority="565">
      <formula>S$9&lt;8/24</formula>
    </cfRule>
  </conditionalFormatting>
  <conditionalFormatting sqref="Y49:AF49">
    <cfRule type="expression" dxfId="8027" priority="558">
      <formula>Y$9&gt;=20/24</formula>
    </cfRule>
    <cfRule type="expression" dxfId="8026" priority="559">
      <formula>AND(Y$9&gt;=14/24,Y$9&lt;20/24)</formula>
    </cfRule>
    <cfRule type="expression" dxfId="8025" priority="560">
      <formula>AND(Y$9&gt;=8/24,Y$9&lt;14/24)</formula>
    </cfRule>
    <cfRule type="expression" dxfId="8024" priority="561">
      <formula>Y$9&lt;8/24</formula>
    </cfRule>
  </conditionalFormatting>
  <conditionalFormatting sqref="Y50:AF50">
    <cfRule type="expression" dxfId="8023" priority="554">
      <formula>Y$9&gt;=20/24</formula>
    </cfRule>
    <cfRule type="expression" dxfId="8022" priority="555">
      <formula>AND(Y$9&gt;=14/24,Y$9&lt;20/24)</formula>
    </cfRule>
    <cfRule type="expression" dxfId="8021" priority="556">
      <formula>AND(Y$9&gt;=8/24,Y$9&lt;14/24)</formula>
    </cfRule>
    <cfRule type="expression" dxfId="8020" priority="557">
      <formula>Y$9&lt;8/24</formula>
    </cfRule>
  </conditionalFormatting>
  <conditionalFormatting sqref="X60:X67 S60:T67 Z60:AE61 AB62:AE67 U65:V67">
    <cfRule type="expression" dxfId="8019" priority="550">
      <formula>S$9&gt;=20/24</formula>
    </cfRule>
    <cfRule type="expression" dxfId="8018" priority="551">
      <formula>AND(S$9&gt;=14/24,S$9&lt;20/24)</formula>
    </cfRule>
    <cfRule type="expression" dxfId="8017" priority="552">
      <formula>AND(S$9&gt;=8/24,S$9&lt;14/24)</formula>
    </cfRule>
    <cfRule type="expression" dxfId="8016" priority="553">
      <formula>S$9&lt;8/24</formula>
    </cfRule>
  </conditionalFormatting>
  <conditionalFormatting sqref="D62:L62">
    <cfRule type="expression" dxfId="8015" priority="546">
      <formula>D$9&gt;=20/24</formula>
    </cfRule>
    <cfRule type="expression" dxfId="8014" priority="547">
      <formula>AND(D$9&gt;=14/24,D$9&lt;20/24)</formula>
    </cfRule>
    <cfRule type="expression" dxfId="8013" priority="548">
      <formula>AND(D$9&gt;=8/24,D$9&lt;14/24)</formula>
    </cfRule>
    <cfRule type="expression" dxfId="8012" priority="549">
      <formula>D$9&lt;8/24</formula>
    </cfRule>
  </conditionalFormatting>
  <conditionalFormatting sqref="U94:AA97">
    <cfRule type="expression" dxfId="8011" priority="542">
      <formula>U$9&gt;=20/24</formula>
    </cfRule>
    <cfRule type="expression" dxfId="8010" priority="543">
      <formula>AND(U$9&gt;=14/24,U$9&lt;20/24)</formula>
    </cfRule>
    <cfRule type="expression" dxfId="8009" priority="544">
      <formula>AND(U$9&gt;=8/24,U$9&lt;14/24)</formula>
    </cfRule>
    <cfRule type="expression" dxfId="8008" priority="545">
      <formula>U$9&lt;8/24</formula>
    </cfRule>
  </conditionalFormatting>
  <conditionalFormatting sqref="AG51 M12:M14 C56:AF56 E53:X55 Z53:AF55 C38:AF38 C51:AF52 C11:AF11 F42:Y42 C42:E45 E37:AF37 M44 F44:L45 O12:Q14 F43:M43 O43:Y43 O44 Y44:Y50 R44:X45 C39:Y41 S34:AF35 S18:AF32 Z39:AF50">
    <cfRule type="expression" dxfId="8007" priority="541">
      <formula>C11&gt;$AG11</formula>
    </cfRule>
  </conditionalFormatting>
  <conditionalFormatting sqref="A100:A156 A84:A97 A11:A14 A16:A32 A45:A72 A80:A82 A74:A78 A35:A43 A169:A199">
    <cfRule type="expression" dxfId="8006" priority="540">
      <formula>$AH11=0</formula>
    </cfRule>
  </conditionalFormatting>
  <conditionalFormatting sqref="U98:AA98">
    <cfRule type="expression" dxfId="8005" priority="536">
      <formula>U$9&gt;=20/24</formula>
    </cfRule>
    <cfRule type="expression" dxfId="8004" priority="537">
      <formula>AND(U$9&gt;=14/24,U$9&lt;20/24)</formula>
    </cfRule>
    <cfRule type="expression" dxfId="8003" priority="538">
      <formula>AND(U$9&gt;=8/24,U$9&lt;14/24)</formula>
    </cfRule>
    <cfRule type="expression" dxfId="8002" priority="539">
      <formula>U$9&lt;8/24</formula>
    </cfRule>
  </conditionalFormatting>
  <conditionalFormatting sqref="A98">
    <cfRule type="expression" dxfId="8001" priority="535">
      <formula>$AH98=0</formula>
    </cfRule>
  </conditionalFormatting>
  <conditionalFormatting sqref="M62:M67">
    <cfRule type="expression" dxfId="8000" priority="531">
      <formula>M$9&gt;=20/24</formula>
    </cfRule>
    <cfRule type="expression" dxfId="7999" priority="532">
      <formula>AND(M$9&gt;=14/24,M$9&lt;20/24)</formula>
    </cfRule>
    <cfRule type="expression" dxfId="7998" priority="533">
      <formula>AND(M$9&gt;=8/24,M$9&lt;14/24)</formula>
    </cfRule>
    <cfRule type="expression" dxfId="7997" priority="534">
      <formula>M$9&lt;8/24</formula>
    </cfRule>
  </conditionalFormatting>
  <conditionalFormatting sqref="AL32">
    <cfRule type="iconSet" priority="530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7996" priority="526">
      <formula>S$9&gt;=20/24</formula>
    </cfRule>
    <cfRule type="expression" dxfId="7995" priority="527">
      <formula>AND(S$9&gt;=14/24,S$9&lt;20/24)</formula>
    </cfRule>
    <cfRule type="expression" dxfId="7994" priority="528">
      <formula>AND(S$9&gt;=8/24,S$9&lt;14/24)</formula>
    </cfRule>
    <cfRule type="expression" dxfId="7993" priority="529">
      <formula>S$9&lt;8/24</formula>
    </cfRule>
  </conditionalFormatting>
  <conditionalFormatting sqref="A34">
    <cfRule type="expression" dxfId="7992" priority="525">
      <formula>$AH34=0</formula>
    </cfRule>
  </conditionalFormatting>
  <conditionalFormatting sqref="A83">
    <cfRule type="expression" dxfId="7991" priority="524">
      <formula>$AH83=0</formula>
    </cfRule>
  </conditionalFormatting>
  <conditionalFormatting sqref="M15 P15">
    <cfRule type="expression" dxfId="7990" priority="520">
      <formula>M$9&gt;=20/24</formula>
    </cfRule>
    <cfRule type="expression" dxfId="7989" priority="521">
      <formula>AND(M$9&gt;=14/24,M$9&lt;20/24)</formula>
    </cfRule>
    <cfRule type="expression" dxfId="7988" priority="522">
      <formula>AND(M$9&gt;=8/24,M$9&lt;14/24)</formula>
    </cfRule>
    <cfRule type="expression" dxfId="7987" priority="523">
      <formula>M$9&lt;8/24</formula>
    </cfRule>
  </conditionalFormatting>
  <conditionalFormatting sqref="M15 P15">
    <cfRule type="expression" dxfId="7986" priority="519">
      <formula>M15&gt;$AG15</formula>
    </cfRule>
  </conditionalFormatting>
  <conditionalFormatting sqref="A15">
    <cfRule type="expression" dxfId="7985" priority="518">
      <formula>$AH15=0</formula>
    </cfRule>
  </conditionalFormatting>
  <conditionalFormatting sqref="A163:A168">
    <cfRule type="expression" dxfId="7984" priority="517">
      <formula>$AH163=0</formula>
    </cfRule>
  </conditionalFormatting>
  <conditionalFormatting sqref="A157:A162">
    <cfRule type="expression" dxfId="7983" priority="516">
      <formula>$AH157=0</formula>
    </cfRule>
  </conditionalFormatting>
  <conditionalFormatting sqref="AA44:AE44">
    <cfRule type="expression" dxfId="7982" priority="512">
      <formula>AA$9&gt;=20/24</formula>
    </cfRule>
    <cfRule type="expression" dxfId="7981" priority="513">
      <formula>AND(AA$9&gt;=14/24,AA$9&lt;20/24)</formula>
    </cfRule>
    <cfRule type="expression" dxfId="7980" priority="514">
      <formula>AND(AA$9&gt;=8/24,AA$9&lt;14/24)</formula>
    </cfRule>
    <cfRule type="expression" dxfId="7979" priority="515">
      <formula>AA$9&lt;8/24</formula>
    </cfRule>
  </conditionalFormatting>
  <conditionalFormatting sqref="M44 O44 R44">
    <cfRule type="expression" dxfId="7978" priority="508">
      <formula>M$9&gt;=20/24</formula>
    </cfRule>
    <cfRule type="expression" dxfId="7977" priority="509">
      <formula>AND(M$9&gt;=14/24,M$9&lt;20/24)</formula>
    </cfRule>
    <cfRule type="expression" dxfId="7976" priority="510">
      <formula>AND(M$9&gt;=8/24,M$9&lt;14/24)</formula>
    </cfRule>
    <cfRule type="expression" dxfId="7975" priority="511">
      <formula>M$9&lt;8/24</formula>
    </cfRule>
  </conditionalFormatting>
  <conditionalFormatting sqref="S44:AE44">
    <cfRule type="expression" dxfId="7974" priority="504">
      <formula>S$9&gt;=20/24</formula>
    </cfRule>
    <cfRule type="expression" dxfId="7973" priority="505">
      <formula>AND(S$9&gt;=14/24,S$9&lt;20/24)</formula>
    </cfRule>
    <cfRule type="expression" dxfId="7972" priority="506">
      <formula>AND(S$9&gt;=8/24,S$9&lt;14/24)</formula>
    </cfRule>
    <cfRule type="expression" dxfId="7971" priority="507">
      <formula>S$9&lt;8/24</formula>
    </cfRule>
  </conditionalFormatting>
  <conditionalFormatting sqref="A44">
    <cfRule type="expression" dxfId="7970" priority="503">
      <formula>$AH44=0</formula>
    </cfRule>
  </conditionalFormatting>
  <conditionalFormatting sqref="A79">
    <cfRule type="expression" dxfId="7969" priority="502">
      <formula>$AH79=0</formula>
    </cfRule>
  </conditionalFormatting>
  <conditionalFormatting sqref="A73">
    <cfRule type="expression" dxfId="7968" priority="501">
      <formula>$AH73=0</formula>
    </cfRule>
  </conditionalFormatting>
  <conditionalFormatting sqref="AL34:AL35 AL7:AL31">
    <cfRule type="iconSet" priority="617">
      <iconSet iconSet="3TrafficLights2" reverse="1">
        <cfvo type="percent" val="0"/>
        <cfvo type="num" val="1"/>
        <cfvo type="num" val="1"/>
      </iconSet>
    </cfRule>
  </conditionalFormatting>
  <conditionalFormatting sqref="U60:W61 W62:W67 U62:V64">
    <cfRule type="expression" dxfId="7967" priority="497">
      <formula>U$9&gt;=20/24</formula>
    </cfRule>
    <cfRule type="expression" dxfId="7966" priority="498">
      <formula>AND(U$9&gt;=14/24,U$9&lt;20/24)</formula>
    </cfRule>
    <cfRule type="expression" dxfId="7965" priority="499">
      <formula>AND(U$9&gt;=8/24,U$9&lt;14/24)</formula>
    </cfRule>
    <cfRule type="expression" dxfId="7964" priority="500">
      <formula>U$9&lt;8/24</formula>
    </cfRule>
  </conditionalFormatting>
  <conditionalFormatting sqref="U85:W91">
    <cfRule type="expression" dxfId="7963" priority="493">
      <formula>U$9&gt;=20/24</formula>
    </cfRule>
    <cfRule type="expression" dxfId="7962" priority="494">
      <formula>AND(U$9&gt;=14/24,U$9&lt;20/24)</formula>
    </cfRule>
    <cfRule type="expression" dxfId="7961" priority="495">
      <formula>AND(U$9&gt;=8/24,U$9&lt;14/24)</formula>
    </cfRule>
    <cfRule type="expression" dxfId="7960" priority="496">
      <formula>U$9&lt;8/24</formula>
    </cfRule>
  </conditionalFormatting>
  <conditionalFormatting sqref="C84:H84 S85:T91 C91:R91 E85:H90 I84:R90">
    <cfRule type="expression" dxfId="7959" priority="489">
      <formula>C$9&gt;=20/24</formula>
    </cfRule>
    <cfRule type="expression" dxfId="7958" priority="490">
      <formula>AND(C$9&gt;=14/24,C$9&lt;20/24)</formula>
    </cfRule>
    <cfRule type="expression" dxfId="7957" priority="491">
      <formula>AND(C$9&gt;=8/24,C$9&lt;14/24)</formula>
    </cfRule>
    <cfRule type="expression" dxfId="7956" priority="492">
      <formula>C$9&lt;8/24</formula>
    </cfRule>
  </conditionalFormatting>
  <conditionalFormatting sqref="S84:T84">
    <cfRule type="expression" dxfId="7955" priority="485">
      <formula>S$9&gt;=20/24</formula>
    </cfRule>
    <cfRule type="expression" dxfId="7954" priority="486">
      <formula>AND(S$9&gt;=14/24,S$9&lt;20/24)</formula>
    </cfRule>
    <cfRule type="expression" dxfId="7953" priority="487">
      <formula>AND(S$9&gt;=8/24,S$9&lt;14/24)</formula>
    </cfRule>
    <cfRule type="expression" dxfId="7952" priority="488">
      <formula>S$9&lt;8/24</formula>
    </cfRule>
  </conditionalFormatting>
  <conditionalFormatting sqref="C95:M97 C94:F94">
    <cfRule type="expression" dxfId="7951" priority="481">
      <formula>C$9&gt;=20/24</formula>
    </cfRule>
    <cfRule type="expression" dxfId="7950" priority="482">
      <formula>AND(C$9&gt;=14/24,C$9&lt;20/24)</formula>
    </cfRule>
    <cfRule type="expression" dxfId="7949" priority="483">
      <formula>AND(C$9&gt;=8/24,C$9&lt;14/24)</formula>
    </cfRule>
    <cfRule type="expression" dxfId="7948" priority="484">
      <formula>C$9&lt;8/24</formula>
    </cfRule>
  </conditionalFormatting>
  <conditionalFormatting sqref="N95:R97 O94:R94">
    <cfRule type="expression" dxfId="7947" priority="477">
      <formula>N$9&gt;=20/24</formula>
    </cfRule>
    <cfRule type="expression" dxfId="7946" priority="478">
      <formula>AND(N$9&gt;=14/24,N$9&lt;20/24)</formula>
    </cfRule>
    <cfRule type="expression" dxfId="7945" priority="479">
      <formula>AND(N$9&gt;=8/24,N$9&lt;14/24)</formula>
    </cfRule>
    <cfRule type="expression" dxfId="7944" priority="480">
      <formula>N$9&lt;8/24</formula>
    </cfRule>
  </conditionalFormatting>
  <conditionalFormatting sqref="S94:T97">
    <cfRule type="expression" dxfId="7943" priority="473">
      <formula>S$9&gt;=20/24</formula>
    </cfRule>
    <cfRule type="expression" dxfId="7942" priority="474">
      <formula>AND(S$9&gt;=14/24,S$9&lt;20/24)</formula>
    </cfRule>
    <cfRule type="expression" dxfId="7941" priority="475">
      <formula>AND(S$9&gt;=8/24,S$9&lt;14/24)</formula>
    </cfRule>
    <cfRule type="expression" dxfId="7940" priority="476">
      <formula>S$9&lt;8/24</formula>
    </cfRule>
  </conditionalFormatting>
  <conditionalFormatting sqref="C98:M98">
    <cfRule type="expression" dxfId="7939" priority="469">
      <formula>C$9&gt;=20/24</formula>
    </cfRule>
    <cfRule type="expression" dxfId="7938" priority="470">
      <formula>AND(C$9&gt;=14/24,C$9&lt;20/24)</formula>
    </cfRule>
    <cfRule type="expression" dxfId="7937" priority="471">
      <formula>AND(C$9&gt;=8/24,C$9&lt;14/24)</formula>
    </cfRule>
    <cfRule type="expression" dxfId="7936" priority="472">
      <formula>C$9&lt;8/24</formula>
    </cfRule>
  </conditionalFormatting>
  <conditionalFormatting sqref="N98:R98">
    <cfRule type="expression" dxfId="7935" priority="465">
      <formula>N$9&gt;=20/24</formula>
    </cfRule>
    <cfRule type="expression" dxfId="7934" priority="466">
      <formula>AND(N$9&gt;=14/24,N$9&lt;20/24)</formula>
    </cfRule>
    <cfRule type="expression" dxfId="7933" priority="467">
      <formula>AND(N$9&gt;=8/24,N$9&lt;14/24)</formula>
    </cfRule>
    <cfRule type="expression" dxfId="7932" priority="468">
      <formula>N$9&lt;8/24</formula>
    </cfRule>
  </conditionalFormatting>
  <conditionalFormatting sqref="S98:T98">
    <cfRule type="expression" dxfId="7931" priority="461">
      <formula>S$9&gt;=20/24</formula>
    </cfRule>
    <cfRule type="expression" dxfId="7930" priority="462">
      <formula>AND(S$9&gt;=14/24,S$9&lt;20/24)</formula>
    </cfRule>
    <cfRule type="expression" dxfId="7929" priority="463">
      <formula>AND(S$9&gt;=8/24,S$9&lt;14/24)</formula>
    </cfRule>
    <cfRule type="expression" dxfId="7928" priority="464">
      <formula>S$9&lt;8/24</formula>
    </cfRule>
  </conditionalFormatting>
  <conditionalFormatting sqref="M94:N94">
    <cfRule type="expression" dxfId="7927" priority="457">
      <formula>M$9&gt;=20/24</formula>
    </cfRule>
    <cfRule type="expression" dxfId="7926" priority="458">
      <formula>AND(M$9&gt;=14/24,M$9&lt;20/24)</formula>
    </cfRule>
    <cfRule type="expression" dxfId="7925" priority="459">
      <formula>AND(M$9&gt;=8/24,M$9&lt;14/24)</formula>
    </cfRule>
    <cfRule type="expression" dxfId="7924" priority="460">
      <formula>M$9&lt;8/24</formula>
    </cfRule>
  </conditionalFormatting>
  <conditionalFormatting sqref="G94:L94">
    <cfRule type="expression" dxfId="7923" priority="453">
      <formula>G$9&gt;=20/24</formula>
    </cfRule>
    <cfRule type="expression" dxfId="7922" priority="454">
      <formula>AND(G$9&gt;=14/24,G$9&lt;20/24)</formula>
    </cfRule>
    <cfRule type="expression" dxfId="7921" priority="455">
      <formula>AND(G$9&gt;=8/24,G$9&lt;14/24)</formula>
    </cfRule>
    <cfRule type="expression" dxfId="7920" priority="456">
      <formula>G$9&lt;8/24</formula>
    </cfRule>
  </conditionalFormatting>
  <conditionalFormatting sqref="U94:W94">
    <cfRule type="expression" dxfId="7919" priority="449">
      <formula>U$9&gt;=20/24</formula>
    </cfRule>
    <cfRule type="expression" dxfId="7918" priority="450">
      <formula>AND(U$9&gt;=14/24,U$9&lt;20/24)</formula>
    </cfRule>
    <cfRule type="expression" dxfId="7917" priority="451">
      <formula>AND(U$9&gt;=8/24,U$9&lt;14/24)</formula>
    </cfRule>
    <cfRule type="expression" dxfId="7916" priority="452">
      <formula>U$9&lt;8/24</formula>
    </cfRule>
  </conditionalFormatting>
  <conditionalFormatting sqref="N94:T94">
    <cfRule type="expression" dxfId="7915" priority="445">
      <formula>N$9&gt;=20/24</formula>
    </cfRule>
    <cfRule type="expression" dxfId="7914" priority="446">
      <formula>AND(N$9&gt;=14/24,N$9&lt;20/24)</formula>
    </cfRule>
    <cfRule type="expression" dxfId="7913" priority="447">
      <formula>AND(N$9&gt;=8/24,N$9&lt;14/24)</formula>
    </cfRule>
    <cfRule type="expression" dxfId="7912" priority="448">
      <formula>N$9&lt;8/24</formula>
    </cfRule>
  </conditionalFormatting>
  <conditionalFormatting sqref="U99:AA99">
    <cfRule type="expression" dxfId="7911" priority="441">
      <formula>U$9&gt;=20/24</formula>
    </cfRule>
    <cfRule type="expression" dxfId="7910" priority="442">
      <formula>AND(U$9&gt;=14/24,U$9&lt;20/24)</formula>
    </cfRule>
    <cfRule type="expression" dxfId="7909" priority="443">
      <formula>AND(U$9&gt;=8/24,U$9&lt;14/24)</formula>
    </cfRule>
    <cfRule type="expression" dxfId="7908" priority="444">
      <formula>U$9&lt;8/24</formula>
    </cfRule>
  </conditionalFormatting>
  <conditionalFormatting sqref="C99:M99">
    <cfRule type="expression" dxfId="7907" priority="437">
      <formula>C$9&gt;=20/24</formula>
    </cfRule>
    <cfRule type="expression" dxfId="7906" priority="438">
      <formula>AND(C$9&gt;=14/24,C$9&lt;20/24)</formula>
    </cfRule>
    <cfRule type="expression" dxfId="7905" priority="439">
      <formula>AND(C$9&gt;=8/24,C$9&lt;14/24)</formula>
    </cfRule>
    <cfRule type="expression" dxfId="7904" priority="440">
      <formula>C$9&lt;8/24</formula>
    </cfRule>
  </conditionalFormatting>
  <conditionalFormatting sqref="N99:R99">
    <cfRule type="expression" dxfId="7903" priority="433">
      <formula>N$9&gt;=20/24</formula>
    </cfRule>
    <cfRule type="expression" dxfId="7902" priority="434">
      <formula>AND(N$9&gt;=14/24,N$9&lt;20/24)</formula>
    </cfRule>
    <cfRule type="expression" dxfId="7901" priority="435">
      <formula>AND(N$9&gt;=8/24,N$9&lt;14/24)</formula>
    </cfRule>
    <cfRule type="expression" dxfId="7900" priority="436">
      <formula>N$9&lt;8/24</formula>
    </cfRule>
  </conditionalFormatting>
  <conditionalFormatting sqref="S99:T99">
    <cfRule type="expression" dxfId="7899" priority="429">
      <formula>S$9&gt;=20/24</formula>
    </cfRule>
    <cfRule type="expression" dxfId="7898" priority="430">
      <formula>AND(S$9&gt;=14/24,S$9&lt;20/24)</formula>
    </cfRule>
    <cfRule type="expression" dxfId="7897" priority="431">
      <formula>AND(S$9&gt;=8/24,S$9&lt;14/24)</formula>
    </cfRule>
    <cfRule type="expression" dxfId="7896" priority="432">
      <formula>S$9&lt;8/24</formula>
    </cfRule>
  </conditionalFormatting>
  <conditionalFormatting sqref="S12:X15 Y12:AF16">
    <cfRule type="expression" dxfId="7895" priority="425">
      <formula>S$9&gt;=20/24</formula>
    </cfRule>
    <cfRule type="expression" dxfId="7894" priority="426">
      <formula>AND(S$9&gt;=14/24,S$9&lt;20/24)</formula>
    </cfRule>
    <cfRule type="expression" dxfId="7893" priority="427">
      <formula>AND(S$9&gt;=8/24,S$9&lt;14/24)</formula>
    </cfRule>
    <cfRule type="expression" dxfId="7892" priority="428">
      <formula>S$9&lt;8/24</formula>
    </cfRule>
  </conditionalFormatting>
  <conditionalFormatting sqref="S17:AF17">
    <cfRule type="expression" dxfId="7891" priority="421">
      <formula>S$9&gt;=20/24</formula>
    </cfRule>
    <cfRule type="expression" dxfId="7890" priority="422">
      <formula>AND(S$9&gt;=14/24,S$9&lt;20/24)</formula>
    </cfRule>
    <cfRule type="expression" dxfId="7889" priority="423">
      <formula>AND(S$9&gt;=8/24,S$9&lt;14/24)</formula>
    </cfRule>
    <cfRule type="expression" dxfId="7888" priority="424">
      <formula>S$9&lt;8/24</formula>
    </cfRule>
  </conditionalFormatting>
  <conditionalFormatting sqref="S12:AF13">
    <cfRule type="expression" dxfId="7887" priority="417">
      <formula>S$9&gt;=20/24</formula>
    </cfRule>
    <cfRule type="expression" dxfId="7886" priority="418">
      <formula>AND(S$9&gt;=14/24,S$9&lt;20/24)</formula>
    </cfRule>
    <cfRule type="expression" dxfId="7885" priority="419">
      <formula>AND(S$9&gt;=8/24,S$9&lt;14/24)</formula>
    </cfRule>
    <cfRule type="expression" dxfId="7884" priority="420">
      <formula>S$9&lt;8/24</formula>
    </cfRule>
  </conditionalFormatting>
  <conditionalFormatting sqref="AB58:AE59">
    <cfRule type="expression" dxfId="7883" priority="413">
      <formula>AB$9&gt;=20/24</formula>
    </cfRule>
    <cfRule type="expression" dxfId="7882" priority="414">
      <formula>AND(AB$9&gt;=14/24,AB$9&lt;20/24)</formula>
    </cfRule>
    <cfRule type="expression" dxfId="7881" priority="415">
      <formula>AND(AB$9&gt;=8/24,AB$9&lt;14/24)</formula>
    </cfRule>
    <cfRule type="expression" dxfId="7880" priority="416">
      <formula>AB$9&lt;8/24</formula>
    </cfRule>
  </conditionalFormatting>
  <conditionalFormatting sqref="AL33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79" priority="618">
      <formula>C$9&gt;=20/24</formula>
    </cfRule>
    <cfRule type="expression" dxfId="7878" priority="619">
      <formula>AND(C$9&gt;=14/24,C$9&lt;20/24)</formula>
    </cfRule>
    <cfRule type="expression" dxfId="7877" priority="620">
      <formula>AND(C$9&gt;=8/24,C$9&lt;14/24)</formula>
    </cfRule>
    <cfRule type="expression" dxfId="7876" priority="621">
      <formula>C$9&lt;8/24</formula>
    </cfRule>
  </conditionalFormatting>
  <conditionalFormatting sqref="A200">
    <cfRule type="expression" dxfId="7875" priority="622">
      <formula>$AH200=0</formula>
    </cfRule>
  </conditionalFormatting>
  <conditionalFormatting sqref="AG212">
    <cfRule type="expression" dxfId="7874" priority="623">
      <formula>B$9&gt;=20/24</formula>
    </cfRule>
    <cfRule type="expression" dxfId="7873" priority="624">
      <formula>AND(B$9&gt;=14/24,B$9&lt;20/24)</formula>
    </cfRule>
    <cfRule type="expression" dxfId="7872" priority="625">
      <formula>AND(B$9&gt;=8/24,B$9&lt;14/24)</formula>
    </cfRule>
    <cfRule type="expression" dxfId="7871" priority="626">
      <formula>B$9&lt;8/24</formula>
    </cfRule>
  </conditionalFormatting>
  <conditionalFormatting sqref="S8">
    <cfRule type="expression" dxfId="7870" priority="407">
      <formula>U$9&gt;=20/24</formula>
    </cfRule>
    <cfRule type="expression" dxfId="7869" priority="408">
      <formula>AND(U$9&gt;=14/24,U$9&lt;20/24)</formula>
    </cfRule>
    <cfRule type="expression" dxfId="7868" priority="409">
      <formula>AND(U$9&gt;=8/24,U$9&lt;14/24)</formula>
    </cfRule>
    <cfRule type="expression" dxfId="7867" priority="410">
      <formula>U$9&lt;8/24</formula>
    </cfRule>
  </conditionalFormatting>
  <conditionalFormatting sqref="AB8">
    <cfRule type="expression" dxfId="7866" priority="403">
      <formula>AD$9&gt;=20/24</formula>
    </cfRule>
    <cfRule type="expression" dxfId="7865" priority="404">
      <formula>AND(AD$9&gt;=14/24,AD$9&lt;20/24)</formula>
    </cfRule>
    <cfRule type="expression" dxfId="7864" priority="405">
      <formula>AND(AD$9&gt;=8/24,AD$9&lt;14/24)</formula>
    </cfRule>
    <cfRule type="expression" dxfId="7863" priority="406">
      <formula>AD$9&lt;8/24</formula>
    </cfRule>
  </conditionalFormatting>
  <conditionalFormatting sqref="AH212:AX212">
    <cfRule type="expression" dxfId="7862" priority="627">
      <formula>AG$9&gt;=20/24</formula>
    </cfRule>
    <cfRule type="expression" dxfId="7861" priority="628">
      <formula>AND(AG$9&gt;=14/24,AG$9&lt;20/24)</formula>
    </cfRule>
    <cfRule type="expression" dxfId="7860" priority="629">
      <formula>AND(AG$9&gt;=8/24,AG$9&lt;14/24)</formula>
    </cfRule>
    <cfRule type="expression" dxfId="7859" priority="630">
      <formula>AG$9&lt;8/24</formula>
    </cfRule>
  </conditionalFormatting>
  <conditionalFormatting sqref="T212">
    <cfRule type="expression" dxfId="7858" priority="631">
      <formula>AX$9&gt;=20/24</formula>
    </cfRule>
    <cfRule type="expression" dxfId="7857" priority="632">
      <formula>AND(AX$9&gt;=14/24,AX$9&lt;20/24)</formula>
    </cfRule>
    <cfRule type="expression" dxfId="7856" priority="633">
      <formula>AND(AX$9&gt;=8/24,AX$9&lt;14/24)</formula>
    </cfRule>
    <cfRule type="expression" dxfId="7855" priority="634">
      <formula>AX$9&lt;8/24</formula>
    </cfRule>
  </conditionalFormatting>
  <conditionalFormatting sqref="A99">
    <cfRule type="expression" dxfId="7854" priority="402">
      <formula>$AH99=0</formula>
    </cfRule>
  </conditionalFormatting>
  <conditionalFormatting sqref="S33:AF33">
    <cfRule type="expression" dxfId="7853" priority="398">
      <formula>S$9&gt;=20/24</formula>
    </cfRule>
    <cfRule type="expression" dxfId="7852" priority="399">
      <formula>AND(S$9&gt;=14/24,S$9&lt;20/24)</formula>
    </cfRule>
    <cfRule type="expression" dxfId="7851" priority="400">
      <formula>AND(S$9&gt;=8/24,S$9&lt;14/24)</formula>
    </cfRule>
    <cfRule type="expression" dxfId="7850" priority="401">
      <formula>S$9&lt;8/24</formula>
    </cfRule>
  </conditionalFormatting>
  <conditionalFormatting sqref="S33:AF33">
    <cfRule type="expression" dxfId="7849" priority="397">
      <formula>S33&gt;$AG33</formula>
    </cfRule>
  </conditionalFormatting>
  <conditionalFormatting sqref="U16:X16">
    <cfRule type="expression" dxfId="7848" priority="371">
      <formula>U$9&gt;=20/24</formula>
    </cfRule>
    <cfRule type="expression" dxfId="7847" priority="372">
      <formula>AND(U$9&gt;=14/24,U$9&lt;20/24)</formula>
    </cfRule>
    <cfRule type="expression" dxfId="7846" priority="373">
      <formula>AND(U$9&gt;=8/24,U$9&lt;14/24)</formula>
    </cfRule>
    <cfRule type="expression" dxfId="7845" priority="374">
      <formula>U$9&lt;8/24</formula>
    </cfRule>
  </conditionalFormatting>
  <conditionalFormatting sqref="U16:X16">
    <cfRule type="expression" dxfId="7844" priority="370">
      <formula>U16&gt;$AG16</formula>
    </cfRule>
  </conditionalFormatting>
  <conditionalFormatting sqref="S44:T44">
    <cfRule type="expression" dxfId="7843" priority="354">
      <formula>S$9&gt;=20/24</formula>
    </cfRule>
    <cfRule type="expression" dxfId="7842" priority="355">
      <formula>AND(S$9&gt;=14/24,S$9&lt;20/24)</formula>
    </cfRule>
    <cfRule type="expression" dxfId="7841" priority="356">
      <formula>AND(S$9&gt;=8/24,S$9&lt;14/24)</formula>
    </cfRule>
    <cfRule type="expression" dxfId="7840" priority="357">
      <formula>S$9&lt;8/24</formula>
    </cfRule>
  </conditionalFormatting>
  <conditionalFormatting sqref="Y53:Y55">
    <cfRule type="expression" dxfId="7839" priority="353">
      <formula>Y$9="PEAK"</formula>
    </cfRule>
  </conditionalFormatting>
  <conditionalFormatting sqref="Y57">
    <cfRule type="expression" dxfId="7838" priority="352">
      <formula>Y$9="PEAK"</formula>
    </cfRule>
  </conditionalFormatting>
  <conditionalFormatting sqref="Y58:Y67 Z62:AA67">
    <cfRule type="expression" dxfId="7837" priority="351">
      <formula>Y$9="PEAK"</formula>
    </cfRule>
  </conditionalFormatting>
  <conditionalFormatting sqref="Y84:Y90">
    <cfRule type="expression" dxfId="7836" priority="350">
      <formula>Y$9="PEAK"</formula>
    </cfRule>
  </conditionalFormatting>
  <conditionalFormatting sqref="B94:B99 B53:B91 B11:B14 C60:C67 C53:D55 B18:L30 C12:L14 B36:AF36">
    <cfRule type="expression" dxfId="7835" priority="346">
      <formula>B$9&gt;=20/24</formula>
    </cfRule>
    <cfRule type="expression" dxfId="7834" priority="347">
      <formula>AND(B$9&gt;=14/24,B$9&lt;20/24)</formula>
    </cfRule>
    <cfRule type="expression" dxfId="7833" priority="348">
      <formula>AND(B$9&gt;=8/24,B$9&lt;14/24)</formula>
    </cfRule>
    <cfRule type="expression" dxfId="7832" priority="349">
      <formula>B$9&lt;8/24</formula>
    </cfRule>
  </conditionalFormatting>
  <conditionalFormatting sqref="B31:L32 B35:L35">
    <cfRule type="expression" dxfId="7831" priority="342">
      <formula>B$9&gt;=20/24</formula>
    </cfRule>
    <cfRule type="expression" dxfId="7830" priority="343">
      <formula>AND(B$9&gt;=14/24,B$9&lt;20/24)</formula>
    </cfRule>
    <cfRule type="expression" dxfId="7829" priority="344">
      <formula>AND(B$9&gt;=8/24,B$9&lt;14/24)</formula>
    </cfRule>
    <cfRule type="expression" dxfId="7828" priority="345">
      <formula>B$9&lt;8/24</formula>
    </cfRule>
  </conditionalFormatting>
  <conditionalFormatting sqref="B45:B48 C46:L48">
    <cfRule type="expression" dxfId="7827" priority="338">
      <formula>B$9&gt;=20/24</formula>
    </cfRule>
    <cfRule type="expression" dxfId="7826" priority="339">
      <formula>AND(B$9&gt;=14/24,B$9&lt;20/24)</formula>
    </cfRule>
    <cfRule type="expression" dxfId="7825" priority="340">
      <formula>AND(B$9&gt;=8/24,B$9&lt;14/24)</formula>
    </cfRule>
    <cfRule type="expression" dxfId="7824" priority="341">
      <formula>B$9&lt;8/24</formula>
    </cfRule>
  </conditionalFormatting>
  <conditionalFormatting sqref="B49:L49">
    <cfRule type="expression" dxfId="7823" priority="334">
      <formula>B$9&gt;=20/24</formula>
    </cfRule>
    <cfRule type="expression" dxfId="7822" priority="335">
      <formula>AND(B$9&gt;=14/24,B$9&lt;20/24)</formula>
    </cfRule>
    <cfRule type="expression" dxfId="7821" priority="336">
      <formula>AND(B$9&gt;=8/24,B$9&lt;14/24)</formula>
    </cfRule>
    <cfRule type="expression" dxfId="7820" priority="337">
      <formula>B$9&lt;8/24</formula>
    </cfRule>
  </conditionalFormatting>
  <conditionalFormatting sqref="B50:L50">
    <cfRule type="expression" dxfId="7819" priority="330">
      <formula>B$9&gt;=20/24</formula>
    </cfRule>
    <cfRule type="expression" dxfId="7818" priority="331">
      <formula>AND(B$9&gt;=14/24,B$9&lt;20/24)</formula>
    </cfRule>
    <cfRule type="expression" dxfId="7817" priority="332">
      <formula>AND(B$9&gt;=8/24,B$9&lt;14/24)</formula>
    </cfRule>
    <cfRule type="expression" dxfId="7816" priority="333">
      <formula>B$9&lt;8/24</formula>
    </cfRule>
  </conditionalFormatting>
  <conditionalFormatting sqref="B11:B14 B34:B56 C34:D37 C53:D55 B18:L32 C12:L14 E34:L35 C46:L50 E36:AF36">
    <cfRule type="expression" dxfId="7815" priority="329">
      <formula>B11&gt;$AG11</formula>
    </cfRule>
  </conditionalFormatting>
  <conditionalFormatting sqref="B34:L34">
    <cfRule type="expression" dxfId="7814" priority="325">
      <formula>B$9&gt;=20/24</formula>
    </cfRule>
    <cfRule type="expression" dxfId="7813" priority="326">
      <formula>AND(B$9&gt;=14/24,B$9&lt;20/24)</formula>
    </cfRule>
    <cfRule type="expression" dxfId="7812" priority="327">
      <formula>AND(B$9&gt;=8/24,B$9&lt;14/24)</formula>
    </cfRule>
    <cfRule type="expression" dxfId="7811" priority="328">
      <formula>B$9&lt;8/24</formula>
    </cfRule>
  </conditionalFormatting>
  <conditionalFormatting sqref="B15:L15 B16:T16">
    <cfRule type="expression" dxfId="7810" priority="321">
      <formula>B$9&gt;=20/24</formula>
    </cfRule>
    <cfRule type="expression" dxfId="7809" priority="322">
      <formula>AND(B$9&gt;=14/24,B$9&lt;20/24)</formula>
    </cfRule>
    <cfRule type="expression" dxfId="7808" priority="323">
      <formula>AND(B$9&gt;=8/24,B$9&lt;14/24)</formula>
    </cfRule>
    <cfRule type="expression" dxfId="7807" priority="324">
      <formula>B$9&lt;8/24</formula>
    </cfRule>
  </conditionalFormatting>
  <conditionalFormatting sqref="B17:L17">
    <cfRule type="expression" dxfId="7806" priority="317">
      <formula>B$9&gt;=20/24</formula>
    </cfRule>
    <cfRule type="expression" dxfId="7805" priority="318">
      <formula>AND(B$9&gt;=14/24,B$9&lt;20/24)</formula>
    </cfRule>
    <cfRule type="expression" dxfId="7804" priority="319">
      <formula>AND(B$9&gt;=8/24,B$9&lt;14/24)</formula>
    </cfRule>
    <cfRule type="expression" dxfId="7803" priority="320">
      <formula>B$9&lt;8/24</formula>
    </cfRule>
  </conditionalFormatting>
  <conditionalFormatting sqref="B33:L33">
    <cfRule type="expression" dxfId="7802" priority="313">
      <formula>B$9&gt;=20/24</formula>
    </cfRule>
    <cfRule type="expression" dxfId="7801" priority="314">
      <formula>AND(B$9&gt;=14/24,B$9&lt;20/24)</formula>
    </cfRule>
    <cfRule type="expression" dxfId="7800" priority="315">
      <formula>AND(B$9&gt;=8/24,B$9&lt;14/24)</formula>
    </cfRule>
    <cfRule type="expression" dxfId="7799" priority="316">
      <formula>B$9&lt;8/24</formula>
    </cfRule>
  </conditionalFormatting>
  <conditionalFormatting sqref="B33:L33">
    <cfRule type="expression" dxfId="7798" priority="312">
      <formula>B33&gt;$AG33</formula>
    </cfRule>
  </conditionalFormatting>
  <conditionalFormatting sqref="C85:D90">
    <cfRule type="expression" dxfId="7797" priority="299">
      <formula>C$9&gt;=20/24</formula>
    </cfRule>
    <cfRule type="expression" dxfId="7796" priority="300">
      <formula>AND(C$9&gt;=14/24,C$9&lt;20/24)</formula>
    </cfRule>
    <cfRule type="expression" dxfId="7795" priority="301">
      <formula>AND(C$9&gt;=8/24,C$9&lt;14/24)</formula>
    </cfRule>
    <cfRule type="expression" dxfId="7794" priority="302">
      <formula>C$9&lt;8/24</formula>
    </cfRule>
  </conditionalFormatting>
  <conditionalFormatting sqref="M18:M30">
    <cfRule type="expression" dxfId="7793" priority="295">
      <formula>M$9&gt;=20/24</formula>
    </cfRule>
    <cfRule type="expression" dxfId="7792" priority="296">
      <formula>AND(M$9&gt;=14/24,M$9&lt;20/24)</formula>
    </cfRule>
    <cfRule type="expression" dxfId="7791" priority="297">
      <formula>AND(M$9&gt;=8/24,M$9&lt;14/24)</formula>
    </cfRule>
    <cfRule type="expression" dxfId="7790" priority="298">
      <formula>M$9&lt;8/24</formula>
    </cfRule>
  </conditionalFormatting>
  <conditionalFormatting sqref="M31:M32 M35">
    <cfRule type="expression" dxfId="7789" priority="291">
      <formula>M$9&gt;=20/24</formula>
    </cfRule>
    <cfRule type="expression" dxfId="7788" priority="292">
      <formula>AND(M$9&gt;=14/24,M$9&lt;20/24)</formula>
    </cfRule>
    <cfRule type="expression" dxfId="7787" priority="293">
      <formula>AND(M$9&gt;=8/24,M$9&lt;14/24)</formula>
    </cfRule>
    <cfRule type="expression" dxfId="7786" priority="294">
      <formula>M$9&lt;8/24</formula>
    </cfRule>
  </conditionalFormatting>
  <conditionalFormatting sqref="M18:M32 M34:M35">
    <cfRule type="expression" dxfId="7785" priority="290">
      <formula>M18&gt;$AG18</formula>
    </cfRule>
  </conditionalFormatting>
  <conditionalFormatting sqref="M34">
    <cfRule type="expression" dxfId="7784" priority="286">
      <formula>M$9&gt;=20/24</formula>
    </cfRule>
    <cfRule type="expression" dxfId="7783" priority="287">
      <formula>AND(M$9&gt;=14/24,M$9&lt;20/24)</formula>
    </cfRule>
    <cfRule type="expression" dxfId="7782" priority="288">
      <formula>AND(M$9&gt;=8/24,M$9&lt;14/24)</formula>
    </cfRule>
    <cfRule type="expression" dxfId="7781" priority="289">
      <formula>M$9&lt;8/24</formula>
    </cfRule>
  </conditionalFormatting>
  <conditionalFormatting sqref="M17">
    <cfRule type="expression" dxfId="7780" priority="282">
      <formula>M$9&gt;=20/24</formula>
    </cfRule>
    <cfRule type="expression" dxfId="7779" priority="283">
      <formula>AND(M$9&gt;=14/24,M$9&lt;20/24)</formula>
    </cfRule>
    <cfRule type="expression" dxfId="7778" priority="284">
      <formula>AND(M$9&gt;=8/24,M$9&lt;14/24)</formula>
    </cfRule>
    <cfRule type="expression" dxfId="7777" priority="285">
      <formula>M$9&lt;8/24</formula>
    </cfRule>
  </conditionalFormatting>
  <conditionalFormatting sqref="M33">
    <cfRule type="expression" dxfId="7776" priority="278">
      <formula>M$9&gt;=20/24</formula>
    </cfRule>
    <cfRule type="expression" dxfId="7775" priority="279">
      <formula>AND(M$9&gt;=14/24,M$9&lt;20/24)</formula>
    </cfRule>
    <cfRule type="expression" dxfId="7774" priority="280">
      <formula>AND(M$9&gt;=8/24,M$9&lt;14/24)</formula>
    </cfRule>
    <cfRule type="expression" dxfId="7773" priority="281">
      <formula>M$9&lt;8/24</formula>
    </cfRule>
  </conditionalFormatting>
  <conditionalFormatting sqref="M33">
    <cfRule type="expression" dxfId="7772" priority="277">
      <formula>M33&gt;$AG33</formula>
    </cfRule>
  </conditionalFormatting>
  <conditionalFormatting sqref="M45">
    <cfRule type="expression" dxfId="7771" priority="276">
      <formula>M45&gt;$AG45</formula>
    </cfRule>
  </conditionalFormatting>
  <conditionalFormatting sqref="M46:M48">
    <cfRule type="expression" dxfId="7770" priority="272">
      <formula>M$9&gt;=20/24</formula>
    </cfRule>
    <cfRule type="expression" dxfId="7769" priority="273">
      <formula>AND(M$9&gt;=14/24,M$9&lt;20/24)</formula>
    </cfRule>
    <cfRule type="expression" dxfId="7768" priority="274">
      <formula>AND(M$9&gt;=8/24,M$9&lt;14/24)</formula>
    </cfRule>
    <cfRule type="expression" dxfId="7767" priority="275">
      <formula>M$9&lt;8/24</formula>
    </cfRule>
  </conditionalFormatting>
  <conditionalFormatting sqref="M49">
    <cfRule type="expression" dxfId="7766" priority="268">
      <formula>M$9&gt;=20/24</formula>
    </cfRule>
    <cfRule type="expression" dxfId="7765" priority="269">
      <formula>AND(M$9&gt;=14/24,M$9&lt;20/24)</formula>
    </cfRule>
    <cfRule type="expression" dxfId="7764" priority="270">
      <formula>AND(M$9&gt;=8/24,M$9&lt;14/24)</formula>
    </cfRule>
    <cfRule type="expression" dxfId="7763" priority="271">
      <formula>M$9&lt;8/24</formula>
    </cfRule>
  </conditionalFormatting>
  <conditionalFormatting sqref="M50">
    <cfRule type="expression" dxfId="7762" priority="264">
      <formula>M$9&gt;=20/24</formula>
    </cfRule>
    <cfRule type="expression" dxfId="7761" priority="265">
      <formula>AND(M$9&gt;=14/24,M$9&lt;20/24)</formula>
    </cfRule>
    <cfRule type="expression" dxfId="7760" priority="266">
      <formula>AND(M$9&gt;=8/24,M$9&lt;14/24)</formula>
    </cfRule>
    <cfRule type="expression" dxfId="7759" priority="267">
      <formula>M$9&lt;8/24</formula>
    </cfRule>
  </conditionalFormatting>
  <conditionalFormatting sqref="M46:M50">
    <cfRule type="expression" dxfId="7758" priority="263">
      <formula>M46&gt;$AG46</formula>
    </cfRule>
  </conditionalFormatting>
  <conditionalFormatting sqref="N12:N14">
    <cfRule type="expression" dxfId="7757" priority="259">
      <formula>N$9&gt;=20/24</formula>
    </cfRule>
    <cfRule type="expression" dxfId="7756" priority="260">
      <formula>AND(N$9&gt;=14/24,N$9&lt;20/24)</formula>
    </cfRule>
    <cfRule type="expression" dxfId="7755" priority="261">
      <formula>AND(N$9&gt;=8/24,N$9&lt;14/24)</formula>
    </cfRule>
    <cfRule type="expression" dxfId="7754" priority="262">
      <formula>N$9&lt;8/24</formula>
    </cfRule>
  </conditionalFormatting>
  <conditionalFormatting sqref="N12:N14">
    <cfRule type="expression" dxfId="7753" priority="258">
      <formula>N12&gt;$AG12</formula>
    </cfRule>
  </conditionalFormatting>
  <conditionalFormatting sqref="N15">
    <cfRule type="expression" dxfId="7752" priority="254">
      <formula>N$9&gt;=20/24</formula>
    </cfRule>
    <cfRule type="expression" dxfId="7751" priority="255">
      <formula>AND(N$9&gt;=14/24,N$9&lt;20/24)</formula>
    </cfRule>
    <cfRule type="expression" dxfId="7750" priority="256">
      <formula>AND(N$9&gt;=8/24,N$9&lt;14/24)</formula>
    </cfRule>
    <cfRule type="expression" dxfId="7749" priority="257">
      <formula>N$9&lt;8/24</formula>
    </cfRule>
  </conditionalFormatting>
  <conditionalFormatting sqref="N15">
    <cfRule type="expression" dxfId="7748" priority="253">
      <formula>N15&gt;$AG15</formula>
    </cfRule>
  </conditionalFormatting>
  <conditionalFormatting sqref="N18:N30">
    <cfRule type="expression" dxfId="7747" priority="244">
      <formula>N$9&gt;=20/24</formula>
    </cfRule>
    <cfRule type="expression" dxfId="7746" priority="245">
      <formula>AND(N$9&gt;=14/24,N$9&lt;20/24)</formula>
    </cfRule>
    <cfRule type="expression" dxfId="7745" priority="246">
      <formula>AND(N$9&gt;=8/24,N$9&lt;14/24)</formula>
    </cfRule>
    <cfRule type="expression" dxfId="7744" priority="247">
      <formula>N$9&lt;8/24</formula>
    </cfRule>
  </conditionalFormatting>
  <conditionalFormatting sqref="N31:N32 N35">
    <cfRule type="expression" dxfId="7743" priority="240">
      <formula>N$9&gt;=20/24</formula>
    </cfRule>
    <cfRule type="expression" dxfId="7742" priority="241">
      <formula>AND(N$9&gt;=14/24,N$9&lt;20/24)</formula>
    </cfRule>
    <cfRule type="expression" dxfId="7741" priority="242">
      <formula>AND(N$9&gt;=8/24,N$9&lt;14/24)</formula>
    </cfRule>
    <cfRule type="expression" dxfId="7740" priority="243">
      <formula>N$9&lt;8/24</formula>
    </cfRule>
  </conditionalFormatting>
  <conditionalFormatting sqref="N18:N32 N34:N35">
    <cfRule type="expression" dxfId="7739" priority="239">
      <formula>N18&gt;$AG18</formula>
    </cfRule>
  </conditionalFormatting>
  <conditionalFormatting sqref="N34">
    <cfRule type="expression" dxfId="7738" priority="235">
      <formula>N$9&gt;=20/24</formula>
    </cfRule>
    <cfRule type="expression" dxfId="7737" priority="236">
      <formula>AND(N$9&gt;=14/24,N$9&lt;20/24)</formula>
    </cfRule>
    <cfRule type="expression" dxfId="7736" priority="237">
      <formula>AND(N$9&gt;=8/24,N$9&lt;14/24)</formula>
    </cfRule>
    <cfRule type="expression" dxfId="7735" priority="238">
      <formula>N$9&lt;8/24</formula>
    </cfRule>
  </conditionalFormatting>
  <conditionalFormatting sqref="N17">
    <cfRule type="expression" dxfId="7734" priority="231">
      <formula>N$9&gt;=20/24</formula>
    </cfRule>
    <cfRule type="expression" dxfId="7733" priority="232">
      <formula>AND(N$9&gt;=14/24,N$9&lt;20/24)</formula>
    </cfRule>
    <cfRule type="expression" dxfId="7732" priority="233">
      <formula>AND(N$9&gt;=8/24,N$9&lt;14/24)</formula>
    </cfRule>
    <cfRule type="expression" dxfId="7731" priority="234">
      <formula>N$9&lt;8/24</formula>
    </cfRule>
  </conditionalFormatting>
  <conditionalFormatting sqref="N33">
    <cfRule type="expression" dxfId="7730" priority="227">
      <formula>N$9&gt;=20/24</formula>
    </cfRule>
    <cfRule type="expression" dxfId="7729" priority="228">
      <formula>AND(N$9&gt;=14/24,N$9&lt;20/24)</formula>
    </cfRule>
    <cfRule type="expression" dxfId="7728" priority="229">
      <formula>AND(N$9&gt;=8/24,N$9&lt;14/24)</formula>
    </cfRule>
    <cfRule type="expression" dxfId="7727" priority="230">
      <formula>N$9&lt;8/24</formula>
    </cfRule>
  </conditionalFormatting>
  <conditionalFormatting sqref="N33">
    <cfRule type="expression" dxfId="7726" priority="226">
      <formula>N33&gt;$AG33</formula>
    </cfRule>
  </conditionalFormatting>
  <conditionalFormatting sqref="N43">
    <cfRule type="expression" dxfId="7725" priority="222">
      <formula>N$9&gt;=20/24</formula>
    </cfRule>
    <cfRule type="expression" dxfId="7724" priority="223">
      <formula>AND(N$9&gt;=14/24,N$9&lt;20/24)</formula>
    </cfRule>
    <cfRule type="expression" dxfId="7723" priority="224">
      <formula>AND(N$9&gt;=8/24,N$9&lt;14/24)</formula>
    </cfRule>
    <cfRule type="expression" dxfId="7722" priority="225">
      <formula>N$9&lt;8/24</formula>
    </cfRule>
  </conditionalFormatting>
  <conditionalFormatting sqref="N43:N44">
    <cfRule type="expression" dxfId="7721" priority="221">
      <formula>N43&gt;$AG43</formula>
    </cfRule>
  </conditionalFormatting>
  <conditionalFormatting sqref="N44">
    <cfRule type="expression" dxfId="7720" priority="217">
      <formula>N$9&gt;=20/24</formula>
    </cfRule>
    <cfRule type="expression" dxfId="7719" priority="218">
      <formula>AND(N$9&gt;=14/24,N$9&lt;20/24)</formula>
    </cfRule>
    <cfRule type="expression" dxfId="7718" priority="219">
      <formula>AND(N$9&gt;=8/24,N$9&lt;14/24)</formula>
    </cfRule>
    <cfRule type="expression" dxfId="7717" priority="220">
      <formula>N$9&lt;8/24</formula>
    </cfRule>
  </conditionalFormatting>
  <conditionalFormatting sqref="N45">
    <cfRule type="expression" dxfId="7716" priority="216">
      <formula>N45&gt;$AG45</formula>
    </cfRule>
  </conditionalFormatting>
  <conditionalFormatting sqref="N46:N48">
    <cfRule type="expression" dxfId="7715" priority="212">
      <formula>N$9&gt;=20/24</formula>
    </cfRule>
    <cfRule type="expression" dxfId="7714" priority="213">
      <formula>AND(N$9&gt;=14/24,N$9&lt;20/24)</formula>
    </cfRule>
    <cfRule type="expression" dxfId="7713" priority="214">
      <formula>AND(N$9&gt;=8/24,N$9&lt;14/24)</formula>
    </cfRule>
    <cfRule type="expression" dxfId="7712" priority="215">
      <formula>N$9&lt;8/24</formula>
    </cfRule>
  </conditionalFormatting>
  <conditionalFormatting sqref="N49">
    <cfRule type="expression" dxfId="7711" priority="208">
      <formula>N$9&gt;=20/24</formula>
    </cfRule>
    <cfRule type="expression" dxfId="7710" priority="209">
      <formula>AND(N$9&gt;=14/24,N$9&lt;20/24)</formula>
    </cfRule>
    <cfRule type="expression" dxfId="7709" priority="210">
      <formula>AND(N$9&gt;=8/24,N$9&lt;14/24)</formula>
    </cfRule>
    <cfRule type="expression" dxfId="7708" priority="211">
      <formula>N$9&lt;8/24</formula>
    </cfRule>
  </conditionalFormatting>
  <conditionalFormatting sqref="N50">
    <cfRule type="expression" dxfId="7707" priority="204">
      <formula>N$9&gt;=20/24</formula>
    </cfRule>
    <cfRule type="expression" dxfId="7706" priority="205">
      <formula>AND(N$9&gt;=14/24,N$9&lt;20/24)</formula>
    </cfRule>
    <cfRule type="expression" dxfId="7705" priority="206">
      <formula>AND(N$9&gt;=8/24,N$9&lt;14/24)</formula>
    </cfRule>
    <cfRule type="expression" dxfId="7704" priority="207">
      <formula>N$9&lt;8/24</formula>
    </cfRule>
  </conditionalFormatting>
  <conditionalFormatting sqref="N46:N50">
    <cfRule type="expression" dxfId="7703" priority="203">
      <formula>N46&gt;$AG46</formula>
    </cfRule>
  </conditionalFormatting>
  <conditionalFormatting sqref="O15">
    <cfRule type="expression" dxfId="7702" priority="199">
      <formula>O$9&gt;=20/24</formula>
    </cfRule>
    <cfRule type="expression" dxfId="7701" priority="200">
      <formula>AND(O$9&gt;=14/24,O$9&lt;20/24)</formula>
    </cfRule>
    <cfRule type="expression" dxfId="7700" priority="201">
      <formula>AND(O$9&gt;=8/24,O$9&lt;14/24)</formula>
    </cfRule>
    <cfRule type="expression" dxfId="7699" priority="202">
      <formula>O$9&lt;8/24</formula>
    </cfRule>
  </conditionalFormatting>
  <conditionalFormatting sqref="O15">
    <cfRule type="expression" dxfId="7698" priority="198">
      <formula>O15&gt;$AG15</formula>
    </cfRule>
  </conditionalFormatting>
  <conditionalFormatting sqref="O18:O30">
    <cfRule type="expression" dxfId="7697" priority="189">
      <formula>O$9&gt;=20/24</formula>
    </cfRule>
    <cfRule type="expression" dxfId="7696" priority="190">
      <formula>AND(O$9&gt;=14/24,O$9&lt;20/24)</formula>
    </cfRule>
    <cfRule type="expression" dxfId="7695" priority="191">
      <formula>AND(O$9&gt;=8/24,O$9&lt;14/24)</formula>
    </cfRule>
    <cfRule type="expression" dxfId="7694" priority="192">
      <formula>O$9&lt;8/24</formula>
    </cfRule>
  </conditionalFormatting>
  <conditionalFormatting sqref="O31:O32 O35">
    <cfRule type="expression" dxfId="7693" priority="185">
      <formula>O$9&gt;=20/24</formula>
    </cfRule>
    <cfRule type="expression" dxfId="7692" priority="186">
      <formula>AND(O$9&gt;=14/24,O$9&lt;20/24)</formula>
    </cfRule>
    <cfRule type="expression" dxfId="7691" priority="187">
      <formula>AND(O$9&gt;=8/24,O$9&lt;14/24)</formula>
    </cfRule>
    <cfRule type="expression" dxfId="7690" priority="188">
      <formula>O$9&lt;8/24</formula>
    </cfRule>
  </conditionalFormatting>
  <conditionalFormatting sqref="O18:O32 O34:O35">
    <cfRule type="expression" dxfId="7689" priority="184">
      <formula>O18&gt;$AG18</formula>
    </cfRule>
  </conditionalFormatting>
  <conditionalFormatting sqref="O34">
    <cfRule type="expression" dxfId="7688" priority="180">
      <formula>O$9&gt;=20/24</formula>
    </cfRule>
    <cfRule type="expression" dxfId="7687" priority="181">
      <formula>AND(O$9&gt;=14/24,O$9&lt;20/24)</formula>
    </cfRule>
    <cfRule type="expression" dxfId="7686" priority="182">
      <formula>AND(O$9&gt;=8/24,O$9&lt;14/24)</formula>
    </cfRule>
    <cfRule type="expression" dxfId="7685" priority="183">
      <formula>O$9&lt;8/24</formula>
    </cfRule>
  </conditionalFormatting>
  <conditionalFormatting sqref="O17">
    <cfRule type="expression" dxfId="7684" priority="176">
      <formula>O$9&gt;=20/24</formula>
    </cfRule>
    <cfRule type="expression" dxfId="7683" priority="177">
      <formula>AND(O$9&gt;=14/24,O$9&lt;20/24)</formula>
    </cfRule>
    <cfRule type="expression" dxfId="7682" priority="178">
      <formula>AND(O$9&gt;=8/24,O$9&lt;14/24)</formula>
    </cfRule>
    <cfRule type="expression" dxfId="7681" priority="179">
      <formula>O$9&lt;8/24</formula>
    </cfRule>
  </conditionalFormatting>
  <conditionalFormatting sqref="O33">
    <cfRule type="expression" dxfId="7680" priority="172">
      <formula>O$9&gt;=20/24</formula>
    </cfRule>
    <cfRule type="expression" dxfId="7679" priority="173">
      <formula>AND(O$9&gt;=14/24,O$9&lt;20/24)</formula>
    </cfRule>
    <cfRule type="expression" dxfId="7678" priority="174">
      <formula>AND(O$9&gt;=8/24,O$9&lt;14/24)</formula>
    </cfRule>
    <cfRule type="expression" dxfId="7677" priority="175">
      <formula>O$9&lt;8/24</formula>
    </cfRule>
  </conditionalFormatting>
  <conditionalFormatting sqref="O33">
    <cfRule type="expression" dxfId="7676" priority="171">
      <formula>O33&gt;$AG33</formula>
    </cfRule>
  </conditionalFormatting>
  <conditionalFormatting sqref="O45">
    <cfRule type="expression" dxfId="7675" priority="170">
      <formula>O45&gt;$AG45</formula>
    </cfRule>
  </conditionalFormatting>
  <conditionalFormatting sqref="O46:O48">
    <cfRule type="expression" dxfId="7674" priority="166">
      <formula>O$9&gt;=20/24</formula>
    </cfRule>
    <cfRule type="expression" dxfId="7673" priority="167">
      <formula>AND(O$9&gt;=14/24,O$9&lt;20/24)</formula>
    </cfRule>
    <cfRule type="expression" dxfId="7672" priority="168">
      <formula>AND(O$9&gt;=8/24,O$9&lt;14/24)</formula>
    </cfRule>
    <cfRule type="expression" dxfId="7671" priority="169">
      <formula>O$9&lt;8/24</formula>
    </cfRule>
  </conditionalFormatting>
  <conditionalFormatting sqref="O49">
    <cfRule type="expression" dxfId="7670" priority="162">
      <formula>O$9&gt;=20/24</formula>
    </cfRule>
    <cfRule type="expression" dxfId="7669" priority="163">
      <formula>AND(O$9&gt;=14/24,O$9&lt;20/24)</formula>
    </cfRule>
    <cfRule type="expression" dxfId="7668" priority="164">
      <formula>AND(O$9&gt;=8/24,O$9&lt;14/24)</formula>
    </cfRule>
    <cfRule type="expression" dxfId="7667" priority="165">
      <formula>O$9&lt;8/24</formula>
    </cfRule>
  </conditionalFormatting>
  <conditionalFormatting sqref="O50">
    <cfRule type="expression" dxfId="7666" priority="158">
      <formula>O$9&gt;=20/24</formula>
    </cfRule>
    <cfRule type="expression" dxfId="7665" priority="159">
      <formula>AND(O$9&gt;=14/24,O$9&lt;20/24)</formula>
    </cfRule>
    <cfRule type="expression" dxfId="7664" priority="160">
      <formula>AND(O$9&gt;=8/24,O$9&lt;14/24)</formula>
    </cfRule>
    <cfRule type="expression" dxfId="7663" priority="161">
      <formula>O$9&lt;8/24</formula>
    </cfRule>
  </conditionalFormatting>
  <conditionalFormatting sqref="O46:O50">
    <cfRule type="expression" dxfId="7662" priority="157">
      <formula>O46&gt;$AG46</formula>
    </cfRule>
  </conditionalFormatting>
  <conditionalFormatting sqref="P18:P30">
    <cfRule type="expression" dxfId="7661" priority="153">
      <formula>P$9&gt;=20/24</formula>
    </cfRule>
    <cfRule type="expression" dxfId="7660" priority="154">
      <formula>AND(P$9&gt;=14/24,P$9&lt;20/24)</formula>
    </cfRule>
    <cfRule type="expression" dxfId="7659" priority="155">
      <formula>AND(P$9&gt;=8/24,P$9&lt;14/24)</formula>
    </cfRule>
    <cfRule type="expression" dxfId="7658" priority="156">
      <formula>P$9&lt;8/24</formula>
    </cfRule>
  </conditionalFormatting>
  <conditionalFormatting sqref="P31:P32 P35">
    <cfRule type="expression" dxfId="7657" priority="149">
      <formula>P$9&gt;=20/24</formula>
    </cfRule>
    <cfRule type="expression" dxfId="7656" priority="150">
      <formula>AND(P$9&gt;=14/24,P$9&lt;20/24)</formula>
    </cfRule>
    <cfRule type="expression" dxfId="7655" priority="151">
      <formula>AND(P$9&gt;=8/24,P$9&lt;14/24)</formula>
    </cfRule>
    <cfRule type="expression" dxfId="7654" priority="152">
      <formula>P$9&lt;8/24</formula>
    </cfRule>
  </conditionalFormatting>
  <conditionalFormatting sqref="P18:P32 P34:P35">
    <cfRule type="expression" dxfId="7653" priority="148">
      <formula>P18&gt;$AG18</formula>
    </cfRule>
  </conditionalFormatting>
  <conditionalFormatting sqref="P34">
    <cfRule type="expression" dxfId="7652" priority="144">
      <formula>P$9&gt;=20/24</formula>
    </cfRule>
    <cfRule type="expression" dxfId="7651" priority="145">
      <formula>AND(P$9&gt;=14/24,P$9&lt;20/24)</formula>
    </cfRule>
    <cfRule type="expression" dxfId="7650" priority="146">
      <formula>AND(P$9&gt;=8/24,P$9&lt;14/24)</formula>
    </cfRule>
    <cfRule type="expression" dxfId="7649" priority="147">
      <formula>P$9&lt;8/24</formula>
    </cfRule>
  </conditionalFormatting>
  <conditionalFormatting sqref="P17">
    <cfRule type="expression" dxfId="7648" priority="140">
      <formula>P$9&gt;=20/24</formula>
    </cfRule>
    <cfRule type="expression" dxfId="7647" priority="141">
      <formula>AND(P$9&gt;=14/24,P$9&lt;20/24)</formula>
    </cfRule>
    <cfRule type="expression" dxfId="7646" priority="142">
      <formula>AND(P$9&gt;=8/24,P$9&lt;14/24)</formula>
    </cfRule>
    <cfRule type="expression" dxfId="7645" priority="143">
      <formula>P$9&lt;8/24</formula>
    </cfRule>
  </conditionalFormatting>
  <conditionalFormatting sqref="P33">
    <cfRule type="expression" dxfId="7644" priority="136">
      <formula>P$9&gt;=20/24</formula>
    </cfRule>
    <cfRule type="expression" dxfId="7643" priority="137">
      <formula>AND(P$9&gt;=14/24,P$9&lt;20/24)</formula>
    </cfRule>
    <cfRule type="expression" dxfId="7642" priority="138">
      <formula>AND(P$9&gt;=8/24,P$9&lt;14/24)</formula>
    </cfRule>
    <cfRule type="expression" dxfId="7641" priority="139">
      <formula>P$9&lt;8/24</formula>
    </cfRule>
  </conditionalFormatting>
  <conditionalFormatting sqref="P33">
    <cfRule type="expression" dxfId="7640" priority="135">
      <formula>P33&gt;$AG33</formula>
    </cfRule>
  </conditionalFormatting>
  <conditionalFormatting sqref="P44">
    <cfRule type="expression" dxfId="7639" priority="134">
      <formula>P44&gt;$AG44</formula>
    </cfRule>
  </conditionalFormatting>
  <conditionalFormatting sqref="P44">
    <cfRule type="expression" dxfId="7638" priority="130">
      <formula>P$9&gt;=20/24</formula>
    </cfRule>
    <cfRule type="expression" dxfId="7637" priority="131">
      <formula>AND(P$9&gt;=14/24,P$9&lt;20/24)</formula>
    </cfRule>
    <cfRule type="expression" dxfId="7636" priority="132">
      <formula>AND(P$9&gt;=8/24,P$9&lt;14/24)</formula>
    </cfRule>
    <cfRule type="expression" dxfId="7635" priority="133">
      <formula>P$9&lt;8/24</formula>
    </cfRule>
  </conditionalFormatting>
  <conditionalFormatting sqref="P45">
    <cfRule type="expression" dxfId="7634" priority="129">
      <formula>P45&gt;$AG45</formula>
    </cfRule>
  </conditionalFormatting>
  <conditionalFormatting sqref="P46:P48">
    <cfRule type="expression" dxfId="7633" priority="125">
      <formula>P$9&gt;=20/24</formula>
    </cfRule>
    <cfRule type="expression" dxfId="7632" priority="126">
      <formula>AND(P$9&gt;=14/24,P$9&lt;20/24)</formula>
    </cfRule>
    <cfRule type="expression" dxfId="7631" priority="127">
      <formula>AND(P$9&gt;=8/24,P$9&lt;14/24)</formula>
    </cfRule>
    <cfRule type="expression" dxfId="7630" priority="128">
      <formula>P$9&lt;8/24</formula>
    </cfRule>
  </conditionalFormatting>
  <conditionalFormatting sqref="P49">
    <cfRule type="expression" dxfId="7629" priority="121">
      <formula>P$9&gt;=20/24</formula>
    </cfRule>
    <cfRule type="expression" dxfId="7628" priority="122">
      <formula>AND(P$9&gt;=14/24,P$9&lt;20/24)</formula>
    </cfRule>
    <cfRule type="expression" dxfId="7627" priority="123">
      <formula>AND(P$9&gt;=8/24,P$9&lt;14/24)</formula>
    </cfRule>
    <cfRule type="expression" dxfId="7626" priority="124">
      <formula>P$9&lt;8/24</formula>
    </cfRule>
  </conditionalFormatting>
  <conditionalFormatting sqref="P50">
    <cfRule type="expression" dxfId="7625" priority="117">
      <formula>P$9&gt;=20/24</formula>
    </cfRule>
    <cfRule type="expression" dxfId="7624" priority="118">
      <formula>AND(P$9&gt;=14/24,P$9&lt;20/24)</formula>
    </cfRule>
    <cfRule type="expression" dxfId="7623" priority="119">
      <formula>AND(P$9&gt;=8/24,P$9&lt;14/24)</formula>
    </cfRule>
    <cfRule type="expression" dxfId="7622" priority="120">
      <formula>P$9&lt;8/24</formula>
    </cfRule>
  </conditionalFormatting>
  <conditionalFormatting sqref="P46:P50">
    <cfRule type="expression" dxfId="7621" priority="116">
      <formula>P46&gt;$AG46</formula>
    </cfRule>
  </conditionalFormatting>
  <conditionalFormatting sqref="Q15">
    <cfRule type="expression" dxfId="7620" priority="107">
      <formula>Q$9&gt;=20/24</formula>
    </cfRule>
    <cfRule type="expression" dxfId="7619" priority="108">
      <formula>AND(Q$9&gt;=14/24,Q$9&lt;20/24)</formula>
    </cfRule>
    <cfRule type="expression" dxfId="7618" priority="109">
      <formula>AND(Q$9&gt;=8/24,Q$9&lt;14/24)</formula>
    </cfRule>
    <cfRule type="expression" dxfId="7617" priority="110">
      <formula>Q$9&lt;8/24</formula>
    </cfRule>
  </conditionalFormatting>
  <conditionalFormatting sqref="Q15">
    <cfRule type="expression" dxfId="7616" priority="106">
      <formula>Q15&gt;$AG15</formula>
    </cfRule>
  </conditionalFormatting>
  <conditionalFormatting sqref="Q18:Q30">
    <cfRule type="expression" dxfId="7615" priority="97">
      <formula>Q$9&gt;=20/24</formula>
    </cfRule>
    <cfRule type="expression" dxfId="7614" priority="98">
      <formula>AND(Q$9&gt;=14/24,Q$9&lt;20/24)</formula>
    </cfRule>
    <cfRule type="expression" dxfId="7613" priority="99">
      <formula>AND(Q$9&gt;=8/24,Q$9&lt;14/24)</formula>
    </cfRule>
    <cfRule type="expression" dxfId="7612" priority="100">
      <formula>Q$9&lt;8/24</formula>
    </cfRule>
  </conditionalFormatting>
  <conditionalFormatting sqref="Q31:Q32 Q35">
    <cfRule type="expression" dxfId="7611" priority="93">
      <formula>Q$9&gt;=20/24</formula>
    </cfRule>
    <cfRule type="expression" dxfId="7610" priority="94">
      <formula>AND(Q$9&gt;=14/24,Q$9&lt;20/24)</formula>
    </cfRule>
    <cfRule type="expression" dxfId="7609" priority="95">
      <formula>AND(Q$9&gt;=8/24,Q$9&lt;14/24)</formula>
    </cfRule>
    <cfRule type="expression" dxfId="7608" priority="96">
      <formula>Q$9&lt;8/24</formula>
    </cfRule>
  </conditionalFormatting>
  <conditionalFormatting sqref="Q18:Q32 Q34:Q35">
    <cfRule type="expression" dxfId="7607" priority="92">
      <formula>Q18&gt;$AG18</formula>
    </cfRule>
  </conditionalFormatting>
  <conditionalFormatting sqref="Q34">
    <cfRule type="expression" dxfId="7606" priority="88">
      <formula>Q$9&gt;=20/24</formula>
    </cfRule>
    <cfRule type="expression" dxfId="7605" priority="89">
      <formula>AND(Q$9&gt;=14/24,Q$9&lt;20/24)</formula>
    </cfRule>
    <cfRule type="expression" dxfId="7604" priority="90">
      <formula>AND(Q$9&gt;=8/24,Q$9&lt;14/24)</formula>
    </cfRule>
    <cfRule type="expression" dxfId="7603" priority="91">
      <formula>Q$9&lt;8/24</formula>
    </cfRule>
  </conditionalFormatting>
  <conditionalFormatting sqref="Q17">
    <cfRule type="expression" dxfId="7602" priority="84">
      <formula>Q$9&gt;=20/24</formula>
    </cfRule>
    <cfRule type="expression" dxfId="7601" priority="85">
      <formula>AND(Q$9&gt;=14/24,Q$9&lt;20/24)</formula>
    </cfRule>
    <cfRule type="expression" dxfId="7600" priority="86">
      <formula>AND(Q$9&gt;=8/24,Q$9&lt;14/24)</formula>
    </cfRule>
    <cfRule type="expression" dxfId="7599" priority="87">
      <formula>Q$9&lt;8/24</formula>
    </cfRule>
  </conditionalFormatting>
  <conditionalFormatting sqref="Q33">
    <cfRule type="expression" dxfId="7598" priority="80">
      <formula>Q$9&gt;=20/24</formula>
    </cfRule>
    <cfRule type="expression" dxfId="7597" priority="81">
      <formula>AND(Q$9&gt;=14/24,Q$9&lt;20/24)</formula>
    </cfRule>
    <cfRule type="expression" dxfId="7596" priority="82">
      <formula>AND(Q$9&gt;=8/24,Q$9&lt;14/24)</formula>
    </cfRule>
    <cfRule type="expression" dxfId="7595" priority="83">
      <formula>Q$9&lt;8/24</formula>
    </cfRule>
  </conditionalFormatting>
  <conditionalFormatting sqref="Q33">
    <cfRule type="expression" dxfId="7594" priority="79">
      <formula>Q33&gt;$AG33</formula>
    </cfRule>
  </conditionalFormatting>
  <conditionalFormatting sqref="Q44">
    <cfRule type="expression" dxfId="7593" priority="78">
      <formula>Q44&gt;$AG44</formula>
    </cfRule>
  </conditionalFormatting>
  <conditionalFormatting sqref="Q44">
    <cfRule type="expression" dxfId="7592" priority="74">
      <formula>Q$9&gt;=20/24</formula>
    </cfRule>
    <cfRule type="expression" dxfId="7591" priority="75">
      <formula>AND(Q$9&gt;=14/24,Q$9&lt;20/24)</formula>
    </cfRule>
    <cfRule type="expression" dxfId="7590" priority="76">
      <formula>AND(Q$9&gt;=8/24,Q$9&lt;14/24)</formula>
    </cfRule>
    <cfRule type="expression" dxfId="7589" priority="77">
      <formula>Q$9&lt;8/24</formula>
    </cfRule>
  </conditionalFormatting>
  <conditionalFormatting sqref="Q45">
    <cfRule type="expression" dxfId="7588" priority="73">
      <formula>Q45&gt;$AG45</formula>
    </cfRule>
  </conditionalFormatting>
  <conditionalFormatting sqref="Q46:Q48">
    <cfRule type="expression" dxfId="7587" priority="69">
      <formula>Q$9&gt;=20/24</formula>
    </cfRule>
    <cfRule type="expression" dxfId="7586" priority="70">
      <formula>AND(Q$9&gt;=14/24,Q$9&lt;20/24)</formula>
    </cfRule>
    <cfRule type="expression" dxfId="7585" priority="71">
      <formula>AND(Q$9&gt;=8/24,Q$9&lt;14/24)</formula>
    </cfRule>
    <cfRule type="expression" dxfId="7584" priority="72">
      <formula>Q$9&lt;8/24</formula>
    </cfRule>
  </conditionalFormatting>
  <conditionalFormatting sqref="Q49">
    <cfRule type="expression" dxfId="7583" priority="65">
      <formula>Q$9&gt;=20/24</formula>
    </cfRule>
    <cfRule type="expression" dxfId="7582" priority="66">
      <formula>AND(Q$9&gt;=14/24,Q$9&lt;20/24)</formula>
    </cfRule>
    <cfRule type="expression" dxfId="7581" priority="67">
      <formula>AND(Q$9&gt;=8/24,Q$9&lt;14/24)</formula>
    </cfRule>
    <cfRule type="expression" dxfId="7580" priority="68">
      <formula>Q$9&lt;8/24</formula>
    </cfRule>
  </conditionalFormatting>
  <conditionalFormatting sqref="Q50">
    <cfRule type="expression" dxfId="7579" priority="61">
      <formula>Q$9&gt;=20/24</formula>
    </cfRule>
    <cfRule type="expression" dxfId="7578" priority="62">
      <formula>AND(Q$9&gt;=14/24,Q$9&lt;20/24)</formula>
    </cfRule>
    <cfRule type="expression" dxfId="7577" priority="63">
      <formula>AND(Q$9&gt;=8/24,Q$9&lt;14/24)</formula>
    </cfRule>
    <cfRule type="expression" dxfId="7576" priority="64">
      <formula>Q$9&lt;8/24</formula>
    </cfRule>
  </conditionalFormatting>
  <conditionalFormatting sqref="Q46:Q50">
    <cfRule type="expression" dxfId="7575" priority="60">
      <formula>Q46&gt;$AG46</formula>
    </cfRule>
  </conditionalFormatting>
  <conditionalFormatting sqref="R12:R14">
    <cfRule type="expression" dxfId="7574" priority="56">
      <formula>R$9&gt;=20/24</formula>
    </cfRule>
    <cfRule type="expression" dxfId="7573" priority="57">
      <formula>AND(R$9&gt;=14/24,R$9&lt;20/24)</formula>
    </cfRule>
    <cfRule type="expression" dxfId="7572" priority="58">
      <formula>AND(R$9&gt;=8/24,R$9&lt;14/24)</formula>
    </cfRule>
    <cfRule type="expression" dxfId="7571" priority="59">
      <formula>R$9&lt;8/24</formula>
    </cfRule>
  </conditionalFormatting>
  <conditionalFormatting sqref="R12:R14">
    <cfRule type="expression" dxfId="7570" priority="55">
      <formula>R12&gt;$AG12</formula>
    </cfRule>
  </conditionalFormatting>
  <conditionalFormatting sqref="R15">
    <cfRule type="expression" dxfId="7569" priority="46">
      <formula>R$9&gt;=20/24</formula>
    </cfRule>
    <cfRule type="expression" dxfId="7568" priority="47">
      <formula>AND(R$9&gt;=14/24,R$9&lt;20/24)</formula>
    </cfRule>
    <cfRule type="expression" dxfId="7567" priority="48">
      <formula>AND(R$9&gt;=8/24,R$9&lt;14/24)</formula>
    </cfRule>
    <cfRule type="expression" dxfId="7566" priority="49">
      <formula>R$9&lt;8/24</formula>
    </cfRule>
  </conditionalFormatting>
  <conditionalFormatting sqref="R15">
    <cfRule type="expression" dxfId="7565" priority="45">
      <formula>R15&gt;$AG15</formula>
    </cfRule>
  </conditionalFormatting>
  <conditionalFormatting sqref="R18:R30">
    <cfRule type="expression" dxfId="7564" priority="36">
      <formula>R$9&gt;=20/24</formula>
    </cfRule>
    <cfRule type="expression" dxfId="7563" priority="37">
      <formula>AND(R$9&gt;=14/24,R$9&lt;20/24)</formula>
    </cfRule>
    <cfRule type="expression" dxfId="7562" priority="38">
      <formula>AND(R$9&gt;=8/24,R$9&lt;14/24)</formula>
    </cfRule>
    <cfRule type="expression" dxfId="7561" priority="39">
      <formula>R$9&lt;8/24</formula>
    </cfRule>
  </conditionalFormatting>
  <conditionalFormatting sqref="R31:R32 R35">
    <cfRule type="expression" dxfId="7560" priority="32">
      <formula>R$9&gt;=20/24</formula>
    </cfRule>
    <cfRule type="expression" dxfId="7559" priority="33">
      <formula>AND(R$9&gt;=14/24,R$9&lt;20/24)</formula>
    </cfRule>
    <cfRule type="expression" dxfId="7558" priority="34">
      <formula>AND(R$9&gt;=8/24,R$9&lt;14/24)</formula>
    </cfRule>
    <cfRule type="expression" dxfId="7557" priority="35">
      <formula>R$9&lt;8/24</formula>
    </cfRule>
  </conditionalFormatting>
  <conditionalFormatting sqref="R18:R32 R34:R35">
    <cfRule type="expression" dxfId="7556" priority="31">
      <formula>R18&gt;$AG18</formula>
    </cfRule>
  </conditionalFormatting>
  <conditionalFormatting sqref="R34">
    <cfRule type="expression" dxfId="7555" priority="27">
      <formula>R$9&gt;=20/24</formula>
    </cfRule>
    <cfRule type="expression" dxfId="7554" priority="28">
      <formula>AND(R$9&gt;=14/24,R$9&lt;20/24)</formula>
    </cfRule>
    <cfRule type="expression" dxfId="7553" priority="29">
      <formula>AND(R$9&gt;=8/24,R$9&lt;14/24)</formula>
    </cfRule>
    <cfRule type="expression" dxfId="7552" priority="30">
      <formula>R$9&lt;8/24</formula>
    </cfRule>
  </conditionalFormatting>
  <conditionalFormatting sqref="R17">
    <cfRule type="expression" dxfId="7551" priority="23">
      <formula>R$9&gt;=20/24</formula>
    </cfRule>
    <cfRule type="expression" dxfId="7550" priority="24">
      <formula>AND(R$9&gt;=14/24,R$9&lt;20/24)</formula>
    </cfRule>
    <cfRule type="expression" dxfId="7549" priority="25">
      <formula>AND(R$9&gt;=8/24,R$9&lt;14/24)</formula>
    </cfRule>
    <cfRule type="expression" dxfId="7548" priority="26">
      <formula>R$9&lt;8/24</formula>
    </cfRule>
  </conditionalFormatting>
  <conditionalFormatting sqref="R33">
    <cfRule type="expression" dxfId="7547" priority="19">
      <formula>R$9&gt;=20/24</formula>
    </cfRule>
    <cfRule type="expression" dxfId="7546" priority="20">
      <formula>AND(R$9&gt;=14/24,R$9&lt;20/24)</formula>
    </cfRule>
    <cfRule type="expression" dxfId="7545" priority="21">
      <formula>AND(R$9&gt;=8/24,R$9&lt;14/24)</formula>
    </cfRule>
    <cfRule type="expression" dxfId="7544" priority="22">
      <formula>R$9&lt;8/24</formula>
    </cfRule>
  </conditionalFormatting>
  <conditionalFormatting sqref="R33">
    <cfRule type="expression" dxfId="7543" priority="18">
      <formula>R33&gt;$AG33</formula>
    </cfRule>
  </conditionalFormatting>
  <conditionalFormatting sqref="R46:X48">
    <cfRule type="expression" dxfId="7542" priority="14">
      <formula>R$9&gt;=20/24</formula>
    </cfRule>
    <cfRule type="expression" dxfId="7541" priority="15">
      <formula>AND(R$9&gt;=14/24,R$9&lt;20/24)</formula>
    </cfRule>
    <cfRule type="expression" dxfId="7540" priority="16">
      <formula>AND(R$9&gt;=8/24,R$9&lt;14/24)</formula>
    </cfRule>
    <cfRule type="expression" dxfId="7539" priority="17">
      <formula>R$9&lt;8/24</formula>
    </cfRule>
  </conditionalFormatting>
  <conditionalFormatting sqref="R49:X49">
    <cfRule type="expression" dxfId="7538" priority="10">
      <formula>R$9&gt;=20/24</formula>
    </cfRule>
    <cfRule type="expression" dxfId="7537" priority="11">
      <formula>AND(R$9&gt;=14/24,R$9&lt;20/24)</formula>
    </cfRule>
    <cfRule type="expression" dxfId="7536" priority="12">
      <formula>AND(R$9&gt;=8/24,R$9&lt;14/24)</formula>
    </cfRule>
    <cfRule type="expression" dxfId="7535" priority="13">
      <formula>R$9&lt;8/24</formula>
    </cfRule>
  </conditionalFormatting>
  <conditionalFormatting sqref="R50:X50">
    <cfRule type="expression" dxfId="7534" priority="6">
      <formula>R$9&gt;=20/24</formula>
    </cfRule>
    <cfRule type="expression" dxfId="7533" priority="7">
      <formula>AND(R$9&gt;=14/24,R$9&lt;20/24)</formula>
    </cfRule>
    <cfRule type="expression" dxfId="7532" priority="8">
      <formula>AND(R$9&gt;=8/24,R$9&lt;14/24)</formula>
    </cfRule>
    <cfRule type="expression" dxfId="7531" priority="9">
      <formula>R$9&lt;8/24</formula>
    </cfRule>
  </conditionalFormatting>
  <conditionalFormatting sqref="R46:X50">
    <cfRule type="expression" dxfId="7530" priority="5">
      <formula>R46&gt;$AG46</formula>
    </cfRule>
  </conditionalFormatting>
  <conditionalFormatting sqref="Z85:Z91 AA85:AA90">
    <cfRule type="expression" dxfId="7529" priority="1">
      <formula>Z$9&gt;=20/24</formula>
    </cfRule>
    <cfRule type="expression" dxfId="7528" priority="2">
      <formula>AND(Z$9&gt;=14/24,Z$9&lt;20/24)</formula>
    </cfRule>
    <cfRule type="expression" dxfId="7527" priority="3">
      <formula>AND(Z$9&gt;=8/24,Z$9&lt;14/24)</formula>
    </cfRule>
    <cfRule type="expression" dxfId="7526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12" id="{D9B20141-DB00-4F10-B9B6-15D83351A3D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S43" sqref="S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2078/10/14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383.6</v>
      </c>
      <c r="C5" s="32">
        <f t="shared" si="0"/>
        <v>373.7</v>
      </c>
      <c r="D5" s="32">
        <f t="shared" si="0"/>
        <v>351</v>
      </c>
      <c r="E5" s="32">
        <f t="shared" si="0"/>
        <v>344</v>
      </c>
      <c r="F5" s="32">
        <f t="shared" si="0"/>
        <v>382</v>
      </c>
      <c r="G5" s="32">
        <f t="shared" si="0"/>
        <v>381</v>
      </c>
      <c r="H5" s="32">
        <f t="shared" si="0"/>
        <v>408</v>
      </c>
      <c r="I5" s="32">
        <f t="shared" si="0"/>
        <v>517.4</v>
      </c>
      <c r="J5" s="32">
        <f t="shared" si="0"/>
        <v>549</v>
      </c>
      <c r="K5" s="32">
        <f t="shared" si="0"/>
        <v>526.29999999999995</v>
      </c>
      <c r="L5" s="32">
        <f t="shared" si="0"/>
        <v>323</v>
      </c>
      <c r="M5" s="32">
        <f t="shared" si="0"/>
        <v>300.2</v>
      </c>
      <c r="N5" s="32">
        <f t="shared" si="0"/>
        <v>228.8</v>
      </c>
      <c r="O5" s="32">
        <f t="shared" si="0"/>
        <v>570.79999999999995</v>
      </c>
      <c r="P5" s="32">
        <f t="shared" si="0"/>
        <v>583.20000000000005</v>
      </c>
      <c r="Q5" s="32">
        <f t="shared" si="0"/>
        <v>607.90000000000009</v>
      </c>
      <c r="R5" s="32">
        <f t="shared" si="0"/>
        <v>605.19999999999993</v>
      </c>
      <c r="S5" s="32">
        <f t="shared" si="0"/>
        <v>610.39999999999986</v>
      </c>
      <c r="T5" s="32">
        <f t="shared" si="0"/>
        <v>640.69999999999993</v>
      </c>
      <c r="U5" s="32">
        <f t="shared" si="0"/>
        <v>558.20000000000005</v>
      </c>
      <c r="V5" s="32">
        <f t="shared" si="0"/>
        <v>563.4</v>
      </c>
      <c r="W5" s="32">
        <f t="shared" si="0"/>
        <v>501.9</v>
      </c>
      <c r="X5" s="32">
        <f t="shared" si="0"/>
        <v>436.9</v>
      </c>
      <c r="Y5" s="32">
        <f t="shared" si="0"/>
        <v>420</v>
      </c>
      <c r="Z5" s="32">
        <f t="shared" si="0"/>
        <v>409.80000000000007</v>
      </c>
      <c r="AA5" s="32">
        <f t="shared" si="0"/>
        <v>531.6</v>
      </c>
      <c r="AB5" s="32">
        <f t="shared" si="0"/>
        <v>535.9</v>
      </c>
      <c r="AC5" s="32">
        <f t="shared" si="0"/>
        <v>537.20000000000005</v>
      </c>
      <c r="AD5" s="32">
        <f t="shared" si="0"/>
        <v>480.3</v>
      </c>
      <c r="AE5" s="32">
        <f t="shared" si="0"/>
        <v>396</v>
      </c>
      <c r="AF5" s="32">
        <f>B68</f>
        <v>418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1598MW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Load=897</v>
      </c>
      <c r="B7" s="37">
        <f>B75</f>
        <v>958.1400000000001</v>
      </c>
      <c r="C7" s="37">
        <f t="shared" ref="C7:AF7" si="1">C75</f>
        <v>930.24</v>
      </c>
      <c r="D7" s="37">
        <f t="shared" si="1"/>
        <v>906.54</v>
      </c>
      <c r="E7" s="37">
        <f t="shared" si="1"/>
        <v>897.33999999999992</v>
      </c>
      <c r="F7" s="37">
        <f t="shared" si="1"/>
        <v>910.14</v>
      </c>
      <c r="G7" s="37">
        <f t="shared" si="1"/>
        <v>941.54</v>
      </c>
      <c r="H7" s="37">
        <f t="shared" si="1"/>
        <v>1005.24</v>
      </c>
      <c r="I7" s="37">
        <f t="shared" si="1"/>
        <v>1062.74</v>
      </c>
      <c r="J7" s="37">
        <f t="shared" si="1"/>
        <v>1201.1399999999999</v>
      </c>
      <c r="K7" s="37">
        <f t="shared" si="1"/>
        <v>1335.1399999999999</v>
      </c>
      <c r="L7" s="37">
        <f t="shared" si="1"/>
        <v>1455.2399999999998</v>
      </c>
      <c r="M7" s="37">
        <f t="shared" si="1"/>
        <v>1574.8400000000001</v>
      </c>
      <c r="N7" s="37">
        <f t="shared" si="1"/>
        <v>1598.3400000000001</v>
      </c>
      <c r="O7" s="37">
        <f t="shared" si="1"/>
        <v>1578.7400000000002</v>
      </c>
      <c r="P7" s="37">
        <f t="shared" si="1"/>
        <v>1495.6399999999999</v>
      </c>
      <c r="Q7" s="37">
        <f t="shared" si="1"/>
        <v>1429.44</v>
      </c>
      <c r="R7" s="37">
        <f t="shared" si="1"/>
        <v>1366.24</v>
      </c>
      <c r="S7" s="37">
        <f t="shared" si="1"/>
        <v>1347.44</v>
      </c>
      <c r="T7" s="37">
        <f t="shared" si="1"/>
        <v>1321.3399999999997</v>
      </c>
      <c r="U7" s="37">
        <f t="shared" si="1"/>
        <v>1356.7399999999998</v>
      </c>
      <c r="V7" s="37">
        <f t="shared" si="1"/>
        <v>1353.54</v>
      </c>
      <c r="W7" s="37">
        <f t="shared" si="1"/>
        <v>1502.34</v>
      </c>
      <c r="X7" s="37">
        <f t="shared" si="1"/>
        <v>1595.84</v>
      </c>
      <c r="Y7" s="37">
        <f t="shared" si="1"/>
        <v>1703.24</v>
      </c>
      <c r="Z7" s="37">
        <f t="shared" si="1"/>
        <v>1648.04</v>
      </c>
      <c r="AA7" s="37">
        <f t="shared" si="1"/>
        <v>1595.54</v>
      </c>
      <c r="AB7" s="37">
        <f t="shared" si="1"/>
        <v>1584.7400000000002</v>
      </c>
      <c r="AC7" s="37">
        <f t="shared" si="1"/>
        <v>1525.14</v>
      </c>
      <c r="AD7" s="37">
        <f t="shared" si="1"/>
        <v>1415.5400000000002</v>
      </c>
      <c r="AE7" s="37">
        <f t="shared" si="1"/>
        <v>1189.44</v>
      </c>
      <c r="AF7" s="37">
        <f t="shared" si="1"/>
        <v>1059.04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35</v>
      </c>
      <c r="D11" s="49">
        <v>30</v>
      </c>
      <c r="E11" s="49">
        <v>55</v>
      </c>
      <c r="F11" s="49">
        <v>55</v>
      </c>
      <c r="G11" s="49">
        <v>20</v>
      </c>
      <c r="H11" s="49">
        <v>30</v>
      </c>
      <c r="I11" s="49">
        <v>35</v>
      </c>
      <c r="J11" s="49">
        <v>45</v>
      </c>
      <c r="K11" s="49">
        <v>60</v>
      </c>
      <c r="L11" s="49">
        <v>130</v>
      </c>
      <c r="M11" s="50">
        <v>380</v>
      </c>
      <c r="N11" s="50">
        <v>429</v>
      </c>
      <c r="O11" s="50">
        <v>450</v>
      </c>
      <c r="P11" s="50">
        <v>40</v>
      </c>
      <c r="Q11" s="50">
        <v>40</v>
      </c>
      <c r="R11" s="177">
        <v>15</v>
      </c>
      <c r="S11" s="50">
        <v>15</v>
      </c>
      <c r="T11" s="50">
        <v>20</v>
      </c>
      <c r="U11" s="50">
        <v>20</v>
      </c>
      <c r="V11" s="50">
        <v>76</v>
      </c>
      <c r="W11" s="50">
        <v>115</v>
      </c>
      <c r="X11" s="50">
        <v>210</v>
      </c>
      <c r="Y11" s="50">
        <v>310</v>
      </c>
      <c r="Z11" s="51">
        <v>300</v>
      </c>
      <c r="AA11" s="50">
        <v>260</v>
      </c>
      <c r="AB11" s="50">
        <v>155</v>
      </c>
      <c r="AC11" s="50">
        <v>105</v>
      </c>
      <c r="AD11" s="50">
        <v>70</v>
      </c>
      <c r="AE11" s="50">
        <v>30</v>
      </c>
      <c r="AF11" s="49">
        <v>25</v>
      </c>
      <c r="AG11" s="52">
        <v>456</v>
      </c>
      <c r="AH11" s="53">
        <f>MAX(B11:AF11)</f>
        <v>450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7">
        <v>36</v>
      </c>
      <c r="AB12" s="50">
        <v>36</v>
      </c>
      <c r="AC12" s="50">
        <v>36</v>
      </c>
      <c r="AD12" s="50">
        <v>36</v>
      </c>
      <c r="AE12" s="50">
        <v>36</v>
      </c>
      <c r="AF12" s="49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21.1</v>
      </c>
      <c r="C13" s="49">
        <v>21.1</v>
      </c>
      <c r="D13" s="49">
        <v>21.1</v>
      </c>
      <c r="E13" s="49">
        <v>20.399999999999999</v>
      </c>
      <c r="F13" s="49">
        <v>20.8</v>
      </c>
      <c r="G13" s="49">
        <v>20.8</v>
      </c>
      <c r="H13" s="49">
        <v>20.8</v>
      </c>
      <c r="I13" s="49">
        <v>20.8</v>
      </c>
      <c r="J13" s="49">
        <v>20.8</v>
      </c>
      <c r="K13" s="49">
        <v>20.8</v>
      </c>
      <c r="L13" s="49">
        <v>20.8</v>
      </c>
      <c r="M13" s="49">
        <v>20.8</v>
      </c>
      <c r="N13" s="49">
        <v>19.899999999999999</v>
      </c>
      <c r="O13" s="49">
        <v>21.9</v>
      </c>
      <c r="P13" s="49">
        <v>21.9</v>
      </c>
      <c r="Q13" s="49">
        <v>20.3</v>
      </c>
      <c r="R13" s="49">
        <v>20.3</v>
      </c>
      <c r="S13" s="57">
        <v>19.3</v>
      </c>
      <c r="T13" s="57">
        <v>19.5</v>
      </c>
      <c r="U13" s="57">
        <v>19.5</v>
      </c>
      <c r="V13" s="57">
        <v>19.5</v>
      </c>
      <c r="W13" s="57">
        <v>20.8</v>
      </c>
      <c r="X13" s="57">
        <v>20.8</v>
      </c>
      <c r="Y13" s="57">
        <v>20.8</v>
      </c>
      <c r="Z13" s="57">
        <v>20.8</v>
      </c>
      <c r="AA13" s="57">
        <v>20.8</v>
      </c>
      <c r="AB13" s="50">
        <v>20.100000000000001</v>
      </c>
      <c r="AC13" s="50">
        <v>20.100000000000001</v>
      </c>
      <c r="AD13" s="50">
        <v>20.100000000000001</v>
      </c>
      <c r="AE13" s="50">
        <v>20.100000000000001</v>
      </c>
      <c r="AF13" s="49">
        <v>20.100000000000001</v>
      </c>
      <c r="AG13" s="58">
        <v>52.4</v>
      </c>
      <c r="AH13" s="53">
        <f t="shared" si="2"/>
        <v>21.9</v>
      </c>
      <c r="AI13" s="54">
        <f t="shared" si="3"/>
        <v>19.3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37.9</v>
      </c>
      <c r="C14" s="49">
        <v>37.9</v>
      </c>
      <c r="D14" s="49">
        <v>37.9</v>
      </c>
      <c r="E14" s="49">
        <v>37.9</v>
      </c>
      <c r="F14" s="49">
        <v>37.9</v>
      </c>
      <c r="G14" s="49">
        <v>37.9</v>
      </c>
      <c r="H14" s="49">
        <v>37.9</v>
      </c>
      <c r="I14" s="49">
        <v>37.9</v>
      </c>
      <c r="J14" s="49">
        <v>37.9</v>
      </c>
      <c r="K14" s="49">
        <v>37.9</v>
      </c>
      <c r="L14" s="49">
        <v>37.9</v>
      </c>
      <c r="M14" s="50">
        <v>37.9</v>
      </c>
      <c r="N14" s="50">
        <v>38.4</v>
      </c>
      <c r="O14" s="50">
        <v>38.299999999999997</v>
      </c>
      <c r="P14" s="50">
        <v>37.700000000000003</v>
      </c>
      <c r="Q14" s="50">
        <v>38.200000000000003</v>
      </c>
      <c r="R14" s="50">
        <v>37.9</v>
      </c>
      <c r="S14" s="59">
        <v>38.200000000000003</v>
      </c>
      <c r="T14" s="59">
        <v>38.200000000000003</v>
      </c>
      <c r="U14" s="59">
        <v>38.200000000000003</v>
      </c>
      <c r="V14" s="59">
        <v>38.200000000000003</v>
      </c>
      <c r="W14" s="59">
        <v>38.200000000000003</v>
      </c>
      <c r="X14" s="59">
        <v>37.200000000000003</v>
      </c>
      <c r="Y14" s="59">
        <v>37.200000000000003</v>
      </c>
      <c r="Z14" s="59">
        <v>37.200000000000003</v>
      </c>
      <c r="AA14" s="59">
        <v>37.200000000000003</v>
      </c>
      <c r="AB14" s="50">
        <v>37.799999999999997</v>
      </c>
      <c r="AC14" s="50">
        <v>37.799999999999997</v>
      </c>
      <c r="AD14" s="50">
        <v>37.6</v>
      </c>
      <c r="AE14" s="50">
        <v>37.700000000000003</v>
      </c>
      <c r="AF14" s="49">
        <v>38.700000000000003</v>
      </c>
      <c r="AG14" s="58">
        <v>50</v>
      </c>
      <c r="AH14" s="53">
        <f t="shared" si="2"/>
        <v>38.700000000000003</v>
      </c>
      <c r="AI14" s="54">
        <f t="shared" si="3"/>
        <v>37.200000000000003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23.1</v>
      </c>
      <c r="C15" s="60">
        <v>23.1</v>
      </c>
      <c r="D15" s="60">
        <v>23.1</v>
      </c>
      <c r="E15" s="60">
        <v>22.3</v>
      </c>
      <c r="F15" s="60">
        <v>22.3</v>
      </c>
      <c r="G15" s="60">
        <v>22.3</v>
      </c>
      <c r="H15" s="60">
        <v>22.3</v>
      </c>
      <c r="I15" s="60">
        <v>22.3</v>
      </c>
      <c r="J15" s="60">
        <v>22.3</v>
      </c>
      <c r="K15" s="60">
        <v>22.3</v>
      </c>
      <c r="L15" s="60">
        <v>22.3</v>
      </c>
      <c r="M15" s="50">
        <v>22.3</v>
      </c>
      <c r="N15" s="50">
        <v>20.9</v>
      </c>
      <c r="O15" s="50">
        <v>21</v>
      </c>
      <c r="P15" s="50">
        <v>21</v>
      </c>
      <c r="Q15" s="50">
        <v>21</v>
      </c>
      <c r="R15" s="50">
        <v>21</v>
      </c>
      <c r="S15" s="59">
        <v>21</v>
      </c>
      <c r="T15" s="59">
        <v>21.5</v>
      </c>
      <c r="U15" s="59">
        <v>21.5</v>
      </c>
      <c r="V15" s="59">
        <v>21.5</v>
      </c>
      <c r="W15" s="59">
        <v>21.5</v>
      </c>
      <c r="X15" s="59">
        <v>22.8</v>
      </c>
      <c r="Y15" s="59">
        <v>22.8</v>
      </c>
      <c r="Z15" s="59">
        <v>22.8</v>
      </c>
      <c r="AA15" s="59">
        <v>22.8</v>
      </c>
      <c r="AB15" s="50">
        <v>22.6</v>
      </c>
      <c r="AC15" s="50">
        <v>23.1</v>
      </c>
      <c r="AD15" s="50">
        <v>23.3</v>
      </c>
      <c r="AE15" s="50">
        <v>23.2</v>
      </c>
      <c r="AF15" s="60">
        <v>22.6</v>
      </c>
      <c r="AG15" s="61">
        <v>45</v>
      </c>
      <c r="AH15" s="53">
        <f t="shared" si="2"/>
        <v>23.3</v>
      </c>
      <c r="AI15" s="54">
        <f t="shared" si="3"/>
        <v>20.9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9.6</v>
      </c>
      <c r="C19" s="49">
        <v>9.6</v>
      </c>
      <c r="D19" s="49">
        <v>9.6</v>
      </c>
      <c r="E19" s="49">
        <v>9.6</v>
      </c>
      <c r="F19" s="49">
        <v>9.6</v>
      </c>
      <c r="G19" s="49">
        <v>9.6</v>
      </c>
      <c r="H19" s="49">
        <v>9.6</v>
      </c>
      <c r="I19" s="49">
        <v>9.6</v>
      </c>
      <c r="J19" s="49">
        <v>9.6</v>
      </c>
      <c r="K19" s="49">
        <v>9.6</v>
      </c>
      <c r="L19" s="49">
        <v>9.6</v>
      </c>
      <c r="M19" s="50">
        <v>9.6</v>
      </c>
      <c r="N19" s="50">
        <v>9.4</v>
      </c>
      <c r="O19" s="50">
        <v>9.4</v>
      </c>
      <c r="P19" s="50">
        <v>9.5</v>
      </c>
      <c r="Q19" s="50">
        <v>9.5</v>
      </c>
      <c r="R19" s="50">
        <v>9.1999999999999993</v>
      </c>
      <c r="S19" s="50">
        <v>9.1999999999999993</v>
      </c>
      <c r="T19" s="50">
        <v>9.5</v>
      </c>
      <c r="U19" s="50">
        <v>9.5</v>
      </c>
      <c r="V19" s="50">
        <v>9.5</v>
      </c>
      <c r="W19" s="50">
        <v>9.5</v>
      </c>
      <c r="X19" s="50">
        <v>9.4</v>
      </c>
      <c r="Y19" s="50">
        <v>9.4</v>
      </c>
      <c r="Z19" s="50">
        <v>9.4</v>
      </c>
      <c r="AA19" s="50">
        <v>9.4</v>
      </c>
      <c r="AB19" s="50">
        <v>9.4</v>
      </c>
      <c r="AC19" s="50">
        <v>9.4</v>
      </c>
      <c r="AD19" s="50">
        <v>9.4</v>
      </c>
      <c r="AE19" s="50">
        <v>9.4</v>
      </c>
      <c r="AF19" s="50">
        <v>9.4</v>
      </c>
      <c r="AG19" s="58">
        <v>30</v>
      </c>
      <c r="AH19" s="53">
        <f t="shared" si="2"/>
        <v>9.6</v>
      </c>
      <c r="AI19" s="54">
        <f t="shared" si="3"/>
        <v>9.1999999999999993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11</v>
      </c>
      <c r="C22" s="49">
        <v>11</v>
      </c>
      <c r="D22" s="49">
        <v>11</v>
      </c>
      <c r="E22" s="49">
        <v>11</v>
      </c>
      <c r="F22" s="49">
        <v>11</v>
      </c>
      <c r="G22" s="49">
        <v>11</v>
      </c>
      <c r="H22" s="49">
        <v>11</v>
      </c>
      <c r="I22" s="49">
        <v>11</v>
      </c>
      <c r="J22" s="49">
        <v>11</v>
      </c>
      <c r="K22" s="49">
        <v>11</v>
      </c>
      <c r="L22" s="49">
        <v>11</v>
      </c>
      <c r="M22" s="50">
        <v>11</v>
      </c>
      <c r="N22" s="50">
        <v>10.1</v>
      </c>
      <c r="O22" s="50">
        <v>9.6999999999999993</v>
      </c>
      <c r="P22" s="50">
        <v>10.3</v>
      </c>
      <c r="Q22" s="50">
        <v>10.7</v>
      </c>
      <c r="R22" s="50">
        <v>11.5</v>
      </c>
      <c r="S22" s="50">
        <v>11.5</v>
      </c>
      <c r="T22" s="50">
        <v>11.2</v>
      </c>
      <c r="U22" s="50">
        <v>11.2</v>
      </c>
      <c r="V22" s="50">
        <v>11.2</v>
      </c>
      <c r="W22" s="50">
        <v>9.9</v>
      </c>
      <c r="X22" s="50">
        <v>18.899999999999999</v>
      </c>
      <c r="Y22" s="50">
        <v>19.2</v>
      </c>
      <c r="Z22" s="50">
        <v>19.2</v>
      </c>
      <c r="AA22" s="50">
        <v>19.2</v>
      </c>
      <c r="AB22" s="50">
        <v>12</v>
      </c>
      <c r="AC22" s="50">
        <v>12</v>
      </c>
      <c r="AD22" s="50">
        <v>12</v>
      </c>
      <c r="AE22" s="50">
        <v>10.7</v>
      </c>
      <c r="AF22" s="50">
        <v>10.7</v>
      </c>
      <c r="AG22" s="58">
        <v>25</v>
      </c>
      <c r="AH22" s="53">
        <f t="shared" si="2"/>
        <v>19.2</v>
      </c>
      <c r="AI22" s="54">
        <f t="shared" si="3"/>
        <v>9.6999999999999993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11</v>
      </c>
      <c r="C24" s="49">
        <v>11</v>
      </c>
      <c r="D24" s="49">
        <v>11</v>
      </c>
      <c r="E24" s="49">
        <v>11</v>
      </c>
      <c r="F24" s="49">
        <v>11</v>
      </c>
      <c r="G24" s="49">
        <v>11</v>
      </c>
      <c r="H24" s="49">
        <v>11</v>
      </c>
      <c r="I24" s="49">
        <v>11</v>
      </c>
      <c r="J24" s="49">
        <v>11</v>
      </c>
      <c r="K24" s="49">
        <v>11</v>
      </c>
      <c r="L24" s="49">
        <v>11</v>
      </c>
      <c r="M24" s="50">
        <v>11</v>
      </c>
      <c r="N24" s="50">
        <v>11.2</v>
      </c>
      <c r="O24" s="50">
        <v>10.7</v>
      </c>
      <c r="P24" s="50">
        <v>10.199999999999999</v>
      </c>
      <c r="Q24" s="50">
        <v>10.1</v>
      </c>
      <c r="R24" s="50">
        <v>10.1</v>
      </c>
      <c r="S24" s="50">
        <v>9.1</v>
      </c>
      <c r="T24" s="50">
        <v>9.1</v>
      </c>
      <c r="U24" s="50">
        <v>9.1</v>
      </c>
      <c r="V24" s="50">
        <v>9.1</v>
      </c>
      <c r="W24" s="50">
        <v>9.1</v>
      </c>
      <c r="X24" s="50">
        <v>9.1</v>
      </c>
      <c r="Y24" s="50">
        <v>9.1</v>
      </c>
      <c r="Z24" s="50">
        <v>9.1</v>
      </c>
      <c r="AA24" s="50">
        <v>9.1</v>
      </c>
      <c r="AB24" s="50">
        <v>9.1</v>
      </c>
      <c r="AC24" s="50">
        <v>9.1</v>
      </c>
      <c r="AD24" s="50">
        <v>9.1</v>
      </c>
      <c r="AE24" s="50">
        <v>9.1</v>
      </c>
      <c r="AF24" s="50">
        <v>9.1</v>
      </c>
      <c r="AG24" s="58">
        <v>25</v>
      </c>
      <c r="AH24" s="53">
        <f t="shared" si="2"/>
        <v>11.2</v>
      </c>
      <c r="AI24" s="54">
        <f t="shared" si="3"/>
        <v>9.1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140</v>
      </c>
      <c r="C36" s="60">
        <v>140</v>
      </c>
      <c r="D36" s="60">
        <v>140</v>
      </c>
      <c r="E36" s="60">
        <v>140</v>
      </c>
      <c r="F36" s="60">
        <v>140</v>
      </c>
      <c r="G36" s="60">
        <v>140</v>
      </c>
      <c r="H36" s="60">
        <v>140</v>
      </c>
      <c r="I36" s="60">
        <v>140</v>
      </c>
      <c r="J36" s="60">
        <v>140</v>
      </c>
      <c r="K36" s="60">
        <v>140</v>
      </c>
      <c r="L36" s="60">
        <v>140</v>
      </c>
      <c r="M36" s="60">
        <v>140</v>
      </c>
      <c r="N36" s="60">
        <v>140</v>
      </c>
      <c r="O36" s="60">
        <v>140</v>
      </c>
      <c r="P36" s="60">
        <v>140</v>
      </c>
      <c r="Q36" s="60">
        <v>140</v>
      </c>
      <c r="R36" s="60">
        <v>140</v>
      </c>
      <c r="S36" s="60">
        <v>140</v>
      </c>
      <c r="T36" s="60">
        <v>140</v>
      </c>
      <c r="U36" s="60">
        <v>140</v>
      </c>
      <c r="V36" s="60">
        <v>140</v>
      </c>
      <c r="W36" s="60">
        <v>140</v>
      </c>
      <c r="X36" s="60">
        <v>140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140</v>
      </c>
      <c r="AK36" s="55"/>
    </row>
    <row r="37" spans="1:88" ht="15.75" thickBot="1" x14ac:dyDescent="0.3">
      <c r="A37" s="68" t="s">
        <v>45</v>
      </c>
      <c r="B37" s="60">
        <v>50.3</v>
      </c>
      <c r="C37" s="60">
        <v>50.3</v>
      </c>
      <c r="D37" s="60">
        <v>50.9</v>
      </c>
      <c r="E37" s="60">
        <v>50.9</v>
      </c>
      <c r="F37" s="60">
        <v>50.9</v>
      </c>
      <c r="G37" s="60">
        <v>50.8</v>
      </c>
      <c r="H37" s="60">
        <v>50</v>
      </c>
      <c r="I37" s="60">
        <v>49.8</v>
      </c>
      <c r="J37" s="60">
        <v>49.1</v>
      </c>
      <c r="K37" s="60">
        <v>49.1</v>
      </c>
      <c r="L37" s="60">
        <v>49.1</v>
      </c>
      <c r="M37" s="69">
        <v>47.1</v>
      </c>
      <c r="N37" s="69">
        <v>47.1</v>
      </c>
      <c r="O37" s="69">
        <v>48</v>
      </c>
      <c r="P37" s="69">
        <v>49</v>
      </c>
      <c r="Q37" s="69">
        <v>49</v>
      </c>
      <c r="R37" s="69">
        <v>47.6</v>
      </c>
      <c r="S37" s="69">
        <v>48.3</v>
      </c>
      <c r="T37" s="69">
        <f>16.4+31.1</f>
        <v>47.5</v>
      </c>
      <c r="U37" s="69">
        <f>15.6+28.5</f>
        <v>44.1</v>
      </c>
      <c r="V37" s="69">
        <f>15.4+28.2</f>
        <v>43.6</v>
      </c>
      <c r="W37" s="69">
        <f>14.9+27.3</f>
        <v>42.2</v>
      </c>
      <c r="X37" s="69">
        <f>14.8+26.6</f>
        <v>41.400000000000006</v>
      </c>
      <c r="Y37" s="69">
        <v>46</v>
      </c>
      <c r="Z37" s="69">
        <f>14.6+26.3</f>
        <v>40.9</v>
      </c>
      <c r="AA37" s="69">
        <f>15.1+27.8</f>
        <v>42.9</v>
      </c>
      <c r="AB37" s="69">
        <f>27.9+15.2</f>
        <v>43.099999999999994</v>
      </c>
      <c r="AC37" s="69">
        <f>27.3+14.2</f>
        <v>41.5</v>
      </c>
      <c r="AD37" s="69">
        <f>29.4+15.9</f>
        <v>45.3</v>
      </c>
      <c r="AE37" s="69">
        <f>30.8+16.5</f>
        <v>47.3</v>
      </c>
      <c r="AF37" s="60">
        <f>31.5+16.7</f>
        <v>48.2</v>
      </c>
      <c r="AG37" s="66">
        <v>240</v>
      </c>
      <c r="AH37" s="53">
        <f t="shared" si="2"/>
        <v>50.9</v>
      </c>
      <c r="AI37" s="54">
        <f t="shared" si="3"/>
        <v>40.9</v>
      </c>
      <c r="AK37" s="55"/>
    </row>
    <row r="38" spans="1:88" ht="15.75" thickBot="1" x14ac:dyDescent="0.3">
      <c r="A38" s="70" t="s">
        <v>46</v>
      </c>
      <c r="B38" s="71">
        <f>SUM(B11:B36)</f>
        <v>409.7</v>
      </c>
      <c r="C38" s="71">
        <f t="shared" ref="C38:AF38" si="4">SUM(C11:C36)</f>
        <v>424.7</v>
      </c>
      <c r="D38" s="71">
        <f t="shared" si="4"/>
        <v>419.7</v>
      </c>
      <c r="E38" s="71">
        <f t="shared" si="4"/>
        <v>443.2</v>
      </c>
      <c r="F38" s="71">
        <f t="shared" si="4"/>
        <v>443.59999999999997</v>
      </c>
      <c r="G38" s="71">
        <f t="shared" si="4"/>
        <v>408.59999999999997</v>
      </c>
      <c r="H38" s="71">
        <f t="shared" si="4"/>
        <v>418.59999999999997</v>
      </c>
      <c r="I38" s="71">
        <f t="shared" si="4"/>
        <v>423.59999999999997</v>
      </c>
      <c r="J38" s="71">
        <f t="shared" si="4"/>
        <v>433.59999999999997</v>
      </c>
      <c r="K38" s="71">
        <f t="shared" si="4"/>
        <v>448.59999999999997</v>
      </c>
      <c r="L38" s="71">
        <f t="shared" si="4"/>
        <v>518.6</v>
      </c>
      <c r="M38" s="71">
        <f t="shared" si="4"/>
        <v>768.60000000000014</v>
      </c>
      <c r="N38" s="71">
        <f t="shared" si="4"/>
        <v>814.90000000000009</v>
      </c>
      <c r="O38" s="71">
        <f t="shared" si="4"/>
        <v>837.00000000000011</v>
      </c>
      <c r="P38" s="71">
        <f t="shared" si="4"/>
        <v>426.59999999999997</v>
      </c>
      <c r="Q38" s="71">
        <f t="shared" si="4"/>
        <v>425.79999999999995</v>
      </c>
      <c r="R38" s="71">
        <f t="shared" si="4"/>
        <v>400.99999999999994</v>
      </c>
      <c r="S38" s="71">
        <f t="shared" si="4"/>
        <v>399.29999999999995</v>
      </c>
      <c r="T38" s="71">
        <f t="shared" si="4"/>
        <v>404.99999999999994</v>
      </c>
      <c r="U38" s="71">
        <f t="shared" si="4"/>
        <v>404.99999999999994</v>
      </c>
      <c r="V38" s="71">
        <f t="shared" si="4"/>
        <v>460.99999999999994</v>
      </c>
      <c r="W38" s="71">
        <f t="shared" si="4"/>
        <v>500</v>
      </c>
      <c r="X38" s="71">
        <f t="shared" si="4"/>
        <v>604.20000000000005</v>
      </c>
      <c r="Y38" s="71">
        <f t="shared" si="4"/>
        <v>724.5</v>
      </c>
      <c r="Z38" s="71">
        <f t="shared" si="4"/>
        <v>714.5</v>
      </c>
      <c r="AA38" s="71">
        <f t="shared" si="4"/>
        <v>674.5</v>
      </c>
      <c r="AB38" s="71">
        <f t="shared" si="4"/>
        <v>562</v>
      </c>
      <c r="AC38" s="71">
        <f t="shared" si="4"/>
        <v>512.5</v>
      </c>
      <c r="AD38" s="71">
        <f t="shared" si="4"/>
        <v>477.5</v>
      </c>
      <c r="AE38" s="71">
        <f t="shared" si="4"/>
        <v>436.2</v>
      </c>
      <c r="AF38" s="71">
        <f t="shared" si="4"/>
        <v>431.59999999999997</v>
      </c>
      <c r="AG38" s="66">
        <f>SUM(AG11:AG37)</f>
        <v>1492.8299999999997</v>
      </c>
      <c r="AH38" s="53">
        <f t="shared" si="2"/>
        <v>837.00000000000011</v>
      </c>
      <c r="AI38" s="54">
        <f t="shared" si="3"/>
        <v>399.29999999999995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35.5</v>
      </c>
      <c r="I39" s="60">
        <v>35</v>
      </c>
      <c r="J39" s="60">
        <v>48</v>
      </c>
      <c r="K39" s="60">
        <v>75</v>
      </c>
      <c r="L39" s="60">
        <v>120</v>
      </c>
      <c r="M39" s="50">
        <v>142.69999999999999</v>
      </c>
      <c r="N39" s="50">
        <v>138.30000000000001</v>
      </c>
      <c r="O39" s="50">
        <v>144.80000000000001</v>
      </c>
      <c r="P39" s="50">
        <v>145.69999999999999</v>
      </c>
      <c r="Q39" s="50">
        <v>125.6</v>
      </c>
      <c r="R39" s="50">
        <v>95.7</v>
      </c>
      <c r="S39" s="50">
        <v>70.5</v>
      </c>
      <c r="T39" s="50">
        <v>62.5</v>
      </c>
      <c r="U39" s="50">
        <v>57.6</v>
      </c>
      <c r="V39" s="50">
        <v>67</v>
      </c>
      <c r="W39" s="50">
        <v>113.4</v>
      </c>
      <c r="X39" s="50">
        <v>146</v>
      </c>
      <c r="Y39" s="50">
        <v>146</v>
      </c>
      <c r="Z39" s="50">
        <v>145</v>
      </c>
      <c r="AA39" s="50">
        <v>145</v>
      </c>
      <c r="AB39" s="50">
        <v>121.5</v>
      </c>
      <c r="AC39" s="50">
        <v>121.5</v>
      </c>
      <c r="AD39" s="50">
        <v>111.9</v>
      </c>
      <c r="AE39" s="50">
        <v>71.2</v>
      </c>
      <c r="AF39" s="49">
        <v>48.7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20</v>
      </c>
      <c r="I40" s="60">
        <v>35</v>
      </c>
      <c r="J40" s="60">
        <v>35</v>
      </c>
      <c r="K40" s="60">
        <v>66.8</v>
      </c>
      <c r="L40" s="60">
        <v>69.2</v>
      </c>
      <c r="M40" s="72">
        <v>59</v>
      </c>
      <c r="N40" s="72">
        <v>60.7</v>
      </c>
      <c r="O40" s="72">
        <v>70.8</v>
      </c>
      <c r="P40" s="72">
        <v>70.7</v>
      </c>
      <c r="Q40" s="72">
        <v>35.799999999999997</v>
      </c>
      <c r="R40" s="72">
        <v>24.9</v>
      </c>
      <c r="S40" s="72">
        <v>24.8</v>
      </c>
      <c r="T40" s="72">
        <v>24.9</v>
      </c>
      <c r="U40" s="72">
        <v>21.3</v>
      </c>
      <c r="V40" s="72">
        <v>24.6</v>
      </c>
      <c r="W40" s="72">
        <v>59</v>
      </c>
      <c r="X40" s="72">
        <v>70.2</v>
      </c>
      <c r="Y40" s="72">
        <v>70.2</v>
      </c>
      <c r="Z40" s="72">
        <v>70.7</v>
      </c>
      <c r="AA40" s="72">
        <v>70.7</v>
      </c>
      <c r="AB40" s="72">
        <v>70.400000000000006</v>
      </c>
      <c r="AC40" s="72">
        <v>69.8</v>
      </c>
      <c r="AD40" s="72">
        <v>51.2</v>
      </c>
      <c r="AE40" s="72">
        <v>46.2</v>
      </c>
      <c r="AF40" s="60">
        <v>29.7</v>
      </c>
      <c r="AG40" s="66">
        <v>70</v>
      </c>
      <c r="AH40" s="53">
        <f t="shared" si="2"/>
        <v>70.8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22.8</v>
      </c>
      <c r="C41" s="60">
        <v>18.100000000000001</v>
      </c>
      <c r="D41" s="60">
        <v>0</v>
      </c>
      <c r="E41" s="60">
        <v>0</v>
      </c>
      <c r="F41" s="60">
        <v>23</v>
      </c>
      <c r="G41" s="60">
        <v>41.4</v>
      </c>
      <c r="H41" s="60">
        <v>33</v>
      </c>
      <c r="I41" s="60">
        <v>47</v>
      </c>
      <c r="J41" s="60">
        <v>48</v>
      </c>
      <c r="K41" s="60">
        <v>69</v>
      </c>
      <c r="L41" s="60">
        <v>66.400000000000006</v>
      </c>
      <c r="M41" s="72">
        <v>51.1</v>
      </c>
      <c r="N41" s="72">
        <v>52.1</v>
      </c>
      <c r="O41" s="72">
        <v>67.5</v>
      </c>
      <c r="P41" s="72">
        <v>66.3</v>
      </c>
      <c r="Q41" s="72">
        <v>46.1</v>
      </c>
      <c r="R41" s="72">
        <v>33.4</v>
      </c>
      <c r="S41" s="72">
        <v>32.5</v>
      </c>
      <c r="T41" s="72">
        <v>32.9</v>
      </c>
      <c r="U41" s="72">
        <v>44.5</v>
      </c>
      <c r="V41" s="72">
        <v>40</v>
      </c>
      <c r="W41" s="72">
        <v>55.4</v>
      </c>
      <c r="X41" s="72">
        <v>65</v>
      </c>
      <c r="Y41" s="72">
        <v>65</v>
      </c>
      <c r="Z41" s="72">
        <v>67</v>
      </c>
      <c r="AA41" s="72">
        <v>67</v>
      </c>
      <c r="AB41" s="72">
        <v>67.7</v>
      </c>
      <c r="AC41" s="72">
        <v>66.400000000000006</v>
      </c>
      <c r="AD41" s="72">
        <v>66</v>
      </c>
      <c r="AE41" s="72">
        <v>43.2</v>
      </c>
      <c r="AF41" s="60">
        <v>40.700000000000003</v>
      </c>
      <c r="AG41" s="66">
        <v>69</v>
      </c>
      <c r="AH41" s="53">
        <f t="shared" si="2"/>
        <v>69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55.9</v>
      </c>
      <c r="C42" s="60">
        <v>52.1</v>
      </c>
      <c r="D42" s="60">
        <v>52.1</v>
      </c>
      <c r="E42" s="60">
        <v>51.4</v>
      </c>
      <c r="F42" s="60">
        <v>47.8</v>
      </c>
      <c r="G42" s="60">
        <v>47.8</v>
      </c>
      <c r="H42" s="60">
        <v>50.4</v>
      </c>
      <c r="I42" s="60">
        <v>52.4</v>
      </c>
      <c r="J42" s="60">
        <v>52.4</v>
      </c>
      <c r="K42" s="60">
        <v>52</v>
      </c>
      <c r="L42" s="60">
        <v>52.1</v>
      </c>
      <c r="M42" s="72">
        <v>52.1</v>
      </c>
      <c r="N42" s="72">
        <v>52.1</v>
      </c>
      <c r="O42" s="72">
        <v>51.9</v>
      </c>
      <c r="P42" s="72">
        <v>51.9</v>
      </c>
      <c r="Q42" s="72">
        <v>51.9</v>
      </c>
      <c r="R42" s="72">
        <v>51.6</v>
      </c>
      <c r="S42" s="72">
        <v>51.6</v>
      </c>
      <c r="T42" s="72">
        <v>50</v>
      </c>
      <c r="U42" s="72">
        <v>50</v>
      </c>
      <c r="V42" s="72">
        <v>50</v>
      </c>
      <c r="W42" s="72">
        <v>50</v>
      </c>
      <c r="X42" s="72">
        <v>50</v>
      </c>
      <c r="Y42" s="72">
        <v>50</v>
      </c>
      <c r="Z42" s="72">
        <v>50</v>
      </c>
      <c r="AA42" s="72">
        <v>50</v>
      </c>
      <c r="AB42" s="72">
        <v>50</v>
      </c>
      <c r="AC42" s="72">
        <v>50</v>
      </c>
      <c r="AD42" s="72">
        <v>50</v>
      </c>
      <c r="AE42" s="72">
        <v>50</v>
      </c>
      <c r="AF42" s="60">
        <v>50</v>
      </c>
      <c r="AG42" s="66">
        <v>60</v>
      </c>
      <c r="AH42" s="53">
        <f t="shared" si="2"/>
        <v>55.9</v>
      </c>
      <c r="AI42" s="54">
        <f t="shared" si="3"/>
        <v>47.8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9.3000000000000007</v>
      </c>
      <c r="E43" s="60">
        <v>0</v>
      </c>
      <c r="F43" s="60">
        <v>0</v>
      </c>
      <c r="G43" s="60">
        <v>10</v>
      </c>
      <c r="H43" s="60">
        <v>15</v>
      </c>
      <c r="I43" s="60">
        <v>10</v>
      </c>
      <c r="J43" s="60">
        <v>15</v>
      </c>
      <c r="K43" s="60">
        <v>23</v>
      </c>
      <c r="L43" s="60">
        <v>28.6</v>
      </c>
      <c r="M43" s="50">
        <v>28.4</v>
      </c>
      <c r="N43" s="50">
        <v>28.2</v>
      </c>
      <c r="O43" s="50">
        <v>27.5</v>
      </c>
      <c r="P43" s="50">
        <v>12.2</v>
      </c>
      <c r="Q43" s="50">
        <v>10.199999999999999</v>
      </c>
      <c r="R43" s="50">
        <v>0</v>
      </c>
      <c r="S43" s="50">
        <v>11.5</v>
      </c>
      <c r="T43" s="50">
        <v>0</v>
      </c>
      <c r="U43" s="50">
        <v>0</v>
      </c>
      <c r="V43" s="50">
        <v>0</v>
      </c>
      <c r="W43" s="50">
        <v>9.9</v>
      </c>
      <c r="X43" s="50">
        <v>9.9</v>
      </c>
      <c r="Y43" s="50">
        <v>28.6</v>
      </c>
      <c r="Z43" s="72">
        <v>28.5</v>
      </c>
      <c r="AA43" s="72">
        <v>28.5</v>
      </c>
      <c r="AB43" s="72">
        <v>28.5</v>
      </c>
      <c r="AC43" s="72">
        <v>25.3</v>
      </c>
      <c r="AD43" s="72">
        <v>22.3</v>
      </c>
      <c r="AE43" s="72">
        <v>10</v>
      </c>
      <c r="AF43" s="60">
        <v>10</v>
      </c>
      <c r="AG43" s="66">
        <v>30</v>
      </c>
      <c r="AH43" s="53">
        <f t="shared" si="2"/>
        <v>28.6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60">
        <v>16</v>
      </c>
      <c r="M45" s="6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6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60">
        <v>5</v>
      </c>
      <c r="E48" s="60">
        <v>5</v>
      </c>
      <c r="F48" s="60">
        <v>5</v>
      </c>
      <c r="G48" s="60">
        <v>5</v>
      </c>
      <c r="H48" s="60">
        <v>5</v>
      </c>
      <c r="I48" s="60">
        <v>5</v>
      </c>
      <c r="J48" s="60">
        <v>5</v>
      </c>
      <c r="K48" s="60">
        <v>5</v>
      </c>
      <c r="L48" s="60">
        <v>5</v>
      </c>
      <c r="M48" s="6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60">
        <v>5.7</v>
      </c>
      <c r="C49" s="60">
        <v>5.7</v>
      </c>
      <c r="D49" s="60">
        <v>5.7</v>
      </c>
      <c r="E49" s="60">
        <v>5.7</v>
      </c>
      <c r="F49" s="60">
        <v>5.7</v>
      </c>
      <c r="G49" s="60">
        <v>5.7</v>
      </c>
      <c r="H49" s="60">
        <v>5.7</v>
      </c>
      <c r="I49" s="60">
        <v>5.7</v>
      </c>
      <c r="J49" s="60">
        <v>5.7</v>
      </c>
      <c r="K49" s="60">
        <v>5.7</v>
      </c>
      <c r="L49" s="60">
        <v>5.7</v>
      </c>
      <c r="M49" s="60">
        <v>5.7</v>
      </c>
      <c r="N49" s="50">
        <v>6.3</v>
      </c>
      <c r="O49" s="50">
        <v>6.3</v>
      </c>
      <c r="P49" s="50">
        <v>6.3</v>
      </c>
      <c r="Q49" s="50">
        <v>6.3</v>
      </c>
      <c r="R49" s="50">
        <v>6.3</v>
      </c>
      <c r="S49" s="50">
        <v>6.3</v>
      </c>
      <c r="T49" s="50">
        <v>6.3</v>
      </c>
      <c r="U49" s="50">
        <v>6.3</v>
      </c>
      <c r="V49" s="50">
        <v>6.3</v>
      </c>
      <c r="W49" s="50">
        <v>6.3</v>
      </c>
      <c r="X49" s="50">
        <v>6.3</v>
      </c>
      <c r="Y49" s="50">
        <v>6.3</v>
      </c>
      <c r="Z49" s="50">
        <v>6.3</v>
      </c>
      <c r="AA49" s="50">
        <v>6.3</v>
      </c>
      <c r="AB49" s="50">
        <v>6.3</v>
      </c>
      <c r="AC49" s="50">
        <v>6.3</v>
      </c>
      <c r="AD49" s="50">
        <v>6.3</v>
      </c>
      <c r="AE49" s="50">
        <v>6.3</v>
      </c>
      <c r="AF49" s="50">
        <v>6.3</v>
      </c>
      <c r="AG49" s="66">
        <v>10.050000000000001</v>
      </c>
      <c r="AH49" s="53">
        <f t="shared" si="2"/>
        <v>6.3</v>
      </c>
      <c r="AI49" s="54">
        <f t="shared" si="3"/>
        <v>5.7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130.44</v>
      </c>
      <c r="C52" s="71">
        <f t="shared" ref="C52:AF52" si="6">SUM(C39:C51)</f>
        <v>121.94000000000001</v>
      </c>
      <c r="D52" s="71">
        <f t="shared" si="6"/>
        <v>113.14000000000001</v>
      </c>
      <c r="E52" s="71">
        <f t="shared" si="6"/>
        <v>103.14000000000001</v>
      </c>
      <c r="F52" s="71">
        <f t="shared" si="6"/>
        <v>122.54</v>
      </c>
      <c r="G52" s="71">
        <f t="shared" si="6"/>
        <v>150.93999999999997</v>
      </c>
      <c r="H52" s="71">
        <f t="shared" si="6"/>
        <v>205.64</v>
      </c>
      <c r="I52" s="71">
        <f t="shared" si="6"/>
        <v>231.14</v>
      </c>
      <c r="J52" s="71">
        <f t="shared" si="6"/>
        <v>250.14</v>
      </c>
      <c r="K52" s="71">
        <f t="shared" si="6"/>
        <v>337.54</v>
      </c>
      <c r="L52" s="71">
        <f t="shared" si="6"/>
        <v>388.04</v>
      </c>
      <c r="M52" s="71">
        <f t="shared" si="6"/>
        <v>385.03999999999996</v>
      </c>
      <c r="N52" s="71">
        <f t="shared" si="6"/>
        <v>383.74</v>
      </c>
      <c r="O52" s="71">
        <f t="shared" si="6"/>
        <v>414.84000000000003</v>
      </c>
      <c r="P52" s="71">
        <f t="shared" si="6"/>
        <v>399.14</v>
      </c>
      <c r="Q52" s="71">
        <f t="shared" si="6"/>
        <v>321.94</v>
      </c>
      <c r="R52" s="71">
        <f t="shared" si="6"/>
        <v>257.94</v>
      </c>
      <c r="S52" s="71">
        <f t="shared" si="6"/>
        <v>243.24</v>
      </c>
      <c r="T52" s="71">
        <f t="shared" si="6"/>
        <v>222.64000000000001</v>
      </c>
      <c r="U52" s="71">
        <f t="shared" si="6"/>
        <v>225.74</v>
      </c>
      <c r="V52" s="71">
        <f t="shared" si="6"/>
        <v>233.94</v>
      </c>
      <c r="W52" s="71">
        <f t="shared" si="6"/>
        <v>340.04</v>
      </c>
      <c r="X52" s="71">
        <f t="shared" si="6"/>
        <v>393.44</v>
      </c>
      <c r="Y52" s="71">
        <f t="shared" si="6"/>
        <v>412.14000000000004</v>
      </c>
      <c r="Z52" s="71">
        <f t="shared" si="6"/>
        <v>413.54</v>
      </c>
      <c r="AA52" s="71">
        <f t="shared" si="6"/>
        <v>413.54</v>
      </c>
      <c r="AB52" s="71">
        <f t="shared" si="6"/>
        <v>390.44000000000005</v>
      </c>
      <c r="AC52" s="71">
        <f t="shared" si="6"/>
        <v>385.34000000000009</v>
      </c>
      <c r="AD52" s="71">
        <f t="shared" si="6"/>
        <v>353.74000000000007</v>
      </c>
      <c r="AE52" s="71">
        <f t="shared" si="6"/>
        <v>272.94000000000005</v>
      </c>
      <c r="AF52" s="71">
        <f t="shared" si="6"/>
        <v>231.44000000000003</v>
      </c>
      <c r="AG52" s="76">
        <f>SUM(AG39:AG51)</f>
        <v>489.91</v>
      </c>
      <c r="AH52" s="53">
        <f t="shared" si="2"/>
        <v>414.84000000000003</v>
      </c>
      <c r="AI52" s="54">
        <f t="shared" si="3"/>
        <v>103.14000000000001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13.8</v>
      </c>
      <c r="M53" s="77">
        <v>60</v>
      </c>
      <c r="N53" s="77">
        <v>59.7</v>
      </c>
      <c r="O53" s="77">
        <v>58.7</v>
      </c>
      <c r="P53" s="77">
        <v>59.3</v>
      </c>
      <c r="Q53" s="50">
        <v>59.7</v>
      </c>
      <c r="R53" s="50">
        <v>59.8</v>
      </c>
      <c r="S53" s="50">
        <v>59.8</v>
      </c>
      <c r="T53" s="50">
        <v>49.6</v>
      </c>
      <c r="U53" s="50">
        <v>55</v>
      </c>
      <c r="V53" s="50">
        <v>60</v>
      </c>
      <c r="W53" s="50">
        <v>59.7</v>
      </c>
      <c r="X53" s="50">
        <v>56.4</v>
      </c>
      <c r="Y53" s="50">
        <v>58</v>
      </c>
      <c r="Z53" s="50">
        <v>59.7</v>
      </c>
      <c r="AA53" s="50">
        <v>59.6</v>
      </c>
      <c r="AB53" s="50">
        <v>59.6</v>
      </c>
      <c r="AC53" s="50">
        <v>53.3</v>
      </c>
      <c r="AD53" s="50">
        <v>24</v>
      </c>
      <c r="AE53" s="50">
        <v>0</v>
      </c>
      <c r="AF53" s="50">
        <v>0</v>
      </c>
      <c r="AG53" s="61">
        <v>60</v>
      </c>
      <c r="AH53" s="53">
        <f t="shared" si="2"/>
        <v>60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6.2</v>
      </c>
      <c r="M54" s="77">
        <v>28</v>
      </c>
      <c r="N54" s="77">
        <v>29.4</v>
      </c>
      <c r="O54" s="77">
        <v>28.9</v>
      </c>
      <c r="P54" s="77">
        <v>29.2</v>
      </c>
      <c r="Q54" s="72">
        <v>28.4</v>
      </c>
      <c r="R54" s="72">
        <v>29</v>
      </c>
      <c r="S54" s="50">
        <v>29.2</v>
      </c>
      <c r="T54" s="50">
        <v>24.7</v>
      </c>
      <c r="U54" s="50">
        <v>22.2</v>
      </c>
      <c r="V54" s="72">
        <v>29.6</v>
      </c>
      <c r="W54" s="72">
        <v>28.7</v>
      </c>
      <c r="X54" s="72">
        <v>29.2</v>
      </c>
      <c r="Y54" s="72">
        <v>26.9</v>
      </c>
      <c r="Z54" s="72">
        <v>29.5</v>
      </c>
      <c r="AA54" s="72">
        <v>27.9</v>
      </c>
      <c r="AB54" s="72">
        <v>30.1</v>
      </c>
      <c r="AC54" s="72">
        <v>27.9</v>
      </c>
      <c r="AD54" s="72">
        <v>16.899999999999999</v>
      </c>
      <c r="AE54" s="50">
        <v>0</v>
      </c>
      <c r="AF54" s="50">
        <v>0</v>
      </c>
      <c r="AG54" s="66">
        <v>32</v>
      </c>
      <c r="AH54" s="53">
        <f t="shared" si="2"/>
        <v>30.1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2.2999999999999998</v>
      </c>
      <c r="M55" s="80">
        <v>10.199999999999999</v>
      </c>
      <c r="N55" s="80">
        <v>10.4</v>
      </c>
      <c r="O55" s="80">
        <v>10.5</v>
      </c>
      <c r="P55" s="80">
        <v>10.6</v>
      </c>
      <c r="Q55" s="78">
        <v>10.4</v>
      </c>
      <c r="R55" s="78">
        <v>10.6</v>
      </c>
      <c r="S55" s="50">
        <v>10.7</v>
      </c>
      <c r="T55" s="50">
        <v>9</v>
      </c>
      <c r="U55" s="50">
        <v>8.1</v>
      </c>
      <c r="V55" s="78">
        <v>10.8</v>
      </c>
      <c r="W55" s="78">
        <v>10.5</v>
      </c>
      <c r="X55" s="78">
        <v>10.7</v>
      </c>
      <c r="Y55" s="78">
        <v>9.8000000000000007</v>
      </c>
      <c r="Z55" s="78">
        <v>10.8</v>
      </c>
      <c r="AA55" s="78">
        <v>10.199999999999999</v>
      </c>
      <c r="AB55" s="78">
        <v>11</v>
      </c>
      <c r="AC55" s="78">
        <v>10.199999999999999</v>
      </c>
      <c r="AD55" s="78">
        <v>6.2</v>
      </c>
      <c r="AE55" s="50">
        <v>0</v>
      </c>
      <c r="AF55" s="50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22.3</v>
      </c>
      <c r="M56" s="71">
        <f t="shared" si="7"/>
        <v>98.2</v>
      </c>
      <c r="N56" s="71">
        <f t="shared" si="7"/>
        <v>99.5</v>
      </c>
      <c r="O56" s="71">
        <f t="shared" si="7"/>
        <v>98.1</v>
      </c>
      <c r="P56" s="71">
        <f t="shared" si="7"/>
        <v>99.1</v>
      </c>
      <c r="Q56" s="71">
        <f t="shared" si="7"/>
        <v>98.5</v>
      </c>
      <c r="R56" s="71">
        <f t="shared" si="7"/>
        <v>99.399999999999991</v>
      </c>
      <c r="S56" s="71">
        <f t="shared" si="7"/>
        <v>99.7</v>
      </c>
      <c r="T56" s="71">
        <f t="shared" si="7"/>
        <v>83.3</v>
      </c>
      <c r="U56" s="71">
        <f t="shared" si="7"/>
        <v>85.3</v>
      </c>
      <c r="V56" s="71">
        <f t="shared" si="7"/>
        <v>100.39999999999999</v>
      </c>
      <c r="W56" s="71">
        <f t="shared" si="7"/>
        <v>98.9</v>
      </c>
      <c r="X56" s="71">
        <f t="shared" si="7"/>
        <v>96.3</v>
      </c>
      <c r="Y56" s="71">
        <f t="shared" si="7"/>
        <v>94.7</v>
      </c>
      <c r="Z56" s="71">
        <f t="shared" si="7"/>
        <v>100</v>
      </c>
      <c r="AA56" s="71">
        <f t="shared" si="7"/>
        <v>97.7</v>
      </c>
      <c r="AB56" s="71">
        <f t="shared" si="7"/>
        <v>100.7</v>
      </c>
      <c r="AC56" s="71">
        <f t="shared" si="7"/>
        <v>91.399999999999991</v>
      </c>
      <c r="AD56" s="71">
        <f t="shared" si="7"/>
        <v>47.1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100.7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66.8</v>
      </c>
      <c r="C57" s="50">
        <v>63.6</v>
      </c>
      <c r="D57" s="50">
        <v>64.7</v>
      </c>
      <c r="E57" s="50">
        <v>69</v>
      </c>
      <c r="F57" s="50">
        <v>69</v>
      </c>
      <c r="G57" s="50">
        <v>67</v>
      </c>
      <c r="H57" s="50">
        <v>71</v>
      </c>
      <c r="I57" s="50">
        <v>68</v>
      </c>
      <c r="J57" s="50">
        <v>72</v>
      </c>
      <c r="K57" s="50">
        <v>71</v>
      </c>
      <c r="L57" s="50">
        <v>66.599999999999994</v>
      </c>
      <c r="M57" s="50">
        <v>68.3</v>
      </c>
      <c r="N57" s="50">
        <v>69.5</v>
      </c>
      <c r="O57" s="50">
        <v>75</v>
      </c>
      <c r="P57" s="50">
        <v>74.2</v>
      </c>
      <c r="Q57" s="50">
        <v>67.2</v>
      </c>
      <c r="R57" s="50">
        <v>71.8</v>
      </c>
      <c r="S57" s="50">
        <v>73.599999999999994</v>
      </c>
      <c r="T57" s="50">
        <v>75.3</v>
      </c>
      <c r="U57" s="50">
        <v>74.900000000000006</v>
      </c>
      <c r="V57" s="50">
        <v>66.5</v>
      </c>
      <c r="W57" s="50">
        <v>68.5</v>
      </c>
      <c r="X57" s="50">
        <v>65.599999999999994</v>
      </c>
      <c r="Y57" s="50">
        <v>75.7</v>
      </c>
      <c r="Z57" s="50">
        <v>77.2</v>
      </c>
      <c r="AA57" s="50">
        <v>66</v>
      </c>
      <c r="AB57" s="50">
        <v>68.2</v>
      </c>
      <c r="AC57" s="50">
        <v>71.7</v>
      </c>
      <c r="AD57" s="50">
        <v>67.599999999999994</v>
      </c>
      <c r="AE57" s="50">
        <v>61.2</v>
      </c>
      <c r="AF57" s="50">
        <v>61</v>
      </c>
      <c r="AG57" s="61"/>
      <c r="AH57" s="53">
        <f t="shared" si="2"/>
        <v>77.2</v>
      </c>
      <c r="AI57" s="54">
        <f t="shared" si="3"/>
        <v>61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72.7</v>
      </c>
      <c r="N58" s="50">
        <v>72.7</v>
      </c>
      <c r="O58" s="50">
        <v>0</v>
      </c>
      <c r="P58" s="50">
        <v>93</v>
      </c>
      <c r="Q58" s="50">
        <v>56.6</v>
      </c>
      <c r="R58" s="50">
        <v>51.4</v>
      </c>
      <c r="S58" s="50">
        <v>52.9</v>
      </c>
      <c r="T58" s="50">
        <v>53.8</v>
      </c>
      <c r="U58" s="50">
        <v>82.3</v>
      </c>
      <c r="V58" s="50">
        <v>141</v>
      </c>
      <c r="W58" s="50">
        <v>177</v>
      </c>
      <c r="X58" s="82">
        <v>193</v>
      </c>
      <c r="Y58" s="82">
        <v>186</v>
      </c>
      <c r="Z58" s="82">
        <v>181</v>
      </c>
      <c r="AA58" s="82">
        <v>174</v>
      </c>
      <c r="AB58" s="72">
        <v>117</v>
      </c>
      <c r="AC58" s="72">
        <v>54.3</v>
      </c>
      <c r="AD58" s="72">
        <v>0</v>
      </c>
      <c r="AE58" s="72">
        <v>0</v>
      </c>
      <c r="AF58" s="72">
        <v>0</v>
      </c>
      <c r="AG58" s="66"/>
      <c r="AH58" s="53">
        <f t="shared" si="2"/>
        <v>193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336</v>
      </c>
      <c r="C59" s="72">
        <v>320</v>
      </c>
      <c r="D59" s="72">
        <v>309</v>
      </c>
      <c r="E59" s="72">
        <v>282</v>
      </c>
      <c r="F59" s="72">
        <v>275</v>
      </c>
      <c r="G59" s="72">
        <v>315</v>
      </c>
      <c r="H59" s="50">
        <v>310</v>
      </c>
      <c r="I59" s="50">
        <v>340</v>
      </c>
      <c r="J59" s="50">
        <v>335</v>
      </c>
      <c r="K59" s="50">
        <v>346</v>
      </c>
      <c r="L59" s="50">
        <v>327.3</v>
      </c>
      <c r="M59" s="72">
        <v>42.4</v>
      </c>
      <c r="N59" s="72">
        <v>42</v>
      </c>
      <c r="O59" s="72">
        <v>20</v>
      </c>
      <c r="P59" s="72">
        <v>273</v>
      </c>
      <c r="Q59" s="72">
        <v>305</v>
      </c>
      <c r="R59" s="72">
        <v>336</v>
      </c>
      <c r="S59" s="72">
        <v>336</v>
      </c>
      <c r="T59" s="72">
        <v>328.2</v>
      </c>
      <c r="U59" s="72">
        <v>348</v>
      </c>
      <c r="V59" s="72">
        <v>210</v>
      </c>
      <c r="W59" s="72">
        <v>178.5</v>
      </c>
      <c r="X59" s="83">
        <v>88.5</v>
      </c>
      <c r="Y59" s="83">
        <v>23.8</v>
      </c>
      <c r="Z59" s="83">
        <v>17.3</v>
      </c>
      <c r="AA59" s="83">
        <v>32.6</v>
      </c>
      <c r="AB59" s="72">
        <v>205</v>
      </c>
      <c r="AC59" s="72">
        <v>260</v>
      </c>
      <c r="AD59" s="72">
        <v>326</v>
      </c>
      <c r="AE59" s="72">
        <v>329</v>
      </c>
      <c r="AF59" s="72">
        <v>335</v>
      </c>
      <c r="AG59" s="84"/>
      <c r="AH59" s="53">
        <f t="shared" si="2"/>
        <v>348</v>
      </c>
      <c r="AI59" s="54">
        <f t="shared" si="3"/>
        <v>17.3</v>
      </c>
      <c r="AK59" s="55"/>
    </row>
    <row r="60" spans="1:37" x14ac:dyDescent="0.25">
      <c r="A60" s="65" t="s">
        <v>68</v>
      </c>
      <c r="B60" s="57">
        <v>15.2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55</v>
      </c>
      <c r="K60" s="57">
        <v>59</v>
      </c>
      <c r="L60" s="57">
        <v>59</v>
      </c>
      <c r="M60" s="72">
        <v>60.8</v>
      </c>
      <c r="N60" s="72">
        <v>36.4</v>
      </c>
      <c r="O60" s="72">
        <v>51.9</v>
      </c>
      <c r="P60" s="72">
        <v>53.6</v>
      </c>
      <c r="Q60" s="72">
        <v>56.5</v>
      </c>
      <c r="R60" s="72">
        <v>60.5</v>
      </c>
      <c r="S60" s="72">
        <v>59.8</v>
      </c>
      <c r="T60" s="72">
        <v>63.8</v>
      </c>
      <c r="U60" s="72">
        <v>62.7</v>
      </c>
      <c r="V60" s="72">
        <v>52.2</v>
      </c>
      <c r="W60" s="72">
        <v>54</v>
      </c>
      <c r="X60" s="72">
        <v>57.9</v>
      </c>
      <c r="Y60" s="72">
        <v>57</v>
      </c>
      <c r="Z60" s="72">
        <v>55.9</v>
      </c>
      <c r="AA60" s="72">
        <v>58.8</v>
      </c>
      <c r="AB60" s="72">
        <v>59.3</v>
      </c>
      <c r="AC60" s="72">
        <v>62.3</v>
      </c>
      <c r="AD60" s="72">
        <v>60.5</v>
      </c>
      <c r="AE60" s="72">
        <v>15.6</v>
      </c>
      <c r="AF60" s="57">
        <v>0</v>
      </c>
      <c r="AG60" s="84"/>
      <c r="AH60" s="53">
        <f t="shared" si="2"/>
        <v>63.8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55.4</v>
      </c>
      <c r="K61" s="57">
        <v>73</v>
      </c>
      <c r="L61" s="57">
        <v>73.400000000000006</v>
      </c>
      <c r="M61" s="50">
        <v>78.8</v>
      </c>
      <c r="N61" s="50">
        <v>79.599999999999994</v>
      </c>
      <c r="O61" s="50">
        <v>81.900000000000006</v>
      </c>
      <c r="P61" s="50">
        <v>77</v>
      </c>
      <c r="Q61" s="50">
        <v>90.9</v>
      </c>
      <c r="R61" s="50">
        <v>81.2</v>
      </c>
      <c r="S61" s="50">
        <v>82.9</v>
      </c>
      <c r="T61" s="50">
        <v>89.3</v>
      </c>
      <c r="U61" s="50">
        <v>72.8</v>
      </c>
      <c r="V61" s="50">
        <v>81.5</v>
      </c>
      <c r="W61" s="50">
        <v>77.400000000000006</v>
      </c>
      <c r="X61" s="50">
        <v>88.9</v>
      </c>
      <c r="Y61" s="50">
        <v>86.4</v>
      </c>
      <c r="Z61" s="50">
        <v>80.599999999999994</v>
      </c>
      <c r="AA61" s="50">
        <v>78.400000000000006</v>
      </c>
      <c r="AB61" s="50">
        <v>82.1</v>
      </c>
      <c r="AC61" s="50">
        <v>87.6</v>
      </c>
      <c r="AD61" s="50">
        <v>83.1</v>
      </c>
      <c r="AE61" s="50">
        <v>74.5</v>
      </c>
      <c r="AF61" s="57">
        <v>0</v>
      </c>
      <c r="AG61" s="84"/>
      <c r="AH61" s="53">
        <f t="shared" si="2"/>
        <v>90.9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7</v>
      </c>
      <c r="R62" s="59">
        <v>7</v>
      </c>
      <c r="S62" s="59">
        <v>0</v>
      </c>
      <c r="T62" s="59">
        <v>0</v>
      </c>
      <c r="U62" s="59">
        <v>0</v>
      </c>
      <c r="V62" s="59">
        <v>7</v>
      </c>
      <c r="W62" s="59">
        <v>8</v>
      </c>
      <c r="X62" s="59">
        <v>8</v>
      </c>
      <c r="Y62" s="59">
        <v>8</v>
      </c>
      <c r="Z62" s="59">
        <v>8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7">
        <v>0</v>
      </c>
      <c r="AG62" s="84"/>
      <c r="AH62" s="53">
        <f t="shared" si="2"/>
        <v>8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0">
        <v>0</v>
      </c>
      <c r="M63" s="50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7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9">
        <v>0</v>
      </c>
      <c r="AC64" s="59">
        <v>0</v>
      </c>
      <c r="AD64" s="59">
        <v>0</v>
      </c>
      <c r="AE64" s="59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9">
        <v>0</v>
      </c>
      <c r="AC65" s="59">
        <v>0</v>
      </c>
      <c r="AD65" s="59">
        <v>0</v>
      </c>
      <c r="AE65" s="59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72">
        <v>0</v>
      </c>
      <c r="M66" s="7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59">
        <v>0</v>
      </c>
      <c r="AC66" s="59">
        <v>0</v>
      </c>
      <c r="AD66" s="59">
        <v>0</v>
      </c>
      <c r="AE66" s="59">
        <v>0</v>
      </c>
      <c r="AF66" s="57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0">
        <v>0</v>
      </c>
      <c r="M67" s="50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59">
        <v>0</v>
      </c>
      <c r="AC67" s="59">
        <v>0</v>
      </c>
      <c r="AD67" s="59">
        <v>0</v>
      </c>
      <c r="AE67" s="59">
        <v>0</v>
      </c>
      <c r="AF67" s="57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418</v>
      </c>
      <c r="C68" s="71">
        <f>SUM(C57:C67)</f>
        <v>383.6</v>
      </c>
      <c r="D68" s="71">
        <f t="shared" ref="D68:AF68" si="8">SUM(D57:D67)</f>
        <v>373.7</v>
      </c>
      <c r="E68" s="71">
        <f t="shared" si="8"/>
        <v>351</v>
      </c>
      <c r="F68" s="71">
        <f t="shared" si="8"/>
        <v>344</v>
      </c>
      <c r="G68" s="71">
        <f t="shared" si="8"/>
        <v>382</v>
      </c>
      <c r="H68" s="71">
        <f t="shared" si="8"/>
        <v>381</v>
      </c>
      <c r="I68" s="71">
        <f t="shared" si="8"/>
        <v>408</v>
      </c>
      <c r="J68" s="71">
        <f t="shared" si="8"/>
        <v>517.4</v>
      </c>
      <c r="K68" s="71">
        <f t="shared" si="8"/>
        <v>549</v>
      </c>
      <c r="L68" s="71">
        <f t="shared" si="8"/>
        <v>526.29999999999995</v>
      </c>
      <c r="M68" s="71">
        <f t="shared" si="8"/>
        <v>323</v>
      </c>
      <c r="N68" s="71">
        <f t="shared" si="8"/>
        <v>300.2</v>
      </c>
      <c r="O68" s="71">
        <f t="shared" si="8"/>
        <v>228.8</v>
      </c>
      <c r="P68" s="71">
        <f t="shared" si="8"/>
        <v>570.79999999999995</v>
      </c>
      <c r="Q68" s="71">
        <f t="shared" si="8"/>
        <v>583.20000000000005</v>
      </c>
      <c r="R68" s="71">
        <f t="shared" si="8"/>
        <v>607.90000000000009</v>
      </c>
      <c r="S68" s="71">
        <f t="shared" si="8"/>
        <v>605.19999999999993</v>
      </c>
      <c r="T68" s="71">
        <f t="shared" si="8"/>
        <v>610.39999999999986</v>
      </c>
      <c r="U68" s="71">
        <f t="shared" si="8"/>
        <v>640.69999999999993</v>
      </c>
      <c r="V68" s="71">
        <f t="shared" si="8"/>
        <v>558.20000000000005</v>
      </c>
      <c r="W68" s="71">
        <f t="shared" si="8"/>
        <v>563.4</v>
      </c>
      <c r="X68" s="71">
        <f t="shared" si="8"/>
        <v>501.9</v>
      </c>
      <c r="Y68" s="71">
        <f t="shared" si="8"/>
        <v>436.9</v>
      </c>
      <c r="Z68" s="71">
        <f t="shared" si="8"/>
        <v>420</v>
      </c>
      <c r="AA68" s="71">
        <f t="shared" si="8"/>
        <v>409.80000000000007</v>
      </c>
      <c r="AB68" s="71">
        <f t="shared" si="8"/>
        <v>531.6</v>
      </c>
      <c r="AC68" s="71">
        <f t="shared" si="8"/>
        <v>535.9</v>
      </c>
      <c r="AD68" s="71">
        <f t="shared" si="8"/>
        <v>537.20000000000005</v>
      </c>
      <c r="AE68" s="71">
        <f t="shared" si="8"/>
        <v>480.3</v>
      </c>
      <c r="AF68" s="71">
        <f t="shared" si="8"/>
        <v>396</v>
      </c>
      <c r="AG68" s="76">
        <f>SUM(AG57:AG67)</f>
        <v>0</v>
      </c>
      <c r="AH68" s="53">
        <f t="shared" si="2"/>
        <v>640.69999999999993</v>
      </c>
      <c r="AI68" s="54">
        <f t="shared" si="3"/>
        <v>228.8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958.1400000000001</v>
      </c>
      <c r="C73" s="88">
        <f>C68+C56+C52+C38+C72</f>
        <v>930.24</v>
      </c>
      <c r="D73" s="88">
        <f t="shared" ref="D73:AG73" si="10">D68+D56+D52+D38+D72</f>
        <v>906.54</v>
      </c>
      <c r="E73" s="88">
        <f t="shared" si="10"/>
        <v>897.33999999999992</v>
      </c>
      <c r="F73" s="88">
        <f t="shared" si="10"/>
        <v>910.14</v>
      </c>
      <c r="G73" s="88">
        <f t="shared" si="10"/>
        <v>941.54</v>
      </c>
      <c r="H73" s="88">
        <f t="shared" si="10"/>
        <v>1005.24</v>
      </c>
      <c r="I73" s="88">
        <f t="shared" si="10"/>
        <v>1062.74</v>
      </c>
      <c r="J73" s="88">
        <f t="shared" si="10"/>
        <v>1201.1399999999999</v>
      </c>
      <c r="K73" s="88">
        <f t="shared" si="10"/>
        <v>1335.1399999999999</v>
      </c>
      <c r="L73" s="88">
        <f t="shared" si="10"/>
        <v>1455.2399999999998</v>
      </c>
      <c r="M73" s="88">
        <f t="shared" si="10"/>
        <v>1574.8400000000001</v>
      </c>
      <c r="N73" s="88">
        <f t="shared" si="10"/>
        <v>1598.3400000000001</v>
      </c>
      <c r="O73" s="88">
        <f t="shared" si="10"/>
        <v>1578.7400000000002</v>
      </c>
      <c r="P73" s="88">
        <f t="shared" si="10"/>
        <v>1495.6399999999999</v>
      </c>
      <c r="Q73" s="88">
        <f t="shared" si="10"/>
        <v>1429.44</v>
      </c>
      <c r="R73" s="88">
        <f t="shared" si="10"/>
        <v>1366.24</v>
      </c>
      <c r="S73" s="88">
        <f t="shared" si="10"/>
        <v>1347.44</v>
      </c>
      <c r="T73" s="88">
        <f t="shared" si="10"/>
        <v>1321.3399999999997</v>
      </c>
      <c r="U73" s="88">
        <f t="shared" si="10"/>
        <v>1356.7399999999998</v>
      </c>
      <c r="V73" s="88">
        <f t="shared" si="10"/>
        <v>1353.54</v>
      </c>
      <c r="W73" s="88">
        <f t="shared" si="10"/>
        <v>1502.34</v>
      </c>
      <c r="X73" s="88">
        <f t="shared" si="10"/>
        <v>1595.84</v>
      </c>
      <c r="Y73" s="88">
        <f t="shared" si="10"/>
        <v>1668.24</v>
      </c>
      <c r="Z73" s="88">
        <f t="shared" si="10"/>
        <v>1648.04</v>
      </c>
      <c r="AA73" s="88">
        <f t="shared" si="10"/>
        <v>1595.54</v>
      </c>
      <c r="AB73" s="88">
        <f t="shared" si="10"/>
        <v>1584.7400000000002</v>
      </c>
      <c r="AC73" s="88">
        <f t="shared" si="10"/>
        <v>1525.14</v>
      </c>
      <c r="AD73" s="88">
        <f t="shared" si="10"/>
        <v>1415.5400000000002</v>
      </c>
      <c r="AE73" s="88">
        <f t="shared" si="10"/>
        <v>1189.44</v>
      </c>
      <c r="AF73" s="88">
        <f t="shared" si="10"/>
        <v>1059.04</v>
      </c>
      <c r="AG73" s="88">
        <f t="shared" si="10"/>
        <v>2144.14</v>
      </c>
      <c r="AH73" s="53">
        <f t="shared" si="2"/>
        <v>1668.24</v>
      </c>
      <c r="AI73" s="54">
        <f t="shared" si="3"/>
        <v>897.33999999999992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>
        <v>35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35</v>
      </c>
      <c r="AI74" s="54">
        <f t="shared" si="3"/>
        <v>35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958.1400000000001</v>
      </c>
      <c r="C75" s="88">
        <f>C73+C74</f>
        <v>930.24</v>
      </c>
      <c r="D75" s="88">
        <f t="shared" ref="D75:AF75" si="11">D72+D68+D56+D52+D38+D74</f>
        <v>906.54</v>
      </c>
      <c r="E75" s="88">
        <f t="shared" si="11"/>
        <v>897.33999999999992</v>
      </c>
      <c r="F75" s="88">
        <f t="shared" si="11"/>
        <v>910.14</v>
      </c>
      <c r="G75" s="88">
        <f t="shared" si="11"/>
        <v>941.54</v>
      </c>
      <c r="H75" s="88">
        <f t="shared" si="11"/>
        <v>1005.24</v>
      </c>
      <c r="I75" s="88">
        <f t="shared" si="11"/>
        <v>1062.74</v>
      </c>
      <c r="J75" s="88">
        <f t="shared" si="11"/>
        <v>1201.1399999999999</v>
      </c>
      <c r="K75" s="88">
        <f t="shared" si="11"/>
        <v>1335.1399999999999</v>
      </c>
      <c r="L75" s="88">
        <f t="shared" si="11"/>
        <v>1455.2399999999998</v>
      </c>
      <c r="M75" s="88">
        <f t="shared" si="11"/>
        <v>1574.8400000000001</v>
      </c>
      <c r="N75" s="88">
        <f t="shared" si="11"/>
        <v>1598.3400000000001</v>
      </c>
      <c r="O75" s="88">
        <f t="shared" si="11"/>
        <v>1578.7400000000002</v>
      </c>
      <c r="P75" s="88">
        <f t="shared" si="11"/>
        <v>1495.6399999999999</v>
      </c>
      <c r="Q75" s="88">
        <f t="shared" si="11"/>
        <v>1429.44</v>
      </c>
      <c r="R75" s="88">
        <f t="shared" si="11"/>
        <v>1366.24</v>
      </c>
      <c r="S75" s="88">
        <f t="shared" si="11"/>
        <v>1347.44</v>
      </c>
      <c r="T75" s="88">
        <f t="shared" si="11"/>
        <v>1321.3399999999997</v>
      </c>
      <c r="U75" s="88">
        <f t="shared" si="11"/>
        <v>1356.7399999999998</v>
      </c>
      <c r="V75" s="88">
        <f t="shared" si="11"/>
        <v>1353.54</v>
      </c>
      <c r="W75" s="88">
        <f t="shared" si="11"/>
        <v>1502.34</v>
      </c>
      <c r="X75" s="88">
        <f t="shared" si="11"/>
        <v>1595.84</v>
      </c>
      <c r="Y75" s="88">
        <f t="shared" si="11"/>
        <v>1703.24</v>
      </c>
      <c r="Z75" s="88">
        <f t="shared" si="11"/>
        <v>1648.04</v>
      </c>
      <c r="AA75" s="88">
        <f t="shared" si="11"/>
        <v>1595.54</v>
      </c>
      <c r="AB75" s="88">
        <f t="shared" si="11"/>
        <v>1584.7400000000002</v>
      </c>
      <c r="AC75" s="88">
        <f t="shared" si="11"/>
        <v>1525.14</v>
      </c>
      <c r="AD75" s="88">
        <f t="shared" si="11"/>
        <v>1415.5400000000002</v>
      </c>
      <c r="AE75" s="88">
        <f t="shared" si="11"/>
        <v>1189.44</v>
      </c>
      <c r="AF75" s="88">
        <f t="shared" si="11"/>
        <v>1059.04</v>
      </c>
      <c r="AG75" s="76">
        <f>AG72+AG68+AG56+AG52+AG38+AG74</f>
        <v>2144.14</v>
      </c>
      <c r="AH75" s="53">
        <f t="shared" si="2"/>
        <v>1703.24</v>
      </c>
      <c r="AI75" s="54">
        <f t="shared" si="3"/>
        <v>897.33999999999992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1916.2800000000002</v>
      </c>
      <c r="C83" s="71">
        <f t="shared" ref="C83:AG83" si="20">SUM(C70:C82)</f>
        <v>1860.48</v>
      </c>
      <c r="D83" s="71">
        <f t="shared" si="20"/>
        <v>1813.08</v>
      </c>
      <c r="E83" s="71">
        <f t="shared" si="20"/>
        <v>1794.6799999999998</v>
      </c>
      <c r="F83" s="71">
        <f t="shared" si="20"/>
        <v>1820.28</v>
      </c>
      <c r="G83" s="71">
        <f t="shared" si="20"/>
        <v>1883.08</v>
      </c>
      <c r="H83" s="71">
        <f t="shared" si="20"/>
        <v>2010.48</v>
      </c>
      <c r="I83" s="71">
        <f t="shared" si="20"/>
        <v>2125.48</v>
      </c>
      <c r="J83" s="71">
        <f t="shared" si="20"/>
        <v>2402.2799999999997</v>
      </c>
      <c r="K83" s="71">
        <f t="shared" si="20"/>
        <v>2670.2799999999997</v>
      </c>
      <c r="L83" s="71">
        <f t="shared" si="20"/>
        <v>2910.4799999999996</v>
      </c>
      <c r="M83" s="71">
        <f t="shared" si="20"/>
        <v>3149.6800000000003</v>
      </c>
      <c r="N83" s="71">
        <f t="shared" si="20"/>
        <v>3196.6800000000003</v>
      </c>
      <c r="O83" s="71">
        <f t="shared" si="20"/>
        <v>3157.4800000000005</v>
      </c>
      <c r="P83" s="71">
        <f t="shared" si="20"/>
        <v>2991.2799999999997</v>
      </c>
      <c r="Q83" s="71">
        <f t="shared" si="20"/>
        <v>2858.88</v>
      </c>
      <c r="R83" s="71">
        <f t="shared" si="20"/>
        <v>2732.48</v>
      </c>
      <c r="S83" s="71">
        <f t="shared" si="20"/>
        <v>2694.88</v>
      </c>
      <c r="T83" s="71">
        <f t="shared" si="20"/>
        <v>2642.6799999999994</v>
      </c>
      <c r="U83" s="71">
        <f t="shared" si="20"/>
        <v>2713.4799999999996</v>
      </c>
      <c r="V83" s="71">
        <f t="shared" si="20"/>
        <v>2707.08</v>
      </c>
      <c r="W83" s="71">
        <f t="shared" si="20"/>
        <v>3004.68</v>
      </c>
      <c r="X83" s="71">
        <f t="shared" si="20"/>
        <v>3191.68</v>
      </c>
      <c r="Y83" s="71">
        <f t="shared" si="20"/>
        <v>3406.48</v>
      </c>
      <c r="Z83" s="71">
        <f t="shared" si="20"/>
        <v>3296.08</v>
      </c>
      <c r="AA83" s="71">
        <f t="shared" si="20"/>
        <v>3191.08</v>
      </c>
      <c r="AB83" s="71">
        <f t="shared" si="20"/>
        <v>3169.4800000000005</v>
      </c>
      <c r="AC83" s="71">
        <f t="shared" si="20"/>
        <v>3050.28</v>
      </c>
      <c r="AD83" s="71">
        <f t="shared" si="20"/>
        <v>2831.0800000000004</v>
      </c>
      <c r="AE83" s="71">
        <f t="shared" si="20"/>
        <v>2378.88</v>
      </c>
      <c r="AF83" s="71">
        <f t="shared" si="20"/>
        <v>2118.08</v>
      </c>
      <c r="AG83" s="76">
        <f t="shared" si="20"/>
        <v>4360.08</v>
      </c>
      <c r="AH83" s="53">
        <f t="shared" si="13"/>
        <v>3406.48</v>
      </c>
      <c r="AI83" s="54">
        <f t="shared" si="14"/>
        <v>1794.6799999999998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50.036999999999999</v>
      </c>
      <c r="C84" s="95">
        <v>49.999000000000002</v>
      </c>
      <c r="D84" s="95">
        <v>49.957000000000001</v>
      </c>
      <c r="E84" s="95">
        <v>50</v>
      </c>
      <c r="F84" s="95">
        <v>49.988</v>
      </c>
      <c r="G84" s="95">
        <v>49.92</v>
      </c>
      <c r="H84" s="95">
        <v>49.83</v>
      </c>
      <c r="I84" s="95">
        <v>49.994</v>
      </c>
      <c r="J84" s="95">
        <v>50</v>
      </c>
      <c r="K84" s="95">
        <v>50</v>
      </c>
      <c r="L84" s="95">
        <v>49.97</v>
      </c>
      <c r="M84" s="95">
        <v>50.093000000000004</v>
      </c>
      <c r="N84" s="95">
        <v>49.96</v>
      </c>
      <c r="O84" s="95">
        <v>49.95</v>
      </c>
      <c r="P84" s="95">
        <v>50.07</v>
      </c>
      <c r="Q84" s="95">
        <v>49.94</v>
      </c>
      <c r="R84" s="95">
        <v>50</v>
      </c>
      <c r="S84" s="95">
        <v>50.03</v>
      </c>
      <c r="T84" s="95">
        <v>49.899000000000001</v>
      </c>
      <c r="U84" s="95">
        <v>50.076000000000001</v>
      </c>
      <c r="V84" s="95">
        <v>49.976999999999997</v>
      </c>
      <c r="W84" s="95">
        <v>50.06</v>
      </c>
      <c r="X84" s="95">
        <v>49.926000000000002</v>
      </c>
      <c r="Y84" s="95">
        <v>50.057000000000002</v>
      </c>
      <c r="Z84" s="95">
        <v>49.970999999999997</v>
      </c>
      <c r="AA84" s="95">
        <v>50.069000000000003</v>
      </c>
      <c r="AB84" s="95">
        <v>50.076999999999998</v>
      </c>
      <c r="AC84" s="95">
        <v>50.045999999999999</v>
      </c>
      <c r="AD84" s="95">
        <v>49.954999999999998</v>
      </c>
      <c r="AE84" s="95">
        <v>49.976999999999997</v>
      </c>
      <c r="AF84" s="95">
        <v>50.040999999999997</v>
      </c>
      <c r="AG84" s="96"/>
      <c r="AH84" s="53">
        <f t="shared" si="13"/>
        <v>50.093000000000004</v>
      </c>
      <c r="AI84" s="54">
        <f t="shared" si="14"/>
        <v>49.83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125.4</v>
      </c>
      <c r="C85" s="72">
        <v>124.8</v>
      </c>
      <c r="D85" s="72">
        <v>125.4</v>
      </c>
      <c r="E85" s="72">
        <v>126</v>
      </c>
      <c r="F85" s="72">
        <v>125</v>
      </c>
      <c r="G85" s="72">
        <v>125</v>
      </c>
      <c r="H85" s="72">
        <v>125</v>
      </c>
      <c r="I85" s="72">
        <v>124</v>
      </c>
      <c r="J85" s="72">
        <v>124</v>
      </c>
      <c r="K85" s="72">
        <v>124</v>
      </c>
      <c r="L85" s="72">
        <v>122.8</v>
      </c>
      <c r="M85" s="72">
        <v>123.7</v>
      </c>
      <c r="N85" s="72">
        <v>123.8</v>
      </c>
      <c r="O85" s="72">
        <v>122.4</v>
      </c>
      <c r="P85" s="72">
        <v>123.2</v>
      </c>
      <c r="Q85" s="72">
        <v>124.4</v>
      </c>
      <c r="R85" s="72">
        <v>126.1</v>
      </c>
      <c r="S85" s="72">
        <v>125.8</v>
      </c>
      <c r="T85" s="72">
        <v>126.1</v>
      </c>
      <c r="U85" s="72">
        <v>123.6</v>
      </c>
      <c r="V85" s="99">
        <v>125.9</v>
      </c>
      <c r="W85" s="99">
        <v>125.1</v>
      </c>
      <c r="X85" s="99">
        <v>125.1</v>
      </c>
      <c r="Y85" s="99">
        <v>124.9</v>
      </c>
      <c r="Z85" s="99">
        <v>123.4</v>
      </c>
      <c r="AA85" s="99">
        <v>123.4</v>
      </c>
      <c r="AB85" s="72">
        <v>125.3</v>
      </c>
      <c r="AC85" s="72">
        <v>126</v>
      </c>
      <c r="AD85" s="72">
        <v>125.8</v>
      </c>
      <c r="AE85" s="72">
        <v>126.2</v>
      </c>
      <c r="AF85" s="72">
        <v>125</v>
      </c>
      <c r="AG85" s="100"/>
      <c r="AH85" s="53">
        <f t="shared" si="13"/>
        <v>126.2</v>
      </c>
      <c r="AI85" s="54">
        <f t="shared" si="14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129.19999999999999</v>
      </c>
      <c r="C86" s="72">
        <v>128.9</v>
      </c>
      <c r="D86" s="72">
        <v>129.4</v>
      </c>
      <c r="E86" s="72">
        <v>130</v>
      </c>
      <c r="F86" s="72">
        <v>130</v>
      </c>
      <c r="G86" s="72">
        <v>130</v>
      </c>
      <c r="H86" s="72">
        <v>129</v>
      </c>
      <c r="I86" s="72">
        <v>128</v>
      </c>
      <c r="J86" s="72">
        <v>128</v>
      </c>
      <c r="K86" s="72">
        <v>127</v>
      </c>
      <c r="L86" s="72">
        <v>125.1</v>
      </c>
      <c r="M86" s="72">
        <v>125.8</v>
      </c>
      <c r="N86" s="72">
        <v>126</v>
      </c>
      <c r="O86" s="72">
        <v>124.2</v>
      </c>
      <c r="P86" s="72">
        <v>125.3</v>
      </c>
      <c r="Q86" s="72">
        <v>126</v>
      </c>
      <c r="R86" s="72">
        <v>128.30000000000001</v>
      </c>
      <c r="S86" s="72">
        <v>128.5</v>
      </c>
      <c r="T86" s="72">
        <v>128.5</v>
      </c>
      <c r="U86" s="72">
        <v>126.7</v>
      </c>
      <c r="V86" s="99">
        <v>128.80000000000001</v>
      </c>
      <c r="W86" s="99">
        <v>127.1</v>
      </c>
      <c r="X86" s="99">
        <v>127.1</v>
      </c>
      <c r="Y86" s="99">
        <v>126.6</v>
      </c>
      <c r="Z86" s="99">
        <v>125.3</v>
      </c>
      <c r="AA86" s="99">
        <v>125.3</v>
      </c>
      <c r="AB86" s="72">
        <v>127.3</v>
      </c>
      <c r="AC86" s="72">
        <v>122.4</v>
      </c>
      <c r="AD86" s="72">
        <v>128.19999999999999</v>
      </c>
      <c r="AE86" s="72">
        <v>128.80000000000001</v>
      </c>
      <c r="AF86" s="72">
        <v>129.1</v>
      </c>
      <c r="AG86" s="100"/>
      <c r="AH86" s="53">
        <f t="shared" si="13"/>
        <v>130</v>
      </c>
      <c r="AI86" s="54">
        <f t="shared" si="14"/>
        <v>122.4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129.19999999999999</v>
      </c>
      <c r="C87" s="72">
        <v>130.69999999999999</v>
      </c>
      <c r="D87" s="72">
        <v>128.9</v>
      </c>
      <c r="E87" s="72">
        <v>132</v>
      </c>
      <c r="F87" s="72">
        <v>132</v>
      </c>
      <c r="G87" s="72">
        <v>131.69999999999999</v>
      </c>
      <c r="H87" s="72">
        <v>130.6</v>
      </c>
      <c r="I87" s="72">
        <v>129.6</v>
      </c>
      <c r="J87" s="72">
        <v>129.6</v>
      </c>
      <c r="K87" s="72">
        <v>129</v>
      </c>
      <c r="L87" s="72">
        <v>129</v>
      </c>
      <c r="M87" s="72">
        <v>128.6</v>
      </c>
      <c r="N87" s="72">
        <v>128.80000000000001</v>
      </c>
      <c r="O87" s="72">
        <v>127.7</v>
      </c>
      <c r="P87" s="72">
        <v>130.69999999999999</v>
      </c>
      <c r="Q87" s="72">
        <v>129</v>
      </c>
      <c r="R87" s="72">
        <v>130.30000000000001</v>
      </c>
      <c r="S87" s="72">
        <v>130.9</v>
      </c>
      <c r="T87" s="72">
        <v>129.80000000000001</v>
      </c>
      <c r="U87" s="72">
        <v>129.30000000000001</v>
      </c>
      <c r="V87" s="72">
        <v>126</v>
      </c>
      <c r="W87" s="72">
        <v>127.3</v>
      </c>
      <c r="X87" s="72">
        <v>127.3</v>
      </c>
      <c r="Y87" s="99">
        <v>127.8</v>
      </c>
      <c r="Z87" s="99">
        <v>127.9</v>
      </c>
      <c r="AA87" s="99">
        <v>127.9</v>
      </c>
      <c r="AB87" s="72">
        <v>133.1</v>
      </c>
      <c r="AC87" s="72">
        <v>132.9</v>
      </c>
      <c r="AD87" s="72">
        <v>129.30000000000001</v>
      </c>
      <c r="AE87" s="72">
        <v>132</v>
      </c>
      <c r="AF87" s="72">
        <v>130.5</v>
      </c>
      <c r="AG87" s="100"/>
      <c r="AH87" s="53">
        <f t="shared" si="13"/>
        <v>133.1</v>
      </c>
      <c r="AI87" s="54">
        <f t="shared" si="14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133.6</v>
      </c>
      <c r="C88" s="72">
        <v>134.5</v>
      </c>
      <c r="D88" s="72">
        <v>131.4</v>
      </c>
      <c r="E88" s="72">
        <v>132</v>
      </c>
      <c r="F88" s="72">
        <v>132</v>
      </c>
      <c r="G88" s="72">
        <v>133</v>
      </c>
      <c r="H88" s="72">
        <v>132</v>
      </c>
      <c r="I88" s="72">
        <v>130.69999999999999</v>
      </c>
      <c r="J88" s="72">
        <v>130.69999999999999</v>
      </c>
      <c r="K88" s="72">
        <v>130</v>
      </c>
      <c r="L88" s="72">
        <v>131.4</v>
      </c>
      <c r="M88" s="72">
        <v>132.9</v>
      </c>
      <c r="N88" s="72">
        <v>130.5</v>
      </c>
      <c r="O88" s="72">
        <v>131.4</v>
      </c>
      <c r="P88" s="72">
        <v>134.19999999999999</v>
      </c>
      <c r="Q88" s="72">
        <v>134.5</v>
      </c>
      <c r="R88" s="72">
        <v>134.1</v>
      </c>
      <c r="S88" s="72">
        <v>134.6</v>
      </c>
      <c r="T88" s="72">
        <v>133.4</v>
      </c>
      <c r="U88" s="72">
        <v>132.4</v>
      </c>
      <c r="V88" s="72">
        <v>131.4</v>
      </c>
      <c r="W88" s="72">
        <v>130</v>
      </c>
      <c r="X88" s="72">
        <v>130</v>
      </c>
      <c r="Y88" s="99">
        <v>132.1</v>
      </c>
      <c r="Z88" s="99">
        <v>131.19999999999999</v>
      </c>
      <c r="AA88" s="99">
        <v>131.19999999999999</v>
      </c>
      <c r="AB88" s="72">
        <v>136.5</v>
      </c>
      <c r="AC88" s="72">
        <v>136.69999999999999</v>
      </c>
      <c r="AD88" s="72">
        <v>131.9</v>
      </c>
      <c r="AE88" s="72">
        <v>134.80000000000001</v>
      </c>
      <c r="AF88" s="72">
        <v>133.6</v>
      </c>
      <c r="AG88" s="100"/>
      <c r="AH88" s="53">
        <f t="shared" si="13"/>
        <v>136.69999999999999</v>
      </c>
      <c r="AI88" s="54">
        <f t="shared" si="14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127.7</v>
      </c>
      <c r="C89" s="103">
        <v>123.6</v>
      </c>
      <c r="D89" s="103">
        <v>129.19999999999999</v>
      </c>
      <c r="E89" s="103">
        <v>130.6</v>
      </c>
      <c r="F89" s="103">
        <v>130.6</v>
      </c>
      <c r="G89" s="103">
        <v>131</v>
      </c>
      <c r="H89" s="103">
        <v>132.6</v>
      </c>
      <c r="I89" s="103">
        <v>130.69999999999999</v>
      </c>
      <c r="J89" s="103">
        <v>130.69999999999999</v>
      </c>
      <c r="K89" s="103">
        <v>132</v>
      </c>
      <c r="L89" s="103">
        <v>131.4</v>
      </c>
      <c r="M89" s="103">
        <v>131.1</v>
      </c>
      <c r="N89" s="103">
        <v>132.4</v>
      </c>
      <c r="O89" s="103">
        <v>133.80000000000001</v>
      </c>
      <c r="P89" s="103">
        <v>134.6</v>
      </c>
      <c r="Q89" s="103">
        <v>132.6</v>
      </c>
      <c r="R89" s="103">
        <v>132.6</v>
      </c>
      <c r="S89" s="103">
        <v>134</v>
      </c>
      <c r="T89" s="103">
        <v>132.80000000000001</v>
      </c>
      <c r="U89" s="103">
        <v>131.19999999999999</v>
      </c>
      <c r="V89" s="103">
        <v>134.5</v>
      </c>
      <c r="W89" s="103">
        <v>134.30000000000001</v>
      </c>
      <c r="X89" s="103">
        <v>134.30000000000001</v>
      </c>
      <c r="Y89" s="99">
        <v>135.19999999999999</v>
      </c>
      <c r="Z89" s="99">
        <v>132.69999999999999</v>
      </c>
      <c r="AA89" s="99">
        <v>131.69999999999999</v>
      </c>
      <c r="AB89" s="103">
        <v>133.6</v>
      </c>
      <c r="AC89" s="103">
        <v>134.9</v>
      </c>
      <c r="AD89" s="103">
        <v>135.1</v>
      </c>
      <c r="AE89" s="103">
        <v>128.19999999999999</v>
      </c>
      <c r="AF89" s="103">
        <v>128.69999999999999</v>
      </c>
      <c r="AG89" s="104"/>
      <c r="AH89" s="53">
        <f t="shared" si="13"/>
        <v>135.19999999999999</v>
      </c>
      <c r="AI89" s="54">
        <f t="shared" si="14"/>
        <v>123.6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135.9</v>
      </c>
      <c r="C90" s="72">
        <v>138.4</v>
      </c>
      <c r="D90" s="72">
        <v>135.5</v>
      </c>
      <c r="E90" s="72">
        <v>136</v>
      </c>
      <c r="F90" s="72">
        <v>136</v>
      </c>
      <c r="G90" s="72">
        <v>135</v>
      </c>
      <c r="H90" s="72">
        <v>133</v>
      </c>
      <c r="I90" s="72">
        <v>135.80000000000001</v>
      </c>
      <c r="J90" s="72">
        <v>135.80000000000001</v>
      </c>
      <c r="K90" s="72">
        <v>130</v>
      </c>
      <c r="L90" s="72">
        <v>129.4</v>
      </c>
      <c r="M90" s="72">
        <v>130.30000000000001</v>
      </c>
      <c r="N90" s="72">
        <v>130.4</v>
      </c>
      <c r="O90" s="72">
        <v>129.19999999999999</v>
      </c>
      <c r="P90" s="72">
        <v>130.69999999999999</v>
      </c>
      <c r="Q90" s="72">
        <v>133.30000000000001</v>
      </c>
      <c r="R90" s="72">
        <v>134.69999999999999</v>
      </c>
      <c r="S90" s="72">
        <v>128.69999999999999</v>
      </c>
      <c r="T90" s="72">
        <v>128.30000000000001</v>
      </c>
      <c r="U90" s="72">
        <v>133</v>
      </c>
      <c r="V90" s="72">
        <v>134.19999999999999</v>
      </c>
      <c r="W90" s="72">
        <v>131.19999999999999</v>
      </c>
      <c r="X90" s="72">
        <v>131.19999999999999</v>
      </c>
      <c r="Y90" s="99">
        <v>132</v>
      </c>
      <c r="Z90" s="99">
        <v>135.19999999999999</v>
      </c>
      <c r="AA90" s="99">
        <v>131.19999999999999</v>
      </c>
      <c r="AB90" s="72">
        <v>129.9</v>
      </c>
      <c r="AC90" s="72">
        <v>131</v>
      </c>
      <c r="AD90" s="72">
        <v>134.4</v>
      </c>
      <c r="AE90" s="72">
        <v>133.5</v>
      </c>
      <c r="AF90" s="72">
        <v>136</v>
      </c>
      <c r="AG90" s="100"/>
      <c r="AH90" s="53">
        <f t="shared" si="13"/>
        <v>138.4</v>
      </c>
      <c r="AI90" s="54">
        <f t="shared" si="14"/>
        <v>128.30000000000001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215.73999999999995</v>
      </c>
      <c r="C93" s="113">
        <f>SUM(C15,C18,C21:C22,C42,C44:C45,C47,C49,C94:C97,C102,C108,C114,C123,C125,C137,C144,C147:C148,C155,C157,C159,C163:C165,C167:C169,C174,C180:C181,C183:C185,C193,C198)</f>
        <v>197.03999999999996</v>
      </c>
      <c r="D93" s="113">
        <f t="shared" ref="D93:AF93" si="21">SUM(D15,D18,D21:D22,D42,D44:D45,D47,D49,D94:D97,D102,D108,D114,D123,D125,D137,D144,D147:D148,D155,D157,D159,D163:D165,D167:D169,D174,D180:D181,D183:D185,D193,D198)</f>
        <v>190.23999999999998</v>
      </c>
      <c r="E93" s="113">
        <f t="shared" si="21"/>
        <v>186.73999999999998</v>
      </c>
      <c r="F93" s="113">
        <f t="shared" si="21"/>
        <v>190.43999999999994</v>
      </c>
      <c r="G93" s="112">
        <f t="shared" si="21"/>
        <v>209.43999999999994</v>
      </c>
      <c r="H93" s="112">
        <f t="shared" si="21"/>
        <v>229.83999999999997</v>
      </c>
      <c r="I93" s="112">
        <f t="shared" si="21"/>
        <v>258.34000000000009</v>
      </c>
      <c r="J93" s="112">
        <f t="shared" si="21"/>
        <v>287.54000000000002</v>
      </c>
      <c r="K93" s="112">
        <f t="shared" si="21"/>
        <v>373.84000000000003</v>
      </c>
      <c r="L93" s="112">
        <f t="shared" si="21"/>
        <v>426.14</v>
      </c>
      <c r="M93" s="112">
        <f t="shared" si="21"/>
        <v>461.74</v>
      </c>
      <c r="N93" s="112">
        <f t="shared" si="21"/>
        <v>480.74</v>
      </c>
      <c r="O93" s="112">
        <f t="shared" si="21"/>
        <v>503.44000000000005</v>
      </c>
      <c r="P93" s="112">
        <f t="shared" si="21"/>
        <v>498.74000000000007</v>
      </c>
      <c r="Q93" s="112">
        <f t="shared" si="21"/>
        <v>481.44000000000005</v>
      </c>
      <c r="R93" s="112">
        <f t="shared" si="21"/>
        <v>447.14000000000004</v>
      </c>
      <c r="S93" s="112">
        <f t="shared" si="21"/>
        <v>425.14</v>
      </c>
      <c r="T93" s="112">
        <f t="shared" si="21"/>
        <v>390.64000000000004</v>
      </c>
      <c r="U93" s="112">
        <f t="shared" si="21"/>
        <v>404.54</v>
      </c>
      <c r="V93" s="112">
        <f t="shared" si="21"/>
        <v>435.44000000000005</v>
      </c>
      <c r="W93" s="112">
        <f t="shared" si="21"/>
        <v>463.94000000000005</v>
      </c>
      <c r="X93" s="112">
        <f t="shared" si="21"/>
        <v>504.84000000000003</v>
      </c>
      <c r="Y93" s="112">
        <f t="shared" si="21"/>
        <v>536.34</v>
      </c>
      <c r="Z93" s="112">
        <f t="shared" si="21"/>
        <v>522.14</v>
      </c>
      <c r="AA93" s="112">
        <f t="shared" si="21"/>
        <v>504.34000000000003</v>
      </c>
      <c r="AB93" s="112">
        <f t="shared" si="21"/>
        <v>494.04000000000008</v>
      </c>
      <c r="AC93" s="112">
        <f t="shared" si="21"/>
        <v>474.24</v>
      </c>
      <c r="AD93" s="112">
        <f t="shared" si="21"/>
        <v>431.1400000000001</v>
      </c>
      <c r="AE93" s="112">
        <f t="shared" si="21"/>
        <v>328.64000000000004</v>
      </c>
      <c r="AF93" s="112">
        <f t="shared" si="21"/>
        <v>207.94</v>
      </c>
      <c r="AG93" s="114"/>
      <c r="AH93" s="53">
        <f>MAX(C93:AF93)</f>
        <v>536.34</v>
      </c>
      <c r="AI93" s="54">
        <f>MIN(C93:AF93)</f>
        <v>186.73999999999998</v>
      </c>
    </row>
    <row r="94" spans="1:88" x14ac:dyDescent="0.25">
      <c r="A94" s="115" t="s">
        <v>98</v>
      </c>
      <c r="B94" s="116">
        <v>-29.5</v>
      </c>
      <c r="C94" s="57">
        <v>-40.4</v>
      </c>
      <c r="D94" s="57">
        <v>-34.299999999999997</v>
      </c>
      <c r="E94" s="57">
        <v>-32.6</v>
      </c>
      <c r="F94" s="57">
        <v>-20.9</v>
      </c>
      <c r="G94" s="117">
        <v>-9</v>
      </c>
      <c r="H94" s="117">
        <v>3.2</v>
      </c>
      <c r="I94" s="117">
        <v>3.4</v>
      </c>
      <c r="J94" s="117">
        <v>10</v>
      </c>
      <c r="K94" s="117">
        <v>41</v>
      </c>
      <c r="L94" s="117">
        <v>65.5</v>
      </c>
      <c r="M94" s="118">
        <v>45.4</v>
      </c>
      <c r="N94" s="117">
        <v>45.3</v>
      </c>
      <c r="O94" s="117">
        <v>49.5</v>
      </c>
      <c r="P94" s="117">
        <v>70.2</v>
      </c>
      <c r="Q94" s="117">
        <v>45.1</v>
      </c>
      <c r="R94" s="117">
        <v>20</v>
      </c>
      <c r="S94" s="117">
        <v>9.5</v>
      </c>
      <c r="T94" s="117">
        <v>7</v>
      </c>
      <c r="U94" s="118">
        <v>6.5</v>
      </c>
      <c r="V94" s="118">
        <v>4</v>
      </c>
      <c r="W94" s="118">
        <v>41.6</v>
      </c>
      <c r="X94" s="117">
        <v>49.7</v>
      </c>
      <c r="Y94" s="117">
        <v>63.8</v>
      </c>
      <c r="Z94" s="117">
        <v>57.9</v>
      </c>
      <c r="AA94" s="117">
        <v>48.9</v>
      </c>
      <c r="AB94" s="118">
        <v>55</v>
      </c>
      <c r="AC94" s="118">
        <v>62.8</v>
      </c>
      <c r="AD94" s="118">
        <v>55.5</v>
      </c>
      <c r="AE94" s="118">
        <v>21.2</v>
      </c>
      <c r="AF94" s="118">
        <v>6.9</v>
      </c>
      <c r="AG94" s="119">
        <v>75</v>
      </c>
      <c r="AH94" s="53">
        <f t="shared" ref="AH94:AH99" si="22">IF(ABS(MAX(C94:AF94))&gt;ABS(MIN(C94:AF94)),MAX(C94:AF94),MIN(C94:AF94))</f>
        <v>70.2</v>
      </c>
      <c r="AI94" s="120">
        <f t="shared" ref="AI94:AI99" si="23">INDEX($C$9:$AF$9,1,MATCH(AH94,C94:AF94,0))</f>
        <v>0.45833333333333298</v>
      </c>
    </row>
    <row r="95" spans="1:88" x14ac:dyDescent="0.25">
      <c r="A95" s="121" t="s">
        <v>99</v>
      </c>
      <c r="B95" s="122">
        <v>-26.2</v>
      </c>
      <c r="C95" s="59">
        <v>-32</v>
      </c>
      <c r="D95" s="59">
        <v>-35.4</v>
      </c>
      <c r="E95" s="59">
        <v>-36.299999999999997</v>
      </c>
      <c r="F95" s="59">
        <v>-37.6</v>
      </c>
      <c r="G95" s="59">
        <v>-32</v>
      </c>
      <c r="H95" s="59">
        <v>-27</v>
      </c>
      <c r="I95" s="59">
        <v>-16.8</v>
      </c>
      <c r="J95" s="59">
        <v>4</v>
      </c>
      <c r="K95" s="59">
        <v>31</v>
      </c>
      <c r="L95" s="59">
        <v>43.9</v>
      </c>
      <c r="M95" s="59">
        <v>66.099999999999994</v>
      </c>
      <c r="N95" s="59">
        <v>56.6</v>
      </c>
      <c r="O95" s="59">
        <v>76</v>
      </c>
      <c r="P95" s="59">
        <v>54</v>
      </c>
      <c r="Q95" s="59">
        <v>68</v>
      </c>
      <c r="R95" s="59">
        <v>58.7</v>
      </c>
      <c r="S95" s="59">
        <v>59</v>
      </c>
      <c r="T95" s="59">
        <v>40</v>
      </c>
      <c r="U95" s="59">
        <v>49</v>
      </c>
      <c r="V95" s="59">
        <v>70</v>
      </c>
      <c r="W95" s="59">
        <v>95.6</v>
      </c>
      <c r="X95" s="59">
        <v>100</v>
      </c>
      <c r="Y95" s="59">
        <v>108.2</v>
      </c>
      <c r="Z95" s="59">
        <v>103.5</v>
      </c>
      <c r="AA95" s="59">
        <v>101.2</v>
      </c>
      <c r="AB95" s="72">
        <v>95.3</v>
      </c>
      <c r="AC95" s="72">
        <v>78.7</v>
      </c>
      <c r="AD95" s="72">
        <v>58.5</v>
      </c>
      <c r="AE95" s="72">
        <v>42.4</v>
      </c>
      <c r="AF95" s="72">
        <v>-27.1</v>
      </c>
      <c r="AG95" s="119">
        <v>240</v>
      </c>
      <c r="AH95" s="53">
        <f t="shared" si="22"/>
        <v>108.2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0.2</v>
      </c>
      <c r="C96" s="59">
        <v>-1.1000000000000001</v>
      </c>
      <c r="D96" s="59">
        <v>-5.6</v>
      </c>
      <c r="E96" s="59">
        <v>-8</v>
      </c>
      <c r="F96" s="59">
        <v>-9.3000000000000007</v>
      </c>
      <c r="G96" s="59">
        <v>-8.6</v>
      </c>
      <c r="H96" s="59">
        <v>-6.8</v>
      </c>
      <c r="I96" s="59">
        <v>-0.8</v>
      </c>
      <c r="J96" s="59">
        <v>1</v>
      </c>
      <c r="K96" s="59">
        <v>16.399999999999999</v>
      </c>
      <c r="L96" s="59">
        <v>32.6</v>
      </c>
      <c r="M96" s="59">
        <v>56.3</v>
      </c>
      <c r="N96" s="59">
        <v>56.5</v>
      </c>
      <c r="O96" s="59">
        <v>61.8</v>
      </c>
      <c r="P96" s="59">
        <v>57.6</v>
      </c>
      <c r="Q96" s="59">
        <v>60.7</v>
      </c>
      <c r="R96" s="59">
        <v>56.6</v>
      </c>
      <c r="S96" s="59">
        <v>51.1</v>
      </c>
      <c r="T96" s="59">
        <v>57.1</v>
      </c>
      <c r="U96" s="59">
        <v>68.400000000000006</v>
      </c>
      <c r="V96" s="59">
        <v>73</v>
      </c>
      <c r="W96" s="59">
        <v>62.5</v>
      </c>
      <c r="X96" s="59">
        <v>65.599999999999994</v>
      </c>
      <c r="Y96" s="59">
        <v>67.3</v>
      </c>
      <c r="Z96" s="59">
        <v>66.3</v>
      </c>
      <c r="AA96" s="59">
        <v>66.3</v>
      </c>
      <c r="AB96" s="72">
        <v>66.3</v>
      </c>
      <c r="AC96" s="72">
        <v>64</v>
      </c>
      <c r="AD96" s="72">
        <v>34</v>
      </c>
      <c r="AE96" s="72">
        <v>11.4</v>
      </c>
      <c r="AF96" s="72">
        <v>2</v>
      </c>
      <c r="AG96" s="119">
        <v>60</v>
      </c>
      <c r="AH96" s="53">
        <f t="shared" si="22"/>
        <v>73</v>
      </c>
      <c r="AI96" s="120">
        <f t="shared" si="23"/>
        <v>0.70833333333333304</v>
      </c>
    </row>
    <row r="97" spans="1:37" x14ac:dyDescent="0.25">
      <c r="A97" s="123" t="s">
        <v>101</v>
      </c>
      <c r="B97" s="124">
        <v>95.1</v>
      </c>
      <c r="C97" s="62">
        <v>98.2</v>
      </c>
      <c r="D97" s="62">
        <v>93.2</v>
      </c>
      <c r="E97" s="62">
        <v>92.8</v>
      </c>
      <c r="F97" s="62">
        <v>91</v>
      </c>
      <c r="G97" s="62">
        <v>91.8</v>
      </c>
      <c r="H97" s="62">
        <v>90.6</v>
      </c>
      <c r="I97" s="62">
        <v>100.7</v>
      </c>
      <c r="J97" s="62">
        <v>100.7</v>
      </c>
      <c r="K97" s="62">
        <v>114</v>
      </c>
      <c r="L97" s="62">
        <v>112.6</v>
      </c>
      <c r="M97" s="62">
        <v>122.4</v>
      </c>
      <c r="N97" s="62">
        <v>152.5</v>
      </c>
      <c r="O97" s="62">
        <v>146.80000000000001</v>
      </c>
      <c r="P97" s="62">
        <v>147</v>
      </c>
      <c r="Q97" s="62">
        <v>137.30000000000001</v>
      </c>
      <c r="R97" s="62">
        <v>141</v>
      </c>
      <c r="S97" s="62">
        <v>134.69999999999999</v>
      </c>
      <c r="T97" s="62">
        <v>117.1</v>
      </c>
      <c r="U97" s="62">
        <v>111.2</v>
      </c>
      <c r="V97" s="62">
        <v>119</v>
      </c>
      <c r="W97" s="62">
        <v>96.1</v>
      </c>
      <c r="X97" s="62">
        <v>111.1</v>
      </c>
      <c r="Y97" s="62">
        <v>118.3</v>
      </c>
      <c r="Z97" s="62">
        <v>115.7</v>
      </c>
      <c r="AA97" s="62">
        <v>109.2</v>
      </c>
      <c r="AB97" s="125">
        <v>106.1</v>
      </c>
      <c r="AC97" s="125">
        <v>96.9</v>
      </c>
      <c r="AD97" s="125">
        <v>111.1</v>
      </c>
      <c r="AE97" s="125">
        <v>83</v>
      </c>
      <c r="AF97" s="125">
        <v>56.1</v>
      </c>
      <c r="AG97" s="126">
        <v>120</v>
      </c>
      <c r="AH97" s="53">
        <f t="shared" si="22"/>
        <v>152.5</v>
      </c>
      <c r="AI97" s="120">
        <f t="shared" si="23"/>
        <v>0.375</v>
      </c>
    </row>
    <row r="98" spans="1:37" x14ac:dyDescent="0.25">
      <c r="A98" s="123" t="s">
        <v>102</v>
      </c>
      <c r="B98" s="124">
        <v>96.8</v>
      </c>
      <c r="C98" s="62">
        <v>103</v>
      </c>
      <c r="D98" s="62">
        <v>96.6</v>
      </c>
      <c r="E98" s="62">
        <v>94.3</v>
      </c>
      <c r="F98" s="62">
        <v>93.4</v>
      </c>
      <c r="G98" s="62">
        <v>93.7</v>
      </c>
      <c r="H98" s="62">
        <v>90.5</v>
      </c>
      <c r="I98" s="62">
        <v>95.9</v>
      </c>
      <c r="J98" s="62">
        <v>95.9</v>
      </c>
      <c r="K98" s="62">
        <v>86</v>
      </c>
      <c r="L98" s="62">
        <v>79.599999999999994</v>
      </c>
      <c r="M98" s="62">
        <v>93.2</v>
      </c>
      <c r="N98" s="62">
        <v>89.7</v>
      </c>
      <c r="O98" s="62">
        <v>98</v>
      </c>
      <c r="P98" s="62">
        <v>73.900000000000006</v>
      </c>
      <c r="Q98" s="62">
        <v>85.9</v>
      </c>
      <c r="R98" s="62">
        <v>92.2</v>
      </c>
      <c r="S98" s="62">
        <v>99</v>
      </c>
      <c r="T98" s="62">
        <v>94.5</v>
      </c>
      <c r="U98" s="62">
        <v>102.6</v>
      </c>
      <c r="V98" s="62">
        <v>116</v>
      </c>
      <c r="W98" s="62">
        <v>111.2</v>
      </c>
      <c r="X98" s="62">
        <v>112.7</v>
      </c>
      <c r="Y98" s="62">
        <v>111.7</v>
      </c>
      <c r="Z98" s="62">
        <v>104.1</v>
      </c>
      <c r="AA98" s="62">
        <v>105.3</v>
      </c>
      <c r="AB98" s="125">
        <v>104</v>
      </c>
      <c r="AC98" s="125">
        <v>85.7</v>
      </c>
      <c r="AD98" s="125">
        <v>79.099999999999994</v>
      </c>
      <c r="AE98" s="125">
        <v>96.2</v>
      </c>
      <c r="AF98" s="125">
        <v>96.2</v>
      </c>
      <c r="AG98" s="126"/>
      <c r="AH98" s="53">
        <f t="shared" si="22"/>
        <v>116</v>
      </c>
      <c r="AI98" s="120">
        <f t="shared" si="23"/>
        <v>0.70833333333333304</v>
      </c>
    </row>
    <row r="99" spans="1:37" ht="15.75" thickBot="1" x14ac:dyDescent="0.3">
      <c r="A99" s="123" t="s">
        <v>103</v>
      </c>
      <c r="B99" s="124">
        <v>68.5</v>
      </c>
      <c r="C99" s="62">
        <v>83</v>
      </c>
      <c r="D99" s="62">
        <v>63.8</v>
      </c>
      <c r="E99" s="62">
        <v>62.7</v>
      </c>
      <c r="F99" s="62">
        <v>61.4</v>
      </c>
      <c r="G99" s="62">
        <v>57.2</v>
      </c>
      <c r="H99" s="62">
        <v>49.7</v>
      </c>
      <c r="I99" s="62">
        <v>61.8</v>
      </c>
      <c r="J99" s="62">
        <v>61.8</v>
      </c>
      <c r="K99" s="62">
        <v>34.4</v>
      </c>
      <c r="L99" s="62">
        <v>12</v>
      </c>
      <c r="M99" s="62">
        <v>18.600000000000001</v>
      </c>
      <c r="N99" s="62">
        <v>22</v>
      </c>
      <c r="O99" s="62">
        <v>37.200000000000003</v>
      </c>
      <c r="P99" s="62">
        <v>12.6</v>
      </c>
      <c r="Q99" s="62">
        <v>20.3</v>
      </c>
      <c r="R99" s="62">
        <v>33</v>
      </c>
      <c r="S99" s="62">
        <v>44.5</v>
      </c>
      <c r="T99" s="62">
        <v>45.5</v>
      </c>
      <c r="U99" s="62">
        <v>45.1</v>
      </c>
      <c r="V99" s="62">
        <v>41.2</v>
      </c>
      <c r="W99" s="62">
        <v>35.200000000000003</v>
      </c>
      <c r="X99" s="62">
        <v>28</v>
      </c>
      <c r="Y99" s="62">
        <v>21.3</v>
      </c>
      <c r="Z99" s="62">
        <v>25.1</v>
      </c>
      <c r="AA99" s="62">
        <v>38.1</v>
      </c>
      <c r="AB99" s="125">
        <v>34.4</v>
      </c>
      <c r="AC99" s="125">
        <v>23.1</v>
      </c>
      <c r="AD99" s="125">
        <v>23.1</v>
      </c>
      <c r="AE99" s="125">
        <v>52.4</v>
      </c>
      <c r="AF99" s="125">
        <v>62.8</v>
      </c>
      <c r="AG99" s="127"/>
      <c r="AH99" s="53">
        <f t="shared" si="22"/>
        <v>83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1598.3400000000001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2078/10/14)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958.1400000000001</v>
      </c>
      <c r="U213" s="173">
        <f t="shared" si="60"/>
        <v>930.24</v>
      </c>
      <c r="V213" s="173">
        <f t="shared" si="60"/>
        <v>906.54</v>
      </c>
      <c r="W213" s="173">
        <f t="shared" si="60"/>
        <v>897.33999999999992</v>
      </c>
      <c r="X213" s="173">
        <f t="shared" si="60"/>
        <v>910.14</v>
      </c>
      <c r="Y213" s="173">
        <f t="shared" si="60"/>
        <v>941.54</v>
      </c>
      <c r="Z213" s="173">
        <f t="shared" si="60"/>
        <v>1005.24</v>
      </c>
      <c r="AA213" s="173">
        <f t="shared" si="60"/>
        <v>1062.74</v>
      </c>
      <c r="AB213" s="173">
        <f t="shared" si="60"/>
        <v>1201.1399999999999</v>
      </c>
      <c r="AC213" s="173">
        <f t="shared" si="60"/>
        <v>1335.1399999999999</v>
      </c>
      <c r="AD213" s="173">
        <f t="shared" si="60"/>
        <v>1455.2399999999998</v>
      </c>
      <c r="AE213" s="173">
        <f t="shared" si="60"/>
        <v>1574.8400000000001</v>
      </c>
      <c r="AF213" s="173">
        <f t="shared" si="60"/>
        <v>1598.3400000000001</v>
      </c>
      <c r="AG213" s="173">
        <f t="shared" si="60"/>
        <v>1578.7400000000002</v>
      </c>
      <c r="AH213" s="173">
        <f t="shared" si="60"/>
        <v>1495.6399999999999</v>
      </c>
      <c r="AI213" s="173">
        <f t="shared" si="60"/>
        <v>1429.44</v>
      </c>
      <c r="AJ213" s="173">
        <f t="shared" si="60"/>
        <v>1366.24</v>
      </c>
      <c r="AK213" s="173">
        <f t="shared" si="60"/>
        <v>1347.44</v>
      </c>
      <c r="AL213" s="173">
        <f t="shared" si="60"/>
        <v>1321.3399999999997</v>
      </c>
      <c r="AM213" s="173">
        <f t="shared" si="60"/>
        <v>1356.7399999999998</v>
      </c>
      <c r="AN213" s="173">
        <f t="shared" si="60"/>
        <v>1353.54</v>
      </c>
      <c r="AO213" s="173">
        <f t="shared" si="60"/>
        <v>1502.34</v>
      </c>
      <c r="AP213" s="173">
        <f t="shared" si="60"/>
        <v>1595.84</v>
      </c>
      <c r="AQ213" s="173">
        <f t="shared" si="60"/>
        <v>1703.24</v>
      </c>
      <c r="AR213" s="173">
        <f t="shared" si="60"/>
        <v>1648.04</v>
      </c>
      <c r="AS213" s="173">
        <f t="shared" si="60"/>
        <v>1595.54</v>
      </c>
      <c r="AT213" s="173">
        <f t="shared" si="60"/>
        <v>1584.7400000000002</v>
      </c>
      <c r="AU213" s="173">
        <f t="shared" si="60"/>
        <v>1525.14</v>
      </c>
      <c r="AV213" s="173">
        <f t="shared" si="60"/>
        <v>1415.5400000000002</v>
      </c>
      <c r="AW213" s="173">
        <f t="shared" si="60"/>
        <v>1189.44</v>
      </c>
      <c r="AX213" s="173">
        <f t="shared" si="60"/>
        <v>1059.04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C57:L59 N62:N67 P39:R39 M39:O42 P40:Q42 R42 P60:R67 R40:T41 M58:W59 X91:AA91 AC16 AB81:AF81 B81:R81 C56:AF56 B82:AF83 D193:AF199 B193:B199 C68:AF72 AB84:AF91 B84:B91 B73:AF80 B9:AF10 B191:AF191 B53:B72 AG73 AB94:AF99 B94:B99 U212:AF212 K61:N61 K60:O60 C60:J61 C63:K67 B36:L36 N45:R48 O61:O67 R11:AE11 N11:Q14 R12:R14 N16:R32 N36:R37 X18:Y22 S18:W32 Y23:Y30 X23:X32 U40:Y42 S47:X48 AB12:AE14 Z18:AA30 S36:AA36 Y85:AA90 Z40:AE43 M53:AF55 AF57:AF67">
    <cfRule type="expression" dxfId="7524" priority="415">
      <formula>B$9&gt;=20/24</formula>
    </cfRule>
    <cfRule type="expression" dxfId="7523" priority="416">
      <formula>AND(B$9&gt;=14/24,B$9&lt;20/24)</formula>
    </cfRule>
    <cfRule type="expression" dxfId="7522" priority="417">
      <formula>AND(B$9&gt;=8/24,B$9&lt;14/24)</formula>
    </cfRule>
    <cfRule type="expression" dxfId="7521" priority="418">
      <formula>B$9&lt;8/24</formula>
    </cfRule>
  </conditionalFormatting>
  <conditionalFormatting sqref="AL4:AL6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520" priority="410">
      <formula>M$9&gt;=20/24</formula>
    </cfRule>
    <cfRule type="expression" dxfId="7519" priority="411">
      <formula>AND(M$9&gt;=14/24,M$9&lt;20/24)</formula>
    </cfRule>
    <cfRule type="expression" dxfId="7518" priority="412">
      <formula>AND(M$9&gt;=8/24,M$9&lt;14/24)</formula>
    </cfRule>
    <cfRule type="expression" dxfId="7517" priority="413">
      <formula>M$9&lt;8/24</formula>
    </cfRule>
  </conditionalFormatting>
  <conditionalFormatting sqref="M43:R43">
    <cfRule type="expression" dxfId="7516" priority="406">
      <formula>M$9&gt;=20/24</formula>
    </cfRule>
    <cfRule type="expression" dxfId="7515" priority="407">
      <formula>AND(M$9&gt;=14/24,M$9&lt;20/24)</formula>
    </cfRule>
    <cfRule type="expression" dxfId="7514" priority="408">
      <formula>AND(M$9&gt;=8/24,M$9&lt;14/24)</formula>
    </cfRule>
    <cfRule type="expression" dxfId="7513" priority="409">
      <formula>M$9&lt;8/24</formula>
    </cfRule>
  </conditionalFormatting>
  <conditionalFormatting sqref="S39:AE39">
    <cfRule type="expression" dxfId="7512" priority="398">
      <formula>S$9&gt;=20/24</formula>
    </cfRule>
    <cfRule type="expression" dxfId="7511" priority="399">
      <formula>AND(S$9&gt;=14/24,S$9&lt;20/24)</formula>
    </cfRule>
    <cfRule type="expression" dxfId="7510" priority="400">
      <formula>AND(S$9&gt;=8/24,S$9&lt;14/24)</formula>
    </cfRule>
    <cfRule type="expression" dxfId="7509" priority="401">
      <formula>S$9&lt;8/24</formula>
    </cfRule>
  </conditionalFormatting>
  <conditionalFormatting sqref="S57:AE57">
    <cfRule type="expression" dxfId="7508" priority="394">
      <formula>S$9&gt;=20/24</formula>
    </cfRule>
    <cfRule type="expression" dxfId="7507" priority="395">
      <formula>AND(S$9&gt;=14/24,S$9&lt;20/24)</formula>
    </cfRule>
    <cfRule type="expression" dxfId="7506" priority="396">
      <formula>AND(S$9&gt;=8/24,S$9&lt;14/24)</formula>
    </cfRule>
    <cfRule type="expression" dxfId="7505" priority="397">
      <formula>S$9&lt;8/24</formula>
    </cfRule>
  </conditionalFormatting>
  <conditionalFormatting sqref="S81:AA81">
    <cfRule type="expression" dxfId="7504" priority="390">
      <formula>S$9&gt;=20/24</formula>
    </cfRule>
    <cfRule type="expression" dxfId="7503" priority="391">
      <formula>AND(S$9&gt;=14/24,S$9&lt;20/24)</formula>
    </cfRule>
    <cfRule type="expression" dxfId="7502" priority="392">
      <formula>AND(S$9&gt;=8/24,S$9&lt;14/24)</formula>
    </cfRule>
    <cfRule type="expression" dxfId="7501" priority="393">
      <formula>S$9&lt;8/24</formula>
    </cfRule>
  </conditionalFormatting>
  <conditionalFormatting sqref="V84:AA84">
    <cfRule type="expression" dxfId="7500" priority="386">
      <formula>V$9&gt;=20/24</formula>
    </cfRule>
    <cfRule type="expression" dxfId="7499" priority="387">
      <formula>AND(V$9&gt;=14/24,V$9&lt;20/24)</formula>
    </cfRule>
    <cfRule type="expression" dxfId="7498" priority="388">
      <formula>AND(V$9&gt;=8/24,V$9&lt;14/24)</formula>
    </cfRule>
    <cfRule type="expression" dxfId="7497" priority="389">
      <formula>V$9&lt;8/24</formula>
    </cfRule>
  </conditionalFormatting>
  <conditionalFormatting sqref="N35:X35">
    <cfRule type="expression" dxfId="7496" priority="382">
      <formula>N$9&gt;=20/24</formula>
    </cfRule>
    <cfRule type="expression" dxfId="7495" priority="383">
      <formula>AND(N$9&gt;=14/24,N$9&lt;20/24)</formula>
    </cfRule>
    <cfRule type="expression" dxfId="7494" priority="384">
      <formula>AND(N$9&gt;=8/24,N$9&lt;14/24)</formula>
    </cfRule>
    <cfRule type="expression" dxfId="7493" priority="385">
      <formula>N$9&lt;8/24</formula>
    </cfRule>
  </conditionalFormatting>
  <conditionalFormatting sqref="M49:X49">
    <cfRule type="expression" dxfId="7492" priority="378">
      <formula>M$9&gt;=20/24</formula>
    </cfRule>
    <cfRule type="expression" dxfId="7491" priority="379">
      <formula>AND(M$9&gt;=14/24,M$9&lt;20/24)</formula>
    </cfRule>
    <cfRule type="expression" dxfId="7490" priority="380">
      <formula>AND(M$9&gt;=8/24,M$9&lt;14/24)</formula>
    </cfRule>
    <cfRule type="expression" dxfId="7489" priority="381">
      <formula>M$9&lt;8/24</formula>
    </cfRule>
  </conditionalFormatting>
  <conditionalFormatting sqref="M50:X50">
    <cfRule type="expression" dxfId="7488" priority="374">
      <formula>M$9&gt;=20/24</formula>
    </cfRule>
    <cfRule type="expression" dxfId="7487" priority="375">
      <formula>AND(M$9&gt;=14/24,M$9&lt;20/24)</formula>
    </cfRule>
    <cfRule type="expression" dxfId="7486" priority="376">
      <formula>AND(M$9&gt;=8/24,M$9&lt;14/24)</formula>
    </cfRule>
    <cfRule type="expression" dxfId="7485" priority="377">
      <formula>M$9&lt;8/24</formula>
    </cfRule>
  </conditionalFormatting>
  <conditionalFormatting sqref="M45:R48 S47:X48">
    <cfRule type="expression" dxfId="7484" priority="370">
      <formula>M$9&gt;=20/24</formula>
    </cfRule>
    <cfRule type="expression" dxfId="7483" priority="371">
      <formula>AND(M$9&gt;=14/24,M$9&lt;20/24)</formula>
    </cfRule>
    <cfRule type="expression" dxfId="7482" priority="372">
      <formula>AND(M$9&gt;=8/24,M$9&lt;14/24)</formula>
    </cfRule>
    <cfRule type="expression" dxfId="7481" priority="373">
      <formula>M$9&lt;8/24</formula>
    </cfRule>
  </conditionalFormatting>
  <conditionalFormatting sqref="S37:AE37">
    <cfRule type="expression" dxfId="7480" priority="366">
      <formula>S$9&gt;=20/24</formula>
    </cfRule>
    <cfRule type="expression" dxfId="7479" priority="367">
      <formula>AND(S$9&gt;=14/24,S$9&lt;20/24)</formula>
    </cfRule>
    <cfRule type="expression" dxfId="7478" priority="368">
      <formula>AND(S$9&gt;=8/24,S$9&lt;14/24)</formula>
    </cfRule>
    <cfRule type="expression" dxfId="7477" priority="369">
      <formula>S$9&lt;8/24</formula>
    </cfRule>
  </conditionalFormatting>
  <conditionalFormatting sqref="Y31:AA32 Y35:AA35">
    <cfRule type="expression" dxfId="7476" priority="362">
      <formula>Y$9&gt;=20/24</formula>
    </cfRule>
    <cfRule type="expression" dxfId="7475" priority="363">
      <formula>AND(Y$9&gt;=14/24,Y$9&lt;20/24)</formula>
    </cfRule>
    <cfRule type="expression" dxfId="7474" priority="364">
      <formula>AND(Y$9&gt;=8/24,Y$9&lt;14/24)</formula>
    </cfRule>
    <cfRule type="expression" dxfId="7473" priority="365">
      <formula>Y$9&lt;8/24</formula>
    </cfRule>
  </conditionalFormatting>
  <conditionalFormatting sqref="S42:T43 U43:Y43 U42:W42 X42:X43 S45:AE48">
    <cfRule type="expression" dxfId="7472" priority="358">
      <formula>S$9&gt;=20/24</formula>
    </cfRule>
    <cfRule type="expression" dxfId="7471" priority="359">
      <formula>AND(S$9&gt;=14/24,S$9&lt;20/24)</formula>
    </cfRule>
    <cfRule type="expression" dxfId="7470" priority="360">
      <formula>AND(S$9&gt;=8/24,S$9&lt;14/24)</formula>
    </cfRule>
    <cfRule type="expression" dxfId="7469" priority="361">
      <formula>S$9&lt;8/24</formula>
    </cfRule>
  </conditionalFormatting>
  <conditionalFormatting sqref="S49:AE49">
    <cfRule type="expression" dxfId="7468" priority="354">
      <formula>S$9&gt;=20/24</formula>
    </cfRule>
    <cfRule type="expression" dxfId="7467" priority="355">
      <formula>AND(S$9&gt;=14/24,S$9&lt;20/24)</formula>
    </cfRule>
    <cfRule type="expression" dxfId="7466" priority="356">
      <formula>AND(S$9&gt;=8/24,S$9&lt;14/24)</formula>
    </cfRule>
    <cfRule type="expression" dxfId="7465" priority="357">
      <formula>S$9&lt;8/24</formula>
    </cfRule>
  </conditionalFormatting>
  <conditionalFormatting sqref="S50:AE50">
    <cfRule type="expression" dxfId="7464" priority="350">
      <formula>S$9&gt;=20/24</formula>
    </cfRule>
    <cfRule type="expression" dxfId="7463" priority="351">
      <formula>AND(S$9&gt;=14/24,S$9&lt;20/24)</formula>
    </cfRule>
    <cfRule type="expression" dxfId="7462" priority="352">
      <formula>AND(S$9&gt;=8/24,S$9&lt;14/24)</formula>
    </cfRule>
    <cfRule type="expression" dxfId="7461" priority="353">
      <formula>S$9&lt;8/24</formula>
    </cfRule>
  </conditionalFormatting>
  <conditionalFormatting sqref="S60:T67 U62:W67 X60:AE67">
    <cfRule type="expression" dxfId="7460" priority="346">
      <formula>S$9&gt;=20/24</formula>
    </cfRule>
    <cfRule type="expression" dxfId="7459" priority="347">
      <formula>AND(S$9&gt;=14/24,S$9&lt;20/24)</formula>
    </cfRule>
    <cfRule type="expression" dxfId="7458" priority="348">
      <formula>AND(S$9&gt;=8/24,S$9&lt;14/24)</formula>
    </cfRule>
    <cfRule type="expression" dxfId="7457" priority="349">
      <formula>S$9&lt;8/24</formula>
    </cfRule>
  </conditionalFormatting>
  <conditionalFormatting sqref="L62:L67 C62:K62">
    <cfRule type="expression" dxfId="7456" priority="342">
      <formula>C$9&gt;=20/24</formula>
    </cfRule>
    <cfRule type="expression" dxfId="7455" priority="343">
      <formula>AND(C$9&gt;=14/24,C$9&lt;20/24)</formula>
    </cfRule>
    <cfRule type="expression" dxfId="7454" priority="344">
      <formula>AND(C$9&gt;=8/24,C$9&lt;14/24)</formula>
    </cfRule>
    <cfRule type="expression" dxfId="7453" priority="345">
      <formula>C$9&lt;8/24</formula>
    </cfRule>
  </conditionalFormatting>
  <conditionalFormatting sqref="U94:AA97">
    <cfRule type="expression" dxfId="7452" priority="338">
      <formula>U$9&gt;=20/24</formula>
    </cfRule>
    <cfRule type="expression" dxfId="7451" priority="339">
      <formula>AND(U$9&gt;=14/24,U$9&lt;20/24)</formula>
    </cfRule>
    <cfRule type="expression" dxfId="7450" priority="340">
      <formula>AND(U$9&gt;=8/24,U$9&lt;14/24)</formula>
    </cfRule>
    <cfRule type="expression" dxfId="7449" priority="341">
      <formula>U$9&lt;8/24</formula>
    </cfRule>
  </conditionalFormatting>
  <conditionalFormatting sqref="AG51 AB12:AF15 B11:L32 B34:L37 R11:AF11 N11:Q14 R12:R14 N16:R32 S18:AA32 N37:AF37 N34:AA36 AC16 B38:AF56">
    <cfRule type="expression" dxfId="7448" priority="337">
      <formula>B11&gt;$AG11</formula>
    </cfRule>
  </conditionalFormatting>
  <conditionalFormatting sqref="A100:A156 A84:A97 A11:A14 A16:A32 A45:A72 A80:A82 A74:A78 A35:A43 A169:A199">
    <cfRule type="expression" dxfId="7447" priority="336">
      <formula>$AH11=0</formula>
    </cfRule>
  </conditionalFormatting>
  <conditionalFormatting sqref="U98:AA98">
    <cfRule type="expression" dxfId="7446" priority="332">
      <formula>U$9&gt;=20/24</formula>
    </cfRule>
    <cfRule type="expression" dxfId="7445" priority="333">
      <formula>AND(U$9&gt;=14/24,U$9&lt;20/24)</formula>
    </cfRule>
    <cfRule type="expression" dxfId="7444" priority="334">
      <formula>AND(U$9&gt;=8/24,U$9&lt;14/24)</formula>
    </cfRule>
    <cfRule type="expression" dxfId="7443" priority="335">
      <formula>U$9&lt;8/24</formula>
    </cfRule>
  </conditionalFormatting>
  <conditionalFormatting sqref="A98">
    <cfRule type="expression" dxfId="7442" priority="331">
      <formula>$AH98=0</formula>
    </cfRule>
  </conditionalFormatting>
  <conditionalFormatting sqref="M62:M67">
    <cfRule type="expression" dxfId="7441" priority="319">
      <formula>M$9&gt;=20/24</formula>
    </cfRule>
    <cfRule type="expression" dxfId="7440" priority="320">
      <formula>AND(M$9&gt;=14/24,M$9&lt;20/24)</formula>
    </cfRule>
    <cfRule type="expression" dxfId="7439" priority="321">
      <formula>AND(M$9&gt;=8/24,M$9&lt;14/24)</formula>
    </cfRule>
    <cfRule type="expression" dxfId="7438" priority="322">
      <formula>M$9&lt;8/24</formula>
    </cfRule>
  </conditionalFormatting>
  <conditionalFormatting sqref="AL32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N34:X34">
    <cfRule type="expression" dxfId="7437" priority="310">
      <formula>N$9&gt;=20/24</formula>
    </cfRule>
    <cfRule type="expression" dxfId="7436" priority="311">
      <formula>AND(N$9&gt;=14/24,N$9&lt;20/24)</formula>
    </cfRule>
    <cfRule type="expression" dxfId="7435" priority="312">
      <formula>AND(N$9&gt;=8/24,N$9&lt;14/24)</formula>
    </cfRule>
    <cfRule type="expression" dxfId="7434" priority="313">
      <formula>N$9&lt;8/24</formula>
    </cfRule>
  </conditionalFormatting>
  <conditionalFormatting sqref="Y34:AA34">
    <cfRule type="expression" dxfId="7433" priority="306">
      <formula>Y$9&gt;=20/24</formula>
    </cfRule>
    <cfRule type="expression" dxfId="7432" priority="307">
      <formula>AND(Y$9&gt;=14/24,Y$9&lt;20/24)</formula>
    </cfRule>
    <cfRule type="expression" dxfId="7431" priority="308">
      <formula>AND(Y$9&gt;=8/24,Y$9&lt;14/24)</formula>
    </cfRule>
    <cfRule type="expression" dxfId="7430" priority="309">
      <formula>Y$9&lt;8/24</formula>
    </cfRule>
  </conditionalFormatting>
  <conditionalFormatting sqref="A34">
    <cfRule type="expression" dxfId="7429" priority="305">
      <formula>$AH34=0</formula>
    </cfRule>
  </conditionalFormatting>
  <conditionalFormatting sqref="A83">
    <cfRule type="expression" dxfId="7428" priority="304">
      <formula>$AH83=0</formula>
    </cfRule>
  </conditionalFormatting>
  <conditionalFormatting sqref="AB15:AE15">
    <cfRule type="expression" dxfId="7427" priority="300">
      <formula>AB$9&gt;=20/24</formula>
    </cfRule>
    <cfRule type="expression" dxfId="7426" priority="301">
      <formula>AND(AB$9&gt;=14/24,AB$9&lt;20/24)</formula>
    </cfRule>
    <cfRule type="expression" dxfId="7425" priority="302">
      <formula>AND(AB$9&gt;=8/24,AB$9&lt;14/24)</formula>
    </cfRule>
    <cfRule type="expression" dxfId="7424" priority="303">
      <formula>AB$9&lt;8/24</formula>
    </cfRule>
  </conditionalFormatting>
  <conditionalFormatting sqref="N15:R15">
    <cfRule type="expression" dxfId="7423" priority="296">
      <formula>N$9&gt;=20/24</formula>
    </cfRule>
    <cfRule type="expression" dxfId="7422" priority="297">
      <formula>AND(N$9&gt;=14/24,N$9&lt;20/24)</formula>
    </cfRule>
    <cfRule type="expression" dxfId="7421" priority="298">
      <formula>AND(N$9&gt;=8/24,N$9&lt;14/24)</formula>
    </cfRule>
    <cfRule type="expression" dxfId="7420" priority="299">
      <formula>N$9&lt;8/24</formula>
    </cfRule>
  </conditionalFormatting>
  <conditionalFormatting sqref="N15:R15">
    <cfRule type="expression" dxfId="7419" priority="295">
      <formula>N15&gt;$AG15</formula>
    </cfRule>
  </conditionalFormatting>
  <conditionalFormatting sqref="A15">
    <cfRule type="expression" dxfId="7418" priority="294">
      <formula>$AH15=0</formula>
    </cfRule>
  </conditionalFormatting>
  <conditionalFormatting sqref="A163:A168">
    <cfRule type="expression" dxfId="7417" priority="293">
      <formula>$AH163=0</formula>
    </cfRule>
  </conditionalFormatting>
  <conditionalFormatting sqref="A157:A162">
    <cfRule type="expression" dxfId="7416" priority="292">
      <formula>$AH157=0</formula>
    </cfRule>
  </conditionalFormatting>
  <conditionalFormatting sqref="Z44:AE44">
    <cfRule type="expression" dxfId="7415" priority="288">
      <formula>Z$9&gt;=20/24</formula>
    </cfRule>
    <cfRule type="expression" dxfId="7414" priority="289">
      <formula>AND(Z$9&gt;=14/24,Z$9&lt;20/24)</formula>
    </cfRule>
    <cfRule type="expression" dxfId="7413" priority="290">
      <formula>AND(Z$9&gt;=8/24,Z$9&lt;14/24)</formula>
    </cfRule>
    <cfRule type="expression" dxfId="7412" priority="291">
      <formula>Z$9&lt;8/24</formula>
    </cfRule>
  </conditionalFormatting>
  <conditionalFormatting sqref="M44:R44">
    <cfRule type="expression" dxfId="7411" priority="284">
      <formula>M$9&gt;=20/24</formula>
    </cfRule>
    <cfRule type="expression" dxfId="7410" priority="285">
      <formula>AND(M$9&gt;=14/24,M$9&lt;20/24)</formula>
    </cfRule>
    <cfRule type="expression" dxfId="7409" priority="286">
      <formula>AND(M$9&gt;=8/24,M$9&lt;14/24)</formula>
    </cfRule>
    <cfRule type="expression" dxfId="7408" priority="287">
      <formula>M$9&lt;8/24</formula>
    </cfRule>
  </conditionalFormatting>
  <conditionalFormatting sqref="S44:Y44">
    <cfRule type="expression" dxfId="7407" priority="280">
      <formula>S$9&gt;=20/24</formula>
    </cfRule>
    <cfRule type="expression" dxfId="7406" priority="281">
      <formula>AND(S$9&gt;=14/24,S$9&lt;20/24)</formula>
    </cfRule>
    <cfRule type="expression" dxfId="7405" priority="282">
      <formula>AND(S$9&gt;=8/24,S$9&lt;14/24)</formula>
    </cfRule>
    <cfRule type="expression" dxfId="7404" priority="283">
      <formula>S$9&lt;8/24</formula>
    </cfRule>
  </conditionalFormatting>
  <conditionalFormatting sqref="A44">
    <cfRule type="expression" dxfId="7403" priority="279">
      <formula>$AH44=0</formula>
    </cfRule>
  </conditionalFormatting>
  <conditionalFormatting sqref="A79">
    <cfRule type="expression" dxfId="7402" priority="278">
      <formula>$AH79=0</formula>
    </cfRule>
  </conditionalFormatting>
  <conditionalFormatting sqref="A73">
    <cfRule type="expression" dxfId="7401" priority="277">
      <formula>$AH73=0</formula>
    </cfRule>
  </conditionalFormatting>
  <conditionalFormatting sqref="AL34:AL35 AL7:AL31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7400" priority="273">
      <formula>U$9&gt;=20/24</formula>
    </cfRule>
    <cfRule type="expression" dxfId="7399" priority="274">
      <formula>AND(U$9&gt;=14/24,U$9&lt;20/24)</formula>
    </cfRule>
    <cfRule type="expression" dxfId="7398" priority="275">
      <formula>AND(U$9&gt;=8/24,U$9&lt;14/24)</formula>
    </cfRule>
    <cfRule type="expression" dxfId="7397" priority="276">
      <formula>U$9&lt;8/24</formula>
    </cfRule>
  </conditionalFormatting>
  <conditionalFormatting sqref="U91:W91 V85:X90">
    <cfRule type="expression" dxfId="7396" priority="269">
      <formula>U$9&gt;=20/24</formula>
    </cfRule>
    <cfRule type="expression" dxfId="7395" priority="270">
      <formula>AND(U$9&gt;=14/24,U$9&lt;20/24)</formula>
    </cfRule>
    <cfRule type="expression" dxfId="7394" priority="271">
      <formula>AND(U$9&gt;=8/24,U$9&lt;14/24)</formula>
    </cfRule>
    <cfRule type="expression" dxfId="7393" priority="272">
      <formula>U$9&lt;8/24</formula>
    </cfRule>
  </conditionalFormatting>
  <conditionalFormatting sqref="S85:T91 C84:R91 U85:U90">
    <cfRule type="expression" dxfId="7392" priority="265">
      <formula>C$9&gt;=20/24</formula>
    </cfRule>
    <cfRule type="expression" dxfId="7391" priority="266">
      <formula>AND(C$9&gt;=14/24,C$9&lt;20/24)</formula>
    </cfRule>
    <cfRule type="expression" dxfId="7390" priority="267">
      <formula>AND(C$9&gt;=8/24,C$9&lt;14/24)</formula>
    </cfRule>
    <cfRule type="expression" dxfId="7389" priority="268">
      <formula>C$9&lt;8/24</formula>
    </cfRule>
  </conditionalFormatting>
  <conditionalFormatting sqref="S84:U84">
    <cfRule type="expression" dxfId="7388" priority="261">
      <formula>S$9&gt;=20/24</formula>
    </cfRule>
    <cfRule type="expression" dxfId="7387" priority="262">
      <formula>AND(S$9&gt;=14/24,S$9&lt;20/24)</formula>
    </cfRule>
    <cfRule type="expression" dxfId="7386" priority="263">
      <formula>AND(S$9&gt;=8/24,S$9&lt;14/24)</formula>
    </cfRule>
    <cfRule type="expression" dxfId="7385" priority="264">
      <formula>S$9&lt;8/24</formula>
    </cfRule>
  </conditionalFormatting>
  <conditionalFormatting sqref="C94:F94 C95:M97">
    <cfRule type="expression" dxfId="7384" priority="257">
      <formula>C$9&gt;=20/24</formula>
    </cfRule>
    <cfRule type="expression" dxfId="7383" priority="258">
      <formula>AND(C$9&gt;=14/24,C$9&lt;20/24)</formula>
    </cfRule>
    <cfRule type="expression" dxfId="7382" priority="259">
      <formula>AND(C$9&gt;=8/24,C$9&lt;14/24)</formula>
    </cfRule>
    <cfRule type="expression" dxfId="7381" priority="260">
      <formula>C$9&lt;8/24</formula>
    </cfRule>
  </conditionalFormatting>
  <conditionalFormatting sqref="N95:R97 O94:R94">
    <cfRule type="expression" dxfId="7380" priority="253">
      <formula>N$9&gt;=20/24</formula>
    </cfRule>
    <cfRule type="expression" dxfId="7379" priority="254">
      <formula>AND(N$9&gt;=14/24,N$9&lt;20/24)</formula>
    </cfRule>
    <cfRule type="expression" dxfId="7378" priority="255">
      <formula>AND(N$9&gt;=8/24,N$9&lt;14/24)</formula>
    </cfRule>
    <cfRule type="expression" dxfId="7377" priority="256">
      <formula>N$9&lt;8/24</formula>
    </cfRule>
  </conditionalFormatting>
  <conditionalFormatting sqref="S94:T97">
    <cfRule type="expression" dxfId="7376" priority="249">
      <formula>S$9&gt;=20/24</formula>
    </cfRule>
    <cfRule type="expression" dxfId="7375" priority="250">
      <formula>AND(S$9&gt;=14/24,S$9&lt;20/24)</formula>
    </cfRule>
    <cfRule type="expression" dxfId="7374" priority="251">
      <formula>AND(S$9&gt;=8/24,S$9&lt;14/24)</formula>
    </cfRule>
    <cfRule type="expression" dxfId="7373" priority="252">
      <formula>S$9&lt;8/24</formula>
    </cfRule>
  </conditionalFormatting>
  <conditionalFormatting sqref="C98:M98">
    <cfRule type="expression" dxfId="7372" priority="245">
      <formula>C$9&gt;=20/24</formula>
    </cfRule>
    <cfRule type="expression" dxfId="7371" priority="246">
      <formula>AND(C$9&gt;=14/24,C$9&lt;20/24)</formula>
    </cfRule>
    <cfRule type="expression" dxfId="7370" priority="247">
      <formula>AND(C$9&gt;=8/24,C$9&lt;14/24)</formula>
    </cfRule>
    <cfRule type="expression" dxfId="7369" priority="248">
      <formula>C$9&lt;8/24</formula>
    </cfRule>
  </conditionalFormatting>
  <conditionalFormatting sqref="N98:R98">
    <cfRule type="expression" dxfId="7368" priority="241">
      <formula>N$9&gt;=20/24</formula>
    </cfRule>
    <cfRule type="expression" dxfId="7367" priority="242">
      <formula>AND(N$9&gt;=14/24,N$9&lt;20/24)</formula>
    </cfRule>
    <cfRule type="expression" dxfId="7366" priority="243">
      <formula>AND(N$9&gt;=8/24,N$9&lt;14/24)</formula>
    </cfRule>
    <cfRule type="expression" dxfId="7365" priority="244">
      <formula>N$9&lt;8/24</formula>
    </cfRule>
  </conditionalFormatting>
  <conditionalFormatting sqref="S98:T98">
    <cfRule type="expression" dxfId="7364" priority="237">
      <formula>S$9&gt;=20/24</formula>
    </cfRule>
    <cfRule type="expression" dxfId="7363" priority="238">
      <formula>AND(S$9&gt;=14/24,S$9&lt;20/24)</formula>
    </cfRule>
    <cfRule type="expression" dxfId="7362" priority="239">
      <formula>AND(S$9&gt;=8/24,S$9&lt;14/24)</formula>
    </cfRule>
    <cfRule type="expression" dxfId="7361" priority="240">
      <formula>S$9&lt;8/24</formula>
    </cfRule>
  </conditionalFormatting>
  <conditionalFormatting sqref="M94:N94">
    <cfRule type="expression" dxfId="7360" priority="233">
      <formula>M$9&gt;=20/24</formula>
    </cfRule>
    <cfRule type="expression" dxfId="7359" priority="234">
      <formula>AND(M$9&gt;=14/24,M$9&lt;20/24)</formula>
    </cfRule>
    <cfRule type="expression" dxfId="7358" priority="235">
      <formula>AND(M$9&gt;=8/24,M$9&lt;14/24)</formula>
    </cfRule>
    <cfRule type="expression" dxfId="7357" priority="236">
      <formula>M$9&lt;8/24</formula>
    </cfRule>
  </conditionalFormatting>
  <conditionalFormatting sqref="G94:L94">
    <cfRule type="expression" dxfId="7356" priority="229">
      <formula>G$9&gt;=20/24</formula>
    </cfRule>
    <cfRule type="expression" dxfId="7355" priority="230">
      <formula>AND(G$9&gt;=14/24,G$9&lt;20/24)</formula>
    </cfRule>
    <cfRule type="expression" dxfId="7354" priority="231">
      <formula>AND(G$9&gt;=8/24,G$9&lt;14/24)</formula>
    </cfRule>
    <cfRule type="expression" dxfId="7353" priority="232">
      <formula>G$9&lt;8/24</formula>
    </cfRule>
  </conditionalFormatting>
  <conditionalFormatting sqref="U94:W94">
    <cfRule type="expression" dxfId="7352" priority="225">
      <formula>U$9&gt;=20/24</formula>
    </cfRule>
    <cfRule type="expression" dxfId="7351" priority="226">
      <formula>AND(U$9&gt;=14/24,U$9&lt;20/24)</formula>
    </cfRule>
    <cfRule type="expression" dxfId="7350" priority="227">
      <formula>AND(U$9&gt;=8/24,U$9&lt;14/24)</formula>
    </cfRule>
    <cfRule type="expression" dxfId="7349" priority="228">
      <formula>U$9&lt;8/24</formula>
    </cfRule>
  </conditionalFormatting>
  <conditionalFormatting sqref="N94:T94">
    <cfRule type="expression" dxfId="7348" priority="221">
      <formula>N$9&gt;=20/24</formula>
    </cfRule>
    <cfRule type="expression" dxfId="7347" priority="222">
      <formula>AND(N$9&gt;=14/24,N$9&lt;20/24)</formula>
    </cfRule>
    <cfRule type="expression" dxfId="7346" priority="223">
      <formula>AND(N$9&gt;=8/24,N$9&lt;14/24)</formula>
    </cfRule>
    <cfRule type="expression" dxfId="7345" priority="224">
      <formula>N$9&lt;8/24</formula>
    </cfRule>
  </conditionalFormatting>
  <conditionalFormatting sqref="U99:AA99">
    <cfRule type="expression" dxfId="7344" priority="217">
      <formula>U$9&gt;=20/24</formula>
    </cfRule>
    <cfRule type="expression" dxfId="7343" priority="218">
      <formula>AND(U$9&gt;=14/24,U$9&lt;20/24)</formula>
    </cfRule>
    <cfRule type="expression" dxfId="7342" priority="219">
      <formula>AND(U$9&gt;=8/24,U$9&lt;14/24)</formula>
    </cfRule>
    <cfRule type="expression" dxfId="7341" priority="220">
      <formula>U$9&lt;8/24</formula>
    </cfRule>
  </conditionalFormatting>
  <conditionalFormatting sqref="C99:M99">
    <cfRule type="expression" dxfId="7340" priority="213">
      <formula>C$9&gt;=20/24</formula>
    </cfRule>
    <cfRule type="expression" dxfId="7339" priority="214">
      <formula>AND(C$9&gt;=14/24,C$9&lt;20/24)</formula>
    </cfRule>
    <cfRule type="expression" dxfId="7338" priority="215">
      <formula>AND(C$9&gt;=8/24,C$9&lt;14/24)</formula>
    </cfRule>
    <cfRule type="expression" dxfId="7337" priority="216">
      <formula>C$9&lt;8/24</formula>
    </cfRule>
  </conditionalFormatting>
  <conditionalFormatting sqref="N99:R99">
    <cfRule type="expression" dxfId="7336" priority="209">
      <formula>N$9&gt;=20/24</formula>
    </cfRule>
    <cfRule type="expression" dxfId="7335" priority="210">
      <formula>AND(N$9&gt;=14/24,N$9&lt;20/24)</formula>
    </cfRule>
    <cfRule type="expression" dxfId="7334" priority="211">
      <formula>AND(N$9&gt;=8/24,N$9&lt;14/24)</formula>
    </cfRule>
    <cfRule type="expression" dxfId="7333" priority="212">
      <formula>N$9&lt;8/24</formula>
    </cfRule>
  </conditionalFormatting>
  <conditionalFormatting sqref="S99:T99">
    <cfRule type="expression" dxfId="7332" priority="205">
      <formula>S$9&gt;=20/24</formula>
    </cfRule>
    <cfRule type="expression" dxfId="7331" priority="206">
      <formula>AND(S$9&gt;=14/24,S$9&lt;20/24)</formula>
    </cfRule>
    <cfRule type="expression" dxfId="7330" priority="207">
      <formula>AND(S$9&gt;=8/24,S$9&lt;14/24)</formula>
    </cfRule>
    <cfRule type="expression" dxfId="7329" priority="208">
      <formula>S$9&lt;8/24</formula>
    </cfRule>
  </conditionalFormatting>
  <conditionalFormatting sqref="S12:AA16">
    <cfRule type="expression" dxfId="7328" priority="201">
      <formula>S$9&gt;=20/24</formula>
    </cfRule>
    <cfRule type="expression" dxfId="7327" priority="202">
      <formula>AND(S$9&gt;=14/24,S$9&lt;20/24)</formula>
    </cfRule>
    <cfRule type="expression" dxfId="7326" priority="203">
      <formula>AND(S$9&gt;=8/24,S$9&lt;14/24)</formula>
    </cfRule>
    <cfRule type="expression" dxfId="7325" priority="204">
      <formula>S$9&lt;8/24</formula>
    </cfRule>
  </conditionalFormatting>
  <conditionalFormatting sqref="S17:AA17">
    <cfRule type="expression" dxfId="7324" priority="197">
      <formula>S$9&gt;=20/24</formula>
    </cfRule>
    <cfRule type="expression" dxfId="7323" priority="198">
      <formula>AND(S$9&gt;=14/24,S$9&lt;20/24)</formula>
    </cfRule>
    <cfRule type="expression" dxfId="7322" priority="199">
      <formula>AND(S$9&gt;=8/24,S$9&lt;14/24)</formula>
    </cfRule>
    <cfRule type="expression" dxfId="7321" priority="200">
      <formula>S$9&lt;8/24</formula>
    </cfRule>
  </conditionalFormatting>
  <conditionalFormatting sqref="S12:AA13">
    <cfRule type="expression" dxfId="7320" priority="193">
      <formula>S$9&gt;=20/24</formula>
    </cfRule>
    <cfRule type="expression" dxfId="7319" priority="194">
      <formula>AND(S$9&gt;=14/24,S$9&lt;20/24)</formula>
    </cfRule>
    <cfRule type="expression" dxfId="7318" priority="195">
      <formula>AND(S$9&gt;=8/24,S$9&lt;14/24)</formula>
    </cfRule>
    <cfRule type="expression" dxfId="7317" priority="196">
      <formula>S$9&lt;8/24</formula>
    </cfRule>
  </conditionalFormatting>
  <conditionalFormatting sqref="AB58:AE59">
    <cfRule type="expression" dxfId="7316" priority="189">
      <formula>AB$9&gt;=20/24</formula>
    </cfRule>
    <cfRule type="expression" dxfId="7315" priority="190">
      <formula>AND(AB$9&gt;=14/24,AB$9&lt;20/24)</formula>
    </cfRule>
    <cfRule type="expression" dxfId="7314" priority="191">
      <formula>AND(AB$9&gt;=8/24,AB$9&lt;14/24)</formula>
    </cfRule>
    <cfRule type="expression" dxfId="7313" priority="192">
      <formula>AB$9&lt;8/24</formula>
    </cfRule>
  </conditionalFormatting>
  <conditionalFormatting sqref="AL33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312" priority="422">
      <formula>C$9&gt;=20/24</formula>
    </cfRule>
    <cfRule type="expression" dxfId="7311" priority="423">
      <formula>AND(C$9&gt;=14/24,C$9&lt;20/24)</formula>
    </cfRule>
    <cfRule type="expression" dxfId="7310" priority="424">
      <formula>AND(C$9&gt;=8/24,C$9&lt;14/24)</formula>
    </cfRule>
    <cfRule type="expression" dxfId="7309" priority="425">
      <formula>C$9&lt;8/24</formula>
    </cfRule>
  </conditionalFormatting>
  <conditionalFormatting sqref="A200">
    <cfRule type="expression" dxfId="7308" priority="426">
      <formula>$AH200=0</formula>
    </cfRule>
  </conditionalFormatting>
  <conditionalFormatting sqref="AG212">
    <cfRule type="expression" dxfId="7307" priority="427">
      <formula>B$9&gt;=20/24</formula>
    </cfRule>
    <cfRule type="expression" dxfId="7306" priority="428">
      <formula>AND(B$9&gt;=14/24,B$9&lt;20/24)</formula>
    </cfRule>
    <cfRule type="expression" dxfId="7305" priority="429">
      <formula>AND(B$9&gt;=8/24,B$9&lt;14/24)</formula>
    </cfRule>
    <cfRule type="expression" dxfId="7304" priority="430">
      <formula>B$9&lt;8/24</formula>
    </cfRule>
  </conditionalFormatting>
  <conditionalFormatting sqref="S8">
    <cfRule type="expression" dxfId="7303" priority="183">
      <formula>U$9&gt;=20/24</formula>
    </cfRule>
    <cfRule type="expression" dxfId="7302" priority="184">
      <formula>AND(U$9&gt;=14/24,U$9&lt;20/24)</formula>
    </cfRule>
    <cfRule type="expression" dxfId="7301" priority="185">
      <formula>AND(U$9&gt;=8/24,U$9&lt;14/24)</formula>
    </cfRule>
    <cfRule type="expression" dxfId="7300" priority="186">
      <formula>U$9&lt;8/24</formula>
    </cfRule>
  </conditionalFormatting>
  <conditionalFormatting sqref="AB8">
    <cfRule type="expression" dxfId="7299" priority="179">
      <formula>AD$9&gt;=20/24</formula>
    </cfRule>
    <cfRule type="expression" dxfId="7298" priority="180">
      <formula>AND(AD$9&gt;=14/24,AD$9&lt;20/24)</formula>
    </cfRule>
    <cfRule type="expression" dxfId="7297" priority="181">
      <formula>AND(AD$9&gt;=8/24,AD$9&lt;14/24)</formula>
    </cfRule>
    <cfRule type="expression" dxfId="7296" priority="182">
      <formula>AD$9&lt;8/24</formula>
    </cfRule>
  </conditionalFormatting>
  <conditionalFormatting sqref="AH212:AX212">
    <cfRule type="expression" dxfId="7295" priority="431">
      <formula>AG$9&gt;=20/24</formula>
    </cfRule>
    <cfRule type="expression" dxfId="7294" priority="432">
      <formula>AND(AG$9&gt;=14/24,AG$9&lt;20/24)</formula>
    </cfRule>
    <cfRule type="expression" dxfId="7293" priority="433">
      <formula>AND(AG$9&gt;=8/24,AG$9&lt;14/24)</formula>
    </cfRule>
    <cfRule type="expression" dxfId="7292" priority="434">
      <formula>AG$9&lt;8/24</formula>
    </cfRule>
  </conditionalFormatting>
  <conditionalFormatting sqref="T212">
    <cfRule type="expression" dxfId="7291" priority="435">
      <formula>AX$9&gt;=20/24</formula>
    </cfRule>
    <cfRule type="expression" dxfId="7290" priority="436">
      <formula>AND(AX$9&gt;=14/24,AX$9&lt;20/24)</formula>
    </cfRule>
    <cfRule type="expression" dxfId="7289" priority="437">
      <formula>AND(AX$9&gt;=8/24,AX$9&lt;14/24)</formula>
    </cfRule>
    <cfRule type="expression" dxfId="7288" priority="438">
      <formula>AX$9&lt;8/24</formula>
    </cfRule>
  </conditionalFormatting>
  <conditionalFormatting sqref="A99">
    <cfRule type="expression" dxfId="7287" priority="178">
      <formula>$AH99=0</formula>
    </cfRule>
  </conditionalFormatting>
  <conditionalFormatting sqref="N33:X33">
    <cfRule type="expression" dxfId="7286" priority="174">
      <formula>N$9&gt;=20/24</formula>
    </cfRule>
    <cfRule type="expression" dxfId="7285" priority="175">
      <formula>AND(N$9&gt;=14/24,N$9&lt;20/24)</formula>
    </cfRule>
    <cfRule type="expression" dxfId="7284" priority="176">
      <formula>AND(N$9&gt;=8/24,N$9&lt;14/24)</formula>
    </cfRule>
    <cfRule type="expression" dxfId="7283" priority="177">
      <formula>N$9&lt;8/24</formula>
    </cfRule>
  </conditionalFormatting>
  <conditionalFormatting sqref="Y33:AA33">
    <cfRule type="expression" dxfId="7282" priority="166">
      <formula>Y$9&gt;=20/24</formula>
    </cfRule>
    <cfRule type="expression" dxfId="7281" priority="167">
      <formula>AND(Y$9&gt;=14/24,Y$9&lt;20/24)</formula>
    </cfRule>
    <cfRule type="expression" dxfId="7280" priority="168">
      <formula>AND(Y$9&gt;=8/24,Y$9&lt;14/24)</formula>
    </cfRule>
    <cfRule type="expression" dxfId="7279" priority="169">
      <formula>Y$9&lt;8/24</formula>
    </cfRule>
  </conditionalFormatting>
  <conditionalFormatting sqref="B33:L33 N33:AA33">
    <cfRule type="expression" dxfId="7278" priority="165">
      <formula>B33&gt;$AG33</formula>
    </cfRule>
  </conditionalFormatting>
  <conditionalFormatting sqref="M11:M14 M16:M32 M36:M37">
    <cfRule type="expression" dxfId="7277" priority="161">
      <formula>M$9&gt;=20/24</formula>
    </cfRule>
    <cfRule type="expression" dxfId="7276" priority="162">
      <formula>AND(M$9&gt;=14/24,M$9&lt;20/24)</formula>
    </cfRule>
    <cfRule type="expression" dxfId="7275" priority="163">
      <formula>AND(M$9&gt;=8/24,M$9&lt;14/24)</formula>
    </cfRule>
    <cfRule type="expression" dxfId="7274" priority="164">
      <formula>M$9&lt;8/24</formula>
    </cfRule>
  </conditionalFormatting>
  <conditionalFormatting sqref="M35">
    <cfRule type="expression" dxfId="7273" priority="157">
      <formula>M$9&gt;=20/24</formula>
    </cfRule>
    <cfRule type="expression" dxfId="7272" priority="158">
      <formula>AND(M$9&gt;=14/24,M$9&lt;20/24)</formula>
    </cfRule>
    <cfRule type="expression" dxfId="7271" priority="159">
      <formula>AND(M$9&gt;=8/24,M$9&lt;14/24)</formula>
    </cfRule>
    <cfRule type="expression" dxfId="7270" priority="160">
      <formula>M$9&lt;8/24</formula>
    </cfRule>
  </conditionalFormatting>
  <conditionalFormatting sqref="M16:M32 M34:M37 M11:M14">
    <cfRule type="expression" dxfId="7269" priority="156">
      <formula>M11&gt;$AG11</formula>
    </cfRule>
  </conditionalFormatting>
  <conditionalFormatting sqref="M34">
    <cfRule type="expression" dxfId="7268" priority="152">
      <formula>M$9&gt;=20/24</formula>
    </cfRule>
    <cfRule type="expression" dxfId="7267" priority="153">
      <formula>AND(M$9&gt;=14/24,M$9&lt;20/24)</formula>
    </cfRule>
    <cfRule type="expression" dxfId="7266" priority="154">
      <formula>AND(M$9&gt;=8/24,M$9&lt;14/24)</formula>
    </cfRule>
    <cfRule type="expression" dxfId="7265" priority="155">
      <formula>M$9&lt;8/24</formula>
    </cfRule>
  </conditionalFormatting>
  <conditionalFormatting sqref="M15">
    <cfRule type="expression" dxfId="7264" priority="148">
      <formula>M$9&gt;=20/24</formula>
    </cfRule>
    <cfRule type="expression" dxfId="7263" priority="149">
      <formula>AND(M$9&gt;=14/24,M$9&lt;20/24)</formula>
    </cfRule>
    <cfRule type="expression" dxfId="7262" priority="150">
      <formula>AND(M$9&gt;=8/24,M$9&lt;14/24)</formula>
    </cfRule>
    <cfRule type="expression" dxfId="7261" priority="151">
      <formula>M$9&lt;8/24</formula>
    </cfRule>
  </conditionalFormatting>
  <conditionalFormatting sqref="M15">
    <cfRule type="expression" dxfId="7260" priority="147">
      <formula>M15&gt;$AG15</formula>
    </cfRule>
  </conditionalFormatting>
  <conditionalFormatting sqref="M33">
    <cfRule type="expression" dxfId="7259" priority="143">
      <formula>M$9&gt;=20/24</formula>
    </cfRule>
    <cfRule type="expression" dxfId="7258" priority="144">
      <formula>AND(M$9&gt;=14/24,M$9&lt;20/24)</formula>
    </cfRule>
    <cfRule type="expression" dxfId="7257" priority="145">
      <formula>AND(M$9&gt;=8/24,M$9&lt;14/24)</formula>
    </cfRule>
    <cfRule type="expression" dxfId="7256" priority="146">
      <formula>M$9&lt;8/24</formula>
    </cfRule>
  </conditionalFormatting>
  <conditionalFormatting sqref="M33">
    <cfRule type="expression" dxfId="7255" priority="142">
      <formula>M33&gt;$AG33</formula>
    </cfRule>
  </conditionalFormatting>
  <conditionalFormatting sqref="AB18:AB30 AB36">
    <cfRule type="expression" dxfId="7254" priority="138">
      <formula>AB$9&gt;=20/24</formula>
    </cfRule>
    <cfRule type="expression" dxfId="7253" priority="139">
      <formula>AND(AB$9&gt;=14/24,AB$9&lt;20/24)</formula>
    </cfRule>
    <cfRule type="expression" dxfId="7252" priority="140">
      <formula>AND(AB$9&gt;=8/24,AB$9&lt;14/24)</formula>
    </cfRule>
    <cfRule type="expression" dxfId="7251" priority="141">
      <formula>AB$9&lt;8/24</formula>
    </cfRule>
  </conditionalFormatting>
  <conditionalFormatting sqref="AB31:AB32 AB35">
    <cfRule type="expression" dxfId="7250" priority="134">
      <formula>AB$9&gt;=20/24</formula>
    </cfRule>
    <cfRule type="expression" dxfId="7249" priority="135">
      <formula>AND(AB$9&gt;=14/24,AB$9&lt;20/24)</formula>
    </cfRule>
    <cfRule type="expression" dxfId="7248" priority="136">
      <formula>AND(AB$9&gt;=8/24,AB$9&lt;14/24)</formula>
    </cfRule>
    <cfRule type="expression" dxfId="7247" priority="137">
      <formula>AB$9&lt;8/24</formula>
    </cfRule>
  </conditionalFormatting>
  <conditionalFormatting sqref="AB18:AB32 AB34:AB36">
    <cfRule type="expression" dxfId="7246" priority="133">
      <formula>AB18&gt;$AG18</formula>
    </cfRule>
  </conditionalFormatting>
  <conditionalFormatting sqref="AB34">
    <cfRule type="expression" dxfId="7245" priority="129">
      <formula>AB$9&gt;=20/24</formula>
    </cfRule>
    <cfRule type="expression" dxfId="7244" priority="130">
      <formula>AND(AB$9&gt;=14/24,AB$9&lt;20/24)</formula>
    </cfRule>
    <cfRule type="expression" dxfId="7243" priority="131">
      <formula>AND(AB$9&gt;=8/24,AB$9&lt;14/24)</formula>
    </cfRule>
    <cfRule type="expression" dxfId="7242" priority="132">
      <formula>AB$9&lt;8/24</formula>
    </cfRule>
  </conditionalFormatting>
  <conditionalFormatting sqref="AB16">
    <cfRule type="expression" dxfId="7241" priority="125">
      <formula>AB$9&gt;=20/24</formula>
    </cfRule>
    <cfRule type="expression" dxfId="7240" priority="126">
      <formula>AND(AB$9&gt;=14/24,AB$9&lt;20/24)</formula>
    </cfRule>
    <cfRule type="expression" dxfId="7239" priority="127">
      <formula>AND(AB$9&gt;=8/24,AB$9&lt;14/24)</formula>
    </cfRule>
    <cfRule type="expression" dxfId="7238" priority="128">
      <formula>AB$9&lt;8/24</formula>
    </cfRule>
  </conditionalFormatting>
  <conditionalFormatting sqref="AB17">
    <cfRule type="expression" dxfId="7237" priority="121">
      <formula>AB$9&gt;=20/24</formula>
    </cfRule>
    <cfRule type="expression" dxfId="7236" priority="122">
      <formula>AND(AB$9&gt;=14/24,AB$9&lt;20/24)</formula>
    </cfRule>
    <cfRule type="expression" dxfId="7235" priority="123">
      <formula>AND(AB$9&gt;=8/24,AB$9&lt;14/24)</formula>
    </cfRule>
    <cfRule type="expression" dxfId="7234" priority="124">
      <formula>AB$9&lt;8/24</formula>
    </cfRule>
  </conditionalFormatting>
  <conditionalFormatting sqref="AB33">
    <cfRule type="expression" dxfId="7233" priority="117">
      <formula>AB$9&gt;=20/24</formula>
    </cfRule>
    <cfRule type="expression" dxfId="7232" priority="118">
      <formula>AND(AB$9&gt;=14/24,AB$9&lt;20/24)</formula>
    </cfRule>
    <cfRule type="expression" dxfId="7231" priority="119">
      <formula>AND(AB$9&gt;=8/24,AB$9&lt;14/24)</formula>
    </cfRule>
    <cfRule type="expression" dxfId="7230" priority="120">
      <formula>AB$9&lt;8/24</formula>
    </cfRule>
  </conditionalFormatting>
  <conditionalFormatting sqref="AB33">
    <cfRule type="expression" dxfId="7229" priority="116">
      <formula>AB33&gt;$AG33</formula>
    </cfRule>
  </conditionalFormatting>
  <conditionalFormatting sqref="AC18:AC30 AC36">
    <cfRule type="expression" dxfId="7228" priority="112">
      <formula>AC$9&gt;=20/24</formula>
    </cfRule>
    <cfRule type="expression" dxfId="7227" priority="113">
      <formula>AND(AC$9&gt;=14/24,AC$9&lt;20/24)</formula>
    </cfRule>
    <cfRule type="expression" dxfId="7226" priority="114">
      <formula>AND(AC$9&gt;=8/24,AC$9&lt;14/24)</formula>
    </cfRule>
    <cfRule type="expression" dxfId="7225" priority="115">
      <formula>AC$9&lt;8/24</formula>
    </cfRule>
  </conditionalFormatting>
  <conditionalFormatting sqref="AC31:AC32 AC35">
    <cfRule type="expression" dxfId="7224" priority="108">
      <formula>AC$9&gt;=20/24</formula>
    </cfRule>
    <cfRule type="expression" dxfId="7223" priority="109">
      <formula>AND(AC$9&gt;=14/24,AC$9&lt;20/24)</formula>
    </cfRule>
    <cfRule type="expression" dxfId="7222" priority="110">
      <formula>AND(AC$9&gt;=8/24,AC$9&lt;14/24)</formula>
    </cfRule>
    <cfRule type="expression" dxfId="7221" priority="111">
      <formula>AC$9&lt;8/24</formula>
    </cfRule>
  </conditionalFormatting>
  <conditionalFormatting sqref="AC18:AC32 AC34:AC36">
    <cfRule type="expression" dxfId="7220" priority="107">
      <formula>AC18&gt;$AG18</formula>
    </cfRule>
  </conditionalFormatting>
  <conditionalFormatting sqref="AC34">
    <cfRule type="expression" dxfId="7219" priority="103">
      <formula>AC$9&gt;=20/24</formula>
    </cfRule>
    <cfRule type="expression" dxfId="7218" priority="104">
      <formula>AND(AC$9&gt;=14/24,AC$9&lt;20/24)</formula>
    </cfRule>
    <cfRule type="expression" dxfId="7217" priority="105">
      <formula>AND(AC$9&gt;=8/24,AC$9&lt;14/24)</formula>
    </cfRule>
    <cfRule type="expression" dxfId="7216" priority="106">
      <formula>AC$9&lt;8/24</formula>
    </cfRule>
  </conditionalFormatting>
  <conditionalFormatting sqref="AC17">
    <cfRule type="expression" dxfId="7215" priority="99">
      <formula>AC$9&gt;=20/24</formula>
    </cfRule>
    <cfRule type="expression" dxfId="7214" priority="100">
      <formula>AND(AC$9&gt;=14/24,AC$9&lt;20/24)</formula>
    </cfRule>
    <cfRule type="expression" dxfId="7213" priority="101">
      <formula>AND(AC$9&gt;=8/24,AC$9&lt;14/24)</formula>
    </cfRule>
    <cfRule type="expression" dxfId="7212" priority="102">
      <formula>AC$9&lt;8/24</formula>
    </cfRule>
  </conditionalFormatting>
  <conditionalFormatting sqref="AC33">
    <cfRule type="expression" dxfId="7211" priority="95">
      <formula>AC$9&gt;=20/24</formula>
    </cfRule>
    <cfRule type="expression" dxfId="7210" priority="96">
      <formula>AND(AC$9&gt;=14/24,AC$9&lt;20/24)</formula>
    </cfRule>
    <cfRule type="expression" dxfId="7209" priority="97">
      <formula>AND(AC$9&gt;=8/24,AC$9&lt;14/24)</formula>
    </cfRule>
    <cfRule type="expression" dxfId="7208" priority="98">
      <formula>AC$9&lt;8/24</formula>
    </cfRule>
  </conditionalFormatting>
  <conditionalFormatting sqref="AC33">
    <cfRule type="expression" dxfId="7207" priority="94">
      <formula>AC33&gt;$AG33</formula>
    </cfRule>
  </conditionalFormatting>
  <conditionalFormatting sqref="AD16">
    <cfRule type="expression" dxfId="7206" priority="90">
      <formula>AD$9&gt;=20/24</formula>
    </cfRule>
    <cfRule type="expression" dxfId="7205" priority="91">
      <formula>AND(AD$9&gt;=14/24,AD$9&lt;20/24)</formula>
    </cfRule>
    <cfRule type="expression" dxfId="7204" priority="92">
      <formula>AND(AD$9&gt;=8/24,AD$9&lt;14/24)</formula>
    </cfRule>
    <cfRule type="expression" dxfId="7203" priority="93">
      <formula>AD$9&lt;8/24</formula>
    </cfRule>
  </conditionalFormatting>
  <conditionalFormatting sqref="AD16">
    <cfRule type="expression" dxfId="7202" priority="89">
      <formula>AD16&gt;$AG16</formula>
    </cfRule>
  </conditionalFormatting>
  <conditionalFormatting sqref="AD18:AD30 AD36">
    <cfRule type="expression" dxfId="7201" priority="85">
      <formula>AD$9&gt;=20/24</formula>
    </cfRule>
    <cfRule type="expression" dxfId="7200" priority="86">
      <formula>AND(AD$9&gt;=14/24,AD$9&lt;20/24)</formula>
    </cfRule>
    <cfRule type="expression" dxfId="7199" priority="87">
      <formula>AND(AD$9&gt;=8/24,AD$9&lt;14/24)</formula>
    </cfRule>
    <cfRule type="expression" dxfId="7198" priority="88">
      <formula>AD$9&lt;8/24</formula>
    </cfRule>
  </conditionalFormatting>
  <conditionalFormatting sqref="AD31:AD32 AD35">
    <cfRule type="expression" dxfId="7197" priority="81">
      <formula>AD$9&gt;=20/24</formula>
    </cfRule>
    <cfRule type="expression" dxfId="7196" priority="82">
      <formula>AND(AD$9&gt;=14/24,AD$9&lt;20/24)</formula>
    </cfRule>
    <cfRule type="expression" dxfId="7195" priority="83">
      <formula>AND(AD$9&gt;=8/24,AD$9&lt;14/24)</formula>
    </cfRule>
    <cfRule type="expression" dxfId="7194" priority="84">
      <formula>AD$9&lt;8/24</formula>
    </cfRule>
  </conditionalFormatting>
  <conditionalFormatting sqref="AD18:AD32 AD34:AD36">
    <cfRule type="expression" dxfId="7193" priority="80">
      <formula>AD18&gt;$AG18</formula>
    </cfRule>
  </conditionalFormatting>
  <conditionalFormatting sqref="AD34">
    <cfRule type="expression" dxfId="7192" priority="76">
      <formula>AD$9&gt;=20/24</formula>
    </cfRule>
    <cfRule type="expression" dxfId="7191" priority="77">
      <formula>AND(AD$9&gt;=14/24,AD$9&lt;20/24)</formula>
    </cfRule>
    <cfRule type="expression" dxfId="7190" priority="78">
      <formula>AND(AD$9&gt;=8/24,AD$9&lt;14/24)</formula>
    </cfRule>
    <cfRule type="expression" dxfId="7189" priority="79">
      <formula>AD$9&lt;8/24</formula>
    </cfRule>
  </conditionalFormatting>
  <conditionalFormatting sqref="AD17">
    <cfRule type="expression" dxfId="7188" priority="72">
      <formula>AD$9&gt;=20/24</formula>
    </cfRule>
    <cfRule type="expression" dxfId="7187" priority="73">
      <formula>AND(AD$9&gt;=14/24,AD$9&lt;20/24)</formula>
    </cfRule>
    <cfRule type="expression" dxfId="7186" priority="74">
      <formula>AND(AD$9&gt;=8/24,AD$9&lt;14/24)</formula>
    </cfRule>
    <cfRule type="expression" dxfId="7185" priority="75">
      <formula>AD$9&lt;8/24</formula>
    </cfRule>
  </conditionalFormatting>
  <conditionalFormatting sqref="AD33">
    <cfRule type="expression" dxfId="7184" priority="68">
      <formula>AD$9&gt;=20/24</formula>
    </cfRule>
    <cfRule type="expression" dxfId="7183" priority="69">
      <formula>AND(AD$9&gt;=14/24,AD$9&lt;20/24)</formula>
    </cfRule>
    <cfRule type="expression" dxfId="7182" priority="70">
      <formula>AND(AD$9&gt;=8/24,AD$9&lt;14/24)</formula>
    </cfRule>
    <cfRule type="expression" dxfId="7181" priority="71">
      <formula>AD$9&lt;8/24</formula>
    </cfRule>
  </conditionalFormatting>
  <conditionalFormatting sqref="AD33">
    <cfRule type="expression" dxfId="7180" priority="67">
      <formula>AD33&gt;$AG33</formula>
    </cfRule>
  </conditionalFormatting>
  <conditionalFormatting sqref="AE16">
    <cfRule type="expression" dxfId="7179" priority="63">
      <formula>AE$9&gt;=20/24</formula>
    </cfRule>
    <cfRule type="expression" dxfId="7178" priority="64">
      <formula>AND(AE$9&gt;=14/24,AE$9&lt;20/24)</formula>
    </cfRule>
    <cfRule type="expression" dxfId="7177" priority="65">
      <formula>AND(AE$9&gt;=8/24,AE$9&lt;14/24)</formula>
    </cfRule>
    <cfRule type="expression" dxfId="7176" priority="66">
      <formula>AE$9&lt;8/24</formula>
    </cfRule>
  </conditionalFormatting>
  <conditionalFormatting sqref="AE16">
    <cfRule type="expression" dxfId="7175" priority="62">
      <formula>AE16&gt;$AG16</formula>
    </cfRule>
  </conditionalFormatting>
  <conditionalFormatting sqref="AE18:AE30 AE36">
    <cfRule type="expression" dxfId="7174" priority="58">
      <formula>AE$9&gt;=20/24</formula>
    </cfRule>
    <cfRule type="expression" dxfId="7173" priority="59">
      <formula>AND(AE$9&gt;=14/24,AE$9&lt;20/24)</formula>
    </cfRule>
    <cfRule type="expression" dxfId="7172" priority="60">
      <formula>AND(AE$9&gt;=8/24,AE$9&lt;14/24)</formula>
    </cfRule>
    <cfRule type="expression" dxfId="7171" priority="61">
      <formula>AE$9&lt;8/24</formula>
    </cfRule>
  </conditionalFormatting>
  <conditionalFormatting sqref="AE31:AE32 AE35">
    <cfRule type="expression" dxfId="7170" priority="54">
      <formula>AE$9&gt;=20/24</formula>
    </cfRule>
    <cfRule type="expression" dxfId="7169" priority="55">
      <formula>AND(AE$9&gt;=14/24,AE$9&lt;20/24)</formula>
    </cfRule>
    <cfRule type="expression" dxfId="7168" priority="56">
      <formula>AND(AE$9&gt;=8/24,AE$9&lt;14/24)</formula>
    </cfRule>
    <cfRule type="expression" dxfId="7167" priority="57">
      <formula>AE$9&lt;8/24</formula>
    </cfRule>
  </conditionalFormatting>
  <conditionalFormatting sqref="AE18:AE32 AE34:AE36">
    <cfRule type="expression" dxfId="7166" priority="53">
      <formula>AE18&gt;$AG18</formula>
    </cfRule>
  </conditionalFormatting>
  <conditionalFormatting sqref="AE34">
    <cfRule type="expression" dxfId="7165" priority="49">
      <formula>AE$9&gt;=20/24</formula>
    </cfRule>
    <cfRule type="expression" dxfId="7164" priority="50">
      <formula>AND(AE$9&gt;=14/24,AE$9&lt;20/24)</formula>
    </cfRule>
    <cfRule type="expression" dxfId="7163" priority="51">
      <formula>AND(AE$9&gt;=8/24,AE$9&lt;14/24)</formula>
    </cfRule>
    <cfRule type="expression" dxfId="7162" priority="52">
      <formula>AE$9&lt;8/24</formula>
    </cfRule>
  </conditionalFormatting>
  <conditionalFormatting sqref="AE17">
    <cfRule type="expression" dxfId="7161" priority="45">
      <formula>AE$9&gt;=20/24</formula>
    </cfRule>
    <cfRule type="expression" dxfId="7160" priority="46">
      <formula>AND(AE$9&gt;=14/24,AE$9&lt;20/24)</formula>
    </cfRule>
    <cfRule type="expression" dxfId="7159" priority="47">
      <formula>AND(AE$9&gt;=8/24,AE$9&lt;14/24)</formula>
    </cfRule>
    <cfRule type="expression" dxfId="7158" priority="48">
      <formula>AE$9&lt;8/24</formula>
    </cfRule>
  </conditionalFormatting>
  <conditionalFormatting sqref="AE33">
    <cfRule type="expression" dxfId="7157" priority="41">
      <formula>AE$9&gt;=20/24</formula>
    </cfRule>
    <cfRule type="expression" dxfId="7156" priority="42">
      <formula>AND(AE$9&gt;=14/24,AE$9&lt;20/24)</formula>
    </cfRule>
    <cfRule type="expression" dxfId="7155" priority="43">
      <formula>AND(AE$9&gt;=8/24,AE$9&lt;14/24)</formula>
    </cfRule>
    <cfRule type="expression" dxfId="7154" priority="44">
      <formula>AE$9&lt;8/24</formula>
    </cfRule>
  </conditionalFormatting>
  <conditionalFormatting sqref="AE33">
    <cfRule type="expression" dxfId="7153" priority="40">
      <formula>AE33&gt;$AG33</formula>
    </cfRule>
  </conditionalFormatting>
  <conditionalFormatting sqref="AF16">
    <cfRule type="expression" dxfId="7152" priority="36">
      <formula>AF$9&gt;=20/24</formula>
    </cfRule>
    <cfRule type="expression" dxfId="7151" priority="37">
      <formula>AND(AF$9&gt;=14/24,AF$9&lt;20/24)</formula>
    </cfRule>
    <cfRule type="expression" dxfId="7150" priority="38">
      <formula>AND(AF$9&gt;=8/24,AF$9&lt;14/24)</formula>
    </cfRule>
    <cfRule type="expression" dxfId="7149" priority="39">
      <formula>AF$9&lt;8/24</formula>
    </cfRule>
  </conditionalFormatting>
  <conditionalFormatting sqref="AF16">
    <cfRule type="expression" dxfId="7148" priority="35">
      <formula>AF16&gt;$AG16</formula>
    </cfRule>
  </conditionalFormatting>
  <conditionalFormatting sqref="AF18:AF30 AF36">
    <cfRule type="expression" dxfId="7147" priority="31">
      <formula>AF$9&gt;=20/24</formula>
    </cfRule>
    <cfRule type="expression" dxfId="7146" priority="32">
      <formula>AND(AF$9&gt;=14/24,AF$9&lt;20/24)</formula>
    </cfRule>
    <cfRule type="expression" dxfId="7145" priority="33">
      <formula>AND(AF$9&gt;=8/24,AF$9&lt;14/24)</formula>
    </cfRule>
    <cfRule type="expression" dxfId="7144" priority="34">
      <formula>AF$9&lt;8/24</formula>
    </cfRule>
  </conditionalFormatting>
  <conditionalFormatting sqref="AF31:AF32 AF35">
    <cfRule type="expression" dxfId="7143" priority="27">
      <formula>AF$9&gt;=20/24</formula>
    </cfRule>
    <cfRule type="expression" dxfId="7142" priority="28">
      <formula>AND(AF$9&gt;=14/24,AF$9&lt;20/24)</formula>
    </cfRule>
    <cfRule type="expression" dxfId="7141" priority="29">
      <formula>AND(AF$9&gt;=8/24,AF$9&lt;14/24)</formula>
    </cfRule>
    <cfRule type="expression" dxfId="7140" priority="30">
      <formula>AF$9&lt;8/24</formula>
    </cfRule>
  </conditionalFormatting>
  <conditionalFormatting sqref="AF18:AF32 AF34:AF36">
    <cfRule type="expression" dxfId="7139" priority="26">
      <formula>AF18&gt;$AG18</formula>
    </cfRule>
  </conditionalFormatting>
  <conditionalFormatting sqref="AF34">
    <cfRule type="expression" dxfId="7138" priority="22">
      <formula>AF$9&gt;=20/24</formula>
    </cfRule>
    <cfRule type="expression" dxfId="7137" priority="23">
      <formula>AND(AF$9&gt;=14/24,AF$9&lt;20/24)</formula>
    </cfRule>
    <cfRule type="expression" dxfId="7136" priority="24">
      <formula>AND(AF$9&gt;=8/24,AF$9&lt;14/24)</formula>
    </cfRule>
    <cfRule type="expression" dxfId="7135" priority="25">
      <formula>AF$9&lt;8/24</formula>
    </cfRule>
  </conditionalFormatting>
  <conditionalFormatting sqref="AF17">
    <cfRule type="expression" dxfId="7134" priority="18">
      <formula>AF$9&gt;=20/24</formula>
    </cfRule>
    <cfRule type="expression" dxfId="7133" priority="19">
      <formula>AND(AF$9&gt;=14/24,AF$9&lt;20/24)</formula>
    </cfRule>
    <cfRule type="expression" dxfId="7132" priority="20">
      <formula>AND(AF$9&gt;=8/24,AF$9&lt;14/24)</formula>
    </cfRule>
    <cfRule type="expression" dxfId="7131" priority="21">
      <formula>AF$9&lt;8/24</formula>
    </cfRule>
  </conditionalFormatting>
  <conditionalFormatting sqref="AF33">
    <cfRule type="expression" dxfId="7130" priority="14">
      <formula>AF$9&gt;=20/24</formula>
    </cfRule>
    <cfRule type="expression" dxfId="7129" priority="15">
      <formula>AND(AF$9&gt;=14/24,AF$9&lt;20/24)</formula>
    </cfRule>
    <cfRule type="expression" dxfId="7128" priority="16">
      <formula>AND(AF$9&gt;=8/24,AF$9&lt;14/24)</formula>
    </cfRule>
    <cfRule type="expression" dxfId="7127" priority="17">
      <formula>AF$9&lt;8/24</formula>
    </cfRule>
  </conditionalFormatting>
  <conditionalFormatting sqref="AF33">
    <cfRule type="expression" dxfId="7126" priority="13">
      <formula>AF33&gt;$AG33</formula>
    </cfRule>
  </conditionalFormatting>
  <conditionalFormatting sqref="AF45:AF48">
    <cfRule type="expression" dxfId="7125" priority="9">
      <formula>AF$9&gt;=20/24</formula>
    </cfRule>
    <cfRule type="expression" dxfId="7124" priority="10">
      <formula>AND(AF$9&gt;=14/24,AF$9&lt;20/24)</formula>
    </cfRule>
    <cfRule type="expression" dxfId="7123" priority="11">
      <formula>AND(AF$9&gt;=8/24,AF$9&lt;14/24)</formula>
    </cfRule>
    <cfRule type="expression" dxfId="7122" priority="12">
      <formula>AF$9&lt;8/24</formula>
    </cfRule>
  </conditionalFormatting>
  <conditionalFormatting sqref="AF49">
    <cfRule type="expression" dxfId="7121" priority="5">
      <formula>AF$9&gt;=20/24</formula>
    </cfRule>
    <cfRule type="expression" dxfId="7120" priority="6">
      <formula>AND(AF$9&gt;=14/24,AF$9&lt;20/24)</formula>
    </cfRule>
    <cfRule type="expression" dxfId="7119" priority="7">
      <formula>AND(AF$9&gt;=8/24,AF$9&lt;14/24)</formula>
    </cfRule>
    <cfRule type="expression" dxfId="7118" priority="8">
      <formula>AF$9&lt;8/24</formula>
    </cfRule>
  </conditionalFormatting>
  <conditionalFormatting sqref="AF50">
    <cfRule type="expression" dxfId="7117" priority="1">
      <formula>AF$9&gt;=20/24</formula>
    </cfRule>
    <cfRule type="expression" dxfId="7116" priority="2">
      <formula>AND(AF$9&gt;=14/24,AF$9&lt;20/24)</formula>
    </cfRule>
    <cfRule type="expression" dxfId="7115" priority="3">
      <formula>AND(AF$9&gt;=8/24,AF$9&lt;14/24)</formula>
    </cfRule>
    <cfRule type="expression" dxfId="7114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8" id="{64DCA279-7856-4319-9D0E-29DBCD9EB9C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Y26" sqref="Y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2078/10/15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364.9</v>
      </c>
      <c r="C5" s="32">
        <f t="shared" si="0"/>
        <v>374.1</v>
      </c>
      <c r="D5" s="32">
        <f t="shared" si="0"/>
        <v>358.1</v>
      </c>
      <c r="E5" s="32">
        <f t="shared" si="0"/>
        <v>338</v>
      </c>
      <c r="F5" s="32">
        <f t="shared" si="0"/>
        <v>410</v>
      </c>
      <c r="G5" s="32">
        <f t="shared" si="0"/>
        <v>441</v>
      </c>
      <c r="H5" s="32">
        <f t="shared" si="0"/>
        <v>476</v>
      </c>
      <c r="I5" s="32">
        <f t="shared" si="0"/>
        <v>472.90000000000003</v>
      </c>
      <c r="J5" s="32">
        <f t="shared" si="0"/>
        <v>496.80000000000007</v>
      </c>
      <c r="K5" s="32">
        <f t="shared" si="0"/>
        <v>431.7</v>
      </c>
      <c r="L5" s="32">
        <f t="shared" si="0"/>
        <v>296</v>
      </c>
      <c r="M5" s="32">
        <f t="shared" si="0"/>
        <v>275.29999999999995</v>
      </c>
      <c r="N5" s="32">
        <f t="shared" si="0"/>
        <v>251.6</v>
      </c>
      <c r="O5" s="32">
        <f t="shared" si="0"/>
        <v>255.9</v>
      </c>
      <c r="P5" s="32">
        <f t="shared" si="0"/>
        <v>366.9</v>
      </c>
      <c r="Q5" s="32">
        <f t="shared" si="0"/>
        <v>329.29999999999995</v>
      </c>
      <c r="R5" s="32">
        <f t="shared" si="0"/>
        <v>351.8</v>
      </c>
      <c r="S5" s="32">
        <f t="shared" si="0"/>
        <v>455</v>
      </c>
      <c r="T5" s="32">
        <f t="shared" si="0"/>
        <v>472</v>
      </c>
      <c r="U5" s="32">
        <f t="shared" si="0"/>
        <v>366.1</v>
      </c>
      <c r="V5" s="32">
        <f t="shared" si="0"/>
        <v>352.20000000000005</v>
      </c>
      <c r="W5" s="32">
        <f t="shared" si="0"/>
        <v>347.4</v>
      </c>
      <c r="X5" s="32">
        <f t="shared" si="0"/>
        <v>390.70000000000005</v>
      </c>
      <c r="Y5" s="32">
        <f t="shared" si="0"/>
        <v>399.29999999999995</v>
      </c>
      <c r="Z5" s="32">
        <f t="shared" si="0"/>
        <v>391.6</v>
      </c>
      <c r="AA5" s="32">
        <f t="shared" si="0"/>
        <v>554.20000000000005</v>
      </c>
      <c r="AB5" s="32">
        <f t="shared" si="0"/>
        <v>573.4</v>
      </c>
      <c r="AC5" s="32">
        <f t="shared" si="0"/>
        <v>558.5</v>
      </c>
      <c r="AD5" s="32">
        <f t="shared" si="0"/>
        <v>442.2</v>
      </c>
      <c r="AE5" s="32">
        <f t="shared" si="0"/>
        <v>367.1</v>
      </c>
      <c r="AF5" s="32">
        <f>B68</f>
        <v>376.2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1472MW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Load=913</v>
      </c>
      <c r="B7" s="37">
        <f>B75</f>
        <v>991.83999999999992</v>
      </c>
      <c r="C7" s="37">
        <f t="shared" ref="C7:AF7" si="1">C75</f>
        <v>962.83999999999992</v>
      </c>
      <c r="D7" s="37">
        <f t="shared" si="1"/>
        <v>912.54</v>
      </c>
      <c r="E7" s="37">
        <f t="shared" si="1"/>
        <v>938.74</v>
      </c>
      <c r="F7" s="37">
        <f t="shared" si="1"/>
        <v>917.33999999999992</v>
      </c>
      <c r="G7" s="37">
        <f t="shared" si="1"/>
        <v>951.44</v>
      </c>
      <c r="H7" s="37">
        <f t="shared" si="1"/>
        <v>1011.44</v>
      </c>
      <c r="I7" s="37">
        <f t="shared" si="1"/>
        <v>1050.74</v>
      </c>
      <c r="J7" s="37">
        <f t="shared" si="1"/>
        <v>1178.44</v>
      </c>
      <c r="K7" s="37">
        <f t="shared" si="1"/>
        <v>1281.54</v>
      </c>
      <c r="L7" s="37">
        <f t="shared" si="1"/>
        <v>1352.3400000000001</v>
      </c>
      <c r="M7" s="37">
        <f t="shared" si="1"/>
        <v>1424.74</v>
      </c>
      <c r="N7" s="37">
        <f t="shared" si="1"/>
        <v>1471.74</v>
      </c>
      <c r="O7" s="37">
        <f t="shared" si="1"/>
        <v>1401.54</v>
      </c>
      <c r="P7" s="37">
        <f t="shared" si="1"/>
        <v>1296.8400000000001</v>
      </c>
      <c r="Q7" s="37">
        <f t="shared" si="1"/>
        <v>1165.6400000000001</v>
      </c>
      <c r="R7" s="37">
        <f t="shared" si="1"/>
        <v>1065.74</v>
      </c>
      <c r="S7" s="37">
        <f t="shared" si="1"/>
        <v>1089.6399999999999</v>
      </c>
      <c r="T7" s="37">
        <f t="shared" si="1"/>
        <v>1086.54</v>
      </c>
      <c r="U7" s="37">
        <f t="shared" si="1"/>
        <v>1121.24</v>
      </c>
      <c r="V7" s="37">
        <f t="shared" si="1"/>
        <v>1225.1399999999999</v>
      </c>
      <c r="W7" s="37">
        <f t="shared" si="1"/>
        <v>1314.24</v>
      </c>
      <c r="X7" s="37">
        <f t="shared" si="1"/>
        <v>1476.54</v>
      </c>
      <c r="Y7" s="37">
        <f t="shared" si="1"/>
        <v>1619.7400000000002</v>
      </c>
      <c r="Z7" s="37">
        <f t="shared" si="1"/>
        <v>1580.3400000000001</v>
      </c>
      <c r="AA7" s="37">
        <f t="shared" si="1"/>
        <v>1540.94</v>
      </c>
      <c r="AB7" s="37">
        <f t="shared" si="1"/>
        <v>1454.04</v>
      </c>
      <c r="AC7" s="37">
        <f t="shared" si="1"/>
        <v>1429.7399999999998</v>
      </c>
      <c r="AD7" s="37">
        <f t="shared" si="1"/>
        <v>1335.54</v>
      </c>
      <c r="AE7" s="37">
        <f t="shared" si="1"/>
        <v>1067.04</v>
      </c>
      <c r="AF7" s="37">
        <f t="shared" si="1"/>
        <v>962.24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15</v>
      </c>
      <c r="C11" s="49">
        <v>11</v>
      </c>
      <c r="D11" s="49">
        <v>11</v>
      </c>
      <c r="E11" s="49">
        <v>50</v>
      </c>
      <c r="F11" s="49">
        <v>50</v>
      </c>
      <c r="G11" s="49">
        <v>12</v>
      </c>
      <c r="H11" s="49">
        <v>12</v>
      </c>
      <c r="I11" s="49">
        <v>12</v>
      </c>
      <c r="J11" s="49">
        <v>80</v>
      </c>
      <c r="K11" s="49">
        <v>100</v>
      </c>
      <c r="L11" s="49">
        <v>100</v>
      </c>
      <c r="M11" s="50">
        <v>268</v>
      </c>
      <c r="N11" s="50">
        <v>310</v>
      </c>
      <c r="O11" s="50">
        <v>310</v>
      </c>
      <c r="P11" s="50">
        <v>230</v>
      </c>
      <c r="Q11" s="50">
        <v>75</v>
      </c>
      <c r="R11" s="177">
        <v>90</v>
      </c>
      <c r="S11" s="50">
        <v>100</v>
      </c>
      <c r="T11" s="50">
        <v>15.2</v>
      </c>
      <c r="U11" s="50">
        <v>15.2</v>
      </c>
      <c r="V11" s="50">
        <v>120</v>
      </c>
      <c r="W11" s="50">
        <v>110</v>
      </c>
      <c r="X11" s="50">
        <v>220</v>
      </c>
      <c r="Y11" s="50">
        <v>280</v>
      </c>
      <c r="Z11" s="51">
        <v>260</v>
      </c>
      <c r="AA11" s="50">
        <v>240</v>
      </c>
      <c r="AB11" s="50">
        <v>40</v>
      </c>
      <c r="AC11" s="50">
        <v>40</v>
      </c>
      <c r="AD11" s="50">
        <v>20</v>
      </c>
      <c r="AE11" s="50">
        <v>10</v>
      </c>
      <c r="AF11" s="49">
        <v>10</v>
      </c>
      <c r="AG11" s="52">
        <v>456</v>
      </c>
      <c r="AH11" s="53">
        <f>MAX(B11:AF11)</f>
        <v>310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49">
        <v>36</v>
      </c>
      <c r="T12" s="49">
        <v>36</v>
      </c>
      <c r="U12" s="49">
        <v>36</v>
      </c>
      <c r="V12" s="49">
        <v>36</v>
      </c>
      <c r="W12" s="49">
        <v>36</v>
      </c>
      <c r="X12" s="49">
        <v>36</v>
      </c>
      <c r="Y12" s="49">
        <v>36</v>
      </c>
      <c r="Z12" s="49">
        <v>36</v>
      </c>
      <c r="AA12" s="49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</v>
      </c>
      <c r="C13" s="49">
        <v>19.2</v>
      </c>
      <c r="D13" s="49">
        <v>20.3</v>
      </c>
      <c r="E13" s="49">
        <v>24.1</v>
      </c>
      <c r="F13" s="49">
        <v>24.1</v>
      </c>
      <c r="G13" s="49">
        <v>24.1</v>
      </c>
      <c r="H13" s="49">
        <v>24.1</v>
      </c>
      <c r="I13" s="49">
        <v>24.1</v>
      </c>
      <c r="J13" s="49">
        <v>24.1</v>
      </c>
      <c r="K13" s="49">
        <v>24.1</v>
      </c>
      <c r="L13" s="49">
        <v>24.1</v>
      </c>
      <c r="M13" s="49">
        <v>24.1</v>
      </c>
      <c r="N13" s="49">
        <v>20.399999999999999</v>
      </c>
      <c r="O13" s="49">
        <v>20.399999999999999</v>
      </c>
      <c r="P13" s="49">
        <v>20</v>
      </c>
      <c r="Q13" s="49">
        <v>20.5</v>
      </c>
      <c r="R13" s="49">
        <v>16.899999999999999</v>
      </c>
      <c r="S13" s="49">
        <v>16.899999999999999</v>
      </c>
      <c r="T13" s="49">
        <v>16.899999999999999</v>
      </c>
      <c r="U13" s="49">
        <v>16.899999999999999</v>
      </c>
      <c r="V13" s="49">
        <v>16.899999999999999</v>
      </c>
      <c r="W13" s="49">
        <v>16.899999999999999</v>
      </c>
      <c r="X13" s="49">
        <v>16.899999999999999</v>
      </c>
      <c r="Y13" s="49">
        <v>16.899999999999999</v>
      </c>
      <c r="Z13" s="49">
        <v>16.899999999999999</v>
      </c>
      <c r="AA13" s="49">
        <v>16.899999999999999</v>
      </c>
      <c r="AB13" s="50">
        <v>20.2</v>
      </c>
      <c r="AC13" s="50">
        <v>18.600000000000001</v>
      </c>
      <c r="AD13" s="50">
        <v>18.600000000000001</v>
      </c>
      <c r="AE13" s="50">
        <v>18.600000000000001</v>
      </c>
      <c r="AF13" s="50">
        <v>21.1</v>
      </c>
      <c r="AG13" s="58">
        <v>52.4</v>
      </c>
      <c r="AH13" s="53">
        <f t="shared" si="2"/>
        <v>24.1</v>
      </c>
      <c r="AI13" s="54">
        <f t="shared" si="3"/>
        <v>16.899999999999999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39.4</v>
      </c>
      <c r="C14" s="49">
        <v>38.200000000000003</v>
      </c>
      <c r="D14" s="49">
        <v>39.700000000000003</v>
      </c>
      <c r="E14" s="49">
        <v>39.200000000000003</v>
      </c>
      <c r="F14" s="49">
        <v>39.200000000000003</v>
      </c>
      <c r="G14" s="49">
        <v>39.200000000000003</v>
      </c>
      <c r="H14" s="49">
        <v>39.200000000000003</v>
      </c>
      <c r="I14" s="49">
        <v>39.200000000000003</v>
      </c>
      <c r="J14" s="49">
        <v>39.200000000000003</v>
      </c>
      <c r="K14" s="49">
        <v>39.200000000000003</v>
      </c>
      <c r="L14" s="49">
        <v>39.200000000000003</v>
      </c>
      <c r="M14" s="50">
        <v>39.200000000000003</v>
      </c>
      <c r="N14" s="50">
        <v>38.700000000000003</v>
      </c>
      <c r="O14" s="50">
        <v>38.4</v>
      </c>
      <c r="P14" s="50">
        <v>38.200000000000003</v>
      </c>
      <c r="Q14" s="50">
        <v>37.4</v>
      </c>
      <c r="R14" s="50">
        <v>36.9</v>
      </c>
      <c r="S14" s="50">
        <v>36.9</v>
      </c>
      <c r="T14" s="50">
        <v>36.9</v>
      </c>
      <c r="U14" s="50">
        <v>36.9</v>
      </c>
      <c r="V14" s="50">
        <v>36.9</v>
      </c>
      <c r="W14" s="50">
        <v>36.9</v>
      </c>
      <c r="X14" s="50">
        <v>36.9</v>
      </c>
      <c r="Y14" s="50">
        <v>36.9</v>
      </c>
      <c r="Z14" s="50">
        <v>36.9</v>
      </c>
      <c r="AA14" s="50">
        <v>36.9</v>
      </c>
      <c r="AB14" s="50">
        <v>36.5</v>
      </c>
      <c r="AC14" s="50">
        <v>36.9</v>
      </c>
      <c r="AD14" s="50">
        <v>36.9</v>
      </c>
      <c r="AE14" s="50">
        <v>36.9</v>
      </c>
      <c r="AF14" s="50">
        <v>39.4</v>
      </c>
      <c r="AG14" s="58">
        <v>50</v>
      </c>
      <c r="AH14" s="53">
        <f t="shared" si="2"/>
        <v>39.700000000000003</v>
      </c>
      <c r="AI14" s="54">
        <f t="shared" si="3"/>
        <v>36.5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22.1</v>
      </c>
      <c r="C15" s="60">
        <v>22.1</v>
      </c>
      <c r="D15" s="60">
        <v>21.7</v>
      </c>
      <c r="E15" s="60">
        <v>21.5</v>
      </c>
      <c r="F15" s="60">
        <v>21.5</v>
      </c>
      <c r="G15" s="60">
        <v>21.5</v>
      </c>
      <c r="H15" s="60">
        <v>21.5</v>
      </c>
      <c r="I15" s="60">
        <v>21.5</v>
      </c>
      <c r="J15" s="60">
        <v>21.5</v>
      </c>
      <c r="K15" s="60">
        <v>21.5</v>
      </c>
      <c r="L15" s="60">
        <v>21.5</v>
      </c>
      <c r="M15" s="50">
        <v>21.5</v>
      </c>
      <c r="N15" s="50">
        <v>20.100000000000001</v>
      </c>
      <c r="O15" s="50">
        <v>20</v>
      </c>
      <c r="P15" s="50">
        <v>21.2</v>
      </c>
      <c r="Q15" s="50">
        <v>20.7</v>
      </c>
      <c r="R15" s="50">
        <v>20.6</v>
      </c>
      <c r="S15" s="50">
        <v>20.6</v>
      </c>
      <c r="T15" s="50">
        <v>20.6</v>
      </c>
      <c r="U15" s="50">
        <v>20.6</v>
      </c>
      <c r="V15" s="50">
        <v>20.6</v>
      </c>
      <c r="W15" s="50">
        <v>20.6</v>
      </c>
      <c r="X15" s="50">
        <v>20.6</v>
      </c>
      <c r="Y15" s="50">
        <v>20.6</v>
      </c>
      <c r="Z15" s="50">
        <v>20.6</v>
      </c>
      <c r="AA15" s="50">
        <v>20.6</v>
      </c>
      <c r="AB15" s="50">
        <v>23.1</v>
      </c>
      <c r="AC15" s="50">
        <v>23.1</v>
      </c>
      <c r="AD15" s="50">
        <v>23.1</v>
      </c>
      <c r="AE15" s="50">
        <v>23.1</v>
      </c>
      <c r="AF15" s="50">
        <v>23.2</v>
      </c>
      <c r="AG15" s="61">
        <v>45</v>
      </c>
      <c r="AH15" s="53">
        <f t="shared" si="2"/>
        <v>23.2</v>
      </c>
      <c r="AI15" s="54">
        <f t="shared" si="3"/>
        <v>20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0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9.4</v>
      </c>
      <c r="C19" s="50">
        <v>9.4</v>
      </c>
      <c r="D19" s="50">
        <v>9.4</v>
      </c>
      <c r="E19" s="50">
        <v>9.4</v>
      </c>
      <c r="F19" s="50">
        <v>9.4</v>
      </c>
      <c r="G19" s="50">
        <v>9.4</v>
      </c>
      <c r="H19" s="50">
        <v>9.4</v>
      </c>
      <c r="I19" s="50">
        <v>9.4</v>
      </c>
      <c r="J19" s="50">
        <v>9.4</v>
      </c>
      <c r="K19" s="50">
        <v>9.4</v>
      </c>
      <c r="L19" s="50">
        <v>9.4</v>
      </c>
      <c r="M19" s="50">
        <v>9.4</v>
      </c>
      <c r="N19" s="50">
        <v>9.4</v>
      </c>
      <c r="O19" s="50">
        <v>9.1999999999999993</v>
      </c>
      <c r="P19" s="50">
        <v>9.1999999999999993</v>
      </c>
      <c r="Q19" s="50">
        <v>9.1999999999999993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8">
        <v>30</v>
      </c>
      <c r="AH19" s="53">
        <f t="shared" si="2"/>
        <v>9.4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10.7</v>
      </c>
      <c r="C22" s="50">
        <v>10.7</v>
      </c>
      <c r="D22" s="50">
        <v>10.7</v>
      </c>
      <c r="E22" s="50">
        <v>10.7</v>
      </c>
      <c r="F22" s="50">
        <v>10.7</v>
      </c>
      <c r="G22" s="50">
        <v>10.7</v>
      </c>
      <c r="H22" s="50">
        <v>10.7</v>
      </c>
      <c r="I22" s="50">
        <v>10.7</v>
      </c>
      <c r="J22" s="50">
        <v>10.7</v>
      </c>
      <c r="K22" s="50">
        <v>10.7</v>
      </c>
      <c r="L22" s="50">
        <v>10.7</v>
      </c>
      <c r="M22" s="50">
        <v>10.7</v>
      </c>
      <c r="N22" s="50">
        <v>11.2</v>
      </c>
      <c r="O22" s="50">
        <v>11.3</v>
      </c>
      <c r="P22" s="50">
        <v>10.5</v>
      </c>
      <c r="Q22" s="50">
        <v>10.8</v>
      </c>
      <c r="R22" s="50">
        <v>11.7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17</v>
      </c>
      <c r="Z22" s="50">
        <v>17</v>
      </c>
      <c r="AA22" s="50">
        <v>17</v>
      </c>
      <c r="AB22" s="50">
        <v>11.2</v>
      </c>
      <c r="AC22" s="50">
        <v>11.6</v>
      </c>
      <c r="AD22" s="50">
        <v>11.6</v>
      </c>
      <c r="AE22" s="50">
        <v>11.6</v>
      </c>
      <c r="AF22" s="50">
        <v>11.6</v>
      </c>
      <c r="AG22" s="58">
        <v>25</v>
      </c>
      <c r="AH22" s="53">
        <f t="shared" si="2"/>
        <v>17</v>
      </c>
      <c r="AI22" s="54">
        <f t="shared" si="3"/>
        <v>10.5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9.1</v>
      </c>
      <c r="C24" s="50">
        <v>9.1</v>
      </c>
      <c r="D24" s="50">
        <v>9.1</v>
      </c>
      <c r="E24" s="50">
        <v>9.1</v>
      </c>
      <c r="F24" s="50">
        <v>9.1</v>
      </c>
      <c r="G24" s="50">
        <v>9.1</v>
      </c>
      <c r="H24" s="50">
        <v>9.1</v>
      </c>
      <c r="I24" s="50">
        <v>9.1</v>
      </c>
      <c r="J24" s="50">
        <v>9.1</v>
      </c>
      <c r="K24" s="50">
        <v>9.1</v>
      </c>
      <c r="L24" s="50">
        <v>9.1</v>
      </c>
      <c r="M24" s="50">
        <v>9.1</v>
      </c>
      <c r="N24" s="50">
        <v>9.1</v>
      </c>
      <c r="O24" s="50">
        <v>10.5</v>
      </c>
      <c r="P24" s="50">
        <v>10.4</v>
      </c>
      <c r="Q24" s="50">
        <v>9.6</v>
      </c>
      <c r="R24" s="50">
        <v>9.1</v>
      </c>
      <c r="S24" s="50">
        <v>9.1</v>
      </c>
      <c r="T24" s="50">
        <v>9.1</v>
      </c>
      <c r="U24" s="50">
        <v>9.1</v>
      </c>
      <c r="V24" s="50">
        <v>9.1</v>
      </c>
      <c r="W24" s="50">
        <v>9.1</v>
      </c>
      <c r="X24" s="50">
        <v>9.1</v>
      </c>
      <c r="Y24" s="50">
        <v>9.1</v>
      </c>
      <c r="Z24" s="50">
        <v>9.1</v>
      </c>
      <c r="AA24" s="50">
        <v>9.1</v>
      </c>
      <c r="AB24" s="50">
        <v>9.1</v>
      </c>
      <c r="AC24" s="50">
        <v>9.1</v>
      </c>
      <c r="AD24" s="50">
        <v>9.1</v>
      </c>
      <c r="AE24" s="50">
        <v>9.1</v>
      </c>
      <c r="AF24" s="50">
        <v>9.1</v>
      </c>
      <c r="AG24" s="58">
        <v>25</v>
      </c>
      <c r="AH24" s="53">
        <f t="shared" si="2"/>
        <v>10.5</v>
      </c>
      <c r="AI24" s="54">
        <f t="shared" si="3"/>
        <v>9.1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31+16.6</f>
        <v>47.6</v>
      </c>
      <c r="C37" s="60">
        <f>32+16.9</f>
        <v>48.9</v>
      </c>
      <c r="D37" s="60">
        <f>32.1+17</f>
        <v>49.1</v>
      </c>
      <c r="E37" s="60">
        <f>32.6+17.4</f>
        <v>50</v>
      </c>
      <c r="F37" s="60">
        <f>32.5+17.3</f>
        <v>49.8</v>
      </c>
      <c r="G37" s="60">
        <f>32.5+17.3</f>
        <v>49.8</v>
      </c>
      <c r="H37" s="60">
        <f>31.8+17.2</f>
        <v>49</v>
      </c>
      <c r="I37" s="60">
        <f>31.4+16.9</f>
        <v>48.3</v>
      </c>
      <c r="J37" s="60">
        <f>31+16.8</f>
        <v>47.8</v>
      </c>
      <c r="K37" s="60">
        <f>30.8+16.7</f>
        <v>47.5</v>
      </c>
      <c r="L37" s="60">
        <f>30.6+16.6</f>
        <v>47.2</v>
      </c>
      <c r="M37" s="69">
        <f>30.6+16.6</f>
        <v>47.2</v>
      </c>
      <c r="N37" s="69">
        <v>46.2</v>
      </c>
      <c r="O37" s="69">
        <v>47.1</v>
      </c>
      <c r="P37" s="69">
        <v>47.1</v>
      </c>
      <c r="Q37" s="69">
        <v>47.2</v>
      </c>
      <c r="R37" s="69">
        <v>47.2</v>
      </c>
      <c r="S37" s="69">
        <v>47.4</v>
      </c>
      <c r="T37" s="69">
        <v>45</v>
      </c>
      <c r="U37" s="69">
        <v>46</v>
      </c>
      <c r="V37" s="69">
        <v>44</v>
      </c>
      <c r="W37" s="69">
        <v>43</v>
      </c>
      <c r="X37" s="69">
        <v>39</v>
      </c>
      <c r="Y37" s="69">
        <v>39</v>
      </c>
      <c r="Z37" s="69">
        <v>42</v>
      </c>
      <c r="AA37" s="69">
        <v>43</v>
      </c>
      <c r="AB37" s="69">
        <f>15.4+28.3</f>
        <v>43.7</v>
      </c>
      <c r="AC37" s="69">
        <f>15.6+28.9</f>
        <v>44.5</v>
      </c>
      <c r="AD37" s="69">
        <f>15.8+29.4</f>
        <v>45.2</v>
      </c>
      <c r="AE37" s="69">
        <f>16.3+30.2</f>
        <v>46.5</v>
      </c>
      <c r="AF37" s="60">
        <f>16+29.8</f>
        <v>45.8</v>
      </c>
      <c r="AG37" s="66">
        <v>240</v>
      </c>
      <c r="AH37" s="53">
        <f t="shared" si="2"/>
        <v>50</v>
      </c>
      <c r="AI37" s="54">
        <f t="shared" si="3"/>
        <v>39</v>
      </c>
      <c r="AK37" s="55"/>
    </row>
    <row r="38" spans="1:88" ht="15.75" thickBot="1" x14ac:dyDescent="0.3">
      <c r="A38" s="70" t="s">
        <v>46</v>
      </c>
      <c r="B38" s="71">
        <f>SUM(B11:B36)</f>
        <v>422.7</v>
      </c>
      <c r="C38" s="71">
        <f t="shared" ref="C38:AF38" si="4">SUM(C11:C36)</f>
        <v>415.69999999999993</v>
      </c>
      <c r="D38" s="71">
        <f t="shared" si="4"/>
        <v>417.9</v>
      </c>
      <c r="E38" s="71">
        <f t="shared" si="4"/>
        <v>459.99999999999994</v>
      </c>
      <c r="F38" s="71">
        <f t="shared" si="4"/>
        <v>459.99999999999994</v>
      </c>
      <c r="G38" s="71">
        <f t="shared" si="4"/>
        <v>421.99999999999994</v>
      </c>
      <c r="H38" s="71">
        <f t="shared" si="4"/>
        <v>421.99999999999994</v>
      </c>
      <c r="I38" s="71">
        <f t="shared" si="4"/>
        <v>421.99999999999994</v>
      </c>
      <c r="J38" s="71">
        <f t="shared" si="4"/>
        <v>490</v>
      </c>
      <c r="K38" s="71">
        <f t="shared" si="4"/>
        <v>510</v>
      </c>
      <c r="L38" s="71">
        <f t="shared" si="4"/>
        <v>510</v>
      </c>
      <c r="M38" s="71">
        <f t="shared" si="4"/>
        <v>678</v>
      </c>
      <c r="N38" s="71">
        <f t="shared" si="4"/>
        <v>714.90000000000009</v>
      </c>
      <c r="O38" s="71">
        <f t="shared" si="4"/>
        <v>715.8</v>
      </c>
      <c r="P38" s="71">
        <f t="shared" si="4"/>
        <v>635.5</v>
      </c>
      <c r="Q38" s="71">
        <f t="shared" si="4"/>
        <v>479.2</v>
      </c>
      <c r="R38" s="71">
        <f t="shared" si="4"/>
        <v>490.3</v>
      </c>
      <c r="S38" s="71">
        <f t="shared" si="4"/>
        <v>500.29999999999995</v>
      </c>
      <c r="T38" s="71">
        <f t="shared" si="4"/>
        <v>415.49999999999994</v>
      </c>
      <c r="U38" s="71">
        <f t="shared" si="4"/>
        <v>415.49999999999994</v>
      </c>
      <c r="V38" s="71">
        <f t="shared" si="4"/>
        <v>520.29999999999995</v>
      </c>
      <c r="W38" s="71">
        <f t="shared" si="4"/>
        <v>510.3</v>
      </c>
      <c r="X38" s="71">
        <f t="shared" si="4"/>
        <v>620.29999999999995</v>
      </c>
      <c r="Y38" s="71">
        <f t="shared" si="4"/>
        <v>685.60000000000014</v>
      </c>
      <c r="Z38" s="71">
        <f t="shared" si="4"/>
        <v>665.6</v>
      </c>
      <c r="AA38" s="71">
        <f t="shared" si="4"/>
        <v>645.6</v>
      </c>
      <c r="AB38" s="71">
        <f t="shared" si="4"/>
        <v>445.19999999999993</v>
      </c>
      <c r="AC38" s="71">
        <f t="shared" si="4"/>
        <v>444.39999999999992</v>
      </c>
      <c r="AD38" s="71">
        <f t="shared" si="4"/>
        <v>424.39999999999992</v>
      </c>
      <c r="AE38" s="71">
        <f t="shared" si="4"/>
        <v>414.4</v>
      </c>
      <c r="AF38" s="71">
        <f t="shared" si="4"/>
        <v>419.49999999999994</v>
      </c>
      <c r="AG38" s="66">
        <f>SUM(AG11:AG37)</f>
        <v>1492.8299999999997</v>
      </c>
      <c r="AH38" s="53">
        <f t="shared" si="2"/>
        <v>715.8</v>
      </c>
      <c r="AI38" s="54">
        <f t="shared" si="3"/>
        <v>414.4</v>
      </c>
      <c r="AK38" s="55"/>
    </row>
    <row r="39" spans="1:88" x14ac:dyDescent="0.25">
      <c r="A39" s="56" t="s">
        <v>47</v>
      </c>
      <c r="B39" s="49">
        <v>39.4</v>
      </c>
      <c r="C39" s="60">
        <v>35.5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30.1</v>
      </c>
      <c r="K39" s="60">
        <v>70.8</v>
      </c>
      <c r="L39" s="60">
        <v>123.1</v>
      </c>
      <c r="M39" s="50">
        <v>141</v>
      </c>
      <c r="N39" s="50">
        <v>146</v>
      </c>
      <c r="O39" s="50">
        <v>137</v>
      </c>
      <c r="P39" s="50">
        <v>136</v>
      </c>
      <c r="Q39" s="50">
        <v>110.9</v>
      </c>
      <c r="R39" s="50">
        <v>61.2</v>
      </c>
      <c r="S39" s="50">
        <v>48.7</v>
      </c>
      <c r="T39" s="50">
        <v>27.1</v>
      </c>
      <c r="U39" s="50">
        <v>27.4</v>
      </c>
      <c r="V39" s="50">
        <v>95.8</v>
      </c>
      <c r="W39" s="50">
        <v>139.4</v>
      </c>
      <c r="X39" s="50">
        <v>144.80000000000001</v>
      </c>
      <c r="Y39" s="50">
        <v>144.80000000000001</v>
      </c>
      <c r="Z39" s="50">
        <v>145.30000000000001</v>
      </c>
      <c r="AA39" s="50">
        <v>145.5</v>
      </c>
      <c r="AB39" s="50">
        <v>120.8</v>
      </c>
      <c r="AC39" s="50">
        <v>91.3</v>
      </c>
      <c r="AD39" s="50">
        <v>61.8</v>
      </c>
      <c r="AE39" s="50">
        <v>30.3</v>
      </c>
      <c r="AF39" s="49">
        <v>30.1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29.6</v>
      </c>
      <c r="C40" s="60">
        <v>22.3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22.6</v>
      </c>
      <c r="K40" s="60">
        <v>32.299999999999997</v>
      </c>
      <c r="L40" s="60">
        <v>51.7</v>
      </c>
      <c r="M40" s="72">
        <v>65</v>
      </c>
      <c r="N40" s="72">
        <v>70.599999999999994</v>
      </c>
      <c r="O40" s="72">
        <v>71.5</v>
      </c>
      <c r="P40" s="72">
        <v>71.3</v>
      </c>
      <c r="Q40" s="72">
        <v>45.4</v>
      </c>
      <c r="R40" s="72">
        <v>47.1</v>
      </c>
      <c r="S40" s="72">
        <v>23.2</v>
      </c>
      <c r="T40" s="72">
        <v>23.3</v>
      </c>
      <c r="U40" s="72">
        <v>34.5</v>
      </c>
      <c r="V40" s="72">
        <v>35.6</v>
      </c>
      <c r="W40" s="72">
        <v>70.099999999999994</v>
      </c>
      <c r="X40" s="72">
        <v>69.8</v>
      </c>
      <c r="Y40" s="72">
        <v>69.8</v>
      </c>
      <c r="Z40" s="72">
        <v>70.400000000000006</v>
      </c>
      <c r="AA40" s="72">
        <v>67.900000000000006</v>
      </c>
      <c r="AB40" s="72">
        <v>59</v>
      </c>
      <c r="AC40" s="72">
        <v>59.4</v>
      </c>
      <c r="AD40" s="72">
        <v>34</v>
      </c>
      <c r="AE40" s="72">
        <v>23.3</v>
      </c>
      <c r="AF40" s="60">
        <v>0</v>
      </c>
      <c r="AG40" s="66">
        <v>70</v>
      </c>
      <c r="AH40" s="53">
        <f t="shared" si="2"/>
        <v>71.5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21.6</v>
      </c>
      <c r="C41" s="60">
        <v>22.1</v>
      </c>
      <c r="D41" s="60">
        <v>18.2</v>
      </c>
      <c r="E41" s="60">
        <v>18.3</v>
      </c>
      <c r="F41" s="60">
        <v>16.600000000000001</v>
      </c>
      <c r="G41" s="60">
        <v>16.600000000000001</v>
      </c>
      <c r="H41" s="60">
        <v>35.799999999999997</v>
      </c>
      <c r="I41" s="60">
        <v>35.1</v>
      </c>
      <c r="J41" s="60">
        <v>47.2</v>
      </c>
      <c r="K41" s="60">
        <v>46.7</v>
      </c>
      <c r="L41" s="60">
        <v>62.9</v>
      </c>
      <c r="M41" s="72">
        <v>61</v>
      </c>
      <c r="N41" s="72">
        <v>61.6</v>
      </c>
      <c r="O41" s="72">
        <v>61.1</v>
      </c>
      <c r="P41" s="72">
        <v>59.7</v>
      </c>
      <c r="Q41" s="72">
        <v>60</v>
      </c>
      <c r="R41" s="72">
        <v>17.600000000000001</v>
      </c>
      <c r="S41" s="72">
        <v>16.399999999999999</v>
      </c>
      <c r="T41" s="72">
        <v>20</v>
      </c>
      <c r="U41" s="72">
        <v>20.100000000000001</v>
      </c>
      <c r="V41" s="72">
        <v>43.4</v>
      </c>
      <c r="W41" s="72">
        <v>64.8</v>
      </c>
      <c r="X41" s="72">
        <v>66.5</v>
      </c>
      <c r="Y41" s="72">
        <v>66.5</v>
      </c>
      <c r="Z41" s="72">
        <v>66.8</v>
      </c>
      <c r="AA41" s="72">
        <v>67.3</v>
      </c>
      <c r="AB41" s="72">
        <v>50.2</v>
      </c>
      <c r="AC41" s="72">
        <v>45.6</v>
      </c>
      <c r="AD41" s="72">
        <v>45.7</v>
      </c>
      <c r="AE41" s="72">
        <v>17.100000000000001</v>
      </c>
      <c r="AF41" s="60">
        <v>17.100000000000001</v>
      </c>
      <c r="AG41" s="66">
        <v>69</v>
      </c>
      <c r="AH41" s="53">
        <f t="shared" si="2"/>
        <v>67.3</v>
      </c>
      <c r="AI41" s="54">
        <f t="shared" si="3"/>
        <v>16.399999999999999</v>
      </c>
      <c r="AK41" s="55"/>
    </row>
    <row r="42" spans="1:88" x14ac:dyDescent="0.25">
      <c r="A42" s="65" t="s">
        <v>50</v>
      </c>
      <c r="B42" s="60">
        <v>50</v>
      </c>
      <c r="C42" s="60">
        <v>50</v>
      </c>
      <c r="D42" s="60">
        <v>50</v>
      </c>
      <c r="E42" s="60">
        <v>50</v>
      </c>
      <c r="F42" s="60">
        <v>50.4</v>
      </c>
      <c r="G42" s="60">
        <v>50.5</v>
      </c>
      <c r="H42" s="60">
        <v>50.3</v>
      </c>
      <c r="I42" s="60">
        <v>50.3</v>
      </c>
      <c r="J42" s="60">
        <v>50.3</v>
      </c>
      <c r="K42" s="60">
        <v>50</v>
      </c>
      <c r="L42" s="60">
        <v>50</v>
      </c>
      <c r="M42" s="72">
        <v>50</v>
      </c>
      <c r="N42" s="72">
        <v>50</v>
      </c>
      <c r="O42" s="72">
        <v>50</v>
      </c>
      <c r="P42" s="72">
        <v>50</v>
      </c>
      <c r="Q42" s="72">
        <v>30</v>
      </c>
      <c r="R42" s="72">
        <v>30</v>
      </c>
      <c r="S42" s="72">
        <v>54</v>
      </c>
      <c r="T42" s="72">
        <v>51</v>
      </c>
      <c r="U42" s="72">
        <v>51</v>
      </c>
      <c r="V42" s="72">
        <v>51</v>
      </c>
      <c r="W42" s="72">
        <v>50</v>
      </c>
      <c r="X42" s="72">
        <v>50</v>
      </c>
      <c r="Y42" s="72">
        <v>54</v>
      </c>
      <c r="Z42" s="72">
        <v>54</v>
      </c>
      <c r="AA42" s="72">
        <v>50</v>
      </c>
      <c r="AB42" s="72">
        <v>50</v>
      </c>
      <c r="AC42" s="72">
        <v>50</v>
      </c>
      <c r="AD42" s="72">
        <v>50</v>
      </c>
      <c r="AE42" s="72">
        <v>53.4</v>
      </c>
      <c r="AF42" s="60">
        <v>53.2</v>
      </c>
      <c r="AG42" s="66">
        <v>60</v>
      </c>
      <c r="AH42" s="53">
        <f t="shared" si="2"/>
        <v>54</v>
      </c>
      <c r="AI42" s="54">
        <f t="shared" si="3"/>
        <v>30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10</v>
      </c>
      <c r="I43" s="60">
        <v>15</v>
      </c>
      <c r="J43" s="60">
        <v>13</v>
      </c>
      <c r="K43" s="60">
        <v>22.6</v>
      </c>
      <c r="L43" s="60">
        <v>30</v>
      </c>
      <c r="M43" s="50">
        <v>28</v>
      </c>
      <c r="N43" s="50">
        <v>28.3</v>
      </c>
      <c r="O43" s="50">
        <v>22.3</v>
      </c>
      <c r="P43" s="50">
        <v>10.3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12</v>
      </c>
      <c r="W43" s="50">
        <v>15</v>
      </c>
      <c r="X43" s="50">
        <v>28.3</v>
      </c>
      <c r="Y43" s="50">
        <v>28.2</v>
      </c>
      <c r="Z43" s="72">
        <v>27.9</v>
      </c>
      <c r="AA43" s="72">
        <v>21.7</v>
      </c>
      <c r="AB43" s="72">
        <v>22.8</v>
      </c>
      <c r="AC43" s="72">
        <v>14.8</v>
      </c>
      <c r="AD43" s="72">
        <v>10.3</v>
      </c>
      <c r="AE43" s="72">
        <v>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4.5</v>
      </c>
      <c r="C46" s="50">
        <v>4.5</v>
      </c>
      <c r="D46" s="50">
        <v>4.5</v>
      </c>
      <c r="E46" s="50">
        <v>4.5</v>
      </c>
      <c r="F46" s="50">
        <v>4.5</v>
      </c>
      <c r="G46" s="50">
        <v>4.5</v>
      </c>
      <c r="H46" s="50">
        <v>4.5</v>
      </c>
      <c r="I46" s="50">
        <v>4.5</v>
      </c>
      <c r="J46" s="50">
        <v>4.5</v>
      </c>
      <c r="K46" s="50">
        <v>4.5</v>
      </c>
      <c r="L46" s="50">
        <v>4.5</v>
      </c>
      <c r="M46" s="50">
        <v>4.5</v>
      </c>
      <c r="N46" s="50">
        <v>4.5</v>
      </c>
      <c r="O46" s="50">
        <v>0</v>
      </c>
      <c r="P46" s="50">
        <v>3.5</v>
      </c>
      <c r="Q46" s="50">
        <v>0</v>
      </c>
      <c r="R46" s="50">
        <v>0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50">
        <v>6.3</v>
      </c>
      <c r="C49" s="50">
        <v>6.3</v>
      </c>
      <c r="D49" s="50">
        <v>6.3</v>
      </c>
      <c r="E49" s="50">
        <v>6.3</v>
      </c>
      <c r="F49" s="50">
        <v>6.3</v>
      </c>
      <c r="G49" s="50">
        <v>6.3</v>
      </c>
      <c r="H49" s="50">
        <v>6.3</v>
      </c>
      <c r="I49" s="50">
        <v>6.3</v>
      </c>
      <c r="J49" s="50">
        <v>6.3</v>
      </c>
      <c r="K49" s="50">
        <v>6.3</v>
      </c>
      <c r="L49" s="50">
        <v>6.3</v>
      </c>
      <c r="M49" s="50">
        <v>6.3</v>
      </c>
      <c r="N49" s="50">
        <v>6.3</v>
      </c>
      <c r="O49" s="50">
        <v>6.3</v>
      </c>
      <c r="P49" s="50">
        <v>6.3</v>
      </c>
      <c r="Q49" s="50">
        <v>0</v>
      </c>
      <c r="R49" s="50">
        <v>0</v>
      </c>
      <c r="S49" s="50">
        <v>0</v>
      </c>
      <c r="T49" s="50">
        <v>0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6.3</v>
      </c>
      <c r="AI49" s="54">
        <f t="shared" si="3"/>
        <v>0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5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f t="shared" si="6"/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192.94</v>
      </c>
      <c r="C52" s="71">
        <f t="shared" ref="C52:AF52" si="7">SUM(C39:C51)</f>
        <v>182.24</v>
      </c>
      <c r="D52" s="71">
        <f t="shared" si="7"/>
        <v>120.54</v>
      </c>
      <c r="E52" s="71">
        <f t="shared" si="7"/>
        <v>120.64</v>
      </c>
      <c r="F52" s="71">
        <f t="shared" si="7"/>
        <v>119.34</v>
      </c>
      <c r="G52" s="71">
        <f t="shared" si="7"/>
        <v>119.44</v>
      </c>
      <c r="H52" s="71">
        <f t="shared" si="7"/>
        <v>148.44</v>
      </c>
      <c r="I52" s="71">
        <f t="shared" si="7"/>
        <v>152.74</v>
      </c>
      <c r="J52" s="71">
        <f t="shared" si="7"/>
        <v>215.54</v>
      </c>
      <c r="K52" s="71">
        <f t="shared" si="7"/>
        <v>274.74</v>
      </c>
      <c r="L52" s="71">
        <f t="shared" si="7"/>
        <v>370.04000000000008</v>
      </c>
      <c r="M52" s="71">
        <f t="shared" si="7"/>
        <v>397.34000000000003</v>
      </c>
      <c r="N52" s="71">
        <f t="shared" si="7"/>
        <v>408.84000000000003</v>
      </c>
      <c r="O52" s="71">
        <f t="shared" si="7"/>
        <v>389.74000000000007</v>
      </c>
      <c r="P52" s="71">
        <f t="shared" si="7"/>
        <v>378.64000000000004</v>
      </c>
      <c r="Q52" s="71">
        <f t="shared" si="7"/>
        <v>287.84000000000003</v>
      </c>
      <c r="R52" s="71">
        <f t="shared" si="7"/>
        <v>197.44</v>
      </c>
      <c r="S52" s="71">
        <f t="shared" si="7"/>
        <v>188.34</v>
      </c>
      <c r="T52" s="71">
        <f t="shared" si="7"/>
        <v>167.44</v>
      </c>
      <c r="U52" s="71">
        <f t="shared" si="7"/>
        <v>185.04</v>
      </c>
      <c r="V52" s="71">
        <f t="shared" si="7"/>
        <v>289.84000000000003</v>
      </c>
      <c r="W52" s="71">
        <f t="shared" si="7"/>
        <v>391.34000000000003</v>
      </c>
      <c r="X52" s="71">
        <f t="shared" si="7"/>
        <v>411.44000000000005</v>
      </c>
      <c r="Y52" s="71">
        <f t="shared" si="7"/>
        <v>415.34000000000003</v>
      </c>
      <c r="Z52" s="71">
        <f t="shared" si="7"/>
        <v>416.44</v>
      </c>
      <c r="AA52" s="71">
        <f t="shared" si="7"/>
        <v>404.44</v>
      </c>
      <c r="AB52" s="71">
        <f t="shared" si="7"/>
        <v>354.84000000000003</v>
      </c>
      <c r="AC52" s="71">
        <f t="shared" si="7"/>
        <v>313.14</v>
      </c>
      <c r="AD52" s="71">
        <f t="shared" si="7"/>
        <v>253.84</v>
      </c>
      <c r="AE52" s="71">
        <f t="shared" si="7"/>
        <v>176.14</v>
      </c>
      <c r="AF52" s="71">
        <f t="shared" si="7"/>
        <v>152.44</v>
      </c>
      <c r="AG52" s="76">
        <f>SUM(AG39:AG51)</f>
        <v>489.91</v>
      </c>
      <c r="AH52" s="53">
        <f t="shared" si="2"/>
        <v>416.44</v>
      </c>
      <c r="AI52" s="54">
        <f t="shared" si="3"/>
        <v>119.34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25.2</v>
      </c>
      <c r="M53" s="77">
        <v>34</v>
      </c>
      <c r="N53" s="77">
        <v>44.4</v>
      </c>
      <c r="O53" s="77">
        <v>27.4</v>
      </c>
      <c r="P53" s="77">
        <v>14.2</v>
      </c>
      <c r="Q53" s="50">
        <v>19.600000000000001</v>
      </c>
      <c r="R53" s="50">
        <v>29.6</v>
      </c>
      <c r="S53" s="50">
        <v>29.8</v>
      </c>
      <c r="T53" s="50">
        <v>29.3</v>
      </c>
      <c r="U53" s="50">
        <v>29.3</v>
      </c>
      <c r="V53" s="50">
        <v>29.3</v>
      </c>
      <c r="W53" s="50">
        <v>29.4</v>
      </c>
      <c r="X53" s="50">
        <v>59.1</v>
      </c>
      <c r="Y53" s="50">
        <v>59.1</v>
      </c>
      <c r="Z53" s="50">
        <v>59.5</v>
      </c>
      <c r="AA53" s="50">
        <v>59.4</v>
      </c>
      <c r="AB53" s="50">
        <v>60.2</v>
      </c>
      <c r="AC53" s="50">
        <v>59.5</v>
      </c>
      <c r="AD53" s="50">
        <v>59.5</v>
      </c>
      <c r="AE53" s="50">
        <v>20.399999999999999</v>
      </c>
      <c r="AF53" s="50">
        <v>14.1</v>
      </c>
      <c r="AG53" s="61">
        <v>60</v>
      </c>
      <c r="AH53" s="53">
        <f t="shared" si="2"/>
        <v>60.2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11.3</v>
      </c>
      <c r="M54" s="77">
        <v>14</v>
      </c>
      <c r="N54" s="77">
        <v>20.7</v>
      </c>
      <c r="O54" s="77">
        <v>12.5</v>
      </c>
      <c r="P54" s="77">
        <v>9.1999999999999993</v>
      </c>
      <c r="Q54" s="72">
        <v>8.9</v>
      </c>
      <c r="R54" s="72">
        <v>14</v>
      </c>
      <c r="S54" s="50">
        <v>14.2</v>
      </c>
      <c r="T54" s="50">
        <v>14.1</v>
      </c>
      <c r="U54" s="50">
        <v>14.2</v>
      </c>
      <c r="V54" s="72">
        <v>14.4</v>
      </c>
      <c r="W54" s="72">
        <v>15.4</v>
      </c>
      <c r="X54" s="72">
        <v>20.7</v>
      </c>
      <c r="Y54" s="72">
        <v>28.6</v>
      </c>
      <c r="Z54" s="72">
        <v>28.9</v>
      </c>
      <c r="AA54" s="72">
        <v>29.2</v>
      </c>
      <c r="AB54" s="72">
        <v>29</v>
      </c>
      <c r="AC54" s="72">
        <v>28.8</v>
      </c>
      <c r="AD54" s="72">
        <v>28.8</v>
      </c>
      <c r="AE54" s="72">
        <v>10.199999999999999</v>
      </c>
      <c r="AF54" s="72">
        <v>6.7</v>
      </c>
      <c r="AG54" s="66">
        <v>32</v>
      </c>
      <c r="AH54" s="53">
        <f t="shared" si="2"/>
        <v>29.2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4.0999999999999996</v>
      </c>
      <c r="M55" s="80">
        <v>5.4</v>
      </c>
      <c r="N55" s="80">
        <v>7.6</v>
      </c>
      <c r="O55" s="80">
        <v>4.5</v>
      </c>
      <c r="P55" s="80">
        <v>3.4</v>
      </c>
      <c r="Q55" s="78">
        <v>3.2</v>
      </c>
      <c r="R55" s="78">
        <v>5.0999999999999996</v>
      </c>
      <c r="S55" s="50">
        <v>5.2</v>
      </c>
      <c r="T55" s="50">
        <v>5.2</v>
      </c>
      <c r="U55" s="50">
        <v>5.2</v>
      </c>
      <c r="V55" s="78">
        <v>5.2</v>
      </c>
      <c r="W55" s="78">
        <v>5.6</v>
      </c>
      <c r="X55" s="78">
        <v>7.6</v>
      </c>
      <c r="Y55" s="78">
        <v>10.4</v>
      </c>
      <c r="Z55" s="78">
        <v>10.6</v>
      </c>
      <c r="AA55" s="78">
        <v>10.7</v>
      </c>
      <c r="AB55" s="78">
        <v>10.6</v>
      </c>
      <c r="AC55" s="78">
        <v>10.5</v>
      </c>
      <c r="AD55" s="78">
        <v>10.5</v>
      </c>
      <c r="AE55" s="78">
        <v>3.7</v>
      </c>
      <c r="AF55" s="78">
        <v>2.4</v>
      </c>
      <c r="AG55" s="81">
        <v>14</v>
      </c>
      <c r="AH55" s="53">
        <f t="shared" si="2"/>
        <v>10.7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0</v>
      </c>
      <c r="L56" s="71">
        <f t="shared" si="8"/>
        <v>40.6</v>
      </c>
      <c r="M56" s="71">
        <f t="shared" si="8"/>
        <v>53.4</v>
      </c>
      <c r="N56" s="71">
        <f t="shared" si="8"/>
        <v>72.699999999999989</v>
      </c>
      <c r="O56" s="71">
        <f t="shared" si="8"/>
        <v>44.4</v>
      </c>
      <c r="P56" s="71">
        <f t="shared" si="8"/>
        <v>26.799999999999997</v>
      </c>
      <c r="Q56" s="71">
        <f t="shared" si="8"/>
        <v>31.7</v>
      </c>
      <c r="R56" s="71">
        <f t="shared" si="8"/>
        <v>48.7</v>
      </c>
      <c r="S56" s="71">
        <f t="shared" si="8"/>
        <v>49.2</v>
      </c>
      <c r="T56" s="71">
        <f t="shared" si="8"/>
        <v>48.6</v>
      </c>
      <c r="U56" s="71">
        <f t="shared" si="8"/>
        <v>48.7</v>
      </c>
      <c r="V56" s="71">
        <f t="shared" si="8"/>
        <v>48.900000000000006</v>
      </c>
      <c r="W56" s="71">
        <f t="shared" si="8"/>
        <v>50.4</v>
      </c>
      <c r="X56" s="71">
        <f t="shared" si="8"/>
        <v>87.399999999999991</v>
      </c>
      <c r="Y56" s="71">
        <f t="shared" si="8"/>
        <v>98.100000000000009</v>
      </c>
      <c r="Z56" s="71">
        <f t="shared" si="8"/>
        <v>99</v>
      </c>
      <c r="AA56" s="71">
        <f t="shared" si="8"/>
        <v>99.3</v>
      </c>
      <c r="AB56" s="71">
        <f t="shared" si="8"/>
        <v>99.8</v>
      </c>
      <c r="AC56" s="71">
        <f t="shared" si="8"/>
        <v>98.8</v>
      </c>
      <c r="AD56" s="71">
        <f t="shared" si="8"/>
        <v>98.8</v>
      </c>
      <c r="AE56" s="71">
        <f t="shared" si="8"/>
        <v>34.299999999999997</v>
      </c>
      <c r="AF56" s="71">
        <f t="shared" si="8"/>
        <v>23.2</v>
      </c>
      <c r="AG56" s="76">
        <f>SUM(AG53:AG55)</f>
        <v>106</v>
      </c>
      <c r="AH56" s="53">
        <f t="shared" si="2"/>
        <v>99.8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66.2</v>
      </c>
      <c r="C57" s="50">
        <v>64.900000000000006</v>
      </c>
      <c r="D57" s="50">
        <v>62.1</v>
      </c>
      <c r="E57" s="50">
        <v>63.1</v>
      </c>
      <c r="F57" s="50">
        <v>63</v>
      </c>
      <c r="G57" s="50">
        <v>72</v>
      </c>
      <c r="H57" s="50">
        <v>71.7</v>
      </c>
      <c r="I57" s="50">
        <v>73</v>
      </c>
      <c r="J57" s="50">
        <v>72.599999999999994</v>
      </c>
      <c r="K57" s="50">
        <v>71.8</v>
      </c>
      <c r="L57" s="50">
        <v>76.5</v>
      </c>
      <c r="M57" s="50">
        <v>78</v>
      </c>
      <c r="N57" s="50">
        <v>66</v>
      </c>
      <c r="O57" s="50">
        <v>68.900000000000006</v>
      </c>
      <c r="P57" s="50">
        <v>74</v>
      </c>
      <c r="Q57" s="50">
        <v>65.5</v>
      </c>
      <c r="R57" s="50">
        <v>66.099999999999994</v>
      </c>
      <c r="S57" s="50">
        <v>63</v>
      </c>
      <c r="T57" s="50">
        <v>66.7</v>
      </c>
      <c r="U57" s="50">
        <v>76.599999999999994</v>
      </c>
      <c r="V57" s="50">
        <v>68</v>
      </c>
      <c r="W57" s="50">
        <v>72</v>
      </c>
      <c r="X57" s="50">
        <v>69</v>
      </c>
      <c r="Y57" s="50">
        <v>79.2</v>
      </c>
      <c r="Z57" s="50">
        <v>70</v>
      </c>
      <c r="AA57" s="50">
        <v>69.5</v>
      </c>
      <c r="AB57" s="50">
        <v>72.2</v>
      </c>
      <c r="AC57" s="50">
        <v>78.7</v>
      </c>
      <c r="AD57" s="50">
        <v>74.3</v>
      </c>
      <c r="AE57" s="50">
        <v>62.8</v>
      </c>
      <c r="AF57" s="50">
        <v>68.5</v>
      </c>
      <c r="AG57" s="61"/>
      <c r="AH57" s="53">
        <f t="shared" si="2"/>
        <v>79.2</v>
      </c>
      <c r="AI57" s="54">
        <f t="shared" si="3"/>
        <v>62.1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122</v>
      </c>
      <c r="N58" s="50">
        <v>129</v>
      </c>
      <c r="O58" s="50">
        <v>107</v>
      </c>
      <c r="P58" s="50">
        <v>92.5</v>
      </c>
      <c r="Q58" s="50">
        <v>0</v>
      </c>
      <c r="R58" s="50">
        <v>0</v>
      </c>
      <c r="S58" s="50">
        <v>0</v>
      </c>
      <c r="T58" s="50">
        <v>72.7</v>
      </c>
      <c r="U58" s="50">
        <v>106</v>
      </c>
      <c r="V58" s="50">
        <v>121</v>
      </c>
      <c r="W58" s="50">
        <v>142</v>
      </c>
      <c r="X58" s="82">
        <v>178</v>
      </c>
      <c r="Y58" s="82">
        <v>180</v>
      </c>
      <c r="Z58" s="82">
        <v>169</v>
      </c>
      <c r="AA58" s="82">
        <v>165</v>
      </c>
      <c r="AB58" s="72">
        <v>149</v>
      </c>
      <c r="AC58" s="72">
        <v>144</v>
      </c>
      <c r="AD58" s="72">
        <v>92.2</v>
      </c>
      <c r="AE58" s="72">
        <v>0</v>
      </c>
      <c r="AF58" s="72">
        <v>0</v>
      </c>
      <c r="AG58" s="66"/>
      <c r="AH58" s="53">
        <f t="shared" si="2"/>
        <v>180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310</v>
      </c>
      <c r="C59" s="72">
        <v>300</v>
      </c>
      <c r="D59" s="72">
        <v>312</v>
      </c>
      <c r="E59" s="72">
        <v>295</v>
      </c>
      <c r="F59" s="72">
        <v>275</v>
      </c>
      <c r="G59" s="72">
        <v>290</v>
      </c>
      <c r="H59" s="50">
        <v>316</v>
      </c>
      <c r="I59" s="50">
        <v>290</v>
      </c>
      <c r="J59" s="50">
        <v>270</v>
      </c>
      <c r="K59" s="50">
        <v>298</v>
      </c>
      <c r="L59" s="50">
        <v>280</v>
      </c>
      <c r="M59" s="72">
        <v>20</v>
      </c>
      <c r="N59" s="72">
        <v>3.2</v>
      </c>
      <c r="O59" s="72">
        <v>2.1</v>
      </c>
      <c r="P59" s="72">
        <v>13</v>
      </c>
      <c r="Q59" s="72">
        <v>229.7</v>
      </c>
      <c r="R59" s="72">
        <v>197.1</v>
      </c>
      <c r="S59" s="72">
        <v>229</v>
      </c>
      <c r="T59" s="72">
        <v>253</v>
      </c>
      <c r="U59" s="72">
        <v>228.3</v>
      </c>
      <c r="V59" s="72">
        <v>109.1</v>
      </c>
      <c r="W59" s="72">
        <v>71.099999999999994</v>
      </c>
      <c r="X59" s="83">
        <v>26</v>
      </c>
      <c r="Y59" s="83">
        <v>45.1</v>
      </c>
      <c r="Z59" s="83">
        <v>24.7</v>
      </c>
      <c r="AA59" s="83">
        <v>14</v>
      </c>
      <c r="AB59" s="72">
        <v>200.7</v>
      </c>
      <c r="AC59" s="72">
        <v>213.1</v>
      </c>
      <c r="AD59" s="72">
        <v>256.89999999999998</v>
      </c>
      <c r="AE59" s="72">
        <v>263.3</v>
      </c>
      <c r="AF59" s="72">
        <v>245.6</v>
      </c>
      <c r="AG59" s="84"/>
      <c r="AH59" s="53">
        <f t="shared" si="2"/>
        <v>316</v>
      </c>
      <c r="AI59" s="54">
        <f t="shared" si="3"/>
        <v>2.1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48</v>
      </c>
      <c r="H60" s="57">
        <v>53.3</v>
      </c>
      <c r="I60" s="57">
        <v>43.9</v>
      </c>
      <c r="J60" s="57">
        <v>50.5</v>
      </c>
      <c r="K60" s="57">
        <v>59.1</v>
      </c>
      <c r="L60" s="57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61</v>
      </c>
      <c r="AA60" s="72">
        <v>62.8</v>
      </c>
      <c r="AB60" s="72">
        <v>61.3</v>
      </c>
      <c r="AC60" s="72">
        <v>61.8</v>
      </c>
      <c r="AD60" s="72">
        <v>60.2</v>
      </c>
      <c r="AE60" s="72">
        <v>55.2</v>
      </c>
      <c r="AF60" s="57">
        <v>53</v>
      </c>
      <c r="AG60" s="84"/>
      <c r="AH60" s="53">
        <f t="shared" si="2"/>
        <v>62.8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69.099999999999994</v>
      </c>
      <c r="J61" s="57">
        <v>79.8</v>
      </c>
      <c r="K61" s="57">
        <v>67.900000000000006</v>
      </c>
      <c r="L61" s="57">
        <v>75.2</v>
      </c>
      <c r="M61" s="50">
        <v>76</v>
      </c>
      <c r="N61" s="50">
        <v>77.099999999999994</v>
      </c>
      <c r="O61" s="50">
        <v>73.599999999999994</v>
      </c>
      <c r="P61" s="50">
        <v>76.400000000000006</v>
      </c>
      <c r="Q61" s="50">
        <v>71.7</v>
      </c>
      <c r="R61" s="50">
        <v>66.099999999999994</v>
      </c>
      <c r="S61" s="50">
        <v>59.8</v>
      </c>
      <c r="T61" s="50">
        <v>62.6</v>
      </c>
      <c r="U61" s="50">
        <v>61.1</v>
      </c>
      <c r="V61" s="50">
        <v>68</v>
      </c>
      <c r="W61" s="50">
        <v>67.099999999999994</v>
      </c>
      <c r="X61" s="50">
        <v>74.400000000000006</v>
      </c>
      <c r="Y61" s="50">
        <v>80.900000000000006</v>
      </c>
      <c r="Z61" s="50">
        <v>74.599999999999994</v>
      </c>
      <c r="AA61" s="50">
        <v>80.3</v>
      </c>
      <c r="AB61" s="50">
        <v>71</v>
      </c>
      <c r="AC61" s="50">
        <v>75.8</v>
      </c>
      <c r="AD61" s="50">
        <v>74.900000000000006</v>
      </c>
      <c r="AE61" s="50">
        <v>60.9</v>
      </c>
      <c r="AF61" s="50">
        <v>0</v>
      </c>
      <c r="AG61" s="84"/>
      <c r="AH61" s="53">
        <f t="shared" si="2"/>
        <v>80.900000000000006</v>
      </c>
      <c r="AI61" s="54">
        <f t="shared" si="3"/>
        <v>0</v>
      </c>
      <c r="AK61" s="55"/>
    </row>
    <row r="62" spans="1:37" x14ac:dyDescent="0.25">
      <c r="A62" s="65" t="s">
        <v>70</v>
      </c>
      <c r="B62" s="50">
        <v>0</v>
      </c>
      <c r="C62" s="57">
        <v>0</v>
      </c>
      <c r="D62" s="57">
        <v>0</v>
      </c>
      <c r="E62" s="57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5.5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5.5</v>
      </c>
      <c r="AI62" s="54">
        <f t="shared" si="3"/>
        <v>0</v>
      </c>
      <c r="AK62" s="55"/>
    </row>
    <row r="63" spans="1:37" x14ac:dyDescent="0.25">
      <c r="A63" s="65" t="s">
        <v>71</v>
      </c>
      <c r="B63" s="50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0">
        <v>0</v>
      </c>
      <c r="K63" s="50">
        <v>0</v>
      </c>
      <c r="L63" s="50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0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0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0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72">
        <v>0</v>
      </c>
      <c r="K66" s="72">
        <v>0</v>
      </c>
      <c r="L66" s="7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0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0">
        <v>0</v>
      </c>
      <c r="K67" s="50">
        <v>0</v>
      </c>
      <c r="L67" s="50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376.2</v>
      </c>
      <c r="C68" s="71">
        <f>SUM(C57:C67)</f>
        <v>364.9</v>
      </c>
      <c r="D68" s="71">
        <f t="shared" ref="D68:AF68" si="9">SUM(D57:D67)</f>
        <v>374.1</v>
      </c>
      <c r="E68" s="71">
        <f t="shared" si="9"/>
        <v>358.1</v>
      </c>
      <c r="F68" s="71">
        <f t="shared" si="9"/>
        <v>338</v>
      </c>
      <c r="G68" s="71">
        <f t="shared" si="9"/>
        <v>410</v>
      </c>
      <c r="H68" s="71">
        <f t="shared" si="9"/>
        <v>441</v>
      </c>
      <c r="I68" s="71">
        <f t="shared" si="9"/>
        <v>476</v>
      </c>
      <c r="J68" s="71">
        <f t="shared" si="9"/>
        <v>472.90000000000003</v>
      </c>
      <c r="K68" s="71">
        <f t="shared" si="9"/>
        <v>496.80000000000007</v>
      </c>
      <c r="L68" s="71">
        <f t="shared" si="9"/>
        <v>431.7</v>
      </c>
      <c r="M68" s="71">
        <f t="shared" si="9"/>
        <v>296</v>
      </c>
      <c r="N68" s="71">
        <f t="shared" si="9"/>
        <v>275.29999999999995</v>
      </c>
      <c r="O68" s="71">
        <f t="shared" si="9"/>
        <v>251.6</v>
      </c>
      <c r="P68" s="71">
        <f t="shared" si="9"/>
        <v>255.9</v>
      </c>
      <c r="Q68" s="71">
        <f t="shared" si="9"/>
        <v>366.9</v>
      </c>
      <c r="R68" s="71">
        <f t="shared" si="9"/>
        <v>329.29999999999995</v>
      </c>
      <c r="S68" s="71">
        <f t="shared" si="9"/>
        <v>351.8</v>
      </c>
      <c r="T68" s="71">
        <f t="shared" si="9"/>
        <v>455</v>
      </c>
      <c r="U68" s="71">
        <f t="shared" si="9"/>
        <v>472</v>
      </c>
      <c r="V68" s="71">
        <f t="shared" si="9"/>
        <v>366.1</v>
      </c>
      <c r="W68" s="71">
        <f t="shared" si="9"/>
        <v>352.20000000000005</v>
      </c>
      <c r="X68" s="71">
        <f t="shared" si="9"/>
        <v>347.4</v>
      </c>
      <c r="Y68" s="71">
        <f t="shared" si="9"/>
        <v>390.70000000000005</v>
      </c>
      <c r="Z68" s="71">
        <f t="shared" si="9"/>
        <v>399.29999999999995</v>
      </c>
      <c r="AA68" s="71">
        <f t="shared" si="9"/>
        <v>391.6</v>
      </c>
      <c r="AB68" s="71">
        <f t="shared" si="9"/>
        <v>554.20000000000005</v>
      </c>
      <c r="AC68" s="71">
        <f t="shared" si="9"/>
        <v>573.4</v>
      </c>
      <c r="AD68" s="71">
        <f t="shared" si="9"/>
        <v>558.5</v>
      </c>
      <c r="AE68" s="71">
        <f t="shared" si="9"/>
        <v>442.2</v>
      </c>
      <c r="AF68" s="71">
        <f t="shared" si="9"/>
        <v>367.1</v>
      </c>
      <c r="AG68" s="76">
        <f>SUM(AG57:AG67)</f>
        <v>0</v>
      </c>
      <c r="AH68" s="53">
        <f t="shared" si="2"/>
        <v>573.4</v>
      </c>
      <c r="AI68" s="54">
        <f t="shared" si="3"/>
        <v>251.6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ref="Y72" si="11">SUM(Y69:Y71)</f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991.83999999999992</v>
      </c>
      <c r="C73" s="88">
        <f>C68+C56+C52+C38+C72</f>
        <v>962.83999999999992</v>
      </c>
      <c r="D73" s="88">
        <f t="shared" ref="D73:AG73" si="12">D68+D56+D52+D38+D72</f>
        <v>912.54</v>
      </c>
      <c r="E73" s="88">
        <f t="shared" si="12"/>
        <v>938.74</v>
      </c>
      <c r="F73" s="88">
        <f t="shared" si="12"/>
        <v>917.33999999999992</v>
      </c>
      <c r="G73" s="88">
        <f t="shared" si="12"/>
        <v>951.44</v>
      </c>
      <c r="H73" s="88">
        <f t="shared" si="12"/>
        <v>1011.44</v>
      </c>
      <c r="I73" s="88">
        <f t="shared" si="12"/>
        <v>1050.74</v>
      </c>
      <c r="J73" s="88">
        <f t="shared" si="12"/>
        <v>1178.44</v>
      </c>
      <c r="K73" s="88">
        <f t="shared" si="12"/>
        <v>1281.54</v>
      </c>
      <c r="L73" s="88">
        <f t="shared" si="12"/>
        <v>1352.3400000000001</v>
      </c>
      <c r="M73" s="88">
        <f t="shared" si="12"/>
        <v>1424.74</v>
      </c>
      <c r="N73" s="88">
        <f t="shared" si="12"/>
        <v>1471.74</v>
      </c>
      <c r="O73" s="88">
        <f t="shared" si="12"/>
        <v>1401.54</v>
      </c>
      <c r="P73" s="88">
        <f t="shared" si="12"/>
        <v>1296.8400000000001</v>
      </c>
      <c r="Q73" s="88">
        <f t="shared" si="12"/>
        <v>1165.6400000000001</v>
      </c>
      <c r="R73" s="88">
        <f t="shared" si="12"/>
        <v>1065.74</v>
      </c>
      <c r="S73" s="88">
        <f t="shared" si="12"/>
        <v>1089.6399999999999</v>
      </c>
      <c r="T73" s="88">
        <f t="shared" si="12"/>
        <v>1086.54</v>
      </c>
      <c r="U73" s="88">
        <f t="shared" si="12"/>
        <v>1121.24</v>
      </c>
      <c r="V73" s="88">
        <f t="shared" si="12"/>
        <v>1225.1399999999999</v>
      </c>
      <c r="W73" s="88">
        <f t="shared" si="12"/>
        <v>1304.24</v>
      </c>
      <c r="X73" s="88">
        <f t="shared" si="12"/>
        <v>1466.54</v>
      </c>
      <c r="Y73" s="88">
        <f t="shared" si="12"/>
        <v>1589.7400000000002</v>
      </c>
      <c r="Z73" s="88">
        <f t="shared" si="12"/>
        <v>1580.3400000000001</v>
      </c>
      <c r="AA73" s="88">
        <f t="shared" si="12"/>
        <v>1540.94</v>
      </c>
      <c r="AB73" s="88">
        <f t="shared" si="12"/>
        <v>1454.04</v>
      </c>
      <c r="AC73" s="88">
        <f t="shared" si="12"/>
        <v>1429.7399999999998</v>
      </c>
      <c r="AD73" s="88">
        <f t="shared" si="12"/>
        <v>1335.54</v>
      </c>
      <c r="AE73" s="88">
        <f t="shared" si="12"/>
        <v>1067.04</v>
      </c>
      <c r="AF73" s="88">
        <f t="shared" si="12"/>
        <v>962.24</v>
      </c>
      <c r="AG73" s="88">
        <f t="shared" si="12"/>
        <v>2144.14</v>
      </c>
      <c r="AH73" s="53">
        <f t="shared" si="2"/>
        <v>1589.7400000000002</v>
      </c>
      <c r="AI73" s="54">
        <f t="shared" si="3"/>
        <v>912.54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>
        <v>10</v>
      </c>
      <c r="X74" s="90">
        <v>10</v>
      </c>
      <c r="Y74" s="90">
        <v>30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30</v>
      </c>
      <c r="AI74" s="54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991.83999999999992</v>
      </c>
      <c r="C75" s="88">
        <f>C73+C74</f>
        <v>962.83999999999992</v>
      </c>
      <c r="D75" s="88">
        <f t="shared" ref="D75:AF75" si="13">D72+D68+D56+D52+D38+D74</f>
        <v>912.54</v>
      </c>
      <c r="E75" s="88">
        <f t="shared" si="13"/>
        <v>938.74</v>
      </c>
      <c r="F75" s="88">
        <f t="shared" si="13"/>
        <v>917.33999999999992</v>
      </c>
      <c r="G75" s="88">
        <f t="shared" si="13"/>
        <v>951.44</v>
      </c>
      <c r="H75" s="88">
        <f t="shared" si="13"/>
        <v>1011.44</v>
      </c>
      <c r="I75" s="88">
        <f t="shared" si="13"/>
        <v>1050.74</v>
      </c>
      <c r="J75" s="88">
        <f t="shared" si="13"/>
        <v>1178.44</v>
      </c>
      <c r="K75" s="88">
        <f t="shared" si="13"/>
        <v>1281.54</v>
      </c>
      <c r="L75" s="88">
        <f t="shared" si="13"/>
        <v>1352.3400000000001</v>
      </c>
      <c r="M75" s="88">
        <f t="shared" si="13"/>
        <v>1424.74</v>
      </c>
      <c r="N75" s="88">
        <f t="shared" si="13"/>
        <v>1471.74</v>
      </c>
      <c r="O75" s="88">
        <f t="shared" si="13"/>
        <v>1401.54</v>
      </c>
      <c r="P75" s="88">
        <f t="shared" si="13"/>
        <v>1296.8400000000001</v>
      </c>
      <c r="Q75" s="88">
        <f t="shared" si="13"/>
        <v>1165.6400000000001</v>
      </c>
      <c r="R75" s="88">
        <f t="shared" si="13"/>
        <v>1065.74</v>
      </c>
      <c r="S75" s="88">
        <f t="shared" si="13"/>
        <v>1089.6399999999999</v>
      </c>
      <c r="T75" s="88">
        <f t="shared" si="13"/>
        <v>1086.54</v>
      </c>
      <c r="U75" s="88">
        <f t="shared" si="13"/>
        <v>1121.24</v>
      </c>
      <c r="V75" s="88">
        <f t="shared" si="13"/>
        <v>1225.1399999999999</v>
      </c>
      <c r="W75" s="88">
        <f t="shared" si="13"/>
        <v>1314.24</v>
      </c>
      <c r="X75" s="88">
        <f t="shared" si="13"/>
        <v>1476.54</v>
      </c>
      <c r="Y75" s="88">
        <f t="shared" si="13"/>
        <v>1619.7400000000002</v>
      </c>
      <c r="Z75" s="88">
        <f t="shared" si="13"/>
        <v>1580.3400000000001</v>
      </c>
      <c r="AA75" s="88">
        <f t="shared" si="13"/>
        <v>1540.94</v>
      </c>
      <c r="AB75" s="88">
        <f t="shared" si="13"/>
        <v>1454.04</v>
      </c>
      <c r="AC75" s="88">
        <f t="shared" si="13"/>
        <v>1429.7399999999998</v>
      </c>
      <c r="AD75" s="88">
        <f t="shared" si="13"/>
        <v>1335.54</v>
      </c>
      <c r="AE75" s="88">
        <f t="shared" si="13"/>
        <v>1067.04</v>
      </c>
      <c r="AF75" s="88">
        <f t="shared" si="13"/>
        <v>962.24</v>
      </c>
      <c r="AG75" s="76">
        <f>AG72+AG68+AG56+AG52+AG38+AG74</f>
        <v>2144.14</v>
      </c>
      <c r="AH75" s="53">
        <f t="shared" si="2"/>
        <v>1619.7400000000002</v>
      </c>
      <c r="AI75" s="54">
        <f t="shared" si="3"/>
        <v>912.54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4">IF(D60&lt;0,D60*-1,0)</f>
        <v>0</v>
      </c>
      <c r="E76" s="57">
        <f t="shared" si="14"/>
        <v>0</v>
      </c>
      <c r="F76" s="57">
        <f t="shared" si="14"/>
        <v>0</v>
      </c>
      <c r="G76" s="57">
        <f t="shared" si="14"/>
        <v>0</v>
      </c>
      <c r="H76" s="57">
        <f t="shared" si="14"/>
        <v>0</v>
      </c>
      <c r="I76" s="57">
        <f t="shared" si="14"/>
        <v>0</v>
      </c>
      <c r="J76" s="57">
        <f t="shared" si="14"/>
        <v>0</v>
      </c>
      <c r="K76" s="57">
        <f t="shared" si="14"/>
        <v>0</v>
      </c>
      <c r="L76" s="57">
        <f t="shared" si="14"/>
        <v>0</v>
      </c>
      <c r="M76" s="57">
        <f t="shared" si="14"/>
        <v>0</v>
      </c>
      <c r="N76" s="57">
        <f t="shared" si="14"/>
        <v>0</v>
      </c>
      <c r="O76" s="57">
        <f t="shared" si="14"/>
        <v>0</v>
      </c>
      <c r="P76" s="57">
        <f t="shared" si="14"/>
        <v>0</v>
      </c>
      <c r="Q76" s="57">
        <f t="shared" si="14"/>
        <v>0</v>
      </c>
      <c r="R76" s="57">
        <f t="shared" si="14"/>
        <v>0</v>
      </c>
      <c r="S76" s="57">
        <f t="shared" si="14"/>
        <v>0</v>
      </c>
      <c r="T76" s="57">
        <f t="shared" si="14"/>
        <v>0</v>
      </c>
      <c r="U76" s="57">
        <f t="shared" si="14"/>
        <v>0</v>
      </c>
      <c r="V76" s="57">
        <f t="shared" si="14"/>
        <v>0</v>
      </c>
      <c r="W76" s="57">
        <f t="shared" si="14"/>
        <v>0</v>
      </c>
      <c r="X76" s="57">
        <f t="shared" si="14"/>
        <v>0</v>
      </c>
      <c r="Y76" s="57">
        <f t="shared" ref="Y76" si="15">IF(Y60&lt;0,Y60*-1,0)</f>
        <v>0</v>
      </c>
      <c r="Z76" s="57">
        <f t="shared" si="14"/>
        <v>0</v>
      </c>
      <c r="AA76" s="57">
        <f t="shared" si="14"/>
        <v>0</v>
      </c>
      <c r="AB76" s="57">
        <f t="shared" si="14"/>
        <v>0</v>
      </c>
      <c r="AC76" s="57">
        <f t="shared" si="14"/>
        <v>0</v>
      </c>
      <c r="AD76" s="57">
        <f t="shared" si="14"/>
        <v>0</v>
      </c>
      <c r="AE76" s="57">
        <f t="shared" si="14"/>
        <v>0</v>
      </c>
      <c r="AF76" s="57">
        <f t="shared" si="14"/>
        <v>0</v>
      </c>
      <c r="AG76" s="61"/>
      <c r="AH76" s="53">
        <f t="shared" ref="AH76:AH91" si="16">MAX(B76:AF76)</f>
        <v>0</v>
      </c>
      <c r="AI76" s="54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8">IF(D58&lt;0,D58*-1,0)</f>
        <v>0</v>
      </c>
      <c r="E77" s="57">
        <f t="shared" si="18"/>
        <v>0</v>
      </c>
      <c r="F77" s="57">
        <f t="shared" si="18"/>
        <v>0</v>
      </c>
      <c r="G77" s="57">
        <f t="shared" si="18"/>
        <v>0</v>
      </c>
      <c r="H77" s="57">
        <f t="shared" si="18"/>
        <v>0</v>
      </c>
      <c r="I77" s="57">
        <f t="shared" si="18"/>
        <v>0</v>
      </c>
      <c r="J77" s="57">
        <f t="shared" si="18"/>
        <v>0</v>
      </c>
      <c r="K77" s="57">
        <f t="shared" si="18"/>
        <v>0</v>
      </c>
      <c r="L77" s="57">
        <f t="shared" si="18"/>
        <v>0</v>
      </c>
      <c r="M77" s="57">
        <f t="shared" si="18"/>
        <v>0</v>
      </c>
      <c r="N77" s="57">
        <f t="shared" si="18"/>
        <v>0</v>
      </c>
      <c r="O77" s="57">
        <f t="shared" si="18"/>
        <v>0</v>
      </c>
      <c r="P77" s="57">
        <f t="shared" si="18"/>
        <v>0</v>
      </c>
      <c r="Q77" s="57">
        <f t="shared" si="18"/>
        <v>0</v>
      </c>
      <c r="R77" s="57">
        <f t="shared" si="18"/>
        <v>0</v>
      </c>
      <c r="S77" s="57">
        <f t="shared" si="18"/>
        <v>0</v>
      </c>
      <c r="T77" s="57">
        <f t="shared" si="18"/>
        <v>0</v>
      </c>
      <c r="U77" s="57">
        <f t="shared" si="18"/>
        <v>0</v>
      </c>
      <c r="V77" s="57">
        <f t="shared" si="18"/>
        <v>0</v>
      </c>
      <c r="W77" s="57">
        <f t="shared" si="18"/>
        <v>0</v>
      </c>
      <c r="X77" s="57">
        <f t="shared" si="18"/>
        <v>0</v>
      </c>
      <c r="Y77" s="57">
        <f t="shared" ref="Y77" si="19">IF(Y58&lt;0,Y58*-1,0)</f>
        <v>0</v>
      </c>
      <c r="Z77" s="57">
        <f t="shared" si="18"/>
        <v>0</v>
      </c>
      <c r="AA77" s="57">
        <f t="shared" si="18"/>
        <v>0</v>
      </c>
      <c r="AB77" s="57">
        <f t="shared" si="18"/>
        <v>0</v>
      </c>
      <c r="AC77" s="57">
        <f t="shared" si="18"/>
        <v>0</v>
      </c>
      <c r="AD77" s="57">
        <f t="shared" si="18"/>
        <v>0</v>
      </c>
      <c r="AE77" s="57">
        <f t="shared" si="18"/>
        <v>0</v>
      </c>
      <c r="AF77" s="57">
        <f t="shared" si="18"/>
        <v>0</v>
      </c>
      <c r="AG77" s="66"/>
      <c r="AH77" s="53">
        <f t="shared" si="16"/>
        <v>0</v>
      </c>
      <c r="AI77" s="54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20">IF(D61&lt;0,D61*-1,0)</f>
        <v>0</v>
      </c>
      <c r="E78" s="57">
        <f t="shared" si="20"/>
        <v>0</v>
      </c>
      <c r="F78" s="57">
        <f t="shared" si="20"/>
        <v>0</v>
      </c>
      <c r="G78" s="57">
        <f t="shared" si="20"/>
        <v>0</v>
      </c>
      <c r="H78" s="57">
        <f t="shared" si="20"/>
        <v>0</v>
      </c>
      <c r="I78" s="57">
        <f t="shared" si="20"/>
        <v>0</v>
      </c>
      <c r="J78" s="57">
        <f t="shared" si="20"/>
        <v>0</v>
      </c>
      <c r="K78" s="57">
        <f t="shared" si="20"/>
        <v>0</v>
      </c>
      <c r="L78" s="57">
        <f t="shared" si="20"/>
        <v>0</v>
      </c>
      <c r="M78" s="57">
        <f t="shared" si="20"/>
        <v>0</v>
      </c>
      <c r="N78" s="57">
        <f t="shared" si="20"/>
        <v>0</v>
      </c>
      <c r="O78" s="57">
        <f t="shared" si="20"/>
        <v>0</v>
      </c>
      <c r="P78" s="57">
        <f t="shared" si="20"/>
        <v>0</v>
      </c>
      <c r="Q78" s="57">
        <f t="shared" si="20"/>
        <v>0</v>
      </c>
      <c r="R78" s="57">
        <f t="shared" si="20"/>
        <v>0</v>
      </c>
      <c r="S78" s="57">
        <f t="shared" si="20"/>
        <v>0</v>
      </c>
      <c r="T78" s="57">
        <f t="shared" si="20"/>
        <v>0</v>
      </c>
      <c r="U78" s="57">
        <f t="shared" si="20"/>
        <v>0</v>
      </c>
      <c r="V78" s="57">
        <f t="shared" si="20"/>
        <v>0</v>
      </c>
      <c r="W78" s="57">
        <f t="shared" si="20"/>
        <v>0</v>
      </c>
      <c r="X78" s="57">
        <f t="shared" si="20"/>
        <v>0</v>
      </c>
      <c r="Y78" s="57">
        <f t="shared" ref="Y78" si="21">IF(Y61&lt;0,Y61*-1,0)</f>
        <v>0</v>
      </c>
      <c r="Z78" s="57">
        <f t="shared" si="20"/>
        <v>0</v>
      </c>
      <c r="AA78" s="57">
        <f t="shared" si="20"/>
        <v>0</v>
      </c>
      <c r="AB78" s="57">
        <f t="shared" si="20"/>
        <v>0</v>
      </c>
      <c r="AC78" s="57">
        <f t="shared" si="20"/>
        <v>0</v>
      </c>
      <c r="AD78" s="57">
        <f t="shared" si="20"/>
        <v>0</v>
      </c>
      <c r="AE78" s="57">
        <f t="shared" si="20"/>
        <v>0</v>
      </c>
      <c r="AF78" s="57">
        <f t="shared" si="20"/>
        <v>0</v>
      </c>
      <c r="AG78" s="91"/>
      <c r="AH78" s="53">
        <f t="shared" si="16"/>
        <v>0</v>
      </c>
      <c r="AI78" s="54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22">IF(D59&lt;0,D59*-1,0)</f>
        <v>0</v>
      </c>
      <c r="E79" s="57">
        <f t="shared" si="22"/>
        <v>0</v>
      </c>
      <c r="F79" s="57">
        <f t="shared" si="22"/>
        <v>0</v>
      </c>
      <c r="G79" s="57">
        <f t="shared" si="22"/>
        <v>0</v>
      </c>
      <c r="H79" s="57">
        <f t="shared" si="22"/>
        <v>0</v>
      </c>
      <c r="I79" s="57">
        <f t="shared" si="22"/>
        <v>0</v>
      </c>
      <c r="J79" s="57">
        <f t="shared" si="22"/>
        <v>0</v>
      </c>
      <c r="K79" s="57">
        <f t="shared" si="22"/>
        <v>0</v>
      </c>
      <c r="L79" s="57">
        <f t="shared" si="22"/>
        <v>0</v>
      </c>
      <c r="M79" s="57">
        <f t="shared" si="22"/>
        <v>0</v>
      </c>
      <c r="N79" s="57">
        <f t="shared" si="22"/>
        <v>0</v>
      </c>
      <c r="O79" s="57">
        <f t="shared" si="22"/>
        <v>0</v>
      </c>
      <c r="P79" s="57">
        <f t="shared" si="22"/>
        <v>0</v>
      </c>
      <c r="Q79" s="57">
        <f t="shared" si="22"/>
        <v>0</v>
      </c>
      <c r="R79" s="57">
        <f t="shared" si="22"/>
        <v>0</v>
      </c>
      <c r="S79" s="57">
        <f t="shared" si="22"/>
        <v>0</v>
      </c>
      <c r="T79" s="57">
        <f t="shared" si="22"/>
        <v>0</v>
      </c>
      <c r="U79" s="57">
        <f t="shared" si="22"/>
        <v>0</v>
      </c>
      <c r="V79" s="57">
        <f t="shared" si="22"/>
        <v>0</v>
      </c>
      <c r="W79" s="57">
        <f t="shared" si="22"/>
        <v>0</v>
      </c>
      <c r="X79" s="57">
        <f t="shared" si="22"/>
        <v>0</v>
      </c>
      <c r="Y79" s="57">
        <f t="shared" ref="Y79" si="23">IF(Y59&lt;0,Y59*-1,0)</f>
        <v>0</v>
      </c>
      <c r="Z79" s="57">
        <f t="shared" si="22"/>
        <v>0</v>
      </c>
      <c r="AA79" s="57">
        <f t="shared" si="22"/>
        <v>0</v>
      </c>
      <c r="AB79" s="57">
        <f t="shared" si="22"/>
        <v>0</v>
      </c>
      <c r="AC79" s="57">
        <f t="shared" si="22"/>
        <v>0</v>
      </c>
      <c r="AD79" s="57">
        <f t="shared" si="22"/>
        <v>0</v>
      </c>
      <c r="AE79" s="57">
        <f t="shared" si="22"/>
        <v>0</v>
      </c>
      <c r="AF79" s="57">
        <f t="shared" si="22"/>
        <v>0</v>
      </c>
      <c r="AG79" s="91"/>
      <c r="AH79" s="53">
        <f t="shared" si="16"/>
        <v>0</v>
      </c>
      <c r="AI79" s="54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4">IF(D57&lt;0,D57*-1,0)</f>
        <v>0</v>
      </c>
      <c r="E80" s="57">
        <f t="shared" si="24"/>
        <v>0</v>
      </c>
      <c r="F80" s="57">
        <f t="shared" si="24"/>
        <v>0</v>
      </c>
      <c r="G80" s="57">
        <f t="shared" si="24"/>
        <v>0</v>
      </c>
      <c r="H80" s="57">
        <f t="shared" si="24"/>
        <v>0</v>
      </c>
      <c r="I80" s="57">
        <f t="shared" si="24"/>
        <v>0</v>
      </c>
      <c r="J80" s="57">
        <f t="shared" si="24"/>
        <v>0</v>
      </c>
      <c r="K80" s="57">
        <f t="shared" si="24"/>
        <v>0</v>
      </c>
      <c r="L80" s="57">
        <f t="shared" si="24"/>
        <v>0</v>
      </c>
      <c r="M80" s="57">
        <f t="shared" si="24"/>
        <v>0</v>
      </c>
      <c r="N80" s="57">
        <f t="shared" si="24"/>
        <v>0</v>
      </c>
      <c r="O80" s="57">
        <f t="shared" si="24"/>
        <v>0</v>
      </c>
      <c r="P80" s="57">
        <f t="shared" si="24"/>
        <v>0</v>
      </c>
      <c r="Q80" s="57">
        <f t="shared" si="24"/>
        <v>0</v>
      </c>
      <c r="R80" s="57">
        <f t="shared" si="24"/>
        <v>0</v>
      </c>
      <c r="S80" s="57">
        <f t="shared" si="24"/>
        <v>0</v>
      </c>
      <c r="T80" s="57">
        <f t="shared" si="24"/>
        <v>0</v>
      </c>
      <c r="U80" s="57">
        <f t="shared" si="24"/>
        <v>0</v>
      </c>
      <c r="V80" s="57">
        <f t="shared" si="24"/>
        <v>0</v>
      </c>
      <c r="W80" s="57">
        <f t="shared" si="24"/>
        <v>0</v>
      </c>
      <c r="X80" s="57">
        <f t="shared" si="24"/>
        <v>0</v>
      </c>
      <c r="Y80" s="57">
        <f t="shared" ref="Y80" si="25">IF(Y57&lt;0,Y57*-1,0)</f>
        <v>0</v>
      </c>
      <c r="Z80" s="57">
        <f t="shared" si="24"/>
        <v>0</v>
      </c>
      <c r="AA80" s="57">
        <f t="shared" si="24"/>
        <v>0</v>
      </c>
      <c r="AB80" s="57">
        <f t="shared" si="24"/>
        <v>0</v>
      </c>
      <c r="AC80" s="57">
        <f t="shared" si="24"/>
        <v>0</v>
      </c>
      <c r="AD80" s="57">
        <f t="shared" si="24"/>
        <v>0</v>
      </c>
      <c r="AE80" s="57">
        <f t="shared" si="24"/>
        <v>0</v>
      </c>
      <c r="AF80" s="57">
        <f t="shared" si="24"/>
        <v>0</v>
      </c>
      <c r="AG80" s="91"/>
      <c r="AH80" s="53">
        <f t="shared" si="16"/>
        <v>0</v>
      </c>
      <c r="AI80" s="54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6"/>
        <v>0</v>
      </c>
      <c r="AI81" s="54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6">SUM(C76:C81)</f>
        <v>0</v>
      </c>
      <c r="D82" s="71">
        <f t="shared" si="26"/>
        <v>0</v>
      </c>
      <c r="E82" s="71">
        <f t="shared" si="26"/>
        <v>0</v>
      </c>
      <c r="F82" s="71">
        <f t="shared" si="26"/>
        <v>0</v>
      </c>
      <c r="G82" s="71">
        <f t="shared" si="26"/>
        <v>0</v>
      </c>
      <c r="H82" s="71">
        <f t="shared" si="26"/>
        <v>0</v>
      </c>
      <c r="I82" s="71">
        <f t="shared" si="26"/>
        <v>0</v>
      </c>
      <c r="J82" s="71">
        <f t="shared" si="26"/>
        <v>0</v>
      </c>
      <c r="K82" s="71">
        <f t="shared" si="26"/>
        <v>0</v>
      </c>
      <c r="L82" s="71">
        <f t="shared" si="26"/>
        <v>0</v>
      </c>
      <c r="M82" s="71">
        <f t="shared" si="26"/>
        <v>0</v>
      </c>
      <c r="N82" s="71">
        <f t="shared" si="26"/>
        <v>0</v>
      </c>
      <c r="O82" s="71">
        <f t="shared" si="26"/>
        <v>0</v>
      </c>
      <c r="P82" s="71">
        <f t="shared" si="26"/>
        <v>0</v>
      </c>
      <c r="Q82" s="71">
        <f t="shared" si="26"/>
        <v>0</v>
      </c>
      <c r="R82" s="71">
        <f t="shared" si="26"/>
        <v>0</v>
      </c>
      <c r="S82" s="71">
        <f t="shared" si="26"/>
        <v>0</v>
      </c>
      <c r="T82" s="71">
        <f t="shared" si="26"/>
        <v>0</v>
      </c>
      <c r="U82" s="71">
        <f t="shared" si="26"/>
        <v>0</v>
      </c>
      <c r="V82" s="71">
        <f t="shared" si="26"/>
        <v>0</v>
      </c>
      <c r="W82" s="71">
        <f t="shared" si="26"/>
        <v>0</v>
      </c>
      <c r="X82" s="71">
        <f t="shared" si="26"/>
        <v>0</v>
      </c>
      <c r="Y82" s="71">
        <f t="shared" si="26"/>
        <v>0</v>
      </c>
      <c r="Z82" s="71">
        <f t="shared" si="26"/>
        <v>0</v>
      </c>
      <c r="AA82" s="71">
        <f t="shared" si="26"/>
        <v>0</v>
      </c>
      <c r="AB82" s="71">
        <f t="shared" si="26"/>
        <v>0</v>
      </c>
      <c r="AC82" s="71">
        <f t="shared" si="26"/>
        <v>0</v>
      </c>
      <c r="AD82" s="71">
        <f t="shared" si="26"/>
        <v>0</v>
      </c>
      <c r="AE82" s="71">
        <f t="shared" si="26"/>
        <v>0</v>
      </c>
      <c r="AF82" s="71">
        <f t="shared" si="26"/>
        <v>0</v>
      </c>
      <c r="AG82" s="76">
        <f t="shared" si="26"/>
        <v>0</v>
      </c>
      <c r="AH82" s="53">
        <f t="shared" si="16"/>
        <v>0</v>
      </c>
      <c r="AI82" s="54">
        <f t="shared" si="17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1983.6799999999998</v>
      </c>
      <c r="C83" s="71">
        <f t="shared" ref="C83:AG83" si="27">SUM(C70:C82)</f>
        <v>1925.6799999999998</v>
      </c>
      <c r="D83" s="71">
        <f t="shared" si="27"/>
        <v>1825.08</v>
      </c>
      <c r="E83" s="71">
        <f t="shared" si="27"/>
        <v>1877.48</v>
      </c>
      <c r="F83" s="71">
        <f t="shared" si="27"/>
        <v>1834.6799999999998</v>
      </c>
      <c r="G83" s="71">
        <f t="shared" si="27"/>
        <v>1902.88</v>
      </c>
      <c r="H83" s="71">
        <f t="shared" si="27"/>
        <v>2022.88</v>
      </c>
      <c r="I83" s="71">
        <f t="shared" si="27"/>
        <v>2101.48</v>
      </c>
      <c r="J83" s="71">
        <f t="shared" si="27"/>
        <v>2356.88</v>
      </c>
      <c r="K83" s="71">
        <f t="shared" si="27"/>
        <v>2563.08</v>
      </c>
      <c r="L83" s="71">
        <f t="shared" si="27"/>
        <v>2704.6800000000003</v>
      </c>
      <c r="M83" s="71">
        <f t="shared" si="27"/>
        <v>2849.48</v>
      </c>
      <c r="N83" s="71">
        <f t="shared" si="27"/>
        <v>2943.48</v>
      </c>
      <c r="O83" s="71">
        <f t="shared" si="27"/>
        <v>2803.08</v>
      </c>
      <c r="P83" s="71">
        <f t="shared" si="27"/>
        <v>2593.6800000000003</v>
      </c>
      <c r="Q83" s="71">
        <f t="shared" si="27"/>
        <v>2331.2800000000002</v>
      </c>
      <c r="R83" s="71">
        <f t="shared" si="27"/>
        <v>2131.48</v>
      </c>
      <c r="S83" s="71">
        <f t="shared" si="27"/>
        <v>2179.2799999999997</v>
      </c>
      <c r="T83" s="71">
        <f t="shared" si="27"/>
        <v>2173.08</v>
      </c>
      <c r="U83" s="71">
        <f t="shared" si="27"/>
        <v>2242.48</v>
      </c>
      <c r="V83" s="71">
        <f t="shared" si="27"/>
        <v>2450.2799999999997</v>
      </c>
      <c r="W83" s="71">
        <f t="shared" si="27"/>
        <v>2628.48</v>
      </c>
      <c r="X83" s="71">
        <f t="shared" si="27"/>
        <v>2953.08</v>
      </c>
      <c r="Y83" s="71">
        <f t="shared" si="27"/>
        <v>3239.4800000000005</v>
      </c>
      <c r="Z83" s="71">
        <f t="shared" si="27"/>
        <v>3160.6800000000003</v>
      </c>
      <c r="AA83" s="71">
        <f t="shared" si="27"/>
        <v>3081.88</v>
      </c>
      <c r="AB83" s="71">
        <f t="shared" si="27"/>
        <v>2908.08</v>
      </c>
      <c r="AC83" s="71">
        <f t="shared" si="27"/>
        <v>2859.4799999999996</v>
      </c>
      <c r="AD83" s="71">
        <f t="shared" si="27"/>
        <v>2671.08</v>
      </c>
      <c r="AE83" s="71">
        <f t="shared" si="27"/>
        <v>2134.08</v>
      </c>
      <c r="AF83" s="71">
        <f t="shared" si="27"/>
        <v>1924.48</v>
      </c>
      <c r="AG83" s="76">
        <f t="shared" si="27"/>
        <v>4360.08</v>
      </c>
      <c r="AH83" s="53">
        <f t="shared" si="16"/>
        <v>3239.4800000000005</v>
      </c>
      <c r="AI83" s="54">
        <f t="shared" si="17"/>
        <v>1825.08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49.918999999999997</v>
      </c>
      <c r="C84" s="95">
        <v>49.927999999999997</v>
      </c>
      <c r="D84" s="95">
        <v>50</v>
      </c>
      <c r="E84" s="95">
        <v>49.984999999999999</v>
      </c>
      <c r="F84" s="95">
        <v>49.981999999999999</v>
      </c>
      <c r="G84" s="95">
        <v>49.985999999999997</v>
      </c>
      <c r="H84" s="95">
        <v>49.889000000000003</v>
      </c>
      <c r="I84" s="95">
        <v>49.991</v>
      </c>
      <c r="J84" s="95">
        <v>49.984000000000002</v>
      </c>
      <c r="K84" s="95">
        <v>49.904000000000003</v>
      </c>
      <c r="L84" s="95">
        <v>49.9</v>
      </c>
      <c r="M84" s="95">
        <v>50.079000000000001</v>
      </c>
      <c r="N84" s="95">
        <v>50.01</v>
      </c>
      <c r="O84" s="95">
        <v>50.01</v>
      </c>
      <c r="P84" s="95">
        <v>49.91</v>
      </c>
      <c r="Q84" s="95">
        <v>49.94</v>
      </c>
      <c r="R84" s="95">
        <v>50.16</v>
      </c>
      <c r="S84" s="95">
        <v>50.057000000000002</v>
      </c>
      <c r="T84" s="95">
        <v>49.970999999999997</v>
      </c>
      <c r="U84" s="95">
        <v>49.801000000000002</v>
      </c>
      <c r="V84" s="95">
        <v>49.743000000000002</v>
      </c>
      <c r="W84" s="95">
        <v>49.956000000000003</v>
      </c>
      <c r="X84" s="95">
        <v>50.061</v>
      </c>
      <c r="Y84" s="95">
        <v>49.957000000000001</v>
      </c>
      <c r="Z84" s="95">
        <v>49.9</v>
      </c>
      <c r="AA84" s="95">
        <v>49.987000000000002</v>
      </c>
      <c r="AB84" s="95">
        <v>50.079000000000001</v>
      </c>
      <c r="AC84" s="95">
        <v>50.046999999999997</v>
      </c>
      <c r="AD84" s="95">
        <v>50.066000000000003</v>
      </c>
      <c r="AE84" s="95">
        <v>49.825000000000003</v>
      </c>
      <c r="AF84" s="95">
        <v>49.976999999999997</v>
      </c>
      <c r="AG84" s="96"/>
      <c r="AH84" s="53">
        <f t="shared" si="16"/>
        <v>50.16</v>
      </c>
      <c r="AI84" s="54">
        <f t="shared" si="17"/>
        <v>49.743000000000002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126.8</v>
      </c>
      <c r="C85" s="72">
        <v>125.8</v>
      </c>
      <c r="D85" s="72">
        <v>125.2</v>
      </c>
      <c r="E85" s="72">
        <v>123.9</v>
      </c>
      <c r="F85" s="72">
        <v>15.5</v>
      </c>
      <c r="G85" s="72">
        <v>125.4</v>
      </c>
      <c r="H85" s="72">
        <v>124.6</v>
      </c>
      <c r="I85" s="72">
        <v>127</v>
      </c>
      <c r="J85" s="72">
        <v>125.9</v>
      </c>
      <c r="K85" s="72">
        <v>124.4</v>
      </c>
      <c r="L85" s="72">
        <v>125.8</v>
      </c>
      <c r="M85" s="72">
        <v>125.8</v>
      </c>
      <c r="N85" s="72">
        <v>124.2</v>
      </c>
      <c r="O85" s="72">
        <v>122.8</v>
      </c>
      <c r="P85" s="72">
        <v>124.8</v>
      </c>
      <c r="Q85" s="72">
        <v>126.3</v>
      </c>
      <c r="R85" s="72">
        <v>127.7</v>
      </c>
      <c r="S85" s="72">
        <v>126.7</v>
      </c>
      <c r="T85" s="72">
        <v>126.1</v>
      </c>
      <c r="U85" s="99">
        <v>126.7</v>
      </c>
      <c r="V85" s="99">
        <v>127.3</v>
      </c>
      <c r="W85" s="99">
        <v>126.8</v>
      </c>
      <c r="X85" s="99">
        <v>125.3</v>
      </c>
      <c r="Y85" s="99">
        <v>123.7</v>
      </c>
      <c r="Z85" s="99">
        <v>125.4</v>
      </c>
      <c r="AA85" s="99">
        <v>125.3</v>
      </c>
      <c r="AB85" s="72">
        <v>126.9</v>
      </c>
      <c r="AC85" s="72">
        <v>125.9</v>
      </c>
      <c r="AD85" s="72">
        <v>125.9</v>
      </c>
      <c r="AE85" s="72">
        <v>128.1</v>
      </c>
      <c r="AF85" s="72">
        <v>127.8</v>
      </c>
      <c r="AG85" s="100"/>
      <c r="AH85" s="53">
        <f t="shared" si="16"/>
        <v>128.1</v>
      </c>
      <c r="AI85" s="54">
        <f t="shared" si="17"/>
        <v>15.5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130.4</v>
      </c>
      <c r="C86" s="72">
        <v>130.19999999999999</v>
      </c>
      <c r="D86" s="72">
        <v>129.30000000000001</v>
      </c>
      <c r="E86" s="72">
        <v>128.69999999999999</v>
      </c>
      <c r="F86" s="72">
        <v>129.6</v>
      </c>
      <c r="G86" s="72">
        <v>129.9</v>
      </c>
      <c r="H86" s="72">
        <v>128.80000000000001</v>
      </c>
      <c r="I86" s="72">
        <v>130.1</v>
      </c>
      <c r="J86" s="72">
        <v>129</v>
      </c>
      <c r="K86" s="72">
        <v>127.6</v>
      </c>
      <c r="L86" s="72">
        <v>128.6</v>
      </c>
      <c r="M86" s="72">
        <v>128.6</v>
      </c>
      <c r="N86" s="72">
        <v>126.6</v>
      </c>
      <c r="O86" s="72">
        <v>125.5</v>
      </c>
      <c r="P86" s="72">
        <v>127.3</v>
      </c>
      <c r="Q86" s="72">
        <v>129</v>
      </c>
      <c r="R86" s="72">
        <v>130.19999999999999</v>
      </c>
      <c r="S86" s="72">
        <v>129.19999999999999</v>
      </c>
      <c r="T86" s="72">
        <v>128.5</v>
      </c>
      <c r="U86" s="99">
        <v>129.19999999999999</v>
      </c>
      <c r="V86" s="99">
        <v>129</v>
      </c>
      <c r="W86" s="99">
        <v>128.30000000000001</v>
      </c>
      <c r="X86" s="99">
        <v>127.5</v>
      </c>
      <c r="Y86" s="99">
        <v>125.6</v>
      </c>
      <c r="Z86" s="99">
        <v>127.4</v>
      </c>
      <c r="AA86" s="99">
        <v>126.8</v>
      </c>
      <c r="AB86" s="72">
        <v>128.1</v>
      </c>
      <c r="AC86" s="72">
        <v>128</v>
      </c>
      <c r="AD86" s="72">
        <v>128</v>
      </c>
      <c r="AE86" s="72">
        <v>130.69999999999999</v>
      </c>
      <c r="AF86" s="72">
        <v>130.69999999999999</v>
      </c>
      <c r="AG86" s="100"/>
      <c r="AH86" s="53">
        <f t="shared" si="16"/>
        <v>130.69999999999999</v>
      </c>
      <c r="AI86" s="54">
        <f t="shared" si="17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</v>
      </c>
      <c r="C87" s="72">
        <v>131.9</v>
      </c>
      <c r="D87" s="72">
        <v>130.6</v>
      </c>
      <c r="E87" s="72">
        <v>131.69999999999999</v>
      </c>
      <c r="F87" s="72">
        <v>132.1</v>
      </c>
      <c r="G87" s="72">
        <v>131.30000000000001</v>
      </c>
      <c r="H87" s="72">
        <v>131.19999999999999</v>
      </c>
      <c r="I87" s="72">
        <v>130.30000000000001</v>
      </c>
      <c r="J87" s="72">
        <v>129.69999999999999</v>
      </c>
      <c r="K87" s="72">
        <v>127.9</v>
      </c>
      <c r="L87" s="72">
        <v>127.2</v>
      </c>
      <c r="M87" s="72">
        <v>127.2</v>
      </c>
      <c r="N87" s="72">
        <v>129.4</v>
      </c>
      <c r="O87" s="72">
        <v>131.1</v>
      </c>
      <c r="P87" s="72">
        <v>130.69999999999999</v>
      </c>
      <c r="Q87" s="72">
        <v>128.69999999999999</v>
      </c>
      <c r="R87" s="72">
        <v>131.69999999999999</v>
      </c>
      <c r="S87" s="72">
        <v>130.6</v>
      </c>
      <c r="T87" s="72">
        <v>133.4</v>
      </c>
      <c r="U87" s="72">
        <v>131.80000000000001</v>
      </c>
      <c r="V87" s="72">
        <v>129</v>
      </c>
      <c r="W87" s="72">
        <v>129.5</v>
      </c>
      <c r="X87" s="99">
        <v>128.5</v>
      </c>
      <c r="Y87" s="99">
        <v>128.6</v>
      </c>
      <c r="Z87" s="99">
        <v>129.5</v>
      </c>
      <c r="AA87" s="99">
        <v>130.9</v>
      </c>
      <c r="AB87" s="72">
        <v>131.19999999999999</v>
      </c>
      <c r="AC87" s="72">
        <v>132.6</v>
      </c>
      <c r="AD87" s="72">
        <v>132.6</v>
      </c>
      <c r="AE87" s="72">
        <v>128.19999999999999</v>
      </c>
      <c r="AF87" s="72">
        <v>128.19999999999999</v>
      </c>
      <c r="AG87" s="100"/>
      <c r="AH87" s="53">
        <f t="shared" si="16"/>
        <v>133.4</v>
      </c>
      <c r="AI87" s="54">
        <f t="shared" si="17"/>
        <v>127.2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134.1</v>
      </c>
      <c r="C88" s="72">
        <v>135</v>
      </c>
      <c r="D88" s="72">
        <v>134.30000000000001</v>
      </c>
      <c r="E88" s="72">
        <v>135.1</v>
      </c>
      <c r="F88" s="72">
        <v>135.6</v>
      </c>
      <c r="G88" s="72">
        <v>134.9</v>
      </c>
      <c r="H88" s="72">
        <v>134.30000000000001</v>
      </c>
      <c r="I88" s="72">
        <v>133.69999999999999</v>
      </c>
      <c r="J88" s="72">
        <v>132.30000000000001</v>
      </c>
      <c r="K88" s="72">
        <v>129.9</v>
      </c>
      <c r="L88" s="72">
        <v>130.9</v>
      </c>
      <c r="M88" s="72">
        <v>130.9</v>
      </c>
      <c r="N88" s="72">
        <v>130.5</v>
      </c>
      <c r="O88" s="72">
        <v>132.19999999999999</v>
      </c>
      <c r="P88" s="72">
        <v>132.30000000000001</v>
      </c>
      <c r="Q88" s="72">
        <v>132.9</v>
      </c>
      <c r="R88" s="72">
        <v>135.80000000000001</v>
      </c>
      <c r="S88" s="72">
        <v>134.9</v>
      </c>
      <c r="T88" s="72">
        <v>137.1</v>
      </c>
      <c r="U88" s="72">
        <v>134.80000000000001</v>
      </c>
      <c r="V88" s="72">
        <v>130.69999999999999</v>
      </c>
      <c r="W88" s="72">
        <v>131.19999999999999</v>
      </c>
      <c r="X88" s="99">
        <v>133.1</v>
      </c>
      <c r="Y88" s="99">
        <v>133.80000000000001</v>
      </c>
      <c r="Z88" s="99">
        <v>133.1</v>
      </c>
      <c r="AA88" s="99">
        <v>134.5</v>
      </c>
      <c r="AB88" s="72">
        <v>133.9</v>
      </c>
      <c r="AC88" s="72">
        <v>135.19999999999999</v>
      </c>
      <c r="AD88" s="72">
        <v>135.19999999999999</v>
      </c>
      <c r="AE88" s="72">
        <v>131.19999999999999</v>
      </c>
      <c r="AF88" s="72">
        <v>131.19999999999999</v>
      </c>
      <c r="AG88" s="100"/>
      <c r="AH88" s="53">
        <f t="shared" si="16"/>
        <v>137.1</v>
      </c>
      <c r="AI88" s="54">
        <f t="shared" si="17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129.1</v>
      </c>
      <c r="C89" s="103">
        <v>130</v>
      </c>
      <c r="D89" s="103">
        <v>125.6</v>
      </c>
      <c r="E89" s="103">
        <v>130.19999999999999</v>
      </c>
      <c r="F89" s="103">
        <v>132.4</v>
      </c>
      <c r="G89" s="103">
        <v>131.9</v>
      </c>
      <c r="H89" s="103">
        <v>129.6</v>
      </c>
      <c r="I89" s="103">
        <v>131.4</v>
      </c>
      <c r="J89" s="103">
        <v>133.80000000000001</v>
      </c>
      <c r="K89" s="103">
        <v>132.1</v>
      </c>
      <c r="L89" s="103">
        <v>136.30000000000001</v>
      </c>
      <c r="M89" s="103">
        <v>136.30000000000001</v>
      </c>
      <c r="N89" s="103">
        <v>130.80000000000001</v>
      </c>
      <c r="O89" s="103">
        <v>130.9</v>
      </c>
      <c r="P89" s="103">
        <v>133.69999999999999</v>
      </c>
      <c r="Q89" s="103">
        <v>132.9</v>
      </c>
      <c r="R89" s="103">
        <v>130.30000000000001</v>
      </c>
      <c r="S89" s="103">
        <v>131.1</v>
      </c>
      <c r="T89" s="103">
        <v>129</v>
      </c>
      <c r="U89" s="103">
        <v>130.30000000000001</v>
      </c>
      <c r="V89" s="103">
        <v>133.80000000000001</v>
      </c>
      <c r="W89" s="103">
        <v>134.30000000000001</v>
      </c>
      <c r="X89" s="99">
        <v>132.19999999999999</v>
      </c>
      <c r="Y89" s="99">
        <v>134.6</v>
      </c>
      <c r="Z89" s="99">
        <v>133.5</v>
      </c>
      <c r="AA89" s="99">
        <v>134.1</v>
      </c>
      <c r="AB89" s="103">
        <v>136</v>
      </c>
      <c r="AC89" s="103">
        <v>133.80000000000001</v>
      </c>
      <c r="AD89" s="103">
        <v>133.80000000000001</v>
      </c>
      <c r="AE89" s="103">
        <v>132.1</v>
      </c>
      <c r="AF89" s="103">
        <v>132.1</v>
      </c>
      <c r="AG89" s="104"/>
      <c r="AH89" s="53">
        <f t="shared" si="16"/>
        <v>136.30000000000001</v>
      </c>
      <c r="AI89" s="54">
        <f t="shared" si="17"/>
        <v>125.6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136.30000000000001</v>
      </c>
      <c r="C90" s="72">
        <v>137</v>
      </c>
      <c r="D90" s="72">
        <v>137.6</v>
      </c>
      <c r="E90" s="72">
        <v>136.80000000000001</v>
      </c>
      <c r="F90" s="72">
        <v>133.69999999999999</v>
      </c>
      <c r="G90" s="72">
        <v>128.19999999999999</v>
      </c>
      <c r="H90" s="72">
        <v>124.9</v>
      </c>
      <c r="I90" s="72">
        <v>129.4</v>
      </c>
      <c r="J90" s="72">
        <v>132.30000000000001</v>
      </c>
      <c r="K90" s="72">
        <v>130.6</v>
      </c>
      <c r="L90" s="72">
        <v>125.7</v>
      </c>
      <c r="M90" s="72">
        <v>125.7</v>
      </c>
      <c r="N90" s="72">
        <v>130.9</v>
      </c>
      <c r="O90" s="72">
        <v>130</v>
      </c>
      <c r="P90" s="72">
        <v>130.30000000000001</v>
      </c>
      <c r="Q90" s="72">
        <v>132.69999999999999</v>
      </c>
      <c r="R90" s="72">
        <v>134.9</v>
      </c>
      <c r="S90" s="72">
        <v>137.69999999999999</v>
      </c>
      <c r="T90" s="72">
        <v>136</v>
      </c>
      <c r="U90" s="72">
        <v>131.19999999999999</v>
      </c>
      <c r="V90" s="72">
        <v>130.4</v>
      </c>
      <c r="W90" s="72">
        <v>129</v>
      </c>
      <c r="X90" s="99">
        <v>127.5</v>
      </c>
      <c r="Y90" s="99">
        <v>130.5</v>
      </c>
      <c r="Z90" s="99">
        <v>135.1</v>
      </c>
      <c r="AA90" s="99">
        <v>134.4</v>
      </c>
      <c r="AB90" s="72">
        <v>131.30000000000001</v>
      </c>
      <c r="AC90" s="72">
        <v>132.4</v>
      </c>
      <c r="AD90" s="72">
        <v>132.4</v>
      </c>
      <c r="AE90" s="72">
        <v>136.30000000000001</v>
      </c>
      <c r="AF90" s="72">
        <v>136.30000000000001</v>
      </c>
      <c r="AG90" s="100"/>
      <c r="AH90" s="53">
        <f t="shared" si="16"/>
        <v>137.69999999999999</v>
      </c>
      <c r="AI90" s="54">
        <f t="shared" si="17"/>
        <v>124.9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6"/>
        <v>0</v>
      </c>
      <c r="AI91" s="54">
        <f t="shared" si="17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212.74</v>
      </c>
      <c r="C93" s="113">
        <f>SUM(C15,C18,C21:C22,C42,C44:C45,C47,C49,C94:C97,C102,C108,C114,C123,C125,C137,C144,C147:C148,C155,C157,C159,C163:C165,C167:C169,C174,C180:C181,C183:C185,C193,C198)</f>
        <v>200.94</v>
      </c>
      <c r="D93" s="113">
        <f t="shared" ref="D93:AF93" si="28">SUM(D15,D18,D21:D22,D42,D44:D45,D47,D49,D94:D97,D102,D108,D114,D123,D125,D137,D144,D147:D148,D155,D157,D159,D163:D165,D167:D169,D174,D180:D181,D183:D185,D193,D198)</f>
        <v>192.94</v>
      </c>
      <c r="E93" s="113">
        <f t="shared" si="28"/>
        <v>189.03999999999996</v>
      </c>
      <c r="F93" s="113">
        <f t="shared" si="28"/>
        <v>192.83999999999997</v>
      </c>
      <c r="G93" s="112">
        <f t="shared" si="28"/>
        <v>206.94</v>
      </c>
      <c r="H93" s="112">
        <f t="shared" si="28"/>
        <v>228.53999999999996</v>
      </c>
      <c r="I93" s="112">
        <f t="shared" si="28"/>
        <v>252.33999999999997</v>
      </c>
      <c r="J93" s="112">
        <f t="shared" si="28"/>
        <v>282.74</v>
      </c>
      <c r="K93" s="112">
        <f t="shared" si="28"/>
        <v>339.14</v>
      </c>
      <c r="L93" s="112">
        <f t="shared" si="28"/>
        <v>374.34000000000003</v>
      </c>
      <c r="M93" s="112">
        <f t="shared" si="28"/>
        <v>416.94000000000005</v>
      </c>
      <c r="N93" s="112">
        <f t="shared" si="28"/>
        <v>470.04</v>
      </c>
      <c r="O93" s="112">
        <f t="shared" si="28"/>
        <v>453.04000000000008</v>
      </c>
      <c r="P93" s="112">
        <f t="shared" si="28"/>
        <v>415.34000000000003</v>
      </c>
      <c r="Q93" s="112">
        <f t="shared" si="28"/>
        <v>384.04000000000008</v>
      </c>
      <c r="R93" s="112">
        <f t="shared" si="28"/>
        <v>338.24</v>
      </c>
      <c r="S93" s="112">
        <f t="shared" si="28"/>
        <v>323.64</v>
      </c>
      <c r="T93" s="112">
        <f t="shared" si="28"/>
        <v>318.44000000000005</v>
      </c>
      <c r="U93" s="112">
        <f t="shared" si="28"/>
        <v>338.94000000000005</v>
      </c>
      <c r="V93" s="112">
        <f t="shared" si="28"/>
        <v>367.84000000000003</v>
      </c>
      <c r="W93" s="112">
        <f t="shared" si="28"/>
        <v>401.94000000000005</v>
      </c>
      <c r="X93" s="112">
        <f t="shared" si="28"/>
        <v>455.34000000000003</v>
      </c>
      <c r="Y93" s="112">
        <f t="shared" si="28"/>
        <v>502.34000000000003</v>
      </c>
      <c r="Z93" s="112">
        <f t="shared" si="28"/>
        <v>505.34</v>
      </c>
      <c r="AA93" s="112">
        <f t="shared" si="28"/>
        <v>490.54000000000008</v>
      </c>
      <c r="AB93" s="112">
        <f t="shared" si="28"/>
        <v>472.14000000000004</v>
      </c>
      <c r="AC93" s="112">
        <f t="shared" si="28"/>
        <v>447.24000000000007</v>
      </c>
      <c r="AD93" s="112">
        <f t="shared" si="28"/>
        <v>402.54000000000008</v>
      </c>
      <c r="AE93" s="112">
        <f t="shared" si="28"/>
        <v>289.24</v>
      </c>
      <c r="AF93" s="112">
        <f t="shared" si="28"/>
        <v>233.54</v>
      </c>
      <c r="AG93" s="114"/>
      <c r="AH93" s="53">
        <f>MAX(C93:AF93)</f>
        <v>505.34</v>
      </c>
      <c r="AI93" s="54">
        <f>MIN(C93:AF93)</f>
        <v>189.03999999999996</v>
      </c>
    </row>
    <row r="94" spans="1:88" x14ac:dyDescent="0.25">
      <c r="A94" s="115" t="s">
        <v>98</v>
      </c>
      <c r="B94" s="116">
        <v>-5.5</v>
      </c>
      <c r="C94" s="57">
        <v>-8.5</v>
      </c>
      <c r="D94" s="57">
        <v>-28.4</v>
      </c>
      <c r="E94" s="57">
        <v>-35.700000000000003</v>
      </c>
      <c r="F94" s="57">
        <v>-26.2</v>
      </c>
      <c r="G94" s="117">
        <v>-5.0999999999999996</v>
      </c>
      <c r="H94" s="117">
        <v>-3.9</v>
      </c>
      <c r="I94" s="117">
        <v>-6.1</v>
      </c>
      <c r="J94" s="117">
        <v>8.6999999999999993</v>
      </c>
      <c r="K94" s="117">
        <v>20.2</v>
      </c>
      <c r="L94" s="117">
        <v>52.5</v>
      </c>
      <c r="M94" s="117">
        <v>42</v>
      </c>
      <c r="N94" s="117">
        <v>44.3</v>
      </c>
      <c r="O94" s="117">
        <v>47.6</v>
      </c>
      <c r="P94" s="117">
        <v>59.1</v>
      </c>
      <c r="Q94" s="117">
        <v>44.1</v>
      </c>
      <c r="R94" s="117">
        <v>14.3</v>
      </c>
      <c r="S94" s="117">
        <v>-9.6999999999999993</v>
      </c>
      <c r="T94" s="117">
        <v>-14.9</v>
      </c>
      <c r="U94" s="118">
        <v>-8.4</v>
      </c>
      <c r="V94" s="118">
        <v>18.600000000000001</v>
      </c>
      <c r="W94" s="118">
        <v>66.400000000000006</v>
      </c>
      <c r="X94" s="117">
        <v>53.8</v>
      </c>
      <c r="Y94" s="117">
        <v>41.4</v>
      </c>
      <c r="Z94" s="117">
        <v>59.6</v>
      </c>
      <c r="AA94" s="117">
        <v>61.4</v>
      </c>
      <c r="AB94" s="118">
        <v>54.9</v>
      </c>
      <c r="AC94" s="118">
        <v>43.9</v>
      </c>
      <c r="AD94" s="118">
        <v>18.899999999999999</v>
      </c>
      <c r="AE94" s="118">
        <v>4.4000000000000004</v>
      </c>
      <c r="AF94" s="118">
        <v>1.3</v>
      </c>
      <c r="AG94" s="119">
        <v>75</v>
      </c>
      <c r="AH94" s="53">
        <f t="shared" ref="AH94:AH99" si="29">IF(ABS(MAX(C94:AF94))&gt;ABS(MIN(C94:AF94)),MAX(C94:AF94),MIN(C94:AF94))</f>
        <v>66.400000000000006</v>
      </c>
      <c r="AI94" s="120">
        <f t="shared" ref="AI94:AI99" si="30">INDEX($C$9:$AF$9,1,MATCH(AH94,C94:AF94,0))</f>
        <v>0.72916666666666663</v>
      </c>
    </row>
    <row r="95" spans="1:88" x14ac:dyDescent="0.25">
      <c r="A95" s="121" t="s">
        <v>99</v>
      </c>
      <c r="B95" s="122">
        <v>-44.2</v>
      </c>
      <c r="C95" s="59">
        <v>-49.5</v>
      </c>
      <c r="D95" s="59">
        <v>-47.1</v>
      </c>
      <c r="E95" s="59">
        <v>-50.1</v>
      </c>
      <c r="F95" s="59">
        <v>-32</v>
      </c>
      <c r="G95" s="59">
        <v>-28</v>
      </c>
      <c r="H95" s="59">
        <v>-20</v>
      </c>
      <c r="I95" s="59">
        <v>0</v>
      </c>
      <c r="J95" s="59">
        <v>6</v>
      </c>
      <c r="K95" s="59">
        <v>25</v>
      </c>
      <c r="L95" s="59">
        <v>25</v>
      </c>
      <c r="M95" s="59">
        <v>43</v>
      </c>
      <c r="N95" s="59">
        <v>65</v>
      </c>
      <c r="O95" s="59">
        <v>62.8</v>
      </c>
      <c r="P95" s="59">
        <v>45</v>
      </c>
      <c r="Q95" s="59">
        <v>47.8</v>
      </c>
      <c r="R95" s="59">
        <v>39.200000000000003</v>
      </c>
      <c r="S95" s="59">
        <v>20</v>
      </c>
      <c r="T95" s="59">
        <v>24</v>
      </c>
      <c r="U95" s="59">
        <v>36</v>
      </c>
      <c r="V95" s="59">
        <v>38</v>
      </c>
      <c r="W95" s="59">
        <v>60</v>
      </c>
      <c r="X95" s="59">
        <v>80</v>
      </c>
      <c r="Y95" s="59">
        <v>104</v>
      </c>
      <c r="Z95" s="59">
        <v>92</v>
      </c>
      <c r="AA95" s="59">
        <v>84</v>
      </c>
      <c r="AB95" s="72">
        <v>84.2</v>
      </c>
      <c r="AC95" s="72">
        <v>81.599999999999994</v>
      </c>
      <c r="AD95" s="72">
        <v>60.1</v>
      </c>
      <c r="AE95" s="72">
        <v>12.4</v>
      </c>
      <c r="AF95" s="72">
        <v>-20.5</v>
      </c>
      <c r="AG95" s="119">
        <v>240</v>
      </c>
      <c r="AH95" s="53">
        <f t="shared" si="29"/>
        <v>104</v>
      </c>
      <c r="AI95" s="120">
        <f t="shared" si="30"/>
        <v>0.77083333333333337</v>
      </c>
    </row>
    <row r="96" spans="1:88" x14ac:dyDescent="0.25">
      <c r="A96" s="121" t="s">
        <v>100</v>
      </c>
      <c r="B96" s="122">
        <v>10.9</v>
      </c>
      <c r="C96" s="59">
        <v>12.1</v>
      </c>
      <c r="D96" s="59">
        <v>12</v>
      </c>
      <c r="E96" s="59">
        <v>12.1</v>
      </c>
      <c r="F96" s="59">
        <v>-7.2</v>
      </c>
      <c r="G96" s="59">
        <v>-6.2</v>
      </c>
      <c r="H96" s="59">
        <v>-3</v>
      </c>
      <c r="I96" s="59">
        <v>1.7</v>
      </c>
      <c r="J96" s="59">
        <v>1.8</v>
      </c>
      <c r="K96" s="59">
        <v>11.5</v>
      </c>
      <c r="L96" s="59">
        <v>24.6</v>
      </c>
      <c r="M96" s="59">
        <v>39</v>
      </c>
      <c r="N96" s="59">
        <v>49</v>
      </c>
      <c r="O96" s="59">
        <v>39.799999999999997</v>
      </c>
      <c r="P96" s="59">
        <v>30.9</v>
      </c>
      <c r="Q96" s="59">
        <v>29.3</v>
      </c>
      <c r="R96" s="59">
        <v>32.299999999999997</v>
      </c>
      <c r="S96" s="59">
        <v>38.5</v>
      </c>
      <c r="T96" s="59">
        <v>38.200000000000003</v>
      </c>
      <c r="U96" s="59">
        <v>38.299999999999997</v>
      </c>
      <c r="V96" s="59">
        <v>37.1</v>
      </c>
      <c r="W96" s="59">
        <v>36.299999999999997</v>
      </c>
      <c r="X96" s="59">
        <v>59</v>
      </c>
      <c r="Y96" s="59">
        <v>66.5</v>
      </c>
      <c r="Z96" s="59">
        <v>64.2</v>
      </c>
      <c r="AA96" s="59">
        <v>63.2</v>
      </c>
      <c r="AB96" s="72">
        <v>64.099999999999994</v>
      </c>
      <c r="AC96" s="72">
        <v>60.6</v>
      </c>
      <c r="AD96" s="72">
        <v>49.1</v>
      </c>
      <c r="AE96" s="72">
        <v>21</v>
      </c>
      <c r="AF96" s="72">
        <v>10.8</v>
      </c>
      <c r="AG96" s="119">
        <v>60</v>
      </c>
      <c r="AH96" s="53">
        <f t="shared" si="29"/>
        <v>66.5</v>
      </c>
      <c r="AI96" s="120">
        <f t="shared" si="30"/>
        <v>0.77083333333333337</v>
      </c>
    </row>
    <row r="97" spans="1:37" x14ac:dyDescent="0.25">
      <c r="A97" s="123" t="s">
        <v>101</v>
      </c>
      <c r="B97" s="124">
        <v>82</v>
      </c>
      <c r="C97" s="62">
        <v>77.3</v>
      </c>
      <c r="D97" s="62">
        <v>87.3</v>
      </c>
      <c r="E97" s="62">
        <v>93.8</v>
      </c>
      <c r="F97" s="62">
        <v>88.9</v>
      </c>
      <c r="G97" s="62">
        <v>76.8</v>
      </c>
      <c r="H97" s="62">
        <v>86.2</v>
      </c>
      <c r="I97" s="62">
        <v>87.5</v>
      </c>
      <c r="J97" s="62">
        <v>97</v>
      </c>
      <c r="K97" s="62">
        <v>113.5</v>
      </c>
      <c r="L97" s="62">
        <v>103.3</v>
      </c>
      <c r="M97" s="62">
        <v>124</v>
      </c>
      <c r="N97" s="62">
        <v>143.69999999999999</v>
      </c>
      <c r="O97" s="62">
        <v>134.80000000000001</v>
      </c>
      <c r="P97" s="62">
        <v>111.9</v>
      </c>
      <c r="Q97" s="62">
        <v>120.9</v>
      </c>
      <c r="R97" s="62">
        <v>109.7</v>
      </c>
      <c r="S97" s="62">
        <v>108.1</v>
      </c>
      <c r="T97" s="62">
        <v>107.4</v>
      </c>
      <c r="U97" s="62">
        <v>103.3</v>
      </c>
      <c r="V97" s="62">
        <v>104.4</v>
      </c>
      <c r="W97" s="62">
        <v>70.5</v>
      </c>
      <c r="X97" s="62">
        <v>93.8</v>
      </c>
      <c r="Y97" s="62">
        <v>112.4</v>
      </c>
      <c r="Z97" s="62">
        <v>111.5</v>
      </c>
      <c r="AA97" s="62">
        <v>107.9</v>
      </c>
      <c r="AB97" s="125">
        <v>98.2</v>
      </c>
      <c r="AC97" s="125">
        <v>90</v>
      </c>
      <c r="AD97" s="125">
        <v>103.3</v>
      </c>
      <c r="AE97" s="125">
        <v>76.900000000000006</v>
      </c>
      <c r="AF97" s="125">
        <v>67.5</v>
      </c>
      <c r="AG97" s="126">
        <v>120</v>
      </c>
      <c r="AH97" s="53">
        <f t="shared" si="29"/>
        <v>143.69999999999999</v>
      </c>
      <c r="AI97" s="120">
        <f t="shared" si="30"/>
        <v>0.375</v>
      </c>
    </row>
    <row r="98" spans="1:37" x14ac:dyDescent="0.25">
      <c r="A98" s="123" t="s">
        <v>102</v>
      </c>
      <c r="B98" s="124">
        <v>90.1</v>
      </c>
      <c r="C98" s="62">
        <v>87.8</v>
      </c>
      <c r="D98" s="62">
        <v>98</v>
      </c>
      <c r="E98" s="62">
        <v>105.8</v>
      </c>
      <c r="F98" s="62">
        <v>97</v>
      </c>
      <c r="G98" s="62">
        <v>82.6</v>
      </c>
      <c r="H98" s="62">
        <v>91.3</v>
      </c>
      <c r="I98" s="62">
        <v>79.8</v>
      </c>
      <c r="J98" s="62">
        <v>81</v>
      </c>
      <c r="K98" s="62">
        <v>89.8</v>
      </c>
      <c r="L98" s="62">
        <v>62.4</v>
      </c>
      <c r="M98" s="62">
        <v>81</v>
      </c>
      <c r="N98" s="62">
        <v>92.7</v>
      </c>
      <c r="O98" s="62">
        <v>99.1</v>
      </c>
      <c r="P98" s="62">
        <v>79.2</v>
      </c>
      <c r="Q98" s="62">
        <v>75.599999999999994</v>
      </c>
      <c r="R98" s="62">
        <v>73</v>
      </c>
      <c r="S98" s="62">
        <v>85</v>
      </c>
      <c r="T98" s="62">
        <v>92.4</v>
      </c>
      <c r="U98" s="62">
        <v>89.9</v>
      </c>
      <c r="V98" s="62">
        <v>80.099999999999994</v>
      </c>
      <c r="W98" s="62">
        <v>69</v>
      </c>
      <c r="X98" s="62">
        <v>87.6</v>
      </c>
      <c r="Y98" s="62">
        <v>114.3</v>
      </c>
      <c r="Z98" s="62">
        <v>94.6</v>
      </c>
      <c r="AA98" s="62">
        <v>78.400000000000006</v>
      </c>
      <c r="AB98" s="125">
        <v>75.599999999999994</v>
      </c>
      <c r="AC98" s="125">
        <v>85.7</v>
      </c>
      <c r="AD98" s="125">
        <v>82.4</v>
      </c>
      <c r="AE98" s="125">
        <v>62.4</v>
      </c>
      <c r="AF98" s="125">
        <v>68.5</v>
      </c>
      <c r="AG98" s="126"/>
      <c r="AH98" s="53">
        <f t="shared" si="29"/>
        <v>114.3</v>
      </c>
      <c r="AI98" s="120">
        <f t="shared" si="30"/>
        <v>0.77083333333333337</v>
      </c>
    </row>
    <row r="99" spans="1:37" ht="15.75" thickBot="1" x14ac:dyDescent="0.3">
      <c r="A99" s="123" t="s">
        <v>103</v>
      </c>
      <c r="B99" s="124">
        <v>62.6</v>
      </c>
      <c r="C99" s="62">
        <v>61</v>
      </c>
      <c r="D99" s="62">
        <v>67.8</v>
      </c>
      <c r="E99" s="62">
        <v>76.8</v>
      </c>
      <c r="F99" s="62">
        <v>64.099999999999994</v>
      </c>
      <c r="G99" s="62">
        <v>36</v>
      </c>
      <c r="H99" s="62">
        <v>42.5</v>
      </c>
      <c r="I99" s="62">
        <v>44.6</v>
      </c>
      <c r="J99" s="62">
        <v>47.6</v>
      </c>
      <c r="K99" s="62">
        <v>37.299999999999997</v>
      </c>
      <c r="L99" s="62">
        <v>16.399999999999999</v>
      </c>
      <c r="M99" s="62">
        <v>40</v>
      </c>
      <c r="N99" s="62">
        <v>43.5</v>
      </c>
      <c r="O99" s="62">
        <v>44.2</v>
      </c>
      <c r="P99" s="62">
        <v>33.5</v>
      </c>
      <c r="Q99" s="62">
        <v>37.5</v>
      </c>
      <c r="R99" s="62">
        <v>50.4</v>
      </c>
      <c r="S99" s="62">
        <v>59.1</v>
      </c>
      <c r="T99" s="62">
        <v>65.900000000000006</v>
      </c>
      <c r="U99" s="62">
        <v>62.2</v>
      </c>
      <c r="V99" s="62">
        <v>44.4</v>
      </c>
      <c r="W99" s="62">
        <v>23</v>
      </c>
      <c r="X99" s="62">
        <v>32.299999999999997</v>
      </c>
      <c r="Y99" s="62">
        <v>42.7</v>
      </c>
      <c r="Z99" s="62">
        <v>23.4</v>
      </c>
      <c r="AA99" s="62">
        <v>21</v>
      </c>
      <c r="AB99" s="125">
        <v>17.7</v>
      </c>
      <c r="AC99" s="125">
        <v>32.200000000000003</v>
      </c>
      <c r="AD99" s="125">
        <v>40.6</v>
      </c>
      <c r="AE99" s="125">
        <v>40.700000000000003</v>
      </c>
      <c r="AF99" s="125">
        <v>33</v>
      </c>
      <c r="AG99" s="127"/>
      <c r="AH99" s="53">
        <f t="shared" si="29"/>
        <v>76.8</v>
      </c>
      <c r="AI99" s="120">
        <f t="shared" si="30"/>
        <v>0.125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31">AF101</f>
        <v>9.9</v>
      </c>
      <c r="C101" s="52">
        <v>9.9</v>
      </c>
      <c r="D101" s="133">
        <f t="shared" ref="D101:S106" si="32">C101</f>
        <v>9.9</v>
      </c>
      <c r="E101" s="133">
        <f t="shared" si="32"/>
        <v>9.9</v>
      </c>
      <c r="F101" s="133">
        <f t="shared" si="32"/>
        <v>9.9</v>
      </c>
      <c r="G101" s="133">
        <f t="shared" si="32"/>
        <v>9.9</v>
      </c>
      <c r="H101" s="133">
        <f t="shared" si="32"/>
        <v>9.9</v>
      </c>
      <c r="I101" s="133">
        <f t="shared" si="32"/>
        <v>9.9</v>
      </c>
      <c r="J101" s="133">
        <f t="shared" si="32"/>
        <v>9.9</v>
      </c>
      <c r="K101" s="133">
        <f t="shared" si="32"/>
        <v>9.9</v>
      </c>
      <c r="L101" s="133">
        <f t="shared" si="32"/>
        <v>9.9</v>
      </c>
      <c r="M101" s="133">
        <f t="shared" si="32"/>
        <v>9.9</v>
      </c>
      <c r="N101" s="133">
        <f t="shared" si="32"/>
        <v>9.9</v>
      </c>
      <c r="O101" s="133">
        <f t="shared" si="32"/>
        <v>9.9</v>
      </c>
      <c r="P101" s="133">
        <f t="shared" si="32"/>
        <v>9.9</v>
      </c>
      <c r="Q101" s="133">
        <f t="shared" si="32"/>
        <v>9.9</v>
      </c>
      <c r="R101" s="133">
        <f t="shared" si="32"/>
        <v>9.9</v>
      </c>
      <c r="S101" s="133">
        <f t="shared" si="32"/>
        <v>9.9</v>
      </c>
      <c r="T101" s="133">
        <f t="shared" ref="T101:AF106" si="33">S101</f>
        <v>9.9</v>
      </c>
      <c r="U101" s="133">
        <f t="shared" si="33"/>
        <v>9.9</v>
      </c>
      <c r="V101" s="133">
        <f t="shared" si="33"/>
        <v>9.9</v>
      </c>
      <c r="W101" s="133">
        <f t="shared" si="33"/>
        <v>9.9</v>
      </c>
      <c r="X101" s="133">
        <f t="shared" si="33"/>
        <v>9.9</v>
      </c>
      <c r="Y101" s="133">
        <f t="shared" si="33"/>
        <v>9.9</v>
      </c>
      <c r="Z101" s="133">
        <f t="shared" si="33"/>
        <v>9.9</v>
      </c>
      <c r="AA101" s="133">
        <f t="shared" si="33"/>
        <v>9.9</v>
      </c>
      <c r="AB101" s="133">
        <f t="shared" si="33"/>
        <v>9.9</v>
      </c>
      <c r="AC101" s="133">
        <f t="shared" si="33"/>
        <v>9.9</v>
      </c>
      <c r="AD101" s="133">
        <f t="shared" si="33"/>
        <v>9.9</v>
      </c>
      <c r="AE101" s="133">
        <f t="shared" si="33"/>
        <v>9.9</v>
      </c>
      <c r="AF101" s="133">
        <f t="shared" si="33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31"/>
        <v>9.6</v>
      </c>
      <c r="C102" s="136">
        <v>9.6</v>
      </c>
      <c r="D102" s="135">
        <f t="shared" si="32"/>
        <v>9.6</v>
      </c>
      <c r="E102" s="135">
        <f t="shared" si="32"/>
        <v>9.6</v>
      </c>
      <c r="F102" s="135">
        <f t="shared" si="32"/>
        <v>9.6</v>
      </c>
      <c r="G102" s="135">
        <f t="shared" si="32"/>
        <v>9.6</v>
      </c>
      <c r="H102" s="135">
        <f t="shared" si="32"/>
        <v>9.6</v>
      </c>
      <c r="I102" s="135">
        <f t="shared" si="32"/>
        <v>9.6</v>
      </c>
      <c r="J102" s="135">
        <f t="shared" si="32"/>
        <v>9.6</v>
      </c>
      <c r="K102" s="135">
        <f t="shared" si="32"/>
        <v>9.6</v>
      </c>
      <c r="L102" s="135">
        <f t="shared" si="32"/>
        <v>9.6</v>
      </c>
      <c r="M102" s="135">
        <f t="shared" si="32"/>
        <v>9.6</v>
      </c>
      <c r="N102" s="135">
        <f t="shared" si="32"/>
        <v>9.6</v>
      </c>
      <c r="O102" s="135">
        <f t="shared" si="32"/>
        <v>9.6</v>
      </c>
      <c r="P102" s="135">
        <f t="shared" si="32"/>
        <v>9.6</v>
      </c>
      <c r="Q102" s="135">
        <f t="shared" si="32"/>
        <v>9.6</v>
      </c>
      <c r="R102" s="135">
        <f t="shared" si="32"/>
        <v>9.6</v>
      </c>
      <c r="S102" s="135">
        <f t="shared" si="32"/>
        <v>9.6</v>
      </c>
      <c r="T102" s="135">
        <f t="shared" si="33"/>
        <v>9.6</v>
      </c>
      <c r="U102" s="135">
        <f t="shared" si="33"/>
        <v>9.6</v>
      </c>
      <c r="V102" s="135">
        <f t="shared" si="33"/>
        <v>9.6</v>
      </c>
      <c r="W102" s="135">
        <f t="shared" si="33"/>
        <v>9.6</v>
      </c>
      <c r="X102" s="135">
        <f t="shared" si="33"/>
        <v>9.6</v>
      </c>
      <c r="Y102" s="135">
        <f t="shared" si="33"/>
        <v>9.6</v>
      </c>
      <c r="Z102" s="135">
        <f t="shared" si="33"/>
        <v>9.6</v>
      </c>
      <c r="AA102" s="135">
        <f t="shared" si="33"/>
        <v>9.6</v>
      </c>
      <c r="AB102" s="135">
        <f t="shared" si="33"/>
        <v>9.6</v>
      </c>
      <c r="AC102" s="135">
        <f t="shared" si="33"/>
        <v>9.6</v>
      </c>
      <c r="AD102" s="135">
        <f t="shared" si="33"/>
        <v>9.6</v>
      </c>
      <c r="AE102" s="135">
        <f t="shared" si="33"/>
        <v>9.6</v>
      </c>
      <c r="AF102" s="135">
        <f t="shared" si="33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31"/>
        <v>9.98</v>
      </c>
      <c r="C103" s="136">
        <v>9.98</v>
      </c>
      <c r="D103" s="135">
        <f t="shared" si="32"/>
        <v>9.98</v>
      </c>
      <c r="E103" s="135">
        <f t="shared" si="32"/>
        <v>9.98</v>
      </c>
      <c r="F103" s="135">
        <f t="shared" si="32"/>
        <v>9.98</v>
      </c>
      <c r="G103" s="135">
        <f t="shared" si="32"/>
        <v>9.98</v>
      </c>
      <c r="H103" s="135">
        <f t="shared" si="32"/>
        <v>9.98</v>
      </c>
      <c r="I103" s="135">
        <f t="shared" si="32"/>
        <v>9.98</v>
      </c>
      <c r="J103" s="135">
        <f t="shared" si="32"/>
        <v>9.98</v>
      </c>
      <c r="K103" s="135">
        <f t="shared" si="32"/>
        <v>9.98</v>
      </c>
      <c r="L103" s="135">
        <f t="shared" si="32"/>
        <v>9.98</v>
      </c>
      <c r="M103" s="135">
        <f t="shared" si="32"/>
        <v>9.98</v>
      </c>
      <c r="N103" s="135">
        <f t="shared" si="32"/>
        <v>9.98</v>
      </c>
      <c r="O103" s="135">
        <f t="shared" si="32"/>
        <v>9.98</v>
      </c>
      <c r="P103" s="135">
        <f t="shared" si="32"/>
        <v>9.98</v>
      </c>
      <c r="Q103" s="135">
        <f t="shared" si="32"/>
        <v>9.98</v>
      </c>
      <c r="R103" s="135">
        <f t="shared" si="32"/>
        <v>9.98</v>
      </c>
      <c r="S103" s="135">
        <f t="shared" si="32"/>
        <v>9.98</v>
      </c>
      <c r="T103" s="135">
        <f t="shared" si="33"/>
        <v>9.98</v>
      </c>
      <c r="U103" s="135">
        <f t="shared" si="33"/>
        <v>9.98</v>
      </c>
      <c r="V103" s="135">
        <f t="shared" si="33"/>
        <v>9.98</v>
      </c>
      <c r="W103" s="135">
        <f t="shared" si="33"/>
        <v>9.98</v>
      </c>
      <c r="X103" s="135">
        <f t="shared" si="33"/>
        <v>9.98</v>
      </c>
      <c r="Y103" s="135">
        <f t="shared" si="33"/>
        <v>9.98</v>
      </c>
      <c r="Z103" s="135">
        <f t="shared" si="33"/>
        <v>9.98</v>
      </c>
      <c r="AA103" s="135">
        <f t="shared" si="33"/>
        <v>9.98</v>
      </c>
      <c r="AB103" s="135">
        <f t="shared" si="33"/>
        <v>9.98</v>
      </c>
      <c r="AC103" s="135">
        <f t="shared" si="33"/>
        <v>9.98</v>
      </c>
      <c r="AD103" s="135">
        <f t="shared" si="33"/>
        <v>9.98</v>
      </c>
      <c r="AE103" s="135">
        <f t="shared" si="33"/>
        <v>9.98</v>
      </c>
      <c r="AF103" s="135">
        <f t="shared" si="33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31"/>
        <v>9.1</v>
      </c>
      <c r="C104" s="136">
        <v>9.1</v>
      </c>
      <c r="D104" s="135">
        <f t="shared" si="32"/>
        <v>9.1</v>
      </c>
      <c r="E104" s="135">
        <f t="shared" si="32"/>
        <v>9.1</v>
      </c>
      <c r="F104" s="135">
        <f t="shared" si="32"/>
        <v>9.1</v>
      </c>
      <c r="G104" s="135">
        <f t="shared" si="32"/>
        <v>9.1</v>
      </c>
      <c r="H104" s="135">
        <f t="shared" si="32"/>
        <v>9.1</v>
      </c>
      <c r="I104" s="135">
        <f t="shared" si="32"/>
        <v>9.1</v>
      </c>
      <c r="J104" s="135">
        <f t="shared" si="32"/>
        <v>9.1</v>
      </c>
      <c r="K104" s="135">
        <f t="shared" si="32"/>
        <v>9.1</v>
      </c>
      <c r="L104" s="135">
        <f t="shared" si="32"/>
        <v>9.1</v>
      </c>
      <c r="M104" s="135">
        <f t="shared" si="32"/>
        <v>9.1</v>
      </c>
      <c r="N104" s="135">
        <f t="shared" si="32"/>
        <v>9.1</v>
      </c>
      <c r="O104" s="135">
        <f t="shared" si="32"/>
        <v>9.1</v>
      </c>
      <c r="P104" s="135">
        <f t="shared" si="32"/>
        <v>9.1</v>
      </c>
      <c r="Q104" s="135">
        <f t="shared" si="32"/>
        <v>9.1</v>
      </c>
      <c r="R104" s="135">
        <f t="shared" si="32"/>
        <v>9.1</v>
      </c>
      <c r="S104" s="135">
        <f t="shared" si="32"/>
        <v>9.1</v>
      </c>
      <c r="T104" s="135">
        <f t="shared" si="33"/>
        <v>9.1</v>
      </c>
      <c r="U104" s="135">
        <f t="shared" si="33"/>
        <v>9.1</v>
      </c>
      <c r="V104" s="135">
        <f t="shared" si="33"/>
        <v>9.1</v>
      </c>
      <c r="W104" s="135">
        <f t="shared" si="33"/>
        <v>9.1</v>
      </c>
      <c r="X104" s="135">
        <f t="shared" si="33"/>
        <v>9.1</v>
      </c>
      <c r="Y104" s="135">
        <f t="shared" si="33"/>
        <v>9.1</v>
      </c>
      <c r="Z104" s="135">
        <f t="shared" si="33"/>
        <v>9.1</v>
      </c>
      <c r="AA104" s="135">
        <f t="shared" si="33"/>
        <v>9.1</v>
      </c>
      <c r="AB104" s="135">
        <f t="shared" si="33"/>
        <v>9.1</v>
      </c>
      <c r="AC104" s="135">
        <f t="shared" si="33"/>
        <v>9.1</v>
      </c>
      <c r="AD104" s="135">
        <f t="shared" si="33"/>
        <v>9.1</v>
      </c>
      <c r="AE104" s="135">
        <f t="shared" si="33"/>
        <v>9.1</v>
      </c>
      <c r="AF104" s="135">
        <f t="shared" si="33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31"/>
        <v>9.18</v>
      </c>
      <c r="C105" s="136">
        <v>9.18</v>
      </c>
      <c r="D105" s="135">
        <f t="shared" si="32"/>
        <v>9.18</v>
      </c>
      <c r="E105" s="135">
        <f t="shared" si="32"/>
        <v>9.18</v>
      </c>
      <c r="F105" s="135">
        <f t="shared" si="32"/>
        <v>9.18</v>
      </c>
      <c r="G105" s="135">
        <f t="shared" si="32"/>
        <v>9.18</v>
      </c>
      <c r="H105" s="135">
        <f t="shared" si="32"/>
        <v>9.18</v>
      </c>
      <c r="I105" s="135">
        <f t="shared" si="32"/>
        <v>9.18</v>
      </c>
      <c r="J105" s="135">
        <f t="shared" si="32"/>
        <v>9.18</v>
      </c>
      <c r="K105" s="135">
        <f t="shared" si="32"/>
        <v>9.18</v>
      </c>
      <c r="L105" s="135">
        <f t="shared" si="32"/>
        <v>9.18</v>
      </c>
      <c r="M105" s="135">
        <f t="shared" si="32"/>
        <v>9.18</v>
      </c>
      <c r="N105" s="135">
        <f t="shared" si="32"/>
        <v>9.18</v>
      </c>
      <c r="O105" s="135">
        <f t="shared" si="32"/>
        <v>9.18</v>
      </c>
      <c r="P105" s="135">
        <f t="shared" si="32"/>
        <v>9.18</v>
      </c>
      <c r="Q105" s="135">
        <f t="shared" si="32"/>
        <v>9.18</v>
      </c>
      <c r="R105" s="135">
        <f t="shared" si="32"/>
        <v>9.18</v>
      </c>
      <c r="S105" s="135">
        <f t="shared" si="32"/>
        <v>9.18</v>
      </c>
      <c r="T105" s="135">
        <f t="shared" si="33"/>
        <v>9.18</v>
      </c>
      <c r="U105" s="135">
        <f t="shared" si="33"/>
        <v>9.18</v>
      </c>
      <c r="V105" s="135">
        <f t="shared" si="33"/>
        <v>9.18</v>
      </c>
      <c r="W105" s="135">
        <f t="shared" si="33"/>
        <v>9.18</v>
      </c>
      <c r="X105" s="135">
        <f t="shared" si="33"/>
        <v>9.18</v>
      </c>
      <c r="Y105" s="135">
        <f t="shared" si="33"/>
        <v>9.18</v>
      </c>
      <c r="Z105" s="135">
        <f t="shared" si="33"/>
        <v>9.18</v>
      </c>
      <c r="AA105" s="135">
        <f t="shared" si="33"/>
        <v>9.18</v>
      </c>
      <c r="AB105" s="135">
        <f t="shared" si="33"/>
        <v>9.18</v>
      </c>
      <c r="AC105" s="135">
        <f t="shared" si="33"/>
        <v>9.18</v>
      </c>
      <c r="AD105" s="135">
        <f t="shared" si="33"/>
        <v>9.18</v>
      </c>
      <c r="AE105" s="135">
        <f t="shared" si="33"/>
        <v>9.18</v>
      </c>
      <c r="AF105" s="135">
        <f t="shared" si="33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31"/>
        <v>7</v>
      </c>
      <c r="C106" s="136">
        <v>7</v>
      </c>
      <c r="D106" s="135">
        <f t="shared" si="32"/>
        <v>7</v>
      </c>
      <c r="E106" s="135">
        <f t="shared" si="32"/>
        <v>7</v>
      </c>
      <c r="F106" s="135">
        <f t="shared" si="32"/>
        <v>7</v>
      </c>
      <c r="G106" s="135">
        <f t="shared" si="32"/>
        <v>7</v>
      </c>
      <c r="H106" s="135">
        <f t="shared" si="32"/>
        <v>7</v>
      </c>
      <c r="I106" s="135">
        <f t="shared" si="32"/>
        <v>7</v>
      </c>
      <c r="J106" s="135">
        <f t="shared" si="32"/>
        <v>7</v>
      </c>
      <c r="K106" s="135">
        <f t="shared" si="32"/>
        <v>7</v>
      </c>
      <c r="L106" s="135">
        <f t="shared" si="32"/>
        <v>7</v>
      </c>
      <c r="M106" s="135">
        <f t="shared" si="32"/>
        <v>7</v>
      </c>
      <c r="N106" s="135">
        <f t="shared" si="32"/>
        <v>7</v>
      </c>
      <c r="O106" s="135">
        <f t="shared" si="32"/>
        <v>7</v>
      </c>
      <c r="P106" s="135">
        <f t="shared" si="32"/>
        <v>7</v>
      </c>
      <c r="Q106" s="135">
        <f t="shared" si="32"/>
        <v>7</v>
      </c>
      <c r="R106" s="135">
        <f t="shared" si="32"/>
        <v>7</v>
      </c>
      <c r="S106" s="135">
        <f t="shared" si="32"/>
        <v>7</v>
      </c>
      <c r="T106" s="135">
        <f t="shared" si="33"/>
        <v>7</v>
      </c>
      <c r="U106" s="135">
        <f t="shared" si="33"/>
        <v>7</v>
      </c>
      <c r="V106" s="135">
        <f t="shared" si="33"/>
        <v>7</v>
      </c>
      <c r="W106" s="135">
        <f t="shared" si="33"/>
        <v>7</v>
      </c>
      <c r="X106" s="135">
        <f t="shared" si="33"/>
        <v>7</v>
      </c>
      <c r="Y106" s="135">
        <f t="shared" si="33"/>
        <v>7</v>
      </c>
      <c r="Z106" s="135">
        <f t="shared" si="33"/>
        <v>7</v>
      </c>
      <c r="AA106" s="135">
        <f t="shared" si="33"/>
        <v>7</v>
      </c>
      <c r="AB106" s="135">
        <f t="shared" si="33"/>
        <v>7</v>
      </c>
      <c r="AC106" s="135">
        <f t="shared" si="33"/>
        <v>7</v>
      </c>
      <c r="AD106" s="135">
        <f t="shared" si="33"/>
        <v>7</v>
      </c>
      <c r="AE106" s="135">
        <f t="shared" si="33"/>
        <v>7</v>
      </c>
      <c r="AF106" s="135">
        <f t="shared" si="33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34">C108</f>
        <v>2.25</v>
      </c>
      <c r="E108" s="135">
        <f t="shared" si="34"/>
        <v>2.25</v>
      </c>
      <c r="F108" s="135">
        <f t="shared" si="34"/>
        <v>2.25</v>
      </c>
      <c r="G108" s="135">
        <f t="shared" si="34"/>
        <v>2.25</v>
      </c>
      <c r="H108" s="135">
        <f t="shared" si="34"/>
        <v>2.25</v>
      </c>
      <c r="I108" s="135">
        <f t="shared" si="34"/>
        <v>2.25</v>
      </c>
      <c r="J108" s="135">
        <f t="shared" si="34"/>
        <v>2.25</v>
      </c>
      <c r="K108" s="135">
        <f t="shared" si="34"/>
        <v>2.25</v>
      </c>
      <c r="L108" s="135">
        <f t="shared" si="34"/>
        <v>2.25</v>
      </c>
      <c r="M108" s="135">
        <f t="shared" si="34"/>
        <v>2.25</v>
      </c>
      <c r="N108" s="135">
        <f t="shared" si="34"/>
        <v>2.25</v>
      </c>
      <c r="O108" s="135">
        <f t="shared" si="34"/>
        <v>2.25</v>
      </c>
      <c r="P108" s="135">
        <f t="shared" si="34"/>
        <v>2.25</v>
      </c>
      <c r="Q108" s="135">
        <f t="shared" si="34"/>
        <v>2.25</v>
      </c>
      <c r="R108" s="135">
        <f t="shared" si="34"/>
        <v>2.25</v>
      </c>
      <c r="S108" s="135">
        <f t="shared" si="34"/>
        <v>2.25</v>
      </c>
      <c r="T108" s="135">
        <f t="shared" ref="T108:AF109" si="35">S108</f>
        <v>2.25</v>
      </c>
      <c r="U108" s="135">
        <f t="shared" si="35"/>
        <v>2.25</v>
      </c>
      <c r="V108" s="135">
        <f t="shared" si="35"/>
        <v>2.25</v>
      </c>
      <c r="W108" s="135">
        <f t="shared" si="35"/>
        <v>2.25</v>
      </c>
      <c r="X108" s="135">
        <f t="shared" si="35"/>
        <v>2.25</v>
      </c>
      <c r="Y108" s="135">
        <f t="shared" si="35"/>
        <v>2.25</v>
      </c>
      <c r="Z108" s="135">
        <f t="shared" si="35"/>
        <v>2.25</v>
      </c>
      <c r="AA108" s="135">
        <f t="shared" si="35"/>
        <v>2.25</v>
      </c>
      <c r="AB108" s="135">
        <f t="shared" si="35"/>
        <v>2.25</v>
      </c>
      <c r="AC108" s="135">
        <f t="shared" si="35"/>
        <v>2.25</v>
      </c>
      <c r="AD108" s="135">
        <f t="shared" si="35"/>
        <v>2.25</v>
      </c>
      <c r="AE108" s="135">
        <f t="shared" si="35"/>
        <v>2.25</v>
      </c>
      <c r="AF108" s="135">
        <f t="shared" si="35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34"/>
        <v>1.64</v>
      </c>
      <c r="E109" s="135">
        <f t="shared" si="34"/>
        <v>1.64</v>
      </c>
      <c r="F109" s="135">
        <f t="shared" si="34"/>
        <v>1.64</v>
      </c>
      <c r="G109" s="135">
        <f t="shared" si="34"/>
        <v>1.64</v>
      </c>
      <c r="H109" s="135">
        <f t="shared" si="34"/>
        <v>1.64</v>
      </c>
      <c r="I109" s="135">
        <f t="shared" si="34"/>
        <v>1.64</v>
      </c>
      <c r="J109" s="135">
        <f t="shared" si="34"/>
        <v>1.64</v>
      </c>
      <c r="K109" s="135">
        <f t="shared" si="34"/>
        <v>1.64</v>
      </c>
      <c r="L109" s="135">
        <f t="shared" si="34"/>
        <v>1.64</v>
      </c>
      <c r="M109" s="135">
        <f t="shared" si="34"/>
        <v>1.64</v>
      </c>
      <c r="N109" s="135">
        <f t="shared" si="34"/>
        <v>1.64</v>
      </c>
      <c r="O109" s="135">
        <f t="shared" si="34"/>
        <v>1.64</v>
      </c>
      <c r="P109" s="135">
        <f t="shared" si="34"/>
        <v>1.64</v>
      </c>
      <c r="Q109" s="135">
        <f t="shared" si="34"/>
        <v>1.64</v>
      </c>
      <c r="R109" s="135">
        <f t="shared" si="34"/>
        <v>1.64</v>
      </c>
      <c r="S109" s="135">
        <f t="shared" si="34"/>
        <v>1.64</v>
      </c>
      <c r="T109" s="135">
        <f t="shared" si="35"/>
        <v>1.64</v>
      </c>
      <c r="U109" s="135">
        <f t="shared" si="35"/>
        <v>1.64</v>
      </c>
      <c r="V109" s="135">
        <f t="shared" si="35"/>
        <v>1.64</v>
      </c>
      <c r="W109" s="135">
        <f t="shared" si="35"/>
        <v>1.64</v>
      </c>
      <c r="X109" s="135">
        <f t="shared" si="35"/>
        <v>1.64</v>
      </c>
      <c r="Y109" s="135">
        <f t="shared" si="35"/>
        <v>1.64</v>
      </c>
      <c r="Z109" s="135">
        <f t="shared" si="35"/>
        <v>1.64</v>
      </c>
      <c r="AA109" s="135">
        <f t="shared" si="35"/>
        <v>1.64</v>
      </c>
      <c r="AB109" s="135">
        <f t="shared" si="35"/>
        <v>1.64</v>
      </c>
      <c r="AC109" s="135">
        <f t="shared" si="35"/>
        <v>1.64</v>
      </c>
      <c r="AD109" s="135">
        <f t="shared" si="35"/>
        <v>1.64</v>
      </c>
      <c r="AE109" s="135">
        <f t="shared" si="35"/>
        <v>1.64</v>
      </c>
      <c r="AF109" s="135">
        <f t="shared" si="35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6">AF111</f>
        <v>1.62</v>
      </c>
      <c r="C111" s="136">
        <v>1.62</v>
      </c>
      <c r="D111" s="135">
        <f t="shared" ref="D111:S118" si="37">C111</f>
        <v>1.62</v>
      </c>
      <c r="E111" s="135">
        <f t="shared" si="37"/>
        <v>1.62</v>
      </c>
      <c r="F111" s="135">
        <f t="shared" si="37"/>
        <v>1.62</v>
      </c>
      <c r="G111" s="135">
        <f t="shared" si="37"/>
        <v>1.62</v>
      </c>
      <c r="H111" s="135">
        <f t="shared" si="37"/>
        <v>1.62</v>
      </c>
      <c r="I111" s="135">
        <f t="shared" si="37"/>
        <v>1.62</v>
      </c>
      <c r="J111" s="135">
        <f t="shared" si="37"/>
        <v>1.62</v>
      </c>
      <c r="K111" s="135">
        <f t="shared" si="37"/>
        <v>1.62</v>
      </c>
      <c r="L111" s="135">
        <f t="shared" si="37"/>
        <v>1.62</v>
      </c>
      <c r="M111" s="135">
        <f t="shared" si="37"/>
        <v>1.62</v>
      </c>
      <c r="N111" s="135">
        <f t="shared" si="37"/>
        <v>1.62</v>
      </c>
      <c r="O111" s="135">
        <f t="shared" si="37"/>
        <v>1.62</v>
      </c>
      <c r="P111" s="135">
        <f t="shared" si="37"/>
        <v>1.62</v>
      </c>
      <c r="Q111" s="135">
        <f t="shared" si="37"/>
        <v>1.62</v>
      </c>
      <c r="R111" s="135">
        <f t="shared" si="37"/>
        <v>1.62</v>
      </c>
      <c r="S111" s="135">
        <f t="shared" si="37"/>
        <v>1.62</v>
      </c>
      <c r="T111" s="135">
        <f t="shared" ref="T111:AF126" si="38">S111</f>
        <v>1.62</v>
      </c>
      <c r="U111" s="135">
        <f t="shared" si="38"/>
        <v>1.62</v>
      </c>
      <c r="V111" s="135">
        <f t="shared" si="38"/>
        <v>1.62</v>
      </c>
      <c r="W111" s="135">
        <f t="shared" si="38"/>
        <v>1.62</v>
      </c>
      <c r="X111" s="135">
        <f t="shared" si="38"/>
        <v>1.62</v>
      </c>
      <c r="Y111" s="135">
        <f t="shared" si="38"/>
        <v>1.62</v>
      </c>
      <c r="Z111" s="135">
        <f t="shared" si="38"/>
        <v>1.62</v>
      </c>
      <c r="AA111" s="135">
        <f t="shared" si="38"/>
        <v>1.62</v>
      </c>
      <c r="AB111" s="135">
        <f t="shared" si="38"/>
        <v>1.62</v>
      </c>
      <c r="AC111" s="135">
        <f t="shared" si="38"/>
        <v>1.62</v>
      </c>
      <c r="AD111" s="135">
        <f t="shared" si="38"/>
        <v>1.62</v>
      </c>
      <c r="AE111" s="135">
        <f t="shared" si="38"/>
        <v>1.62</v>
      </c>
      <c r="AF111" s="135">
        <f t="shared" si="38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6"/>
        <v>8.36</v>
      </c>
      <c r="C112" s="136">
        <v>8.36</v>
      </c>
      <c r="D112" s="135">
        <f t="shared" si="37"/>
        <v>8.36</v>
      </c>
      <c r="E112" s="135">
        <f t="shared" si="37"/>
        <v>8.36</v>
      </c>
      <c r="F112" s="135">
        <f t="shared" si="37"/>
        <v>8.36</v>
      </c>
      <c r="G112" s="135">
        <f t="shared" si="37"/>
        <v>8.36</v>
      </c>
      <c r="H112" s="135">
        <f t="shared" si="37"/>
        <v>8.36</v>
      </c>
      <c r="I112" s="135">
        <f t="shared" si="37"/>
        <v>8.36</v>
      </c>
      <c r="J112" s="135">
        <f t="shared" si="37"/>
        <v>8.36</v>
      </c>
      <c r="K112" s="135">
        <f t="shared" si="37"/>
        <v>8.36</v>
      </c>
      <c r="L112" s="135">
        <f t="shared" si="37"/>
        <v>8.36</v>
      </c>
      <c r="M112" s="135">
        <f t="shared" si="37"/>
        <v>8.36</v>
      </c>
      <c r="N112" s="135">
        <f t="shared" si="37"/>
        <v>8.36</v>
      </c>
      <c r="O112" s="135">
        <f t="shared" si="37"/>
        <v>8.36</v>
      </c>
      <c r="P112" s="135">
        <f t="shared" si="37"/>
        <v>8.36</v>
      </c>
      <c r="Q112" s="135">
        <f t="shared" si="37"/>
        <v>8.36</v>
      </c>
      <c r="R112" s="135">
        <f t="shared" si="37"/>
        <v>8.36</v>
      </c>
      <c r="S112" s="135">
        <f t="shared" si="37"/>
        <v>8.36</v>
      </c>
      <c r="T112" s="135">
        <f t="shared" si="38"/>
        <v>8.36</v>
      </c>
      <c r="U112" s="135">
        <f t="shared" si="38"/>
        <v>8.36</v>
      </c>
      <c r="V112" s="135">
        <f t="shared" si="38"/>
        <v>8.36</v>
      </c>
      <c r="W112" s="135">
        <f t="shared" si="38"/>
        <v>8.36</v>
      </c>
      <c r="X112" s="135">
        <f t="shared" si="38"/>
        <v>8.36</v>
      </c>
      <c r="Y112" s="135">
        <f t="shared" si="38"/>
        <v>8.36</v>
      </c>
      <c r="Z112" s="135">
        <f t="shared" si="38"/>
        <v>8.36</v>
      </c>
      <c r="AA112" s="135">
        <f t="shared" si="38"/>
        <v>8.36</v>
      </c>
      <c r="AB112" s="135">
        <f t="shared" si="38"/>
        <v>8.36</v>
      </c>
      <c r="AC112" s="135">
        <f t="shared" si="38"/>
        <v>8.36</v>
      </c>
      <c r="AD112" s="135">
        <f t="shared" si="38"/>
        <v>8.36</v>
      </c>
      <c r="AE112" s="135">
        <f t="shared" si="38"/>
        <v>8.36</v>
      </c>
      <c r="AF112" s="135">
        <f t="shared" si="38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6"/>
        <v>5.4</v>
      </c>
      <c r="C113" s="136">
        <v>8</v>
      </c>
      <c r="D113" s="135">
        <f t="shared" si="37"/>
        <v>8</v>
      </c>
      <c r="E113" s="135">
        <f t="shared" si="37"/>
        <v>8</v>
      </c>
      <c r="F113" s="135">
        <f t="shared" si="37"/>
        <v>8</v>
      </c>
      <c r="G113" s="135">
        <f t="shared" si="37"/>
        <v>8</v>
      </c>
      <c r="H113" s="135">
        <f t="shared" si="37"/>
        <v>8</v>
      </c>
      <c r="I113" s="135">
        <f t="shared" si="37"/>
        <v>8</v>
      </c>
      <c r="J113" s="135">
        <v>5.4</v>
      </c>
      <c r="K113" s="135">
        <f t="shared" si="37"/>
        <v>5.4</v>
      </c>
      <c r="L113" s="135">
        <f t="shared" si="37"/>
        <v>5.4</v>
      </c>
      <c r="M113" s="135">
        <f t="shared" si="37"/>
        <v>5.4</v>
      </c>
      <c r="N113" s="135">
        <f t="shared" si="37"/>
        <v>5.4</v>
      </c>
      <c r="O113" s="135">
        <f t="shared" si="37"/>
        <v>5.4</v>
      </c>
      <c r="P113" s="135">
        <f t="shared" si="37"/>
        <v>5.4</v>
      </c>
      <c r="Q113" s="135">
        <f t="shared" si="37"/>
        <v>5.4</v>
      </c>
      <c r="R113" s="135">
        <f t="shared" si="37"/>
        <v>5.4</v>
      </c>
      <c r="S113" s="135">
        <f t="shared" si="37"/>
        <v>5.4</v>
      </c>
      <c r="T113" s="135">
        <f t="shared" si="38"/>
        <v>5.4</v>
      </c>
      <c r="U113" s="135">
        <f t="shared" si="38"/>
        <v>5.4</v>
      </c>
      <c r="V113" s="135">
        <f t="shared" si="38"/>
        <v>5.4</v>
      </c>
      <c r="W113" s="135">
        <f t="shared" si="38"/>
        <v>5.4</v>
      </c>
      <c r="X113" s="135">
        <f t="shared" si="38"/>
        <v>5.4</v>
      </c>
      <c r="Y113" s="135">
        <f t="shared" si="38"/>
        <v>5.4</v>
      </c>
      <c r="Z113" s="135">
        <f t="shared" si="38"/>
        <v>5.4</v>
      </c>
      <c r="AA113" s="135">
        <f t="shared" si="38"/>
        <v>5.4</v>
      </c>
      <c r="AB113" s="135">
        <f t="shared" si="38"/>
        <v>5.4</v>
      </c>
      <c r="AC113" s="135">
        <f t="shared" si="38"/>
        <v>5.4</v>
      </c>
      <c r="AD113" s="135">
        <f t="shared" si="38"/>
        <v>5.4</v>
      </c>
      <c r="AE113" s="135">
        <f t="shared" si="38"/>
        <v>5.4</v>
      </c>
      <c r="AF113" s="135">
        <f t="shared" si="38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6"/>
        <v>6.57</v>
      </c>
      <c r="C114" s="136">
        <v>6.57</v>
      </c>
      <c r="D114" s="135">
        <f t="shared" si="37"/>
        <v>6.57</v>
      </c>
      <c r="E114" s="135">
        <f t="shared" si="37"/>
        <v>6.57</v>
      </c>
      <c r="F114" s="135">
        <f t="shared" si="37"/>
        <v>6.57</v>
      </c>
      <c r="G114" s="135">
        <f t="shared" si="37"/>
        <v>6.57</v>
      </c>
      <c r="H114" s="135">
        <f t="shared" si="37"/>
        <v>6.57</v>
      </c>
      <c r="I114" s="135">
        <f t="shared" si="37"/>
        <v>6.57</v>
      </c>
      <c r="J114" s="135">
        <f t="shared" si="37"/>
        <v>6.57</v>
      </c>
      <c r="K114" s="135">
        <f t="shared" si="37"/>
        <v>6.57</v>
      </c>
      <c r="L114" s="135">
        <f t="shared" si="37"/>
        <v>6.57</v>
      </c>
      <c r="M114" s="135">
        <f t="shared" si="37"/>
        <v>6.57</v>
      </c>
      <c r="N114" s="135">
        <f t="shared" si="37"/>
        <v>6.57</v>
      </c>
      <c r="O114" s="135">
        <f t="shared" si="37"/>
        <v>6.57</v>
      </c>
      <c r="P114" s="135">
        <f t="shared" si="37"/>
        <v>6.57</v>
      </c>
      <c r="Q114" s="135">
        <f t="shared" si="37"/>
        <v>6.57</v>
      </c>
      <c r="R114" s="135">
        <f t="shared" si="37"/>
        <v>6.57</v>
      </c>
      <c r="S114" s="135">
        <f t="shared" si="37"/>
        <v>6.57</v>
      </c>
      <c r="T114" s="135">
        <f t="shared" si="38"/>
        <v>6.57</v>
      </c>
      <c r="U114" s="135">
        <f t="shared" si="38"/>
        <v>6.57</v>
      </c>
      <c r="V114" s="135">
        <f t="shared" si="38"/>
        <v>6.57</v>
      </c>
      <c r="W114" s="135">
        <f t="shared" si="38"/>
        <v>6.57</v>
      </c>
      <c r="X114" s="135">
        <f t="shared" si="38"/>
        <v>6.57</v>
      </c>
      <c r="Y114" s="135">
        <f t="shared" si="38"/>
        <v>6.57</v>
      </c>
      <c r="Z114" s="135">
        <f t="shared" si="38"/>
        <v>6.57</v>
      </c>
      <c r="AA114" s="135">
        <f t="shared" si="38"/>
        <v>6.57</v>
      </c>
      <c r="AB114" s="135">
        <f t="shared" si="38"/>
        <v>6.57</v>
      </c>
      <c r="AC114" s="135">
        <f t="shared" si="38"/>
        <v>6.57</v>
      </c>
      <c r="AD114" s="135">
        <f t="shared" si="38"/>
        <v>6.57</v>
      </c>
      <c r="AE114" s="135">
        <f t="shared" si="38"/>
        <v>6.57</v>
      </c>
      <c r="AF114" s="135">
        <f t="shared" si="38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6"/>
        <v>3.43</v>
      </c>
      <c r="C115" s="136">
        <v>3.43</v>
      </c>
      <c r="D115" s="135">
        <f t="shared" si="37"/>
        <v>3.43</v>
      </c>
      <c r="E115" s="135">
        <f t="shared" si="37"/>
        <v>3.43</v>
      </c>
      <c r="F115" s="135">
        <f t="shared" si="37"/>
        <v>3.43</v>
      </c>
      <c r="G115" s="135">
        <f t="shared" si="37"/>
        <v>3.43</v>
      </c>
      <c r="H115" s="135">
        <f t="shared" si="37"/>
        <v>3.43</v>
      </c>
      <c r="I115" s="135">
        <f t="shared" si="37"/>
        <v>3.43</v>
      </c>
      <c r="J115" s="135">
        <f t="shared" si="37"/>
        <v>3.43</v>
      </c>
      <c r="K115" s="135">
        <f t="shared" si="37"/>
        <v>3.43</v>
      </c>
      <c r="L115" s="135">
        <f t="shared" si="37"/>
        <v>3.43</v>
      </c>
      <c r="M115" s="135">
        <f t="shared" si="37"/>
        <v>3.43</v>
      </c>
      <c r="N115" s="135">
        <f t="shared" si="37"/>
        <v>3.43</v>
      </c>
      <c r="O115" s="135">
        <f t="shared" si="37"/>
        <v>3.43</v>
      </c>
      <c r="P115" s="135">
        <f t="shared" si="37"/>
        <v>3.43</v>
      </c>
      <c r="Q115" s="135">
        <f t="shared" si="37"/>
        <v>3.43</v>
      </c>
      <c r="R115" s="135">
        <f t="shared" si="37"/>
        <v>3.43</v>
      </c>
      <c r="S115" s="135">
        <f t="shared" si="37"/>
        <v>3.43</v>
      </c>
      <c r="T115" s="135">
        <f t="shared" si="38"/>
        <v>3.43</v>
      </c>
      <c r="U115" s="135">
        <f t="shared" si="38"/>
        <v>3.43</v>
      </c>
      <c r="V115" s="135">
        <f t="shared" si="38"/>
        <v>3.43</v>
      </c>
      <c r="W115" s="135">
        <f t="shared" si="38"/>
        <v>3.43</v>
      </c>
      <c r="X115" s="135">
        <f t="shared" si="38"/>
        <v>3.43</v>
      </c>
      <c r="Y115" s="135">
        <f t="shared" si="38"/>
        <v>3.43</v>
      </c>
      <c r="Z115" s="135">
        <f t="shared" si="38"/>
        <v>3.43</v>
      </c>
      <c r="AA115" s="135">
        <f t="shared" si="38"/>
        <v>3.43</v>
      </c>
      <c r="AB115" s="135">
        <f t="shared" si="38"/>
        <v>3.43</v>
      </c>
      <c r="AC115" s="135">
        <f t="shared" si="38"/>
        <v>3.43</v>
      </c>
      <c r="AD115" s="135">
        <f t="shared" si="38"/>
        <v>3.43</v>
      </c>
      <c r="AE115" s="135">
        <f t="shared" si="38"/>
        <v>3.43</v>
      </c>
      <c r="AF115" s="135">
        <f t="shared" si="38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6"/>
        <v>2.96</v>
      </c>
      <c r="C116" s="136">
        <v>2.96</v>
      </c>
      <c r="D116" s="135">
        <f t="shared" si="37"/>
        <v>2.96</v>
      </c>
      <c r="E116" s="135">
        <f t="shared" si="37"/>
        <v>2.96</v>
      </c>
      <c r="F116" s="135">
        <f t="shared" si="37"/>
        <v>2.96</v>
      </c>
      <c r="G116" s="135">
        <f t="shared" si="37"/>
        <v>2.96</v>
      </c>
      <c r="H116" s="135">
        <f t="shared" si="37"/>
        <v>2.96</v>
      </c>
      <c r="I116" s="135">
        <f t="shared" si="37"/>
        <v>2.96</v>
      </c>
      <c r="J116" s="135">
        <f t="shared" si="37"/>
        <v>2.96</v>
      </c>
      <c r="K116" s="135">
        <f t="shared" si="37"/>
        <v>2.96</v>
      </c>
      <c r="L116" s="135">
        <f t="shared" si="37"/>
        <v>2.96</v>
      </c>
      <c r="M116" s="135">
        <f t="shared" si="37"/>
        <v>2.96</v>
      </c>
      <c r="N116" s="135">
        <f t="shared" si="37"/>
        <v>2.96</v>
      </c>
      <c r="O116" s="135">
        <f t="shared" si="37"/>
        <v>2.96</v>
      </c>
      <c r="P116" s="135">
        <f t="shared" si="37"/>
        <v>2.96</v>
      </c>
      <c r="Q116" s="135">
        <f t="shared" si="37"/>
        <v>2.96</v>
      </c>
      <c r="R116" s="135">
        <f t="shared" si="37"/>
        <v>2.96</v>
      </c>
      <c r="S116" s="135">
        <f t="shared" si="37"/>
        <v>2.96</v>
      </c>
      <c r="T116" s="135">
        <f t="shared" si="38"/>
        <v>2.96</v>
      </c>
      <c r="U116" s="135">
        <f t="shared" si="38"/>
        <v>2.96</v>
      </c>
      <c r="V116" s="135">
        <f t="shared" si="38"/>
        <v>2.96</v>
      </c>
      <c r="W116" s="135">
        <f t="shared" si="38"/>
        <v>2.96</v>
      </c>
      <c r="X116" s="135">
        <f t="shared" si="38"/>
        <v>2.96</v>
      </c>
      <c r="Y116" s="135">
        <f t="shared" si="38"/>
        <v>2.96</v>
      </c>
      <c r="Z116" s="135">
        <f t="shared" si="38"/>
        <v>2.96</v>
      </c>
      <c r="AA116" s="135">
        <f t="shared" si="38"/>
        <v>2.96</v>
      </c>
      <c r="AB116" s="135">
        <f t="shared" si="38"/>
        <v>2.96</v>
      </c>
      <c r="AC116" s="135">
        <f t="shared" si="38"/>
        <v>2.96</v>
      </c>
      <c r="AD116" s="135">
        <f t="shared" si="38"/>
        <v>2.96</v>
      </c>
      <c r="AE116" s="135">
        <f t="shared" si="38"/>
        <v>2.96</v>
      </c>
      <c r="AF116" s="135">
        <f t="shared" si="38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6"/>
        <v>8</v>
      </c>
      <c r="C117" s="136">
        <v>8</v>
      </c>
      <c r="D117" s="135">
        <f t="shared" si="37"/>
        <v>8</v>
      </c>
      <c r="E117" s="135">
        <f t="shared" si="37"/>
        <v>8</v>
      </c>
      <c r="F117" s="135">
        <f t="shared" si="37"/>
        <v>8</v>
      </c>
      <c r="G117" s="135">
        <f t="shared" si="37"/>
        <v>8</v>
      </c>
      <c r="H117" s="135">
        <f t="shared" si="37"/>
        <v>8</v>
      </c>
      <c r="I117" s="135">
        <f t="shared" si="37"/>
        <v>8</v>
      </c>
      <c r="J117" s="135">
        <f t="shared" si="37"/>
        <v>8</v>
      </c>
      <c r="K117" s="135">
        <f t="shared" si="37"/>
        <v>8</v>
      </c>
      <c r="L117" s="135">
        <f t="shared" si="37"/>
        <v>8</v>
      </c>
      <c r="M117" s="135">
        <f t="shared" si="37"/>
        <v>8</v>
      </c>
      <c r="N117" s="135">
        <f t="shared" si="37"/>
        <v>8</v>
      </c>
      <c r="O117" s="135">
        <f t="shared" si="37"/>
        <v>8</v>
      </c>
      <c r="P117" s="135">
        <f t="shared" si="37"/>
        <v>8</v>
      </c>
      <c r="Q117" s="135">
        <f t="shared" si="37"/>
        <v>8</v>
      </c>
      <c r="R117" s="135">
        <f t="shared" si="37"/>
        <v>8</v>
      </c>
      <c r="S117" s="135">
        <f t="shared" si="37"/>
        <v>8</v>
      </c>
      <c r="T117" s="135">
        <f t="shared" si="38"/>
        <v>8</v>
      </c>
      <c r="U117" s="135">
        <f t="shared" si="38"/>
        <v>8</v>
      </c>
      <c r="V117" s="135">
        <f t="shared" si="38"/>
        <v>8</v>
      </c>
      <c r="W117" s="135">
        <f t="shared" si="38"/>
        <v>8</v>
      </c>
      <c r="X117" s="135">
        <f t="shared" si="38"/>
        <v>8</v>
      </c>
      <c r="Y117" s="135">
        <f t="shared" si="38"/>
        <v>8</v>
      </c>
      <c r="Z117" s="135">
        <f t="shared" si="38"/>
        <v>8</v>
      </c>
      <c r="AA117" s="135">
        <f t="shared" si="38"/>
        <v>8</v>
      </c>
      <c r="AB117" s="135">
        <f t="shared" si="38"/>
        <v>8</v>
      </c>
      <c r="AC117" s="135">
        <f t="shared" si="38"/>
        <v>8</v>
      </c>
      <c r="AD117" s="135">
        <f t="shared" si="38"/>
        <v>8</v>
      </c>
      <c r="AE117" s="135">
        <f t="shared" si="38"/>
        <v>8</v>
      </c>
      <c r="AF117" s="135">
        <f t="shared" si="38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6"/>
        <v>7</v>
      </c>
      <c r="C118" s="136">
        <v>7</v>
      </c>
      <c r="D118" s="135">
        <f>C118</f>
        <v>7</v>
      </c>
      <c r="E118" s="135">
        <f t="shared" si="37"/>
        <v>7</v>
      </c>
      <c r="F118" s="135">
        <f t="shared" si="37"/>
        <v>7</v>
      </c>
      <c r="G118" s="135">
        <f t="shared" si="37"/>
        <v>7</v>
      </c>
      <c r="H118" s="135">
        <f t="shared" si="37"/>
        <v>7</v>
      </c>
      <c r="I118" s="135">
        <f t="shared" si="37"/>
        <v>7</v>
      </c>
      <c r="J118" s="135">
        <f t="shared" si="37"/>
        <v>7</v>
      </c>
      <c r="K118" s="135">
        <f t="shared" si="37"/>
        <v>7</v>
      </c>
      <c r="L118" s="135">
        <f t="shared" si="37"/>
        <v>7</v>
      </c>
      <c r="M118" s="135">
        <f t="shared" si="37"/>
        <v>7</v>
      </c>
      <c r="N118" s="135">
        <f t="shared" si="37"/>
        <v>7</v>
      </c>
      <c r="O118" s="135">
        <f t="shared" si="37"/>
        <v>7</v>
      </c>
      <c r="P118" s="135">
        <f t="shared" si="37"/>
        <v>7</v>
      </c>
      <c r="Q118" s="135">
        <f t="shared" si="37"/>
        <v>7</v>
      </c>
      <c r="R118" s="135">
        <f t="shared" si="37"/>
        <v>7</v>
      </c>
      <c r="S118" s="135">
        <f t="shared" si="37"/>
        <v>7</v>
      </c>
      <c r="T118" s="135">
        <f t="shared" si="38"/>
        <v>7</v>
      </c>
      <c r="U118" s="135">
        <f t="shared" si="38"/>
        <v>7</v>
      </c>
      <c r="V118" s="135">
        <f t="shared" si="38"/>
        <v>7</v>
      </c>
      <c r="W118" s="135">
        <f t="shared" si="38"/>
        <v>7</v>
      </c>
      <c r="X118" s="135">
        <f t="shared" si="38"/>
        <v>7</v>
      </c>
      <c r="Y118" s="135">
        <f t="shared" si="38"/>
        <v>7</v>
      </c>
      <c r="Z118" s="135">
        <f t="shared" si="38"/>
        <v>7</v>
      </c>
      <c r="AA118" s="135">
        <f t="shared" si="38"/>
        <v>7</v>
      </c>
      <c r="AB118" s="135">
        <f t="shared" si="38"/>
        <v>7</v>
      </c>
      <c r="AC118" s="135">
        <f t="shared" si="38"/>
        <v>7</v>
      </c>
      <c r="AD118" s="135">
        <f t="shared" si="38"/>
        <v>7</v>
      </c>
      <c r="AE118" s="135">
        <f t="shared" si="38"/>
        <v>7</v>
      </c>
      <c r="AF118" s="135">
        <f t="shared" si="38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6"/>
        <v>3.47</v>
      </c>
      <c r="C119" s="136">
        <v>3.47</v>
      </c>
      <c r="D119" s="135">
        <f t="shared" ref="D119:S128" si="39">C119</f>
        <v>3.47</v>
      </c>
      <c r="E119" s="135">
        <f t="shared" si="39"/>
        <v>3.47</v>
      </c>
      <c r="F119" s="135">
        <f t="shared" si="39"/>
        <v>3.47</v>
      </c>
      <c r="G119" s="135">
        <f t="shared" si="39"/>
        <v>3.47</v>
      </c>
      <c r="H119" s="135">
        <f t="shared" si="39"/>
        <v>3.47</v>
      </c>
      <c r="I119" s="135">
        <f t="shared" si="39"/>
        <v>3.47</v>
      </c>
      <c r="J119" s="135">
        <f t="shared" si="39"/>
        <v>3.47</v>
      </c>
      <c r="K119" s="135">
        <f t="shared" si="39"/>
        <v>3.47</v>
      </c>
      <c r="L119" s="135">
        <f t="shared" si="39"/>
        <v>3.47</v>
      </c>
      <c r="M119" s="135">
        <f t="shared" si="39"/>
        <v>3.47</v>
      </c>
      <c r="N119" s="135">
        <f t="shared" si="39"/>
        <v>3.47</v>
      </c>
      <c r="O119" s="135">
        <f t="shared" si="39"/>
        <v>3.47</v>
      </c>
      <c r="P119" s="135">
        <f t="shared" si="39"/>
        <v>3.47</v>
      </c>
      <c r="Q119" s="135">
        <f t="shared" si="39"/>
        <v>3.47</v>
      </c>
      <c r="R119" s="135">
        <f t="shared" si="39"/>
        <v>3.47</v>
      </c>
      <c r="S119" s="135">
        <f t="shared" si="39"/>
        <v>3.47</v>
      </c>
      <c r="T119" s="135">
        <f t="shared" si="38"/>
        <v>3.47</v>
      </c>
      <c r="U119" s="135">
        <f t="shared" si="38"/>
        <v>3.47</v>
      </c>
      <c r="V119" s="135">
        <f t="shared" si="38"/>
        <v>3.47</v>
      </c>
      <c r="W119" s="135">
        <f t="shared" si="38"/>
        <v>3.47</v>
      </c>
      <c r="X119" s="135">
        <f t="shared" si="38"/>
        <v>3.47</v>
      </c>
      <c r="Y119" s="135">
        <f t="shared" si="38"/>
        <v>3.47</v>
      </c>
      <c r="Z119" s="135">
        <f t="shared" si="38"/>
        <v>3.47</v>
      </c>
      <c r="AA119" s="135">
        <f t="shared" si="38"/>
        <v>3.47</v>
      </c>
      <c r="AB119" s="135">
        <f t="shared" si="38"/>
        <v>3.47</v>
      </c>
      <c r="AC119" s="135">
        <f t="shared" si="38"/>
        <v>3.47</v>
      </c>
      <c r="AD119" s="135">
        <f t="shared" si="38"/>
        <v>3.47</v>
      </c>
      <c r="AE119" s="135">
        <f t="shared" si="38"/>
        <v>3.47</v>
      </c>
      <c r="AF119" s="135">
        <f t="shared" si="38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6"/>
        <v>2.1</v>
      </c>
      <c r="C120" s="136">
        <v>2.1</v>
      </c>
      <c r="D120" s="135">
        <f t="shared" si="39"/>
        <v>2.1</v>
      </c>
      <c r="E120" s="135">
        <f t="shared" si="39"/>
        <v>2.1</v>
      </c>
      <c r="F120" s="135">
        <f t="shared" si="39"/>
        <v>2.1</v>
      </c>
      <c r="G120" s="135">
        <f t="shared" si="39"/>
        <v>2.1</v>
      </c>
      <c r="H120" s="135">
        <f t="shared" si="39"/>
        <v>2.1</v>
      </c>
      <c r="I120" s="135">
        <f t="shared" si="39"/>
        <v>2.1</v>
      </c>
      <c r="J120" s="135">
        <f t="shared" si="39"/>
        <v>2.1</v>
      </c>
      <c r="K120" s="135">
        <f t="shared" si="39"/>
        <v>2.1</v>
      </c>
      <c r="L120" s="135">
        <f t="shared" si="39"/>
        <v>2.1</v>
      </c>
      <c r="M120" s="135">
        <f t="shared" si="39"/>
        <v>2.1</v>
      </c>
      <c r="N120" s="135">
        <f t="shared" si="39"/>
        <v>2.1</v>
      </c>
      <c r="O120" s="135">
        <f t="shared" si="39"/>
        <v>2.1</v>
      </c>
      <c r="P120" s="135">
        <f t="shared" si="39"/>
        <v>2.1</v>
      </c>
      <c r="Q120" s="135">
        <f t="shared" si="39"/>
        <v>2.1</v>
      </c>
      <c r="R120" s="135">
        <f t="shared" si="39"/>
        <v>2.1</v>
      </c>
      <c r="S120" s="135">
        <f t="shared" si="39"/>
        <v>2.1</v>
      </c>
      <c r="T120" s="135">
        <f t="shared" si="38"/>
        <v>2.1</v>
      </c>
      <c r="U120" s="135">
        <f t="shared" si="38"/>
        <v>2.1</v>
      </c>
      <c r="V120" s="135">
        <f t="shared" si="38"/>
        <v>2.1</v>
      </c>
      <c r="W120" s="135">
        <f t="shared" si="38"/>
        <v>2.1</v>
      </c>
      <c r="X120" s="135">
        <f t="shared" si="38"/>
        <v>2.1</v>
      </c>
      <c r="Y120" s="135">
        <f t="shared" si="38"/>
        <v>2.1</v>
      </c>
      <c r="Z120" s="135">
        <f t="shared" si="38"/>
        <v>2.1</v>
      </c>
      <c r="AA120" s="135">
        <f t="shared" si="38"/>
        <v>2.1</v>
      </c>
      <c r="AB120" s="135">
        <f t="shared" si="38"/>
        <v>2.1</v>
      </c>
      <c r="AC120" s="135">
        <f t="shared" si="38"/>
        <v>2.1</v>
      </c>
      <c r="AD120" s="135">
        <f t="shared" si="38"/>
        <v>2.1</v>
      </c>
      <c r="AE120" s="135">
        <f t="shared" si="38"/>
        <v>2.1</v>
      </c>
      <c r="AF120" s="135">
        <f t="shared" si="38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6"/>
        <v>9.3000000000000007</v>
      </c>
      <c r="C121" s="136">
        <v>9.3000000000000007</v>
      </c>
      <c r="D121" s="135">
        <f t="shared" si="39"/>
        <v>9.3000000000000007</v>
      </c>
      <c r="E121" s="135">
        <f t="shared" si="39"/>
        <v>9.3000000000000007</v>
      </c>
      <c r="F121" s="135">
        <f t="shared" si="39"/>
        <v>9.3000000000000007</v>
      </c>
      <c r="G121" s="135">
        <f t="shared" si="39"/>
        <v>9.3000000000000007</v>
      </c>
      <c r="H121" s="135">
        <f t="shared" si="39"/>
        <v>9.3000000000000007</v>
      </c>
      <c r="I121" s="135">
        <f t="shared" si="39"/>
        <v>9.3000000000000007</v>
      </c>
      <c r="J121" s="135">
        <f t="shared" si="39"/>
        <v>9.3000000000000007</v>
      </c>
      <c r="K121" s="135">
        <f t="shared" si="39"/>
        <v>9.3000000000000007</v>
      </c>
      <c r="L121" s="135">
        <f t="shared" si="39"/>
        <v>9.3000000000000007</v>
      </c>
      <c r="M121" s="135">
        <f t="shared" si="39"/>
        <v>9.3000000000000007</v>
      </c>
      <c r="N121" s="135">
        <f t="shared" si="39"/>
        <v>9.3000000000000007</v>
      </c>
      <c r="O121" s="135">
        <f t="shared" si="39"/>
        <v>9.3000000000000007</v>
      </c>
      <c r="P121" s="135">
        <f t="shared" si="39"/>
        <v>9.3000000000000007</v>
      </c>
      <c r="Q121" s="135">
        <f t="shared" si="39"/>
        <v>9.3000000000000007</v>
      </c>
      <c r="R121" s="135">
        <f t="shared" si="39"/>
        <v>9.3000000000000007</v>
      </c>
      <c r="S121" s="135">
        <f t="shared" si="39"/>
        <v>9.3000000000000007</v>
      </c>
      <c r="T121" s="135">
        <f t="shared" si="38"/>
        <v>9.3000000000000007</v>
      </c>
      <c r="U121" s="135">
        <f t="shared" si="38"/>
        <v>9.3000000000000007</v>
      </c>
      <c r="V121" s="135">
        <f t="shared" si="38"/>
        <v>9.3000000000000007</v>
      </c>
      <c r="W121" s="135">
        <f t="shared" si="38"/>
        <v>9.3000000000000007</v>
      </c>
      <c r="X121" s="135">
        <f t="shared" si="38"/>
        <v>9.3000000000000007</v>
      </c>
      <c r="Y121" s="135">
        <f t="shared" si="38"/>
        <v>9.3000000000000007</v>
      </c>
      <c r="Z121" s="135">
        <f t="shared" si="38"/>
        <v>9.3000000000000007</v>
      </c>
      <c r="AA121" s="135">
        <f t="shared" si="38"/>
        <v>9.3000000000000007</v>
      </c>
      <c r="AB121" s="135">
        <f t="shared" si="38"/>
        <v>9.3000000000000007</v>
      </c>
      <c r="AC121" s="135">
        <f t="shared" si="38"/>
        <v>9.3000000000000007</v>
      </c>
      <c r="AD121" s="135">
        <f t="shared" si="38"/>
        <v>9.3000000000000007</v>
      </c>
      <c r="AE121" s="135">
        <f t="shared" si="38"/>
        <v>9.3000000000000007</v>
      </c>
      <c r="AF121" s="135">
        <f t="shared" si="38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6"/>
        <v>0</v>
      </c>
      <c r="C122" s="136">
        <v>0</v>
      </c>
      <c r="D122" s="135">
        <f t="shared" si="39"/>
        <v>0</v>
      </c>
      <c r="E122" s="135">
        <f t="shared" si="39"/>
        <v>0</v>
      </c>
      <c r="F122" s="135">
        <f t="shared" si="39"/>
        <v>0</v>
      </c>
      <c r="G122" s="135">
        <f t="shared" si="39"/>
        <v>0</v>
      </c>
      <c r="H122" s="135">
        <f t="shared" si="39"/>
        <v>0</v>
      </c>
      <c r="I122" s="135">
        <f t="shared" si="39"/>
        <v>0</v>
      </c>
      <c r="J122" s="135">
        <f t="shared" si="39"/>
        <v>0</v>
      </c>
      <c r="K122" s="135">
        <f t="shared" si="39"/>
        <v>0</v>
      </c>
      <c r="L122" s="135">
        <f t="shared" si="39"/>
        <v>0</v>
      </c>
      <c r="M122" s="135">
        <f t="shared" si="39"/>
        <v>0</v>
      </c>
      <c r="N122" s="135">
        <f t="shared" si="39"/>
        <v>0</v>
      </c>
      <c r="O122" s="135">
        <f t="shared" si="39"/>
        <v>0</v>
      </c>
      <c r="P122" s="135">
        <f t="shared" si="39"/>
        <v>0</v>
      </c>
      <c r="Q122" s="135">
        <f t="shared" si="39"/>
        <v>0</v>
      </c>
      <c r="R122" s="135">
        <f t="shared" si="39"/>
        <v>0</v>
      </c>
      <c r="S122" s="135">
        <f t="shared" si="39"/>
        <v>0</v>
      </c>
      <c r="T122" s="135">
        <f t="shared" si="38"/>
        <v>0</v>
      </c>
      <c r="U122" s="135">
        <f t="shared" si="38"/>
        <v>0</v>
      </c>
      <c r="V122" s="135">
        <f t="shared" si="38"/>
        <v>0</v>
      </c>
      <c r="W122" s="135">
        <f t="shared" si="38"/>
        <v>0</v>
      </c>
      <c r="X122" s="135">
        <f t="shared" si="38"/>
        <v>0</v>
      </c>
      <c r="Y122" s="135">
        <f t="shared" si="38"/>
        <v>0</v>
      </c>
      <c r="Z122" s="135">
        <f t="shared" si="38"/>
        <v>0</v>
      </c>
      <c r="AA122" s="135">
        <f t="shared" si="38"/>
        <v>0</v>
      </c>
      <c r="AB122" s="135">
        <f t="shared" si="38"/>
        <v>0</v>
      </c>
      <c r="AC122" s="135">
        <f t="shared" si="38"/>
        <v>0</v>
      </c>
      <c r="AD122" s="135">
        <f t="shared" si="38"/>
        <v>0</v>
      </c>
      <c r="AE122" s="135">
        <f t="shared" si="38"/>
        <v>0</v>
      </c>
      <c r="AF122" s="135">
        <f t="shared" si="38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6"/>
        <v>0</v>
      </c>
      <c r="C123" s="136">
        <v>0</v>
      </c>
      <c r="D123" s="135">
        <f t="shared" si="39"/>
        <v>0</v>
      </c>
      <c r="E123" s="135">
        <f t="shared" si="39"/>
        <v>0</v>
      </c>
      <c r="F123" s="135">
        <f t="shared" si="39"/>
        <v>0</v>
      </c>
      <c r="G123" s="135">
        <f t="shared" si="39"/>
        <v>0</v>
      </c>
      <c r="H123" s="135">
        <f t="shared" si="39"/>
        <v>0</v>
      </c>
      <c r="I123" s="135">
        <f t="shared" si="39"/>
        <v>0</v>
      </c>
      <c r="J123" s="135">
        <f t="shared" si="39"/>
        <v>0</v>
      </c>
      <c r="K123" s="135">
        <f t="shared" si="39"/>
        <v>0</v>
      </c>
      <c r="L123" s="135">
        <f t="shared" si="39"/>
        <v>0</v>
      </c>
      <c r="M123" s="135">
        <f t="shared" si="39"/>
        <v>0</v>
      </c>
      <c r="N123" s="135">
        <f t="shared" si="39"/>
        <v>0</v>
      </c>
      <c r="O123" s="135">
        <f t="shared" si="39"/>
        <v>0</v>
      </c>
      <c r="P123" s="135">
        <f t="shared" si="39"/>
        <v>0</v>
      </c>
      <c r="Q123" s="135">
        <f t="shared" si="39"/>
        <v>0</v>
      </c>
      <c r="R123" s="135">
        <f t="shared" si="39"/>
        <v>0</v>
      </c>
      <c r="S123" s="135">
        <f t="shared" si="39"/>
        <v>0</v>
      </c>
      <c r="T123" s="135">
        <f t="shared" si="38"/>
        <v>0</v>
      </c>
      <c r="U123" s="135">
        <f t="shared" si="38"/>
        <v>0</v>
      </c>
      <c r="V123" s="135">
        <f t="shared" si="38"/>
        <v>0</v>
      </c>
      <c r="W123" s="135">
        <f t="shared" si="38"/>
        <v>0</v>
      </c>
      <c r="X123" s="135">
        <f t="shared" si="38"/>
        <v>0</v>
      </c>
      <c r="Y123" s="135">
        <f t="shared" si="38"/>
        <v>0</v>
      </c>
      <c r="Z123" s="135">
        <f t="shared" si="38"/>
        <v>0</v>
      </c>
      <c r="AA123" s="135">
        <f t="shared" si="38"/>
        <v>0</v>
      </c>
      <c r="AB123" s="135">
        <f t="shared" si="38"/>
        <v>0</v>
      </c>
      <c r="AC123" s="135">
        <f t="shared" si="38"/>
        <v>0</v>
      </c>
      <c r="AD123" s="135">
        <f t="shared" si="38"/>
        <v>0</v>
      </c>
      <c r="AE123" s="135">
        <f t="shared" si="38"/>
        <v>0</v>
      </c>
      <c r="AF123" s="135">
        <f t="shared" si="38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6"/>
        <v>5</v>
      </c>
      <c r="C124" s="136">
        <v>5</v>
      </c>
      <c r="D124" s="135">
        <f t="shared" si="39"/>
        <v>5</v>
      </c>
      <c r="E124" s="135">
        <f t="shared" si="39"/>
        <v>5</v>
      </c>
      <c r="F124" s="135">
        <f t="shared" si="39"/>
        <v>5</v>
      </c>
      <c r="G124" s="135">
        <f t="shared" si="39"/>
        <v>5</v>
      </c>
      <c r="H124" s="135">
        <f t="shared" si="39"/>
        <v>5</v>
      </c>
      <c r="I124" s="135">
        <f t="shared" si="39"/>
        <v>5</v>
      </c>
      <c r="J124" s="135">
        <f t="shared" si="39"/>
        <v>5</v>
      </c>
      <c r="K124" s="135">
        <f t="shared" si="39"/>
        <v>5</v>
      </c>
      <c r="L124" s="135">
        <f t="shared" si="39"/>
        <v>5</v>
      </c>
      <c r="M124" s="135">
        <f t="shared" si="39"/>
        <v>5</v>
      </c>
      <c r="N124" s="135">
        <f t="shared" si="39"/>
        <v>5</v>
      </c>
      <c r="O124" s="135">
        <f t="shared" si="39"/>
        <v>5</v>
      </c>
      <c r="P124" s="135">
        <f t="shared" si="39"/>
        <v>5</v>
      </c>
      <c r="Q124" s="135">
        <f t="shared" si="39"/>
        <v>5</v>
      </c>
      <c r="R124" s="135">
        <f t="shared" si="39"/>
        <v>5</v>
      </c>
      <c r="S124" s="135">
        <f t="shared" si="39"/>
        <v>5</v>
      </c>
      <c r="T124" s="135">
        <f t="shared" si="38"/>
        <v>5</v>
      </c>
      <c r="U124" s="135">
        <f t="shared" si="38"/>
        <v>5</v>
      </c>
      <c r="V124" s="135">
        <f t="shared" si="38"/>
        <v>5</v>
      </c>
      <c r="W124" s="135">
        <f t="shared" si="38"/>
        <v>5</v>
      </c>
      <c r="X124" s="135">
        <f t="shared" si="38"/>
        <v>5</v>
      </c>
      <c r="Y124" s="135">
        <f t="shared" si="38"/>
        <v>5</v>
      </c>
      <c r="Z124" s="135">
        <f t="shared" si="38"/>
        <v>5</v>
      </c>
      <c r="AA124" s="135">
        <f t="shared" si="38"/>
        <v>5</v>
      </c>
      <c r="AB124" s="135">
        <f t="shared" si="38"/>
        <v>5</v>
      </c>
      <c r="AC124" s="135">
        <f t="shared" si="38"/>
        <v>5</v>
      </c>
      <c r="AD124" s="135">
        <f t="shared" si="38"/>
        <v>5</v>
      </c>
      <c r="AE124" s="135">
        <f t="shared" si="38"/>
        <v>5</v>
      </c>
      <c r="AF124" s="135">
        <f t="shared" si="38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6"/>
        <v>1</v>
      </c>
      <c r="C125" s="136">
        <v>1</v>
      </c>
      <c r="D125" s="135">
        <f t="shared" si="39"/>
        <v>1</v>
      </c>
      <c r="E125" s="135">
        <f t="shared" si="39"/>
        <v>1</v>
      </c>
      <c r="F125" s="135">
        <f t="shared" si="39"/>
        <v>1</v>
      </c>
      <c r="G125" s="135">
        <f t="shared" si="39"/>
        <v>1</v>
      </c>
      <c r="H125" s="135">
        <f t="shared" si="39"/>
        <v>1</v>
      </c>
      <c r="I125" s="135">
        <f t="shared" si="39"/>
        <v>1</v>
      </c>
      <c r="J125" s="135">
        <f t="shared" si="39"/>
        <v>1</v>
      </c>
      <c r="K125" s="135">
        <f t="shared" si="39"/>
        <v>1</v>
      </c>
      <c r="L125" s="135">
        <f t="shared" si="39"/>
        <v>1</v>
      </c>
      <c r="M125" s="135">
        <f t="shared" si="39"/>
        <v>1</v>
      </c>
      <c r="N125" s="135">
        <f t="shared" si="39"/>
        <v>1</v>
      </c>
      <c r="O125" s="135">
        <f t="shared" si="39"/>
        <v>1</v>
      </c>
      <c r="P125" s="135">
        <f t="shared" si="39"/>
        <v>1</v>
      </c>
      <c r="Q125" s="135">
        <f t="shared" si="39"/>
        <v>1</v>
      </c>
      <c r="R125" s="135">
        <f t="shared" si="39"/>
        <v>1</v>
      </c>
      <c r="S125" s="135">
        <f t="shared" si="39"/>
        <v>1</v>
      </c>
      <c r="T125" s="135">
        <f t="shared" si="38"/>
        <v>1</v>
      </c>
      <c r="U125" s="135">
        <f t="shared" si="38"/>
        <v>1</v>
      </c>
      <c r="V125" s="135">
        <f t="shared" si="38"/>
        <v>1</v>
      </c>
      <c r="W125" s="135">
        <f t="shared" si="38"/>
        <v>1</v>
      </c>
      <c r="X125" s="135">
        <f t="shared" si="38"/>
        <v>1</v>
      </c>
      <c r="Y125" s="135">
        <f t="shared" si="38"/>
        <v>1</v>
      </c>
      <c r="Z125" s="135">
        <f t="shared" si="38"/>
        <v>1</v>
      </c>
      <c r="AA125" s="135">
        <f t="shared" si="38"/>
        <v>1</v>
      </c>
      <c r="AB125" s="135">
        <f t="shared" si="38"/>
        <v>1</v>
      </c>
      <c r="AC125" s="135">
        <f t="shared" si="38"/>
        <v>1</v>
      </c>
      <c r="AD125" s="135">
        <f t="shared" si="38"/>
        <v>1</v>
      </c>
      <c r="AE125" s="135">
        <f t="shared" si="38"/>
        <v>1</v>
      </c>
      <c r="AF125" s="135">
        <f t="shared" si="38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6"/>
        <v>1.58</v>
      </c>
      <c r="C126" s="136">
        <v>1.58</v>
      </c>
      <c r="D126" s="135">
        <f t="shared" si="39"/>
        <v>1.58</v>
      </c>
      <c r="E126" s="135">
        <f t="shared" si="39"/>
        <v>1.58</v>
      </c>
      <c r="F126" s="135">
        <f t="shared" si="39"/>
        <v>1.58</v>
      </c>
      <c r="G126" s="135">
        <f t="shared" si="39"/>
        <v>1.58</v>
      </c>
      <c r="H126" s="135">
        <f t="shared" si="39"/>
        <v>1.58</v>
      </c>
      <c r="I126" s="135">
        <f t="shared" si="39"/>
        <v>1.58</v>
      </c>
      <c r="J126" s="135">
        <f t="shared" si="39"/>
        <v>1.58</v>
      </c>
      <c r="K126" s="135">
        <f t="shared" si="39"/>
        <v>1.58</v>
      </c>
      <c r="L126" s="135">
        <f t="shared" si="39"/>
        <v>1.58</v>
      </c>
      <c r="M126" s="135">
        <f t="shared" si="39"/>
        <v>1.58</v>
      </c>
      <c r="N126" s="135">
        <f t="shared" si="39"/>
        <v>1.58</v>
      </c>
      <c r="O126" s="135">
        <f t="shared" si="39"/>
        <v>1.58</v>
      </c>
      <c r="P126" s="135">
        <f t="shared" si="39"/>
        <v>1.58</v>
      </c>
      <c r="Q126" s="135">
        <f t="shared" si="39"/>
        <v>1.58</v>
      </c>
      <c r="R126" s="135">
        <f t="shared" si="39"/>
        <v>1.58</v>
      </c>
      <c r="S126" s="135">
        <f t="shared" si="39"/>
        <v>1.58</v>
      </c>
      <c r="T126" s="135">
        <f t="shared" si="38"/>
        <v>1.58</v>
      </c>
      <c r="U126" s="135">
        <f t="shared" si="38"/>
        <v>1.58</v>
      </c>
      <c r="V126" s="135">
        <f t="shared" si="38"/>
        <v>1.58</v>
      </c>
      <c r="W126" s="135">
        <f t="shared" si="38"/>
        <v>1.58</v>
      </c>
      <c r="X126" s="135">
        <f t="shared" si="38"/>
        <v>1.58</v>
      </c>
      <c r="Y126" s="135">
        <f t="shared" si="38"/>
        <v>1.58</v>
      </c>
      <c r="Z126" s="135">
        <f t="shared" si="38"/>
        <v>1.58</v>
      </c>
      <c r="AA126" s="135">
        <f t="shared" si="38"/>
        <v>1.58</v>
      </c>
      <c r="AB126" s="135">
        <f t="shared" si="38"/>
        <v>1.58</v>
      </c>
      <c r="AC126" s="135">
        <f t="shared" si="38"/>
        <v>1.58</v>
      </c>
      <c r="AD126" s="135">
        <f t="shared" si="38"/>
        <v>1.58</v>
      </c>
      <c r="AE126" s="135">
        <f t="shared" si="38"/>
        <v>1.58</v>
      </c>
      <c r="AF126" s="135">
        <f t="shared" si="38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6"/>
        <v>1.46</v>
      </c>
      <c r="C127" s="136">
        <v>1.46</v>
      </c>
      <c r="D127" s="135">
        <f t="shared" si="39"/>
        <v>1.46</v>
      </c>
      <c r="E127" s="135">
        <f t="shared" si="39"/>
        <v>1.46</v>
      </c>
      <c r="F127" s="135">
        <f t="shared" si="39"/>
        <v>1.46</v>
      </c>
      <c r="G127" s="135">
        <f t="shared" si="39"/>
        <v>1.46</v>
      </c>
      <c r="H127" s="135">
        <f t="shared" si="39"/>
        <v>1.46</v>
      </c>
      <c r="I127" s="135">
        <f t="shared" si="39"/>
        <v>1.46</v>
      </c>
      <c r="J127" s="135">
        <f t="shared" si="39"/>
        <v>1.46</v>
      </c>
      <c r="K127" s="135">
        <f t="shared" si="39"/>
        <v>1.46</v>
      </c>
      <c r="L127" s="135">
        <f t="shared" si="39"/>
        <v>1.46</v>
      </c>
      <c r="M127" s="135">
        <f t="shared" si="39"/>
        <v>1.46</v>
      </c>
      <c r="N127" s="135">
        <f t="shared" si="39"/>
        <v>1.46</v>
      </c>
      <c r="O127" s="135">
        <f t="shared" si="39"/>
        <v>1.46</v>
      </c>
      <c r="P127" s="135">
        <f t="shared" si="39"/>
        <v>1.46</v>
      </c>
      <c r="Q127" s="135">
        <f t="shared" si="39"/>
        <v>1.46</v>
      </c>
      <c r="R127" s="135">
        <f t="shared" si="39"/>
        <v>1.46</v>
      </c>
      <c r="S127" s="135">
        <f t="shared" si="39"/>
        <v>1.46</v>
      </c>
      <c r="T127" s="135">
        <f t="shared" ref="T127:AF128" si="40">S127</f>
        <v>1.46</v>
      </c>
      <c r="U127" s="135">
        <f t="shared" si="40"/>
        <v>1.46</v>
      </c>
      <c r="V127" s="135">
        <f t="shared" si="40"/>
        <v>1.46</v>
      </c>
      <c r="W127" s="135">
        <f t="shared" si="40"/>
        <v>1.46</v>
      </c>
      <c r="X127" s="135">
        <f t="shared" si="40"/>
        <v>1.46</v>
      </c>
      <c r="Y127" s="135">
        <f t="shared" si="40"/>
        <v>1.46</v>
      </c>
      <c r="Z127" s="135">
        <f t="shared" si="40"/>
        <v>1.46</v>
      </c>
      <c r="AA127" s="135">
        <f t="shared" si="40"/>
        <v>1.46</v>
      </c>
      <c r="AB127" s="135">
        <f t="shared" si="40"/>
        <v>1.46</v>
      </c>
      <c r="AC127" s="135">
        <f t="shared" si="40"/>
        <v>1.46</v>
      </c>
      <c r="AD127" s="135">
        <f t="shared" si="40"/>
        <v>1.46</v>
      </c>
      <c r="AE127" s="135">
        <f t="shared" si="40"/>
        <v>1.46</v>
      </c>
      <c r="AF127" s="135">
        <f t="shared" si="40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6"/>
        <v>1.48</v>
      </c>
      <c r="C128" s="136">
        <v>1.48</v>
      </c>
      <c r="D128" s="135">
        <f t="shared" si="39"/>
        <v>1.48</v>
      </c>
      <c r="E128" s="135">
        <f t="shared" si="39"/>
        <v>1.48</v>
      </c>
      <c r="F128" s="135">
        <f t="shared" si="39"/>
        <v>1.48</v>
      </c>
      <c r="G128" s="135">
        <f t="shared" si="39"/>
        <v>1.48</v>
      </c>
      <c r="H128" s="135">
        <f t="shared" si="39"/>
        <v>1.48</v>
      </c>
      <c r="I128" s="135">
        <f t="shared" si="39"/>
        <v>1.48</v>
      </c>
      <c r="J128" s="135">
        <f t="shared" si="39"/>
        <v>1.48</v>
      </c>
      <c r="K128" s="135">
        <f t="shared" si="39"/>
        <v>1.48</v>
      </c>
      <c r="L128" s="135">
        <f t="shared" si="39"/>
        <v>1.48</v>
      </c>
      <c r="M128" s="135">
        <f t="shared" si="39"/>
        <v>1.48</v>
      </c>
      <c r="N128" s="135">
        <f t="shared" si="39"/>
        <v>1.48</v>
      </c>
      <c r="O128" s="135">
        <f t="shared" si="39"/>
        <v>1.48</v>
      </c>
      <c r="P128" s="135">
        <f t="shared" si="39"/>
        <v>1.48</v>
      </c>
      <c r="Q128" s="135">
        <f t="shared" si="39"/>
        <v>1.48</v>
      </c>
      <c r="R128" s="135">
        <f t="shared" si="39"/>
        <v>1.48</v>
      </c>
      <c r="S128" s="135">
        <f t="shared" si="39"/>
        <v>1.48</v>
      </c>
      <c r="T128" s="135">
        <f t="shared" si="40"/>
        <v>1.48</v>
      </c>
      <c r="U128" s="135">
        <f t="shared" si="40"/>
        <v>1.48</v>
      </c>
      <c r="V128" s="135">
        <f t="shared" si="40"/>
        <v>1.48</v>
      </c>
      <c r="W128" s="135">
        <f t="shared" si="40"/>
        <v>1.48</v>
      </c>
      <c r="X128" s="135">
        <f t="shared" si="40"/>
        <v>1.48</v>
      </c>
      <c r="Y128" s="135">
        <f t="shared" si="40"/>
        <v>1.48</v>
      </c>
      <c r="Z128" s="135">
        <f t="shared" si="40"/>
        <v>1.48</v>
      </c>
      <c r="AA128" s="135">
        <f t="shared" si="40"/>
        <v>1.48</v>
      </c>
      <c r="AB128" s="135">
        <f t="shared" si="40"/>
        <v>1.48</v>
      </c>
      <c r="AC128" s="135">
        <f t="shared" si="40"/>
        <v>1.48</v>
      </c>
      <c r="AD128" s="135">
        <f t="shared" si="40"/>
        <v>1.48</v>
      </c>
      <c r="AE128" s="135">
        <f t="shared" si="40"/>
        <v>1.48</v>
      </c>
      <c r="AF128" s="135">
        <f t="shared" si="40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41">AF130</f>
        <v>2.2000000000000002</v>
      </c>
      <c r="C130" s="136">
        <v>2.2000000000000002</v>
      </c>
      <c r="D130" s="135">
        <f t="shared" ref="D130:S137" si="42">C130</f>
        <v>2.2000000000000002</v>
      </c>
      <c r="E130" s="135">
        <f t="shared" si="42"/>
        <v>2.2000000000000002</v>
      </c>
      <c r="F130" s="135">
        <f t="shared" si="42"/>
        <v>2.2000000000000002</v>
      </c>
      <c r="G130" s="135">
        <f t="shared" si="42"/>
        <v>2.2000000000000002</v>
      </c>
      <c r="H130" s="135">
        <f t="shared" si="42"/>
        <v>2.2000000000000002</v>
      </c>
      <c r="I130" s="135">
        <f t="shared" si="42"/>
        <v>2.2000000000000002</v>
      </c>
      <c r="J130" s="135">
        <f t="shared" si="42"/>
        <v>2.2000000000000002</v>
      </c>
      <c r="K130" s="135">
        <f t="shared" si="42"/>
        <v>2.2000000000000002</v>
      </c>
      <c r="L130" s="135">
        <f t="shared" si="42"/>
        <v>2.2000000000000002</v>
      </c>
      <c r="M130" s="135">
        <f t="shared" si="42"/>
        <v>2.2000000000000002</v>
      </c>
      <c r="N130" s="135">
        <f t="shared" si="42"/>
        <v>2.2000000000000002</v>
      </c>
      <c r="O130" s="135">
        <f t="shared" si="42"/>
        <v>2.2000000000000002</v>
      </c>
      <c r="P130" s="135">
        <f t="shared" si="42"/>
        <v>2.2000000000000002</v>
      </c>
      <c r="Q130" s="135">
        <f t="shared" si="42"/>
        <v>2.2000000000000002</v>
      </c>
      <c r="R130" s="135">
        <f t="shared" si="42"/>
        <v>2.2000000000000002</v>
      </c>
      <c r="S130" s="135">
        <f t="shared" si="42"/>
        <v>2.2000000000000002</v>
      </c>
      <c r="T130" s="135">
        <f t="shared" ref="T130:AF137" si="43">S130</f>
        <v>2.2000000000000002</v>
      </c>
      <c r="U130" s="135">
        <f t="shared" si="43"/>
        <v>2.2000000000000002</v>
      </c>
      <c r="V130" s="135">
        <f t="shared" si="43"/>
        <v>2.2000000000000002</v>
      </c>
      <c r="W130" s="135">
        <f t="shared" si="43"/>
        <v>2.2000000000000002</v>
      </c>
      <c r="X130" s="135">
        <f t="shared" si="43"/>
        <v>2.2000000000000002</v>
      </c>
      <c r="Y130" s="135">
        <f t="shared" si="43"/>
        <v>2.2000000000000002</v>
      </c>
      <c r="Z130" s="135">
        <f t="shared" si="43"/>
        <v>2.2000000000000002</v>
      </c>
      <c r="AA130" s="135">
        <f t="shared" si="43"/>
        <v>2.2000000000000002</v>
      </c>
      <c r="AB130" s="135">
        <f t="shared" si="43"/>
        <v>2.2000000000000002</v>
      </c>
      <c r="AC130" s="135">
        <f t="shared" si="43"/>
        <v>2.2000000000000002</v>
      </c>
      <c r="AD130" s="135">
        <f t="shared" si="43"/>
        <v>2.2000000000000002</v>
      </c>
      <c r="AE130" s="135">
        <f t="shared" si="43"/>
        <v>2.2000000000000002</v>
      </c>
      <c r="AF130" s="135">
        <f t="shared" si="43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41"/>
        <v>2</v>
      </c>
      <c r="C131" s="136">
        <v>2</v>
      </c>
      <c r="D131" s="135">
        <f t="shared" si="42"/>
        <v>2</v>
      </c>
      <c r="E131" s="135">
        <f t="shared" si="42"/>
        <v>2</v>
      </c>
      <c r="F131" s="135">
        <f t="shared" si="42"/>
        <v>2</v>
      </c>
      <c r="G131" s="135">
        <f t="shared" si="42"/>
        <v>2</v>
      </c>
      <c r="H131" s="135">
        <f t="shared" si="42"/>
        <v>2</v>
      </c>
      <c r="I131" s="135">
        <f t="shared" si="42"/>
        <v>2</v>
      </c>
      <c r="J131" s="135">
        <f t="shared" si="42"/>
        <v>2</v>
      </c>
      <c r="K131" s="135">
        <f t="shared" si="42"/>
        <v>2</v>
      </c>
      <c r="L131" s="135">
        <f t="shared" si="42"/>
        <v>2</v>
      </c>
      <c r="M131" s="135">
        <f t="shared" si="42"/>
        <v>2</v>
      </c>
      <c r="N131" s="135">
        <f t="shared" si="42"/>
        <v>2</v>
      </c>
      <c r="O131" s="135">
        <f t="shared" si="42"/>
        <v>2</v>
      </c>
      <c r="P131" s="135">
        <f t="shared" si="42"/>
        <v>2</v>
      </c>
      <c r="Q131" s="135">
        <f t="shared" si="42"/>
        <v>2</v>
      </c>
      <c r="R131" s="135">
        <f t="shared" si="42"/>
        <v>2</v>
      </c>
      <c r="S131" s="135">
        <f t="shared" si="42"/>
        <v>2</v>
      </c>
      <c r="T131" s="135">
        <f t="shared" si="43"/>
        <v>2</v>
      </c>
      <c r="U131" s="135">
        <f t="shared" si="43"/>
        <v>2</v>
      </c>
      <c r="V131" s="135">
        <f t="shared" si="43"/>
        <v>2</v>
      </c>
      <c r="W131" s="135">
        <f t="shared" si="43"/>
        <v>2</v>
      </c>
      <c r="X131" s="135">
        <f t="shared" si="43"/>
        <v>2</v>
      </c>
      <c r="Y131" s="135">
        <f t="shared" si="43"/>
        <v>2</v>
      </c>
      <c r="Z131" s="135">
        <f t="shared" si="43"/>
        <v>2</v>
      </c>
      <c r="AA131" s="135">
        <f t="shared" si="43"/>
        <v>2</v>
      </c>
      <c r="AB131" s="135">
        <f t="shared" si="43"/>
        <v>2</v>
      </c>
      <c r="AC131" s="135">
        <f t="shared" si="43"/>
        <v>2</v>
      </c>
      <c r="AD131" s="135">
        <f t="shared" si="43"/>
        <v>2</v>
      </c>
      <c r="AE131" s="135">
        <f t="shared" si="43"/>
        <v>2</v>
      </c>
      <c r="AF131" s="135">
        <f t="shared" si="43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41"/>
        <v>1.25</v>
      </c>
      <c r="C132" s="136">
        <v>1.25</v>
      </c>
      <c r="D132" s="135">
        <f t="shared" si="42"/>
        <v>1.25</v>
      </c>
      <c r="E132" s="135">
        <f t="shared" si="42"/>
        <v>1.25</v>
      </c>
      <c r="F132" s="135">
        <f t="shared" si="42"/>
        <v>1.25</v>
      </c>
      <c r="G132" s="135">
        <f t="shared" si="42"/>
        <v>1.25</v>
      </c>
      <c r="H132" s="135">
        <f t="shared" si="42"/>
        <v>1.25</v>
      </c>
      <c r="I132" s="135">
        <f t="shared" si="42"/>
        <v>1.25</v>
      </c>
      <c r="J132" s="135">
        <f t="shared" si="42"/>
        <v>1.25</v>
      </c>
      <c r="K132" s="135">
        <f t="shared" si="42"/>
        <v>1.25</v>
      </c>
      <c r="L132" s="135">
        <f t="shared" si="42"/>
        <v>1.25</v>
      </c>
      <c r="M132" s="135">
        <f t="shared" si="42"/>
        <v>1.25</v>
      </c>
      <c r="N132" s="135">
        <f t="shared" si="42"/>
        <v>1.25</v>
      </c>
      <c r="O132" s="135">
        <f t="shared" si="42"/>
        <v>1.25</v>
      </c>
      <c r="P132" s="135">
        <f t="shared" si="42"/>
        <v>1.25</v>
      </c>
      <c r="Q132" s="135">
        <f t="shared" si="42"/>
        <v>1.25</v>
      </c>
      <c r="R132" s="135">
        <f t="shared" si="42"/>
        <v>1.25</v>
      </c>
      <c r="S132" s="135">
        <f t="shared" si="42"/>
        <v>1.25</v>
      </c>
      <c r="T132" s="135">
        <f t="shared" si="43"/>
        <v>1.25</v>
      </c>
      <c r="U132" s="135">
        <f t="shared" si="43"/>
        <v>1.25</v>
      </c>
      <c r="V132" s="135">
        <f t="shared" si="43"/>
        <v>1.25</v>
      </c>
      <c r="W132" s="135">
        <f t="shared" si="43"/>
        <v>1.25</v>
      </c>
      <c r="X132" s="135">
        <f t="shared" si="43"/>
        <v>1.25</v>
      </c>
      <c r="Y132" s="135">
        <f t="shared" si="43"/>
        <v>1.25</v>
      </c>
      <c r="Z132" s="135">
        <f t="shared" si="43"/>
        <v>1.25</v>
      </c>
      <c r="AA132" s="135">
        <f t="shared" si="43"/>
        <v>1.25</v>
      </c>
      <c r="AB132" s="135">
        <f t="shared" si="43"/>
        <v>1.25</v>
      </c>
      <c r="AC132" s="135">
        <f t="shared" si="43"/>
        <v>1.25</v>
      </c>
      <c r="AD132" s="135">
        <f t="shared" si="43"/>
        <v>1.25</v>
      </c>
      <c r="AE132" s="135">
        <f t="shared" si="43"/>
        <v>1.25</v>
      </c>
      <c r="AF132" s="135">
        <f t="shared" si="43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41"/>
        <v>1.1499999999999999</v>
      </c>
      <c r="C133" s="136">
        <v>1.1499999999999999</v>
      </c>
      <c r="D133" s="135">
        <f t="shared" si="42"/>
        <v>1.1499999999999999</v>
      </c>
      <c r="E133" s="135">
        <f t="shared" si="42"/>
        <v>1.1499999999999999</v>
      </c>
      <c r="F133" s="135">
        <f t="shared" si="42"/>
        <v>1.1499999999999999</v>
      </c>
      <c r="G133" s="135">
        <f t="shared" si="42"/>
        <v>1.1499999999999999</v>
      </c>
      <c r="H133" s="135">
        <f t="shared" si="42"/>
        <v>1.1499999999999999</v>
      </c>
      <c r="I133" s="135">
        <f t="shared" si="42"/>
        <v>1.1499999999999999</v>
      </c>
      <c r="J133" s="135">
        <f t="shared" si="42"/>
        <v>1.1499999999999999</v>
      </c>
      <c r="K133" s="135">
        <f t="shared" si="42"/>
        <v>1.1499999999999999</v>
      </c>
      <c r="L133" s="135">
        <f t="shared" si="42"/>
        <v>1.1499999999999999</v>
      </c>
      <c r="M133" s="135">
        <f t="shared" si="42"/>
        <v>1.1499999999999999</v>
      </c>
      <c r="N133" s="135">
        <f t="shared" si="42"/>
        <v>1.1499999999999999</v>
      </c>
      <c r="O133" s="135">
        <f t="shared" si="42"/>
        <v>1.1499999999999999</v>
      </c>
      <c r="P133" s="135">
        <f t="shared" si="42"/>
        <v>1.1499999999999999</v>
      </c>
      <c r="Q133" s="135">
        <f t="shared" si="42"/>
        <v>1.1499999999999999</v>
      </c>
      <c r="R133" s="135">
        <f t="shared" si="42"/>
        <v>1.1499999999999999</v>
      </c>
      <c r="S133" s="135">
        <f t="shared" si="42"/>
        <v>1.1499999999999999</v>
      </c>
      <c r="T133" s="135">
        <f t="shared" si="43"/>
        <v>1.1499999999999999</v>
      </c>
      <c r="U133" s="135">
        <f t="shared" si="43"/>
        <v>1.1499999999999999</v>
      </c>
      <c r="V133" s="135">
        <f t="shared" si="43"/>
        <v>1.1499999999999999</v>
      </c>
      <c r="W133" s="135">
        <f t="shared" si="43"/>
        <v>1.1499999999999999</v>
      </c>
      <c r="X133" s="135">
        <f t="shared" si="43"/>
        <v>1.1499999999999999</v>
      </c>
      <c r="Y133" s="135">
        <f t="shared" si="43"/>
        <v>1.1499999999999999</v>
      </c>
      <c r="Z133" s="135">
        <f t="shared" si="43"/>
        <v>1.1499999999999999</v>
      </c>
      <c r="AA133" s="135">
        <f t="shared" si="43"/>
        <v>1.1499999999999999</v>
      </c>
      <c r="AB133" s="135">
        <f t="shared" si="43"/>
        <v>1.1499999999999999</v>
      </c>
      <c r="AC133" s="135">
        <f t="shared" si="43"/>
        <v>1.1499999999999999</v>
      </c>
      <c r="AD133" s="135">
        <f t="shared" si="43"/>
        <v>1.1499999999999999</v>
      </c>
      <c r="AE133" s="135">
        <f t="shared" si="43"/>
        <v>1.1499999999999999</v>
      </c>
      <c r="AF133" s="135">
        <f t="shared" si="43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41"/>
        <v>2.133</v>
      </c>
      <c r="C134" s="136">
        <v>2.133</v>
      </c>
      <c r="D134" s="135">
        <f t="shared" si="42"/>
        <v>2.133</v>
      </c>
      <c r="E134" s="135">
        <f t="shared" si="42"/>
        <v>2.133</v>
      </c>
      <c r="F134" s="135">
        <f t="shared" si="42"/>
        <v>2.133</v>
      </c>
      <c r="G134" s="135">
        <f t="shared" si="42"/>
        <v>2.133</v>
      </c>
      <c r="H134" s="135">
        <f t="shared" si="42"/>
        <v>2.133</v>
      </c>
      <c r="I134" s="135">
        <f t="shared" si="42"/>
        <v>2.133</v>
      </c>
      <c r="J134" s="135">
        <f t="shared" si="42"/>
        <v>2.133</v>
      </c>
      <c r="K134" s="135">
        <f t="shared" si="42"/>
        <v>2.133</v>
      </c>
      <c r="L134" s="135">
        <f t="shared" si="42"/>
        <v>2.133</v>
      </c>
      <c r="M134" s="135">
        <f t="shared" si="42"/>
        <v>2.133</v>
      </c>
      <c r="N134" s="135">
        <f t="shared" si="42"/>
        <v>2.133</v>
      </c>
      <c r="O134" s="135">
        <f t="shared" si="42"/>
        <v>2.133</v>
      </c>
      <c r="P134" s="135">
        <f t="shared" si="42"/>
        <v>2.133</v>
      </c>
      <c r="Q134" s="135">
        <f t="shared" si="42"/>
        <v>2.133</v>
      </c>
      <c r="R134" s="135">
        <f t="shared" si="42"/>
        <v>2.133</v>
      </c>
      <c r="S134" s="135">
        <f t="shared" si="42"/>
        <v>2.133</v>
      </c>
      <c r="T134" s="135">
        <f t="shared" si="43"/>
        <v>2.133</v>
      </c>
      <c r="U134" s="135">
        <f t="shared" si="43"/>
        <v>2.133</v>
      </c>
      <c r="V134" s="135">
        <f t="shared" si="43"/>
        <v>2.133</v>
      </c>
      <c r="W134" s="135">
        <f t="shared" si="43"/>
        <v>2.133</v>
      </c>
      <c r="X134" s="135">
        <f t="shared" si="43"/>
        <v>2.133</v>
      </c>
      <c r="Y134" s="135">
        <f t="shared" si="43"/>
        <v>2.133</v>
      </c>
      <c r="Z134" s="135">
        <f t="shared" si="43"/>
        <v>2.133</v>
      </c>
      <c r="AA134" s="135">
        <f t="shared" si="43"/>
        <v>2.133</v>
      </c>
      <c r="AB134" s="135">
        <f t="shared" si="43"/>
        <v>2.133</v>
      </c>
      <c r="AC134" s="135">
        <f t="shared" si="43"/>
        <v>2.133</v>
      </c>
      <c r="AD134" s="135">
        <f t="shared" si="43"/>
        <v>2.133</v>
      </c>
      <c r="AE134" s="135">
        <f t="shared" si="43"/>
        <v>2.133</v>
      </c>
      <c r="AF134" s="135">
        <f t="shared" si="43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41"/>
        <v>2.09</v>
      </c>
      <c r="C135" s="136">
        <v>2.09</v>
      </c>
      <c r="D135" s="135">
        <f t="shared" si="42"/>
        <v>2.09</v>
      </c>
      <c r="E135" s="135">
        <f t="shared" si="42"/>
        <v>2.09</v>
      </c>
      <c r="F135" s="135">
        <f t="shared" si="42"/>
        <v>2.09</v>
      </c>
      <c r="G135" s="135">
        <f t="shared" si="42"/>
        <v>2.09</v>
      </c>
      <c r="H135" s="135">
        <f t="shared" si="42"/>
        <v>2.09</v>
      </c>
      <c r="I135" s="135">
        <f t="shared" si="42"/>
        <v>2.09</v>
      </c>
      <c r="J135" s="135">
        <f t="shared" si="42"/>
        <v>2.09</v>
      </c>
      <c r="K135" s="135">
        <f t="shared" si="42"/>
        <v>2.09</v>
      </c>
      <c r="L135" s="135">
        <f t="shared" si="42"/>
        <v>2.09</v>
      </c>
      <c r="M135" s="135">
        <f t="shared" si="42"/>
        <v>2.09</v>
      </c>
      <c r="N135" s="135">
        <f t="shared" si="42"/>
        <v>2.09</v>
      </c>
      <c r="O135" s="135">
        <f t="shared" si="42"/>
        <v>2.09</v>
      </c>
      <c r="P135" s="135">
        <f t="shared" si="42"/>
        <v>2.09</v>
      </c>
      <c r="Q135" s="135">
        <f t="shared" si="42"/>
        <v>2.09</v>
      </c>
      <c r="R135" s="135">
        <f t="shared" si="42"/>
        <v>2.09</v>
      </c>
      <c r="S135" s="135">
        <f t="shared" si="42"/>
        <v>2.09</v>
      </c>
      <c r="T135" s="135">
        <f t="shared" si="43"/>
        <v>2.09</v>
      </c>
      <c r="U135" s="135">
        <f t="shared" si="43"/>
        <v>2.09</v>
      </c>
      <c r="V135" s="135">
        <f t="shared" si="43"/>
        <v>2.09</v>
      </c>
      <c r="W135" s="135">
        <f t="shared" si="43"/>
        <v>2.09</v>
      </c>
      <c r="X135" s="135">
        <f t="shared" si="43"/>
        <v>2.09</v>
      </c>
      <c r="Y135" s="135">
        <f t="shared" si="43"/>
        <v>2.09</v>
      </c>
      <c r="Z135" s="135">
        <f t="shared" si="43"/>
        <v>2.09</v>
      </c>
      <c r="AA135" s="135">
        <f t="shared" si="43"/>
        <v>2.09</v>
      </c>
      <c r="AB135" s="135">
        <f t="shared" si="43"/>
        <v>2.09</v>
      </c>
      <c r="AC135" s="135">
        <f t="shared" si="43"/>
        <v>2.09</v>
      </c>
      <c r="AD135" s="135">
        <f t="shared" si="43"/>
        <v>2.09</v>
      </c>
      <c r="AE135" s="135">
        <f t="shared" si="43"/>
        <v>2.09</v>
      </c>
      <c r="AF135" s="135">
        <f t="shared" si="43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41"/>
        <v>1.1399999999999999</v>
      </c>
      <c r="C136" s="136">
        <v>1.1399999999999999</v>
      </c>
      <c r="D136" s="135">
        <f t="shared" si="42"/>
        <v>1.1399999999999999</v>
      </c>
      <c r="E136" s="135">
        <f t="shared" si="42"/>
        <v>1.1399999999999999</v>
      </c>
      <c r="F136" s="135">
        <f t="shared" si="42"/>
        <v>1.1399999999999999</v>
      </c>
      <c r="G136" s="135">
        <f t="shared" si="42"/>
        <v>1.1399999999999999</v>
      </c>
      <c r="H136" s="135">
        <f t="shared" si="42"/>
        <v>1.1399999999999999</v>
      </c>
      <c r="I136" s="135">
        <f t="shared" si="42"/>
        <v>1.1399999999999999</v>
      </c>
      <c r="J136" s="135">
        <f t="shared" si="42"/>
        <v>1.1399999999999999</v>
      </c>
      <c r="K136" s="135">
        <f t="shared" si="42"/>
        <v>1.1399999999999999</v>
      </c>
      <c r="L136" s="135">
        <f t="shared" si="42"/>
        <v>1.1399999999999999</v>
      </c>
      <c r="M136" s="135">
        <f t="shared" si="42"/>
        <v>1.1399999999999999</v>
      </c>
      <c r="N136" s="135">
        <f t="shared" si="42"/>
        <v>1.1399999999999999</v>
      </c>
      <c r="O136" s="135">
        <f t="shared" si="42"/>
        <v>1.1399999999999999</v>
      </c>
      <c r="P136" s="135">
        <f t="shared" si="42"/>
        <v>1.1399999999999999</v>
      </c>
      <c r="Q136" s="135">
        <f t="shared" si="42"/>
        <v>1.1399999999999999</v>
      </c>
      <c r="R136" s="135">
        <f t="shared" si="42"/>
        <v>1.1399999999999999</v>
      </c>
      <c r="S136" s="135">
        <f t="shared" si="42"/>
        <v>1.1399999999999999</v>
      </c>
      <c r="T136" s="135">
        <f t="shared" si="43"/>
        <v>1.1399999999999999</v>
      </c>
      <c r="U136" s="135">
        <f t="shared" si="43"/>
        <v>1.1399999999999999</v>
      </c>
      <c r="V136" s="135">
        <f t="shared" si="43"/>
        <v>1.1399999999999999</v>
      </c>
      <c r="W136" s="135">
        <f t="shared" si="43"/>
        <v>1.1399999999999999</v>
      </c>
      <c r="X136" s="135">
        <f t="shared" si="43"/>
        <v>1.1399999999999999</v>
      </c>
      <c r="Y136" s="135">
        <f t="shared" si="43"/>
        <v>1.1399999999999999</v>
      </c>
      <c r="Z136" s="135">
        <f t="shared" si="43"/>
        <v>1.1399999999999999</v>
      </c>
      <c r="AA136" s="135">
        <f t="shared" si="43"/>
        <v>1.1399999999999999</v>
      </c>
      <c r="AB136" s="135">
        <f t="shared" si="43"/>
        <v>1.1399999999999999</v>
      </c>
      <c r="AC136" s="135">
        <f t="shared" si="43"/>
        <v>1.1399999999999999</v>
      </c>
      <c r="AD136" s="135">
        <f t="shared" si="43"/>
        <v>1.1399999999999999</v>
      </c>
      <c r="AE136" s="135">
        <f t="shared" si="43"/>
        <v>1.1399999999999999</v>
      </c>
      <c r="AF136" s="135">
        <f t="shared" si="43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41"/>
        <v>0.82</v>
      </c>
      <c r="C137" s="136">
        <v>0.82</v>
      </c>
      <c r="D137" s="135">
        <f t="shared" si="42"/>
        <v>0.82</v>
      </c>
      <c r="E137" s="135">
        <f t="shared" si="42"/>
        <v>0.82</v>
      </c>
      <c r="F137" s="135">
        <f t="shared" si="42"/>
        <v>0.82</v>
      </c>
      <c r="G137" s="135">
        <f t="shared" si="42"/>
        <v>0.82</v>
      </c>
      <c r="H137" s="135">
        <f t="shared" si="42"/>
        <v>0.82</v>
      </c>
      <c r="I137" s="135">
        <f t="shared" si="42"/>
        <v>0.82</v>
      </c>
      <c r="J137" s="135">
        <f t="shared" si="42"/>
        <v>0.82</v>
      </c>
      <c r="K137" s="135">
        <f t="shared" si="42"/>
        <v>0.82</v>
      </c>
      <c r="L137" s="135">
        <f t="shared" si="42"/>
        <v>0.82</v>
      </c>
      <c r="M137" s="135">
        <f t="shared" si="42"/>
        <v>0.82</v>
      </c>
      <c r="N137" s="135">
        <f t="shared" si="42"/>
        <v>0.82</v>
      </c>
      <c r="O137" s="135">
        <f t="shared" si="42"/>
        <v>0.82</v>
      </c>
      <c r="P137" s="135">
        <f t="shared" si="42"/>
        <v>0.82</v>
      </c>
      <c r="Q137" s="135">
        <f t="shared" si="42"/>
        <v>0.82</v>
      </c>
      <c r="R137" s="135">
        <f t="shared" si="42"/>
        <v>0.82</v>
      </c>
      <c r="S137" s="135">
        <f t="shared" si="42"/>
        <v>0.82</v>
      </c>
      <c r="T137" s="135">
        <f t="shared" si="43"/>
        <v>0.82</v>
      </c>
      <c r="U137" s="135">
        <f t="shared" si="43"/>
        <v>0.82</v>
      </c>
      <c r="V137" s="135">
        <f t="shared" si="43"/>
        <v>0.82</v>
      </c>
      <c r="W137" s="135">
        <f t="shared" si="43"/>
        <v>0.82</v>
      </c>
      <c r="X137" s="135">
        <f t="shared" si="43"/>
        <v>0.82</v>
      </c>
      <c r="Y137" s="135">
        <f t="shared" si="43"/>
        <v>0.82</v>
      </c>
      <c r="Z137" s="135">
        <f t="shared" si="43"/>
        <v>0.82</v>
      </c>
      <c r="AA137" s="135">
        <f t="shared" si="43"/>
        <v>0.82</v>
      </c>
      <c r="AB137" s="135">
        <f t="shared" si="43"/>
        <v>0.82</v>
      </c>
      <c r="AC137" s="135">
        <f t="shared" si="43"/>
        <v>0.82</v>
      </c>
      <c r="AD137" s="135">
        <f t="shared" si="43"/>
        <v>0.82</v>
      </c>
      <c r="AE137" s="135">
        <f t="shared" si="43"/>
        <v>0.82</v>
      </c>
      <c r="AF137" s="135">
        <f t="shared" si="43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44">AF139</f>
        <v>2</v>
      </c>
      <c r="C139" s="136">
        <v>2</v>
      </c>
      <c r="D139" s="135">
        <f t="shared" ref="D139:S145" si="45">C139</f>
        <v>2</v>
      </c>
      <c r="E139" s="135">
        <f t="shared" si="45"/>
        <v>2</v>
      </c>
      <c r="F139" s="135">
        <f t="shared" si="45"/>
        <v>2</v>
      </c>
      <c r="G139" s="135">
        <f t="shared" si="45"/>
        <v>2</v>
      </c>
      <c r="H139" s="135">
        <f t="shared" si="45"/>
        <v>2</v>
      </c>
      <c r="I139" s="135">
        <f t="shared" si="45"/>
        <v>2</v>
      </c>
      <c r="J139" s="135">
        <f t="shared" si="45"/>
        <v>2</v>
      </c>
      <c r="K139" s="135">
        <f t="shared" si="45"/>
        <v>2</v>
      </c>
      <c r="L139" s="135">
        <f t="shared" si="45"/>
        <v>2</v>
      </c>
      <c r="M139" s="135">
        <f t="shared" si="45"/>
        <v>2</v>
      </c>
      <c r="N139" s="135">
        <f t="shared" si="45"/>
        <v>2</v>
      </c>
      <c r="O139" s="135">
        <f t="shared" si="45"/>
        <v>2</v>
      </c>
      <c r="P139" s="135">
        <f t="shared" si="45"/>
        <v>2</v>
      </c>
      <c r="Q139" s="135">
        <f t="shared" si="45"/>
        <v>2</v>
      </c>
      <c r="R139" s="135">
        <f t="shared" si="45"/>
        <v>2</v>
      </c>
      <c r="S139" s="135">
        <f t="shared" si="45"/>
        <v>2</v>
      </c>
      <c r="T139" s="135">
        <f t="shared" ref="T139:AF145" si="46">S139</f>
        <v>2</v>
      </c>
      <c r="U139" s="135">
        <f t="shared" si="46"/>
        <v>2</v>
      </c>
      <c r="V139" s="135">
        <f t="shared" si="46"/>
        <v>2</v>
      </c>
      <c r="W139" s="135">
        <f t="shared" si="46"/>
        <v>2</v>
      </c>
      <c r="X139" s="135">
        <f t="shared" si="46"/>
        <v>2</v>
      </c>
      <c r="Y139" s="135">
        <f t="shared" si="46"/>
        <v>2</v>
      </c>
      <c r="Z139" s="135">
        <f t="shared" si="46"/>
        <v>2</v>
      </c>
      <c r="AA139" s="135">
        <f t="shared" si="46"/>
        <v>2</v>
      </c>
      <c r="AB139" s="135">
        <f t="shared" si="46"/>
        <v>2</v>
      </c>
      <c r="AC139" s="135">
        <f t="shared" si="46"/>
        <v>2</v>
      </c>
      <c r="AD139" s="135">
        <f t="shared" si="46"/>
        <v>2</v>
      </c>
      <c r="AE139" s="135">
        <f t="shared" si="46"/>
        <v>2</v>
      </c>
      <c r="AF139" s="135">
        <f t="shared" si="46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44"/>
        <v>5.61</v>
      </c>
      <c r="C140" s="136">
        <v>5.61</v>
      </c>
      <c r="D140" s="135">
        <f t="shared" si="45"/>
        <v>5.61</v>
      </c>
      <c r="E140" s="135">
        <f t="shared" si="45"/>
        <v>5.61</v>
      </c>
      <c r="F140" s="135">
        <f t="shared" si="45"/>
        <v>5.61</v>
      </c>
      <c r="G140" s="135">
        <f t="shared" si="45"/>
        <v>5.61</v>
      </c>
      <c r="H140" s="135">
        <f t="shared" si="45"/>
        <v>5.61</v>
      </c>
      <c r="I140" s="135">
        <f t="shared" si="45"/>
        <v>5.61</v>
      </c>
      <c r="J140" s="135">
        <f t="shared" si="45"/>
        <v>5.61</v>
      </c>
      <c r="K140" s="135">
        <f t="shared" si="45"/>
        <v>5.61</v>
      </c>
      <c r="L140" s="135">
        <f t="shared" si="45"/>
        <v>5.61</v>
      </c>
      <c r="M140" s="135">
        <f t="shared" si="45"/>
        <v>5.61</v>
      </c>
      <c r="N140" s="135">
        <f t="shared" si="45"/>
        <v>5.61</v>
      </c>
      <c r="O140" s="135">
        <f t="shared" si="45"/>
        <v>5.61</v>
      </c>
      <c r="P140" s="135">
        <f t="shared" si="45"/>
        <v>5.61</v>
      </c>
      <c r="Q140" s="135">
        <f t="shared" si="45"/>
        <v>5.61</v>
      </c>
      <c r="R140" s="135">
        <f t="shared" si="45"/>
        <v>5.61</v>
      </c>
      <c r="S140" s="135">
        <f t="shared" si="45"/>
        <v>5.61</v>
      </c>
      <c r="T140" s="135">
        <f t="shared" si="46"/>
        <v>5.61</v>
      </c>
      <c r="U140" s="135">
        <f t="shared" si="46"/>
        <v>5.61</v>
      </c>
      <c r="V140" s="135">
        <f t="shared" si="46"/>
        <v>5.61</v>
      </c>
      <c r="W140" s="135">
        <f t="shared" si="46"/>
        <v>5.61</v>
      </c>
      <c r="X140" s="135">
        <f t="shared" si="46"/>
        <v>5.61</v>
      </c>
      <c r="Y140" s="135">
        <f t="shared" si="46"/>
        <v>5.61</v>
      </c>
      <c r="Z140" s="135">
        <f t="shared" si="46"/>
        <v>5.61</v>
      </c>
      <c r="AA140" s="135">
        <f t="shared" si="46"/>
        <v>5.61</v>
      </c>
      <c r="AB140" s="135">
        <f t="shared" si="46"/>
        <v>5.61</v>
      </c>
      <c r="AC140" s="135">
        <f t="shared" si="46"/>
        <v>5.61</v>
      </c>
      <c r="AD140" s="135">
        <f t="shared" si="46"/>
        <v>5.61</v>
      </c>
      <c r="AE140" s="135">
        <f t="shared" si="46"/>
        <v>5.61</v>
      </c>
      <c r="AF140" s="135">
        <f t="shared" si="46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44"/>
        <v>1.25</v>
      </c>
      <c r="C141" s="136">
        <v>1.25</v>
      </c>
      <c r="D141" s="135">
        <f t="shared" si="45"/>
        <v>1.25</v>
      </c>
      <c r="E141" s="135">
        <f t="shared" si="45"/>
        <v>1.25</v>
      </c>
      <c r="F141" s="135">
        <f t="shared" si="45"/>
        <v>1.25</v>
      </c>
      <c r="G141" s="135">
        <f t="shared" si="45"/>
        <v>1.25</v>
      </c>
      <c r="H141" s="135">
        <f t="shared" si="45"/>
        <v>1.25</v>
      </c>
      <c r="I141" s="135">
        <f t="shared" si="45"/>
        <v>1.25</v>
      </c>
      <c r="J141" s="135">
        <f t="shared" si="45"/>
        <v>1.25</v>
      </c>
      <c r="K141" s="135">
        <f t="shared" si="45"/>
        <v>1.25</v>
      </c>
      <c r="L141" s="135">
        <f t="shared" si="45"/>
        <v>1.25</v>
      </c>
      <c r="M141" s="135">
        <f t="shared" si="45"/>
        <v>1.25</v>
      </c>
      <c r="N141" s="135">
        <f t="shared" si="45"/>
        <v>1.25</v>
      </c>
      <c r="O141" s="135">
        <f t="shared" si="45"/>
        <v>1.25</v>
      </c>
      <c r="P141" s="135">
        <f t="shared" si="45"/>
        <v>1.25</v>
      </c>
      <c r="Q141" s="135">
        <f t="shared" si="45"/>
        <v>1.25</v>
      </c>
      <c r="R141" s="135">
        <f t="shared" si="45"/>
        <v>1.25</v>
      </c>
      <c r="S141" s="135">
        <f t="shared" si="45"/>
        <v>1.25</v>
      </c>
      <c r="T141" s="135">
        <f t="shared" si="46"/>
        <v>1.25</v>
      </c>
      <c r="U141" s="135">
        <f t="shared" si="46"/>
        <v>1.25</v>
      </c>
      <c r="V141" s="135">
        <f t="shared" si="46"/>
        <v>1.25</v>
      </c>
      <c r="W141" s="135">
        <f t="shared" si="46"/>
        <v>1.25</v>
      </c>
      <c r="X141" s="135">
        <f t="shared" si="46"/>
        <v>1.25</v>
      </c>
      <c r="Y141" s="135">
        <f t="shared" si="46"/>
        <v>1.25</v>
      </c>
      <c r="Z141" s="135">
        <f t="shared" si="46"/>
        <v>1.25</v>
      </c>
      <c r="AA141" s="135">
        <f t="shared" si="46"/>
        <v>1.25</v>
      </c>
      <c r="AB141" s="135">
        <f t="shared" si="46"/>
        <v>1.25</v>
      </c>
      <c r="AC141" s="135">
        <f t="shared" si="46"/>
        <v>1.25</v>
      </c>
      <c r="AD141" s="135">
        <f t="shared" si="46"/>
        <v>1.25</v>
      </c>
      <c r="AE141" s="135">
        <f t="shared" si="46"/>
        <v>1.25</v>
      </c>
      <c r="AF141" s="135">
        <f t="shared" si="46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44"/>
        <v>1.25</v>
      </c>
      <c r="C142" s="136">
        <v>1.25</v>
      </c>
      <c r="D142" s="135">
        <f t="shared" si="45"/>
        <v>1.25</v>
      </c>
      <c r="E142" s="135">
        <f t="shared" si="45"/>
        <v>1.25</v>
      </c>
      <c r="F142" s="135">
        <f t="shared" si="45"/>
        <v>1.25</v>
      </c>
      <c r="G142" s="135">
        <f t="shared" si="45"/>
        <v>1.25</v>
      </c>
      <c r="H142" s="135">
        <f t="shared" si="45"/>
        <v>1.25</v>
      </c>
      <c r="I142" s="135">
        <f t="shared" si="45"/>
        <v>1.25</v>
      </c>
      <c r="J142" s="135">
        <f t="shared" si="45"/>
        <v>1.25</v>
      </c>
      <c r="K142" s="135">
        <f t="shared" si="45"/>
        <v>1.25</v>
      </c>
      <c r="L142" s="135">
        <f t="shared" si="45"/>
        <v>1.25</v>
      </c>
      <c r="M142" s="135">
        <f t="shared" si="45"/>
        <v>1.25</v>
      </c>
      <c r="N142" s="135">
        <f t="shared" si="45"/>
        <v>1.25</v>
      </c>
      <c r="O142" s="135">
        <f t="shared" si="45"/>
        <v>1.25</v>
      </c>
      <c r="P142" s="135">
        <f t="shared" si="45"/>
        <v>1.25</v>
      </c>
      <c r="Q142" s="135">
        <f t="shared" si="45"/>
        <v>1.25</v>
      </c>
      <c r="R142" s="135">
        <f t="shared" si="45"/>
        <v>1.25</v>
      </c>
      <c r="S142" s="135">
        <f t="shared" si="45"/>
        <v>1.25</v>
      </c>
      <c r="T142" s="135">
        <f t="shared" si="46"/>
        <v>1.25</v>
      </c>
      <c r="U142" s="135">
        <f t="shared" si="46"/>
        <v>1.25</v>
      </c>
      <c r="V142" s="135">
        <f t="shared" si="46"/>
        <v>1.25</v>
      </c>
      <c r="W142" s="135">
        <f t="shared" si="46"/>
        <v>1.25</v>
      </c>
      <c r="X142" s="135">
        <f t="shared" si="46"/>
        <v>1.25</v>
      </c>
      <c r="Y142" s="135">
        <f t="shared" si="46"/>
        <v>1.25</v>
      </c>
      <c r="Z142" s="135">
        <f t="shared" si="46"/>
        <v>1.25</v>
      </c>
      <c r="AA142" s="135">
        <f t="shared" si="46"/>
        <v>1.25</v>
      </c>
      <c r="AB142" s="135">
        <f t="shared" si="46"/>
        <v>1.25</v>
      </c>
      <c r="AC142" s="135">
        <f t="shared" si="46"/>
        <v>1.25</v>
      </c>
      <c r="AD142" s="135">
        <f t="shared" si="46"/>
        <v>1.25</v>
      </c>
      <c r="AE142" s="135">
        <f t="shared" si="46"/>
        <v>1.25</v>
      </c>
      <c r="AF142" s="135">
        <f t="shared" si="46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44"/>
        <v>1.46</v>
      </c>
      <c r="C143" s="136">
        <v>1.46</v>
      </c>
      <c r="D143" s="135">
        <f t="shared" si="45"/>
        <v>1.46</v>
      </c>
      <c r="E143" s="135">
        <f t="shared" si="45"/>
        <v>1.46</v>
      </c>
      <c r="F143" s="135">
        <f t="shared" si="45"/>
        <v>1.46</v>
      </c>
      <c r="G143" s="135">
        <f t="shared" si="45"/>
        <v>1.46</v>
      </c>
      <c r="H143" s="135">
        <f t="shared" si="45"/>
        <v>1.46</v>
      </c>
      <c r="I143" s="135">
        <f t="shared" si="45"/>
        <v>1.46</v>
      </c>
      <c r="J143" s="135">
        <f t="shared" si="45"/>
        <v>1.46</v>
      </c>
      <c r="K143" s="135">
        <f t="shared" si="45"/>
        <v>1.46</v>
      </c>
      <c r="L143" s="135">
        <f t="shared" si="45"/>
        <v>1.46</v>
      </c>
      <c r="M143" s="135">
        <f t="shared" si="45"/>
        <v>1.46</v>
      </c>
      <c r="N143" s="135">
        <f t="shared" si="45"/>
        <v>1.46</v>
      </c>
      <c r="O143" s="135">
        <f t="shared" si="45"/>
        <v>1.46</v>
      </c>
      <c r="P143" s="135">
        <f t="shared" si="45"/>
        <v>1.46</v>
      </c>
      <c r="Q143" s="135">
        <f t="shared" si="45"/>
        <v>1.46</v>
      </c>
      <c r="R143" s="135">
        <f t="shared" si="45"/>
        <v>1.46</v>
      </c>
      <c r="S143" s="135">
        <f t="shared" si="45"/>
        <v>1.46</v>
      </c>
      <c r="T143" s="135">
        <f t="shared" si="46"/>
        <v>1.46</v>
      </c>
      <c r="U143" s="135">
        <f t="shared" si="46"/>
        <v>1.46</v>
      </c>
      <c r="V143" s="135">
        <f t="shared" si="46"/>
        <v>1.46</v>
      </c>
      <c r="W143" s="135">
        <f t="shared" si="46"/>
        <v>1.46</v>
      </c>
      <c r="X143" s="135">
        <f t="shared" si="46"/>
        <v>1.46</v>
      </c>
      <c r="Y143" s="135">
        <f t="shared" si="46"/>
        <v>1.46</v>
      </c>
      <c r="Z143" s="135">
        <f t="shared" si="46"/>
        <v>1.46</v>
      </c>
      <c r="AA143" s="135">
        <f t="shared" si="46"/>
        <v>1.46</v>
      </c>
      <c r="AB143" s="135">
        <f t="shared" si="46"/>
        <v>1.46</v>
      </c>
      <c r="AC143" s="135">
        <f t="shared" si="46"/>
        <v>1.46</v>
      </c>
      <c r="AD143" s="135">
        <f t="shared" si="46"/>
        <v>1.46</v>
      </c>
      <c r="AE143" s="135">
        <f t="shared" si="46"/>
        <v>1.46</v>
      </c>
      <c r="AF143" s="135">
        <f t="shared" si="46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44"/>
        <v>3</v>
      </c>
      <c r="C144" s="136">
        <v>3</v>
      </c>
      <c r="D144" s="135">
        <f t="shared" si="45"/>
        <v>3</v>
      </c>
      <c r="E144" s="135">
        <f t="shared" si="45"/>
        <v>3</v>
      </c>
      <c r="F144" s="135">
        <f t="shared" si="45"/>
        <v>3</v>
      </c>
      <c r="G144" s="135">
        <f t="shared" si="45"/>
        <v>3</v>
      </c>
      <c r="H144" s="135">
        <f t="shared" si="45"/>
        <v>3</v>
      </c>
      <c r="I144" s="135">
        <f t="shared" si="45"/>
        <v>3</v>
      </c>
      <c r="J144" s="135">
        <f t="shared" si="45"/>
        <v>3</v>
      </c>
      <c r="K144" s="135">
        <f t="shared" si="45"/>
        <v>3</v>
      </c>
      <c r="L144" s="135">
        <f t="shared" si="45"/>
        <v>3</v>
      </c>
      <c r="M144" s="135">
        <f t="shared" si="45"/>
        <v>3</v>
      </c>
      <c r="N144" s="135">
        <f t="shared" si="45"/>
        <v>3</v>
      </c>
      <c r="O144" s="135">
        <f t="shared" si="45"/>
        <v>3</v>
      </c>
      <c r="P144" s="135">
        <f t="shared" si="45"/>
        <v>3</v>
      </c>
      <c r="Q144" s="135">
        <f t="shared" si="45"/>
        <v>3</v>
      </c>
      <c r="R144" s="135">
        <f t="shared" si="45"/>
        <v>3</v>
      </c>
      <c r="S144" s="135">
        <f t="shared" si="45"/>
        <v>3</v>
      </c>
      <c r="T144" s="135">
        <f t="shared" si="46"/>
        <v>3</v>
      </c>
      <c r="U144" s="135">
        <f t="shared" si="46"/>
        <v>3</v>
      </c>
      <c r="V144" s="135">
        <f t="shared" si="46"/>
        <v>3</v>
      </c>
      <c r="W144" s="135">
        <f t="shared" si="46"/>
        <v>3</v>
      </c>
      <c r="X144" s="135">
        <f t="shared" si="46"/>
        <v>3</v>
      </c>
      <c r="Y144" s="135">
        <f t="shared" si="46"/>
        <v>3</v>
      </c>
      <c r="Z144" s="135">
        <f t="shared" si="46"/>
        <v>3</v>
      </c>
      <c r="AA144" s="135">
        <f t="shared" si="46"/>
        <v>3</v>
      </c>
      <c r="AB144" s="135">
        <f t="shared" si="46"/>
        <v>3</v>
      </c>
      <c r="AC144" s="135">
        <f t="shared" si="46"/>
        <v>3</v>
      </c>
      <c r="AD144" s="135">
        <f t="shared" si="46"/>
        <v>3</v>
      </c>
      <c r="AE144" s="135">
        <f t="shared" si="46"/>
        <v>3</v>
      </c>
      <c r="AF144" s="135">
        <f t="shared" si="46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44"/>
        <v>3.3</v>
      </c>
      <c r="C145" s="136">
        <v>3.3</v>
      </c>
      <c r="D145" s="135">
        <f t="shared" si="45"/>
        <v>3.3</v>
      </c>
      <c r="E145" s="135">
        <f t="shared" si="45"/>
        <v>3.3</v>
      </c>
      <c r="F145" s="135">
        <f t="shared" si="45"/>
        <v>3.3</v>
      </c>
      <c r="G145" s="135">
        <f t="shared" si="45"/>
        <v>3.3</v>
      </c>
      <c r="H145" s="135">
        <f t="shared" si="45"/>
        <v>3.3</v>
      </c>
      <c r="I145" s="135">
        <f t="shared" si="45"/>
        <v>3.3</v>
      </c>
      <c r="J145" s="135">
        <f t="shared" si="45"/>
        <v>3.3</v>
      </c>
      <c r="K145" s="135">
        <f t="shared" si="45"/>
        <v>3.3</v>
      </c>
      <c r="L145" s="135">
        <f t="shared" si="45"/>
        <v>3.3</v>
      </c>
      <c r="M145" s="135">
        <f t="shared" si="45"/>
        <v>3.3</v>
      </c>
      <c r="N145" s="135">
        <f t="shared" si="45"/>
        <v>3.3</v>
      </c>
      <c r="O145" s="135">
        <f t="shared" si="45"/>
        <v>3.3</v>
      </c>
      <c r="P145" s="135">
        <f t="shared" si="45"/>
        <v>3.3</v>
      </c>
      <c r="Q145" s="135">
        <f t="shared" si="45"/>
        <v>3.3</v>
      </c>
      <c r="R145" s="135">
        <f t="shared" si="45"/>
        <v>3.3</v>
      </c>
      <c r="S145" s="135">
        <f t="shared" si="45"/>
        <v>3.3</v>
      </c>
      <c r="T145" s="135">
        <f t="shared" si="46"/>
        <v>3.3</v>
      </c>
      <c r="U145" s="135">
        <f t="shared" si="46"/>
        <v>3.3</v>
      </c>
      <c r="V145" s="135">
        <f t="shared" si="46"/>
        <v>3.3</v>
      </c>
      <c r="W145" s="135">
        <f t="shared" si="46"/>
        <v>3.3</v>
      </c>
      <c r="X145" s="135">
        <f t="shared" si="46"/>
        <v>3.3</v>
      </c>
      <c r="Y145" s="135">
        <f t="shared" si="46"/>
        <v>3.3</v>
      </c>
      <c r="Z145" s="135">
        <f t="shared" si="46"/>
        <v>3.3</v>
      </c>
      <c r="AA145" s="135">
        <f t="shared" si="46"/>
        <v>3.3</v>
      </c>
      <c r="AB145" s="135">
        <f t="shared" si="46"/>
        <v>3.3</v>
      </c>
      <c r="AC145" s="135">
        <f t="shared" si="46"/>
        <v>3.3</v>
      </c>
      <c r="AD145" s="135">
        <f t="shared" si="46"/>
        <v>3.3</v>
      </c>
      <c r="AE145" s="135">
        <f t="shared" si="46"/>
        <v>3.3</v>
      </c>
      <c r="AF145" s="135">
        <f t="shared" si="46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7">C147</f>
        <v>1.76</v>
      </c>
      <c r="E147" s="135">
        <f t="shared" si="47"/>
        <v>1.76</v>
      </c>
      <c r="F147" s="135">
        <f t="shared" si="47"/>
        <v>1.76</v>
      </c>
      <c r="G147" s="135">
        <f t="shared" si="47"/>
        <v>1.76</v>
      </c>
      <c r="H147" s="135">
        <f t="shared" si="47"/>
        <v>1.76</v>
      </c>
      <c r="I147" s="135">
        <f t="shared" si="47"/>
        <v>1.76</v>
      </c>
      <c r="J147" s="135">
        <f t="shared" si="47"/>
        <v>1.76</v>
      </c>
      <c r="K147" s="135">
        <f t="shared" si="47"/>
        <v>1.76</v>
      </c>
      <c r="L147" s="135">
        <f t="shared" si="47"/>
        <v>1.76</v>
      </c>
      <c r="M147" s="135">
        <f t="shared" si="47"/>
        <v>1.76</v>
      </c>
      <c r="N147" s="135">
        <f t="shared" si="47"/>
        <v>1.76</v>
      </c>
      <c r="O147" s="135">
        <f t="shared" si="47"/>
        <v>1.76</v>
      </c>
      <c r="P147" s="135">
        <f t="shared" si="47"/>
        <v>1.76</v>
      </c>
      <c r="Q147" s="135">
        <f t="shared" si="47"/>
        <v>1.76</v>
      </c>
      <c r="R147" s="135">
        <f t="shared" si="47"/>
        <v>1.76</v>
      </c>
      <c r="S147" s="135">
        <f t="shared" si="47"/>
        <v>1.76</v>
      </c>
      <c r="T147" s="135">
        <f t="shared" ref="T147:AF148" si="48">S147</f>
        <v>1.76</v>
      </c>
      <c r="U147" s="135">
        <f t="shared" si="48"/>
        <v>1.76</v>
      </c>
      <c r="V147" s="135">
        <f t="shared" si="48"/>
        <v>1.76</v>
      </c>
      <c r="W147" s="135">
        <f t="shared" si="48"/>
        <v>1.76</v>
      </c>
      <c r="X147" s="135">
        <f t="shared" si="48"/>
        <v>1.76</v>
      </c>
      <c r="Y147" s="135">
        <f t="shared" si="48"/>
        <v>1.76</v>
      </c>
      <c r="Z147" s="135">
        <f t="shared" si="48"/>
        <v>1.76</v>
      </c>
      <c r="AA147" s="135">
        <f t="shared" si="48"/>
        <v>1.76</v>
      </c>
      <c r="AB147" s="135">
        <f t="shared" si="48"/>
        <v>1.76</v>
      </c>
      <c r="AC147" s="135">
        <f t="shared" si="48"/>
        <v>1.76</v>
      </c>
      <c r="AD147" s="135">
        <f t="shared" si="48"/>
        <v>1.76</v>
      </c>
      <c r="AE147" s="135">
        <f t="shared" si="48"/>
        <v>1.76</v>
      </c>
      <c r="AF147" s="135">
        <f t="shared" si="48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7"/>
        <v>0</v>
      </c>
      <c r="E148" s="135">
        <f t="shared" si="47"/>
        <v>0</v>
      </c>
      <c r="F148" s="135">
        <f t="shared" si="47"/>
        <v>0</v>
      </c>
      <c r="G148" s="135">
        <f t="shared" si="47"/>
        <v>0</v>
      </c>
      <c r="H148" s="135">
        <f t="shared" si="47"/>
        <v>0</v>
      </c>
      <c r="I148" s="135">
        <f t="shared" si="47"/>
        <v>0</v>
      </c>
      <c r="J148" s="135">
        <f t="shared" si="47"/>
        <v>0</v>
      </c>
      <c r="K148" s="135">
        <f t="shared" si="47"/>
        <v>0</v>
      </c>
      <c r="L148" s="135">
        <f t="shared" si="47"/>
        <v>0</v>
      </c>
      <c r="M148" s="135">
        <f t="shared" si="47"/>
        <v>0</v>
      </c>
      <c r="N148" s="135">
        <f t="shared" si="47"/>
        <v>0</v>
      </c>
      <c r="O148" s="135">
        <f t="shared" si="47"/>
        <v>0</v>
      </c>
      <c r="P148" s="135">
        <f t="shared" si="47"/>
        <v>0</v>
      </c>
      <c r="Q148" s="135">
        <f t="shared" si="47"/>
        <v>0</v>
      </c>
      <c r="R148" s="135">
        <f t="shared" si="47"/>
        <v>0</v>
      </c>
      <c r="S148" s="135">
        <f t="shared" si="47"/>
        <v>0</v>
      </c>
      <c r="T148" s="135">
        <f t="shared" si="48"/>
        <v>0</v>
      </c>
      <c r="U148" s="135">
        <f t="shared" si="48"/>
        <v>0</v>
      </c>
      <c r="V148" s="135">
        <f t="shared" si="48"/>
        <v>0</v>
      </c>
      <c r="W148" s="135">
        <f t="shared" si="48"/>
        <v>0</v>
      </c>
      <c r="X148" s="135">
        <f t="shared" si="48"/>
        <v>0</v>
      </c>
      <c r="Y148" s="135">
        <f t="shared" si="48"/>
        <v>0</v>
      </c>
      <c r="Z148" s="135">
        <f t="shared" si="48"/>
        <v>0</v>
      </c>
      <c r="AA148" s="135">
        <f t="shared" si="48"/>
        <v>0</v>
      </c>
      <c r="AB148" s="135">
        <f t="shared" si="48"/>
        <v>0</v>
      </c>
      <c r="AC148" s="135">
        <f t="shared" si="48"/>
        <v>0</v>
      </c>
      <c r="AD148" s="135">
        <f t="shared" si="48"/>
        <v>0</v>
      </c>
      <c r="AE148" s="135">
        <f t="shared" si="48"/>
        <v>0</v>
      </c>
      <c r="AF148" s="135">
        <f t="shared" si="48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9">C150</f>
        <v>0.1</v>
      </c>
      <c r="E150" s="135">
        <f t="shared" si="49"/>
        <v>0.1</v>
      </c>
      <c r="F150" s="135">
        <f t="shared" si="49"/>
        <v>0.1</v>
      </c>
      <c r="G150" s="135">
        <f t="shared" si="49"/>
        <v>0.1</v>
      </c>
      <c r="H150" s="135">
        <f t="shared" si="49"/>
        <v>0.1</v>
      </c>
      <c r="I150" s="135">
        <f t="shared" si="49"/>
        <v>0.1</v>
      </c>
      <c r="J150" s="135">
        <f t="shared" si="49"/>
        <v>0.1</v>
      </c>
      <c r="K150" s="135">
        <f t="shared" si="49"/>
        <v>0.1</v>
      </c>
      <c r="L150" s="135">
        <f t="shared" si="49"/>
        <v>0.1</v>
      </c>
      <c r="M150" s="135">
        <f t="shared" si="49"/>
        <v>0.1</v>
      </c>
      <c r="N150" s="135">
        <f t="shared" si="49"/>
        <v>0.1</v>
      </c>
      <c r="O150" s="135">
        <f t="shared" si="49"/>
        <v>0.1</v>
      </c>
      <c r="P150" s="135">
        <f t="shared" si="49"/>
        <v>0.1</v>
      </c>
      <c r="Q150" s="135">
        <f t="shared" si="49"/>
        <v>0.1</v>
      </c>
      <c r="R150" s="135">
        <f t="shared" si="49"/>
        <v>0.1</v>
      </c>
      <c r="S150" s="135">
        <f t="shared" si="49"/>
        <v>0.1</v>
      </c>
      <c r="T150" s="135">
        <f t="shared" ref="T150:AF153" si="50">S150</f>
        <v>0.1</v>
      </c>
      <c r="U150" s="135">
        <f t="shared" si="50"/>
        <v>0.1</v>
      </c>
      <c r="V150" s="135">
        <f t="shared" si="50"/>
        <v>0.1</v>
      </c>
      <c r="W150" s="135">
        <f t="shared" si="50"/>
        <v>0.1</v>
      </c>
      <c r="X150" s="135">
        <f t="shared" si="50"/>
        <v>0.1</v>
      </c>
      <c r="Y150" s="135">
        <f t="shared" si="50"/>
        <v>0.1</v>
      </c>
      <c r="Z150" s="135">
        <f t="shared" si="50"/>
        <v>0.1</v>
      </c>
      <c r="AA150" s="135">
        <f t="shared" si="50"/>
        <v>0.1</v>
      </c>
      <c r="AB150" s="135">
        <f t="shared" si="50"/>
        <v>0.1</v>
      </c>
      <c r="AC150" s="135">
        <f t="shared" si="50"/>
        <v>0.1</v>
      </c>
      <c r="AD150" s="135">
        <f t="shared" si="50"/>
        <v>0.1</v>
      </c>
      <c r="AE150" s="135">
        <f t="shared" si="50"/>
        <v>0.1</v>
      </c>
      <c r="AF150" s="135">
        <f t="shared" si="50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9"/>
        <v>2.0499999999999998</v>
      </c>
      <c r="E151" s="135">
        <f t="shared" si="49"/>
        <v>2.0499999999999998</v>
      </c>
      <c r="F151" s="135">
        <f t="shared" si="49"/>
        <v>2.0499999999999998</v>
      </c>
      <c r="G151" s="135">
        <f t="shared" si="49"/>
        <v>2.0499999999999998</v>
      </c>
      <c r="H151" s="135">
        <f t="shared" si="49"/>
        <v>2.0499999999999998</v>
      </c>
      <c r="I151" s="135">
        <f t="shared" si="49"/>
        <v>2.0499999999999998</v>
      </c>
      <c r="J151" s="135">
        <f t="shared" si="49"/>
        <v>2.0499999999999998</v>
      </c>
      <c r="K151" s="135">
        <f t="shared" si="49"/>
        <v>2.0499999999999998</v>
      </c>
      <c r="L151" s="135">
        <f t="shared" si="49"/>
        <v>2.0499999999999998</v>
      </c>
      <c r="M151" s="135">
        <f t="shared" si="49"/>
        <v>2.0499999999999998</v>
      </c>
      <c r="N151" s="135">
        <f t="shared" si="49"/>
        <v>2.0499999999999998</v>
      </c>
      <c r="O151" s="135">
        <f t="shared" si="49"/>
        <v>2.0499999999999998</v>
      </c>
      <c r="P151" s="135">
        <f t="shared" si="49"/>
        <v>2.0499999999999998</v>
      </c>
      <c r="Q151" s="135">
        <f t="shared" si="49"/>
        <v>2.0499999999999998</v>
      </c>
      <c r="R151" s="135">
        <f t="shared" si="49"/>
        <v>2.0499999999999998</v>
      </c>
      <c r="S151" s="135">
        <f t="shared" si="49"/>
        <v>2.0499999999999998</v>
      </c>
      <c r="T151" s="135">
        <f t="shared" si="50"/>
        <v>2.0499999999999998</v>
      </c>
      <c r="U151" s="135">
        <f t="shared" si="50"/>
        <v>2.0499999999999998</v>
      </c>
      <c r="V151" s="135">
        <f t="shared" si="50"/>
        <v>2.0499999999999998</v>
      </c>
      <c r="W151" s="135">
        <f t="shared" si="50"/>
        <v>2.0499999999999998</v>
      </c>
      <c r="X151" s="135">
        <f t="shared" si="50"/>
        <v>2.0499999999999998</v>
      </c>
      <c r="Y151" s="135">
        <f t="shared" si="50"/>
        <v>2.0499999999999998</v>
      </c>
      <c r="Z151" s="135">
        <f t="shared" si="50"/>
        <v>2.0499999999999998</v>
      </c>
      <c r="AA151" s="135">
        <f t="shared" si="50"/>
        <v>2.0499999999999998</v>
      </c>
      <c r="AB151" s="135">
        <f t="shared" si="50"/>
        <v>2.0499999999999998</v>
      </c>
      <c r="AC151" s="135">
        <f t="shared" si="50"/>
        <v>2.0499999999999998</v>
      </c>
      <c r="AD151" s="135">
        <f t="shared" si="50"/>
        <v>2.0499999999999998</v>
      </c>
      <c r="AE151" s="135">
        <f t="shared" si="50"/>
        <v>2.0499999999999998</v>
      </c>
      <c r="AF151" s="135">
        <f t="shared" si="50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9"/>
        <v>2.7</v>
      </c>
      <c r="E152" s="135">
        <f t="shared" si="49"/>
        <v>2.7</v>
      </c>
      <c r="F152" s="135">
        <f t="shared" si="49"/>
        <v>2.7</v>
      </c>
      <c r="G152" s="135">
        <f t="shared" si="49"/>
        <v>2.7</v>
      </c>
      <c r="H152" s="135">
        <f t="shared" si="49"/>
        <v>2.7</v>
      </c>
      <c r="I152" s="135">
        <f t="shared" si="49"/>
        <v>2.7</v>
      </c>
      <c r="J152" s="135">
        <f t="shared" si="49"/>
        <v>2.7</v>
      </c>
      <c r="K152" s="135">
        <f t="shared" si="49"/>
        <v>2.7</v>
      </c>
      <c r="L152" s="135">
        <f t="shared" si="49"/>
        <v>2.7</v>
      </c>
      <c r="M152" s="135">
        <f t="shared" si="49"/>
        <v>2.7</v>
      </c>
      <c r="N152" s="135">
        <f t="shared" si="49"/>
        <v>2.7</v>
      </c>
      <c r="O152" s="135">
        <f t="shared" si="49"/>
        <v>2.7</v>
      </c>
      <c r="P152" s="135">
        <f t="shared" si="49"/>
        <v>2.7</v>
      </c>
      <c r="Q152" s="135">
        <f t="shared" si="49"/>
        <v>2.7</v>
      </c>
      <c r="R152" s="135">
        <f t="shared" si="49"/>
        <v>2.7</v>
      </c>
      <c r="S152" s="135">
        <f t="shared" si="49"/>
        <v>2.7</v>
      </c>
      <c r="T152" s="135">
        <f t="shared" si="50"/>
        <v>2.7</v>
      </c>
      <c r="U152" s="135">
        <f t="shared" si="50"/>
        <v>2.7</v>
      </c>
      <c r="V152" s="135">
        <f t="shared" si="50"/>
        <v>2.7</v>
      </c>
      <c r="W152" s="135">
        <f t="shared" si="50"/>
        <v>2.7</v>
      </c>
      <c r="X152" s="135">
        <f t="shared" si="50"/>
        <v>2.7</v>
      </c>
      <c r="Y152" s="135">
        <f t="shared" si="50"/>
        <v>2.7</v>
      </c>
      <c r="Z152" s="135">
        <f t="shared" si="50"/>
        <v>2.7</v>
      </c>
      <c r="AA152" s="135">
        <f t="shared" si="50"/>
        <v>2.7</v>
      </c>
      <c r="AB152" s="135">
        <f t="shared" si="50"/>
        <v>2.7</v>
      </c>
      <c r="AC152" s="135">
        <f t="shared" si="50"/>
        <v>2.7</v>
      </c>
      <c r="AD152" s="135">
        <f t="shared" si="50"/>
        <v>2.7</v>
      </c>
      <c r="AE152" s="135">
        <f t="shared" si="50"/>
        <v>2.7</v>
      </c>
      <c r="AF152" s="135">
        <f t="shared" si="50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9"/>
        <v>2.15</v>
      </c>
      <c r="E153" s="135">
        <f t="shared" si="49"/>
        <v>2.15</v>
      </c>
      <c r="F153" s="135">
        <f t="shared" si="49"/>
        <v>2.15</v>
      </c>
      <c r="G153" s="135">
        <f t="shared" si="49"/>
        <v>2.15</v>
      </c>
      <c r="H153" s="135">
        <f t="shared" si="49"/>
        <v>2.15</v>
      </c>
      <c r="I153" s="135">
        <f t="shared" si="49"/>
        <v>2.15</v>
      </c>
      <c r="J153" s="135">
        <f t="shared" si="49"/>
        <v>2.15</v>
      </c>
      <c r="K153" s="135">
        <f t="shared" si="49"/>
        <v>2.15</v>
      </c>
      <c r="L153" s="135">
        <f t="shared" si="49"/>
        <v>2.15</v>
      </c>
      <c r="M153" s="135">
        <f t="shared" si="49"/>
        <v>2.15</v>
      </c>
      <c r="N153" s="135">
        <f t="shared" si="49"/>
        <v>2.15</v>
      </c>
      <c r="O153" s="135">
        <f t="shared" si="49"/>
        <v>2.15</v>
      </c>
      <c r="P153" s="135">
        <f t="shared" si="49"/>
        <v>2.15</v>
      </c>
      <c r="Q153" s="135">
        <f t="shared" si="49"/>
        <v>2.15</v>
      </c>
      <c r="R153" s="135">
        <f t="shared" si="49"/>
        <v>2.15</v>
      </c>
      <c r="S153" s="135">
        <f t="shared" si="49"/>
        <v>2.15</v>
      </c>
      <c r="T153" s="135">
        <f t="shared" si="50"/>
        <v>2.15</v>
      </c>
      <c r="U153" s="135">
        <f t="shared" si="50"/>
        <v>2.15</v>
      </c>
      <c r="V153" s="135">
        <f t="shared" si="50"/>
        <v>2.15</v>
      </c>
      <c r="W153" s="135">
        <f t="shared" si="50"/>
        <v>2.15</v>
      </c>
      <c r="X153" s="135">
        <f t="shared" si="50"/>
        <v>2.15</v>
      </c>
      <c r="Y153" s="135">
        <f t="shared" si="50"/>
        <v>2.15</v>
      </c>
      <c r="Z153" s="135">
        <f t="shared" si="50"/>
        <v>2.15</v>
      </c>
      <c r="AA153" s="135">
        <f t="shared" si="50"/>
        <v>2.15</v>
      </c>
      <c r="AB153" s="135">
        <f t="shared" si="50"/>
        <v>2.15</v>
      </c>
      <c r="AC153" s="135">
        <f t="shared" si="50"/>
        <v>2.15</v>
      </c>
      <c r="AD153" s="135">
        <f t="shared" si="50"/>
        <v>2.15</v>
      </c>
      <c r="AE153" s="135">
        <f t="shared" si="50"/>
        <v>2.15</v>
      </c>
      <c r="AF153" s="135">
        <f t="shared" si="50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51">AF155</f>
        <v>0.9</v>
      </c>
      <c r="C155" s="136">
        <v>0.9</v>
      </c>
      <c r="D155" s="135">
        <f t="shared" ref="D155:S167" si="52">C155</f>
        <v>0.9</v>
      </c>
      <c r="E155" s="135">
        <f t="shared" si="52"/>
        <v>0.9</v>
      </c>
      <c r="F155" s="135">
        <f t="shared" si="52"/>
        <v>0.9</v>
      </c>
      <c r="G155" s="135">
        <f t="shared" si="52"/>
        <v>0.9</v>
      </c>
      <c r="H155" s="135">
        <f t="shared" si="52"/>
        <v>0.9</v>
      </c>
      <c r="I155" s="135">
        <f t="shared" si="52"/>
        <v>0.9</v>
      </c>
      <c r="J155" s="135">
        <f t="shared" si="52"/>
        <v>0.9</v>
      </c>
      <c r="K155" s="135">
        <f t="shared" si="52"/>
        <v>0.9</v>
      </c>
      <c r="L155" s="135">
        <f t="shared" si="52"/>
        <v>0.9</v>
      </c>
      <c r="M155" s="135">
        <f t="shared" si="52"/>
        <v>0.9</v>
      </c>
      <c r="N155" s="135">
        <f t="shared" si="52"/>
        <v>0.9</v>
      </c>
      <c r="O155" s="135">
        <f t="shared" si="52"/>
        <v>0.9</v>
      </c>
      <c r="P155" s="135">
        <f t="shared" si="52"/>
        <v>0.9</v>
      </c>
      <c r="Q155" s="135">
        <f t="shared" si="52"/>
        <v>0.9</v>
      </c>
      <c r="R155" s="135">
        <f t="shared" si="52"/>
        <v>0.9</v>
      </c>
      <c r="S155" s="135">
        <f t="shared" si="52"/>
        <v>0.9</v>
      </c>
      <c r="T155" s="135">
        <f t="shared" ref="S155:AF167" si="53">S155</f>
        <v>0.9</v>
      </c>
      <c r="U155" s="135">
        <f t="shared" si="53"/>
        <v>0.9</v>
      </c>
      <c r="V155" s="135">
        <f t="shared" si="53"/>
        <v>0.9</v>
      </c>
      <c r="W155" s="135">
        <f t="shared" si="53"/>
        <v>0.9</v>
      </c>
      <c r="X155" s="135">
        <f t="shared" si="53"/>
        <v>0.9</v>
      </c>
      <c r="Y155" s="135">
        <f t="shared" si="53"/>
        <v>0.9</v>
      </c>
      <c r="Z155" s="135">
        <f t="shared" si="53"/>
        <v>0.9</v>
      </c>
      <c r="AA155" s="135">
        <f t="shared" si="53"/>
        <v>0.9</v>
      </c>
      <c r="AB155" s="135">
        <f t="shared" si="53"/>
        <v>0.9</v>
      </c>
      <c r="AC155" s="135">
        <f t="shared" si="53"/>
        <v>0.9</v>
      </c>
      <c r="AD155" s="135">
        <f t="shared" si="53"/>
        <v>0.9</v>
      </c>
      <c r="AE155" s="135">
        <f t="shared" si="53"/>
        <v>0.9</v>
      </c>
      <c r="AF155" s="135">
        <f t="shared" si="53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51"/>
        <v>1.08</v>
      </c>
      <c r="C156" s="136">
        <v>1.08</v>
      </c>
      <c r="D156" s="135">
        <f t="shared" si="52"/>
        <v>1.08</v>
      </c>
      <c r="E156" s="135">
        <f t="shared" si="52"/>
        <v>1.08</v>
      </c>
      <c r="F156" s="135">
        <f t="shared" si="52"/>
        <v>1.08</v>
      </c>
      <c r="G156" s="135">
        <f t="shared" si="52"/>
        <v>1.08</v>
      </c>
      <c r="H156" s="135">
        <f t="shared" si="52"/>
        <v>1.08</v>
      </c>
      <c r="I156" s="135">
        <f t="shared" si="52"/>
        <v>1.08</v>
      </c>
      <c r="J156" s="135">
        <f t="shared" si="52"/>
        <v>1.08</v>
      </c>
      <c r="K156" s="135">
        <f t="shared" si="52"/>
        <v>1.08</v>
      </c>
      <c r="L156" s="135">
        <f t="shared" si="52"/>
        <v>1.08</v>
      </c>
      <c r="M156" s="135">
        <f t="shared" si="52"/>
        <v>1.08</v>
      </c>
      <c r="N156" s="135">
        <f t="shared" si="52"/>
        <v>1.08</v>
      </c>
      <c r="O156" s="135">
        <f t="shared" si="52"/>
        <v>1.08</v>
      </c>
      <c r="P156" s="135">
        <f t="shared" si="52"/>
        <v>1.08</v>
      </c>
      <c r="Q156" s="135">
        <f t="shared" si="52"/>
        <v>1.08</v>
      </c>
      <c r="R156" s="135">
        <f t="shared" si="52"/>
        <v>1.08</v>
      </c>
      <c r="S156" s="135">
        <f t="shared" si="52"/>
        <v>1.08</v>
      </c>
      <c r="T156" s="135">
        <f t="shared" si="53"/>
        <v>1.08</v>
      </c>
      <c r="U156" s="135">
        <f t="shared" si="53"/>
        <v>1.08</v>
      </c>
      <c r="V156" s="135">
        <f t="shared" si="53"/>
        <v>1.08</v>
      </c>
      <c r="W156" s="135">
        <f t="shared" si="53"/>
        <v>1.08</v>
      </c>
      <c r="X156" s="135">
        <f t="shared" si="53"/>
        <v>1.08</v>
      </c>
      <c r="Y156" s="135">
        <f t="shared" si="53"/>
        <v>1.08</v>
      </c>
      <c r="Z156" s="135">
        <f t="shared" si="53"/>
        <v>1.08</v>
      </c>
      <c r="AA156" s="135">
        <f t="shared" si="53"/>
        <v>1.08</v>
      </c>
      <c r="AB156" s="135">
        <f t="shared" si="53"/>
        <v>1.08</v>
      </c>
      <c r="AC156" s="135">
        <f t="shared" si="53"/>
        <v>1.08</v>
      </c>
      <c r="AD156" s="135">
        <f t="shared" si="53"/>
        <v>1.08</v>
      </c>
      <c r="AE156" s="135">
        <f t="shared" si="53"/>
        <v>1.08</v>
      </c>
      <c r="AF156" s="135">
        <f t="shared" si="53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51"/>
        <v>2.37</v>
      </c>
      <c r="C157" s="136">
        <v>2.37</v>
      </c>
      <c r="D157" s="135">
        <f t="shared" si="52"/>
        <v>2.37</v>
      </c>
      <c r="E157" s="135">
        <f t="shared" si="52"/>
        <v>2.37</v>
      </c>
      <c r="F157" s="135">
        <f t="shared" si="52"/>
        <v>2.37</v>
      </c>
      <c r="G157" s="135">
        <f t="shared" si="52"/>
        <v>2.37</v>
      </c>
      <c r="H157" s="135">
        <f t="shared" si="52"/>
        <v>2.37</v>
      </c>
      <c r="I157" s="135">
        <f t="shared" si="52"/>
        <v>2.37</v>
      </c>
      <c r="J157" s="135">
        <f t="shared" si="52"/>
        <v>2.37</v>
      </c>
      <c r="K157" s="135">
        <f t="shared" si="52"/>
        <v>2.37</v>
      </c>
      <c r="L157" s="135">
        <f t="shared" si="52"/>
        <v>2.37</v>
      </c>
      <c r="M157" s="135">
        <f t="shared" si="52"/>
        <v>2.37</v>
      </c>
      <c r="N157" s="135">
        <f t="shared" si="52"/>
        <v>2.37</v>
      </c>
      <c r="O157" s="135">
        <f t="shared" si="52"/>
        <v>2.37</v>
      </c>
      <c r="P157" s="135">
        <f t="shared" si="52"/>
        <v>2.37</v>
      </c>
      <c r="Q157" s="135">
        <f t="shared" si="52"/>
        <v>2.37</v>
      </c>
      <c r="R157" s="135">
        <f t="shared" si="52"/>
        <v>2.37</v>
      </c>
      <c r="S157" s="135">
        <f t="shared" si="52"/>
        <v>2.37</v>
      </c>
      <c r="T157" s="135">
        <f t="shared" si="53"/>
        <v>2.37</v>
      </c>
      <c r="U157" s="135">
        <f t="shared" si="53"/>
        <v>2.37</v>
      </c>
      <c r="V157" s="135">
        <f t="shared" si="53"/>
        <v>2.37</v>
      </c>
      <c r="W157" s="135">
        <f t="shared" si="53"/>
        <v>2.37</v>
      </c>
      <c r="X157" s="135">
        <f t="shared" si="53"/>
        <v>2.37</v>
      </c>
      <c r="Y157" s="135">
        <f t="shared" si="53"/>
        <v>2.37</v>
      </c>
      <c r="Z157" s="135">
        <f t="shared" si="53"/>
        <v>2.37</v>
      </c>
      <c r="AA157" s="135">
        <f t="shared" si="53"/>
        <v>2.37</v>
      </c>
      <c r="AB157" s="135">
        <f t="shared" si="53"/>
        <v>2.37</v>
      </c>
      <c r="AC157" s="135">
        <f t="shared" si="53"/>
        <v>2.37</v>
      </c>
      <c r="AD157" s="135">
        <f t="shared" si="53"/>
        <v>2.37</v>
      </c>
      <c r="AE157" s="135">
        <f t="shared" si="53"/>
        <v>2.37</v>
      </c>
      <c r="AF157" s="135">
        <f t="shared" si="53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51"/>
        <v>1.81</v>
      </c>
      <c r="C158" s="136">
        <v>1.81</v>
      </c>
      <c r="D158" s="135">
        <f t="shared" si="52"/>
        <v>1.81</v>
      </c>
      <c r="E158" s="135">
        <f t="shared" si="52"/>
        <v>1.81</v>
      </c>
      <c r="F158" s="135">
        <f t="shared" si="52"/>
        <v>1.81</v>
      </c>
      <c r="G158" s="135">
        <f t="shared" si="52"/>
        <v>1.81</v>
      </c>
      <c r="H158" s="135">
        <f t="shared" si="52"/>
        <v>1.81</v>
      </c>
      <c r="I158" s="135">
        <f t="shared" si="52"/>
        <v>1.81</v>
      </c>
      <c r="J158" s="135">
        <f t="shared" si="52"/>
        <v>1.81</v>
      </c>
      <c r="K158" s="135">
        <f t="shared" si="52"/>
        <v>1.81</v>
      </c>
      <c r="L158" s="135">
        <f t="shared" si="52"/>
        <v>1.81</v>
      </c>
      <c r="M158" s="135">
        <f t="shared" si="52"/>
        <v>1.81</v>
      </c>
      <c r="N158" s="135">
        <f t="shared" si="52"/>
        <v>1.81</v>
      </c>
      <c r="O158" s="135">
        <f t="shared" si="52"/>
        <v>1.81</v>
      </c>
      <c r="P158" s="135">
        <f t="shared" si="52"/>
        <v>1.81</v>
      </c>
      <c r="Q158" s="135">
        <f t="shared" si="52"/>
        <v>1.81</v>
      </c>
      <c r="R158" s="135">
        <f t="shared" si="52"/>
        <v>1.81</v>
      </c>
      <c r="S158" s="135">
        <f t="shared" si="52"/>
        <v>1.81</v>
      </c>
      <c r="T158" s="135">
        <f t="shared" si="53"/>
        <v>1.81</v>
      </c>
      <c r="U158" s="135">
        <f t="shared" si="53"/>
        <v>1.81</v>
      </c>
      <c r="V158" s="135">
        <f t="shared" si="53"/>
        <v>1.81</v>
      </c>
      <c r="W158" s="135">
        <f t="shared" si="53"/>
        <v>1.81</v>
      </c>
      <c r="X158" s="135">
        <f t="shared" si="53"/>
        <v>1.81</v>
      </c>
      <c r="Y158" s="135">
        <f t="shared" si="53"/>
        <v>1.81</v>
      </c>
      <c r="Z158" s="135">
        <f t="shared" si="53"/>
        <v>1.81</v>
      </c>
      <c r="AA158" s="135">
        <f t="shared" si="53"/>
        <v>1.81</v>
      </c>
      <c r="AB158" s="135">
        <f t="shared" si="53"/>
        <v>1.81</v>
      </c>
      <c r="AC158" s="135">
        <f t="shared" si="53"/>
        <v>1.81</v>
      </c>
      <c r="AD158" s="135">
        <f t="shared" si="53"/>
        <v>1.81</v>
      </c>
      <c r="AE158" s="135">
        <f t="shared" si="53"/>
        <v>1.81</v>
      </c>
      <c r="AF158" s="135">
        <f t="shared" si="53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51"/>
        <v>1.0900000000000001</v>
      </c>
      <c r="C159" s="136">
        <v>1.0900000000000001</v>
      </c>
      <c r="D159" s="135">
        <f t="shared" si="52"/>
        <v>1.0900000000000001</v>
      </c>
      <c r="E159" s="135">
        <f t="shared" si="52"/>
        <v>1.0900000000000001</v>
      </c>
      <c r="F159" s="135">
        <f t="shared" si="52"/>
        <v>1.0900000000000001</v>
      </c>
      <c r="G159" s="135">
        <f t="shared" si="52"/>
        <v>1.0900000000000001</v>
      </c>
      <c r="H159" s="135">
        <f t="shared" si="52"/>
        <v>1.0900000000000001</v>
      </c>
      <c r="I159" s="135">
        <f t="shared" si="52"/>
        <v>1.0900000000000001</v>
      </c>
      <c r="J159" s="135">
        <f t="shared" si="52"/>
        <v>1.0900000000000001</v>
      </c>
      <c r="K159" s="135">
        <f t="shared" si="52"/>
        <v>1.0900000000000001</v>
      </c>
      <c r="L159" s="135">
        <f t="shared" si="52"/>
        <v>1.0900000000000001</v>
      </c>
      <c r="M159" s="135">
        <f t="shared" si="52"/>
        <v>1.0900000000000001</v>
      </c>
      <c r="N159" s="135">
        <f t="shared" si="52"/>
        <v>1.0900000000000001</v>
      </c>
      <c r="O159" s="135">
        <f t="shared" si="52"/>
        <v>1.0900000000000001</v>
      </c>
      <c r="P159" s="135">
        <f t="shared" si="52"/>
        <v>1.0900000000000001</v>
      </c>
      <c r="Q159" s="135">
        <f t="shared" si="52"/>
        <v>1.0900000000000001</v>
      </c>
      <c r="R159" s="135">
        <f t="shared" si="52"/>
        <v>1.0900000000000001</v>
      </c>
      <c r="S159" s="135">
        <f t="shared" si="52"/>
        <v>1.0900000000000001</v>
      </c>
      <c r="T159" s="135">
        <f t="shared" si="53"/>
        <v>1.0900000000000001</v>
      </c>
      <c r="U159" s="135">
        <f t="shared" si="53"/>
        <v>1.0900000000000001</v>
      </c>
      <c r="V159" s="135">
        <f t="shared" si="53"/>
        <v>1.0900000000000001</v>
      </c>
      <c r="W159" s="135">
        <f t="shared" si="53"/>
        <v>1.0900000000000001</v>
      </c>
      <c r="X159" s="135">
        <f t="shared" si="53"/>
        <v>1.0900000000000001</v>
      </c>
      <c r="Y159" s="135">
        <f t="shared" si="53"/>
        <v>1.0900000000000001</v>
      </c>
      <c r="Z159" s="135">
        <f t="shared" si="53"/>
        <v>1.0900000000000001</v>
      </c>
      <c r="AA159" s="135">
        <f t="shared" si="53"/>
        <v>1.0900000000000001</v>
      </c>
      <c r="AB159" s="135">
        <f t="shared" si="53"/>
        <v>1.0900000000000001</v>
      </c>
      <c r="AC159" s="135">
        <f t="shared" si="53"/>
        <v>1.0900000000000001</v>
      </c>
      <c r="AD159" s="135">
        <f t="shared" si="53"/>
        <v>1.0900000000000001</v>
      </c>
      <c r="AE159" s="135">
        <f t="shared" si="53"/>
        <v>1.0900000000000001</v>
      </c>
      <c r="AF159" s="135">
        <f t="shared" si="53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51"/>
        <v>1.58</v>
      </c>
      <c r="C160" s="136">
        <v>1.58</v>
      </c>
      <c r="D160" s="135">
        <f t="shared" si="52"/>
        <v>1.58</v>
      </c>
      <c r="E160" s="135">
        <f t="shared" si="52"/>
        <v>1.58</v>
      </c>
      <c r="F160" s="135">
        <f t="shared" si="52"/>
        <v>1.58</v>
      </c>
      <c r="G160" s="135">
        <f t="shared" si="52"/>
        <v>1.58</v>
      </c>
      <c r="H160" s="135">
        <f t="shared" si="52"/>
        <v>1.58</v>
      </c>
      <c r="I160" s="135">
        <f t="shared" si="52"/>
        <v>1.58</v>
      </c>
      <c r="J160" s="135">
        <f t="shared" si="52"/>
        <v>1.58</v>
      </c>
      <c r="K160" s="135">
        <f t="shared" si="52"/>
        <v>1.58</v>
      </c>
      <c r="L160" s="135">
        <f t="shared" si="52"/>
        <v>1.58</v>
      </c>
      <c r="M160" s="135">
        <f t="shared" si="52"/>
        <v>1.58</v>
      </c>
      <c r="N160" s="135">
        <f t="shared" si="52"/>
        <v>1.58</v>
      </c>
      <c r="O160" s="135">
        <f t="shared" si="52"/>
        <v>1.58</v>
      </c>
      <c r="P160" s="135">
        <f t="shared" si="52"/>
        <v>1.58</v>
      </c>
      <c r="Q160" s="135">
        <f t="shared" si="52"/>
        <v>1.58</v>
      </c>
      <c r="R160" s="135">
        <f t="shared" si="52"/>
        <v>1.58</v>
      </c>
      <c r="S160" s="135">
        <f t="shared" si="52"/>
        <v>1.58</v>
      </c>
      <c r="T160" s="135">
        <f t="shared" si="53"/>
        <v>1.58</v>
      </c>
      <c r="U160" s="135">
        <f t="shared" si="53"/>
        <v>1.58</v>
      </c>
      <c r="V160" s="135">
        <f t="shared" si="53"/>
        <v>1.58</v>
      </c>
      <c r="W160" s="135">
        <f t="shared" si="53"/>
        <v>1.58</v>
      </c>
      <c r="X160" s="135">
        <f t="shared" si="53"/>
        <v>1.58</v>
      </c>
      <c r="Y160" s="135">
        <f t="shared" si="53"/>
        <v>1.58</v>
      </c>
      <c r="Z160" s="135">
        <f t="shared" si="53"/>
        <v>1.58</v>
      </c>
      <c r="AA160" s="135">
        <f t="shared" si="53"/>
        <v>1.58</v>
      </c>
      <c r="AB160" s="135">
        <f t="shared" si="53"/>
        <v>1.58</v>
      </c>
      <c r="AC160" s="135">
        <f t="shared" si="53"/>
        <v>1.58</v>
      </c>
      <c r="AD160" s="135">
        <f t="shared" si="53"/>
        <v>1.58</v>
      </c>
      <c r="AE160" s="135">
        <f t="shared" si="53"/>
        <v>1.58</v>
      </c>
      <c r="AF160" s="135">
        <f t="shared" si="53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51"/>
        <v>2</v>
      </c>
      <c r="C161" s="136">
        <v>2</v>
      </c>
      <c r="D161" s="135">
        <f t="shared" si="52"/>
        <v>2</v>
      </c>
      <c r="E161" s="135">
        <f t="shared" si="52"/>
        <v>2</v>
      </c>
      <c r="F161" s="135">
        <f t="shared" si="52"/>
        <v>2</v>
      </c>
      <c r="G161" s="135">
        <f t="shared" si="52"/>
        <v>2</v>
      </c>
      <c r="H161" s="135">
        <f t="shared" si="52"/>
        <v>2</v>
      </c>
      <c r="I161" s="135">
        <f t="shared" si="52"/>
        <v>2</v>
      </c>
      <c r="J161" s="135">
        <f t="shared" si="52"/>
        <v>2</v>
      </c>
      <c r="K161" s="135">
        <f t="shared" si="52"/>
        <v>2</v>
      </c>
      <c r="L161" s="135">
        <f t="shared" si="52"/>
        <v>2</v>
      </c>
      <c r="M161" s="135">
        <f t="shared" si="52"/>
        <v>2</v>
      </c>
      <c r="N161" s="135">
        <f t="shared" si="52"/>
        <v>2</v>
      </c>
      <c r="O161" s="135">
        <f t="shared" si="52"/>
        <v>2</v>
      </c>
      <c r="P161" s="135">
        <f t="shared" si="52"/>
        <v>2</v>
      </c>
      <c r="Q161" s="135">
        <f t="shared" si="52"/>
        <v>2</v>
      </c>
      <c r="R161" s="135">
        <f t="shared" si="52"/>
        <v>2</v>
      </c>
      <c r="S161" s="135">
        <f t="shared" si="52"/>
        <v>2</v>
      </c>
      <c r="T161" s="135">
        <f t="shared" si="53"/>
        <v>2</v>
      </c>
      <c r="U161" s="135">
        <f t="shared" si="53"/>
        <v>2</v>
      </c>
      <c r="V161" s="135">
        <f t="shared" si="53"/>
        <v>2</v>
      </c>
      <c r="W161" s="135">
        <f t="shared" si="53"/>
        <v>2</v>
      </c>
      <c r="X161" s="135">
        <f t="shared" si="53"/>
        <v>2</v>
      </c>
      <c r="Y161" s="135">
        <f t="shared" si="53"/>
        <v>2</v>
      </c>
      <c r="Z161" s="135">
        <f t="shared" si="53"/>
        <v>2</v>
      </c>
      <c r="AA161" s="135">
        <f t="shared" si="53"/>
        <v>2</v>
      </c>
      <c r="AB161" s="135">
        <f t="shared" si="53"/>
        <v>2</v>
      </c>
      <c r="AC161" s="135">
        <f t="shared" si="53"/>
        <v>2</v>
      </c>
      <c r="AD161" s="135">
        <f t="shared" si="53"/>
        <v>2</v>
      </c>
      <c r="AE161" s="135">
        <f t="shared" si="53"/>
        <v>2</v>
      </c>
      <c r="AF161" s="135">
        <f t="shared" si="53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51"/>
        <v>0.47</v>
      </c>
      <c r="C162" s="136">
        <v>0.47</v>
      </c>
      <c r="D162" s="135">
        <f t="shared" si="52"/>
        <v>0.47</v>
      </c>
      <c r="E162" s="135">
        <f t="shared" si="52"/>
        <v>0.47</v>
      </c>
      <c r="F162" s="135">
        <f t="shared" si="52"/>
        <v>0.47</v>
      </c>
      <c r="G162" s="135">
        <f t="shared" si="52"/>
        <v>0.47</v>
      </c>
      <c r="H162" s="135">
        <f t="shared" si="52"/>
        <v>0.47</v>
      </c>
      <c r="I162" s="135">
        <f t="shared" si="52"/>
        <v>0.47</v>
      </c>
      <c r="J162" s="135">
        <f t="shared" si="52"/>
        <v>0.47</v>
      </c>
      <c r="K162" s="135">
        <f t="shared" si="52"/>
        <v>0.47</v>
      </c>
      <c r="L162" s="135">
        <f t="shared" si="52"/>
        <v>0.47</v>
      </c>
      <c r="M162" s="135">
        <f t="shared" si="52"/>
        <v>0.47</v>
      </c>
      <c r="N162" s="135">
        <f t="shared" si="52"/>
        <v>0.47</v>
      </c>
      <c r="O162" s="135">
        <f t="shared" si="52"/>
        <v>0.47</v>
      </c>
      <c r="P162" s="135">
        <f t="shared" si="52"/>
        <v>0.47</v>
      </c>
      <c r="Q162" s="135">
        <f t="shared" si="52"/>
        <v>0.47</v>
      </c>
      <c r="R162" s="135">
        <f t="shared" si="52"/>
        <v>0.47</v>
      </c>
      <c r="S162" s="135">
        <f t="shared" si="52"/>
        <v>0.47</v>
      </c>
      <c r="T162" s="135">
        <f t="shared" si="53"/>
        <v>0.47</v>
      </c>
      <c r="U162" s="135">
        <f t="shared" si="53"/>
        <v>0.47</v>
      </c>
      <c r="V162" s="135">
        <f t="shared" si="53"/>
        <v>0.47</v>
      </c>
      <c r="W162" s="135">
        <f t="shared" si="53"/>
        <v>0.47</v>
      </c>
      <c r="X162" s="135">
        <f t="shared" si="53"/>
        <v>0.47</v>
      </c>
      <c r="Y162" s="135">
        <f t="shared" si="53"/>
        <v>0.47</v>
      </c>
      <c r="Z162" s="135">
        <f t="shared" si="53"/>
        <v>0.47</v>
      </c>
      <c r="AA162" s="135">
        <f t="shared" si="53"/>
        <v>0.47</v>
      </c>
      <c r="AB162" s="135">
        <f t="shared" si="53"/>
        <v>0.47</v>
      </c>
      <c r="AC162" s="135">
        <f t="shared" si="53"/>
        <v>0.47</v>
      </c>
      <c r="AD162" s="135">
        <f t="shared" si="53"/>
        <v>0.47</v>
      </c>
      <c r="AE162" s="135">
        <f t="shared" si="53"/>
        <v>0.47</v>
      </c>
      <c r="AF162" s="135">
        <f t="shared" si="53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51"/>
        <v>0</v>
      </c>
      <c r="C163" s="136">
        <v>0</v>
      </c>
      <c r="D163" s="135">
        <f t="shared" si="52"/>
        <v>0</v>
      </c>
      <c r="E163" s="135">
        <f t="shared" si="52"/>
        <v>0</v>
      </c>
      <c r="F163" s="135">
        <f t="shared" si="52"/>
        <v>0</v>
      </c>
      <c r="G163" s="135">
        <f t="shared" si="52"/>
        <v>0</v>
      </c>
      <c r="H163" s="135">
        <f t="shared" si="52"/>
        <v>0</v>
      </c>
      <c r="I163" s="135">
        <f t="shared" si="52"/>
        <v>0</v>
      </c>
      <c r="J163" s="135">
        <f t="shared" si="52"/>
        <v>0</v>
      </c>
      <c r="K163" s="135">
        <f t="shared" si="52"/>
        <v>0</v>
      </c>
      <c r="L163" s="135">
        <f t="shared" si="52"/>
        <v>0</v>
      </c>
      <c r="M163" s="135">
        <f t="shared" si="52"/>
        <v>0</v>
      </c>
      <c r="N163" s="135">
        <f t="shared" si="52"/>
        <v>0</v>
      </c>
      <c r="O163" s="135">
        <f t="shared" si="52"/>
        <v>0</v>
      </c>
      <c r="P163" s="135">
        <f t="shared" si="52"/>
        <v>0</v>
      </c>
      <c r="Q163" s="135">
        <f t="shared" si="52"/>
        <v>0</v>
      </c>
      <c r="R163" s="135">
        <f t="shared" si="52"/>
        <v>0</v>
      </c>
      <c r="S163" s="135">
        <f t="shared" si="52"/>
        <v>0</v>
      </c>
      <c r="T163" s="135">
        <f t="shared" si="53"/>
        <v>0</v>
      </c>
      <c r="U163" s="135">
        <f t="shared" si="53"/>
        <v>0</v>
      </c>
      <c r="V163" s="135">
        <f t="shared" si="53"/>
        <v>0</v>
      </c>
      <c r="W163" s="135">
        <f t="shared" si="53"/>
        <v>0</v>
      </c>
      <c r="X163" s="135">
        <f t="shared" si="53"/>
        <v>0</v>
      </c>
      <c r="Y163" s="135">
        <f t="shared" si="53"/>
        <v>0</v>
      </c>
      <c r="Z163" s="135">
        <f t="shared" si="53"/>
        <v>0</v>
      </c>
      <c r="AA163" s="135">
        <f t="shared" si="53"/>
        <v>0</v>
      </c>
      <c r="AB163" s="135">
        <f t="shared" si="53"/>
        <v>0</v>
      </c>
      <c r="AC163" s="135">
        <f t="shared" si="53"/>
        <v>0</v>
      </c>
      <c r="AD163" s="135">
        <f t="shared" si="53"/>
        <v>0</v>
      </c>
      <c r="AE163" s="135">
        <f t="shared" si="53"/>
        <v>0</v>
      </c>
      <c r="AF163" s="135">
        <f t="shared" si="53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51"/>
        <v>0</v>
      </c>
      <c r="C164" s="136">
        <v>0</v>
      </c>
      <c r="D164" s="135">
        <f t="shared" si="52"/>
        <v>0</v>
      </c>
      <c r="E164" s="135">
        <f t="shared" si="52"/>
        <v>0</v>
      </c>
      <c r="F164" s="135">
        <f t="shared" si="52"/>
        <v>0</v>
      </c>
      <c r="G164" s="135">
        <f t="shared" si="52"/>
        <v>0</v>
      </c>
      <c r="H164" s="135">
        <f t="shared" si="52"/>
        <v>0</v>
      </c>
      <c r="I164" s="135">
        <f t="shared" si="52"/>
        <v>0</v>
      </c>
      <c r="J164" s="135">
        <f t="shared" si="52"/>
        <v>0</v>
      </c>
      <c r="K164" s="135">
        <f t="shared" si="52"/>
        <v>0</v>
      </c>
      <c r="L164" s="135">
        <f t="shared" si="52"/>
        <v>0</v>
      </c>
      <c r="M164" s="135">
        <f t="shared" si="52"/>
        <v>0</v>
      </c>
      <c r="N164" s="135">
        <f t="shared" si="52"/>
        <v>0</v>
      </c>
      <c r="O164" s="135">
        <f t="shared" si="52"/>
        <v>0</v>
      </c>
      <c r="P164" s="135">
        <f t="shared" si="52"/>
        <v>0</v>
      </c>
      <c r="Q164" s="135">
        <f t="shared" si="52"/>
        <v>0</v>
      </c>
      <c r="R164" s="135">
        <f t="shared" si="52"/>
        <v>0</v>
      </c>
      <c r="S164" s="135">
        <f t="shared" si="53"/>
        <v>0</v>
      </c>
      <c r="T164" s="135">
        <f t="shared" si="53"/>
        <v>0</v>
      </c>
      <c r="U164" s="135">
        <f t="shared" si="53"/>
        <v>0</v>
      </c>
      <c r="V164" s="135">
        <f t="shared" si="53"/>
        <v>0</v>
      </c>
      <c r="W164" s="135">
        <f t="shared" si="53"/>
        <v>0</v>
      </c>
      <c r="X164" s="135">
        <f t="shared" si="53"/>
        <v>0</v>
      </c>
      <c r="Y164" s="135">
        <f t="shared" si="53"/>
        <v>0</v>
      </c>
      <c r="Z164" s="135">
        <f t="shared" si="53"/>
        <v>0</v>
      </c>
      <c r="AA164" s="135">
        <f t="shared" si="53"/>
        <v>0</v>
      </c>
      <c r="AB164" s="135">
        <f t="shared" si="53"/>
        <v>0</v>
      </c>
      <c r="AC164" s="135">
        <f t="shared" si="53"/>
        <v>0</v>
      </c>
      <c r="AD164" s="135">
        <f t="shared" si="53"/>
        <v>0</v>
      </c>
      <c r="AE164" s="135">
        <f t="shared" si="53"/>
        <v>0</v>
      </c>
      <c r="AF164" s="135">
        <f t="shared" si="53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51"/>
        <v>0.8</v>
      </c>
      <c r="C165" s="136">
        <v>0.8</v>
      </c>
      <c r="D165" s="135">
        <f t="shared" si="52"/>
        <v>0.8</v>
      </c>
      <c r="E165" s="135">
        <f t="shared" si="52"/>
        <v>0.8</v>
      </c>
      <c r="F165" s="135">
        <f t="shared" si="52"/>
        <v>0.8</v>
      </c>
      <c r="G165" s="135">
        <f t="shared" si="52"/>
        <v>0.8</v>
      </c>
      <c r="H165" s="135">
        <f t="shared" si="52"/>
        <v>0.8</v>
      </c>
      <c r="I165" s="135">
        <f t="shared" si="52"/>
        <v>0.8</v>
      </c>
      <c r="J165" s="135">
        <f t="shared" si="52"/>
        <v>0.8</v>
      </c>
      <c r="K165" s="135">
        <f t="shared" si="52"/>
        <v>0.8</v>
      </c>
      <c r="L165" s="135">
        <f t="shared" si="52"/>
        <v>0.8</v>
      </c>
      <c r="M165" s="135">
        <f t="shared" si="52"/>
        <v>0.8</v>
      </c>
      <c r="N165" s="135">
        <f t="shared" si="52"/>
        <v>0.8</v>
      </c>
      <c r="O165" s="135">
        <f t="shared" si="52"/>
        <v>0.8</v>
      </c>
      <c r="P165" s="135">
        <f t="shared" si="52"/>
        <v>0.8</v>
      </c>
      <c r="Q165" s="135">
        <f t="shared" si="52"/>
        <v>0.8</v>
      </c>
      <c r="R165" s="135">
        <f t="shared" si="52"/>
        <v>0.8</v>
      </c>
      <c r="S165" s="135">
        <f t="shared" si="53"/>
        <v>0.8</v>
      </c>
      <c r="T165" s="135">
        <f t="shared" si="53"/>
        <v>0.8</v>
      </c>
      <c r="U165" s="135">
        <f t="shared" si="53"/>
        <v>0.8</v>
      </c>
      <c r="V165" s="135">
        <f t="shared" si="53"/>
        <v>0.8</v>
      </c>
      <c r="W165" s="135">
        <f t="shared" si="53"/>
        <v>0.8</v>
      </c>
      <c r="X165" s="135">
        <f t="shared" si="53"/>
        <v>0.8</v>
      </c>
      <c r="Y165" s="135">
        <f t="shared" si="53"/>
        <v>0.8</v>
      </c>
      <c r="Z165" s="135">
        <f t="shared" si="53"/>
        <v>0.8</v>
      </c>
      <c r="AA165" s="135">
        <f t="shared" si="53"/>
        <v>0.8</v>
      </c>
      <c r="AB165" s="135">
        <f t="shared" si="53"/>
        <v>0.8</v>
      </c>
      <c r="AC165" s="135">
        <f t="shared" si="53"/>
        <v>0.8</v>
      </c>
      <c r="AD165" s="135">
        <f t="shared" si="53"/>
        <v>0.8</v>
      </c>
      <c r="AE165" s="135">
        <f t="shared" si="53"/>
        <v>0.8</v>
      </c>
      <c r="AF165" s="135">
        <f t="shared" si="53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51"/>
        <v>1.5</v>
      </c>
      <c r="C166" s="136">
        <v>1.5</v>
      </c>
      <c r="D166" s="135">
        <f t="shared" si="52"/>
        <v>1.5</v>
      </c>
      <c r="E166" s="135">
        <f t="shared" si="52"/>
        <v>1.5</v>
      </c>
      <c r="F166" s="135">
        <f t="shared" si="52"/>
        <v>1.5</v>
      </c>
      <c r="G166" s="135">
        <f t="shared" si="52"/>
        <v>1.5</v>
      </c>
      <c r="H166" s="135">
        <f t="shared" si="52"/>
        <v>1.5</v>
      </c>
      <c r="I166" s="135">
        <f t="shared" si="52"/>
        <v>1.5</v>
      </c>
      <c r="J166" s="135">
        <f t="shared" si="52"/>
        <v>1.5</v>
      </c>
      <c r="K166" s="135">
        <f t="shared" si="52"/>
        <v>1.5</v>
      </c>
      <c r="L166" s="135">
        <f t="shared" si="52"/>
        <v>1.5</v>
      </c>
      <c r="M166" s="135">
        <f t="shared" si="52"/>
        <v>1.5</v>
      </c>
      <c r="N166" s="135">
        <f t="shared" si="52"/>
        <v>1.5</v>
      </c>
      <c r="O166" s="135">
        <f t="shared" si="52"/>
        <v>1.5</v>
      </c>
      <c r="P166" s="135">
        <f t="shared" si="52"/>
        <v>1.5</v>
      </c>
      <c r="Q166" s="135">
        <f t="shared" si="52"/>
        <v>1.5</v>
      </c>
      <c r="R166" s="135">
        <f t="shared" si="52"/>
        <v>1.5</v>
      </c>
      <c r="S166" s="135">
        <f t="shared" si="53"/>
        <v>1.5</v>
      </c>
      <c r="T166" s="135">
        <f t="shared" si="53"/>
        <v>1.5</v>
      </c>
      <c r="U166" s="135">
        <f t="shared" si="53"/>
        <v>1.5</v>
      </c>
      <c r="V166" s="135">
        <f t="shared" si="53"/>
        <v>1.5</v>
      </c>
      <c r="W166" s="135">
        <f t="shared" si="53"/>
        <v>1.5</v>
      </c>
      <c r="X166" s="135">
        <f t="shared" si="53"/>
        <v>1.5</v>
      </c>
      <c r="Y166" s="135">
        <f t="shared" si="53"/>
        <v>1.5</v>
      </c>
      <c r="Z166" s="135">
        <f t="shared" si="53"/>
        <v>1.5</v>
      </c>
      <c r="AA166" s="135">
        <f t="shared" si="53"/>
        <v>1.5</v>
      </c>
      <c r="AB166" s="135">
        <f t="shared" si="53"/>
        <v>1.5</v>
      </c>
      <c r="AC166" s="135">
        <f t="shared" si="53"/>
        <v>1.5</v>
      </c>
      <c r="AD166" s="135">
        <f t="shared" si="53"/>
        <v>1.5</v>
      </c>
      <c r="AE166" s="135">
        <f t="shared" si="53"/>
        <v>1.5</v>
      </c>
      <c r="AF166" s="135">
        <f t="shared" si="53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51"/>
        <v>1</v>
      </c>
      <c r="C167" s="136">
        <v>1</v>
      </c>
      <c r="D167" s="135">
        <f t="shared" si="52"/>
        <v>1</v>
      </c>
      <c r="E167" s="135">
        <f t="shared" si="52"/>
        <v>1</v>
      </c>
      <c r="F167" s="135">
        <f t="shared" si="52"/>
        <v>1</v>
      </c>
      <c r="G167" s="135">
        <f t="shared" si="52"/>
        <v>1</v>
      </c>
      <c r="H167" s="135">
        <f t="shared" si="52"/>
        <v>1</v>
      </c>
      <c r="I167" s="135">
        <f t="shared" si="52"/>
        <v>1</v>
      </c>
      <c r="J167" s="135">
        <f t="shared" si="52"/>
        <v>1</v>
      </c>
      <c r="K167" s="135">
        <f t="shared" si="52"/>
        <v>1</v>
      </c>
      <c r="L167" s="135">
        <f t="shared" si="52"/>
        <v>1</v>
      </c>
      <c r="M167" s="135">
        <f t="shared" si="52"/>
        <v>1</v>
      </c>
      <c r="N167" s="135">
        <f t="shared" si="52"/>
        <v>1</v>
      </c>
      <c r="O167" s="135">
        <f t="shared" si="52"/>
        <v>1</v>
      </c>
      <c r="P167" s="135">
        <f t="shared" si="52"/>
        <v>1</v>
      </c>
      <c r="Q167" s="135">
        <f t="shared" si="52"/>
        <v>1</v>
      </c>
      <c r="R167" s="135">
        <f t="shared" si="52"/>
        <v>1</v>
      </c>
      <c r="S167" s="135">
        <f t="shared" si="53"/>
        <v>1</v>
      </c>
      <c r="T167" s="135">
        <f t="shared" si="53"/>
        <v>1</v>
      </c>
      <c r="U167" s="135">
        <f t="shared" si="53"/>
        <v>1</v>
      </c>
      <c r="V167" s="135">
        <f t="shared" si="53"/>
        <v>1</v>
      </c>
      <c r="W167" s="135">
        <f t="shared" si="53"/>
        <v>1</v>
      </c>
      <c r="X167" s="135">
        <f t="shared" si="53"/>
        <v>1</v>
      </c>
      <c r="Y167" s="135">
        <f t="shared" si="53"/>
        <v>1</v>
      </c>
      <c r="Z167" s="135">
        <f t="shared" si="53"/>
        <v>1</v>
      </c>
      <c r="AA167" s="135">
        <f t="shared" si="53"/>
        <v>1</v>
      </c>
      <c r="AB167" s="135">
        <f t="shared" si="53"/>
        <v>1</v>
      </c>
      <c r="AC167" s="135">
        <f t="shared" si="53"/>
        <v>1</v>
      </c>
      <c r="AD167" s="135">
        <f t="shared" si="53"/>
        <v>1</v>
      </c>
      <c r="AE167" s="135">
        <f t="shared" si="53"/>
        <v>1</v>
      </c>
      <c r="AF167" s="135">
        <f t="shared" si="53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54">AF169</f>
        <v>1</v>
      </c>
      <c r="C169" s="136">
        <v>1</v>
      </c>
      <c r="D169" s="135">
        <f t="shared" ref="D169:S176" si="55">C169</f>
        <v>1</v>
      </c>
      <c r="E169" s="135">
        <f t="shared" si="55"/>
        <v>1</v>
      </c>
      <c r="F169" s="135">
        <f t="shared" si="55"/>
        <v>1</v>
      </c>
      <c r="G169" s="135">
        <f t="shared" si="55"/>
        <v>1</v>
      </c>
      <c r="H169" s="135">
        <f t="shared" si="55"/>
        <v>1</v>
      </c>
      <c r="I169" s="135">
        <f t="shared" si="55"/>
        <v>1</v>
      </c>
      <c r="J169" s="135">
        <f t="shared" si="55"/>
        <v>1</v>
      </c>
      <c r="K169" s="135">
        <f t="shared" si="55"/>
        <v>1</v>
      </c>
      <c r="L169" s="135">
        <f t="shared" si="55"/>
        <v>1</v>
      </c>
      <c r="M169" s="135">
        <f t="shared" si="55"/>
        <v>1</v>
      </c>
      <c r="N169" s="135">
        <f t="shared" si="55"/>
        <v>1</v>
      </c>
      <c r="O169" s="135">
        <f t="shared" si="55"/>
        <v>1</v>
      </c>
      <c r="P169" s="135">
        <f t="shared" si="55"/>
        <v>1</v>
      </c>
      <c r="Q169" s="135">
        <f t="shared" si="55"/>
        <v>1</v>
      </c>
      <c r="R169" s="135">
        <f t="shared" si="55"/>
        <v>1</v>
      </c>
      <c r="S169" s="135">
        <f t="shared" si="55"/>
        <v>1</v>
      </c>
      <c r="T169" s="135">
        <f t="shared" ref="S169:AF176" si="56">S169</f>
        <v>1</v>
      </c>
      <c r="U169" s="135">
        <f t="shared" si="56"/>
        <v>1</v>
      </c>
      <c r="V169" s="135">
        <f t="shared" si="56"/>
        <v>1</v>
      </c>
      <c r="W169" s="135">
        <f t="shared" si="56"/>
        <v>1</v>
      </c>
      <c r="X169" s="135">
        <f t="shared" si="56"/>
        <v>1</v>
      </c>
      <c r="Y169" s="135">
        <f t="shared" si="56"/>
        <v>1</v>
      </c>
      <c r="Z169" s="135">
        <f t="shared" si="56"/>
        <v>1</v>
      </c>
      <c r="AA169" s="135">
        <f t="shared" si="56"/>
        <v>1</v>
      </c>
      <c r="AB169" s="135">
        <f t="shared" si="56"/>
        <v>1</v>
      </c>
      <c r="AC169" s="135">
        <f t="shared" si="56"/>
        <v>1</v>
      </c>
      <c r="AD169" s="135">
        <f t="shared" si="56"/>
        <v>1</v>
      </c>
      <c r="AE169" s="135">
        <f t="shared" si="56"/>
        <v>1</v>
      </c>
      <c r="AF169" s="135">
        <f t="shared" si="56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54"/>
        <v>0.42</v>
      </c>
      <c r="C170" s="136">
        <v>0.42</v>
      </c>
      <c r="D170" s="135">
        <f t="shared" si="55"/>
        <v>0.42</v>
      </c>
      <c r="E170" s="135">
        <f t="shared" si="55"/>
        <v>0.42</v>
      </c>
      <c r="F170" s="135">
        <f t="shared" si="55"/>
        <v>0.42</v>
      </c>
      <c r="G170" s="135">
        <f t="shared" si="55"/>
        <v>0.42</v>
      </c>
      <c r="H170" s="135">
        <f t="shared" si="55"/>
        <v>0.42</v>
      </c>
      <c r="I170" s="135">
        <f t="shared" si="55"/>
        <v>0.42</v>
      </c>
      <c r="J170" s="135">
        <f t="shared" si="55"/>
        <v>0.42</v>
      </c>
      <c r="K170" s="135">
        <f t="shared" si="55"/>
        <v>0.42</v>
      </c>
      <c r="L170" s="135">
        <f t="shared" si="55"/>
        <v>0.42</v>
      </c>
      <c r="M170" s="135">
        <f t="shared" si="55"/>
        <v>0.42</v>
      </c>
      <c r="N170" s="135">
        <f t="shared" si="55"/>
        <v>0.42</v>
      </c>
      <c r="O170" s="135">
        <f t="shared" si="55"/>
        <v>0.42</v>
      </c>
      <c r="P170" s="135">
        <f t="shared" si="55"/>
        <v>0.42</v>
      </c>
      <c r="Q170" s="135">
        <f t="shared" si="55"/>
        <v>0.42</v>
      </c>
      <c r="R170" s="135">
        <f t="shared" si="55"/>
        <v>0.42</v>
      </c>
      <c r="S170" s="135">
        <f t="shared" si="56"/>
        <v>0.42</v>
      </c>
      <c r="T170" s="135">
        <f t="shared" si="56"/>
        <v>0.42</v>
      </c>
      <c r="U170" s="135">
        <f t="shared" si="56"/>
        <v>0.42</v>
      </c>
      <c r="V170" s="135">
        <f t="shared" si="56"/>
        <v>0.42</v>
      </c>
      <c r="W170" s="135">
        <f t="shared" si="56"/>
        <v>0.42</v>
      </c>
      <c r="X170" s="135">
        <f t="shared" si="56"/>
        <v>0.42</v>
      </c>
      <c r="Y170" s="135">
        <f t="shared" si="56"/>
        <v>0.42</v>
      </c>
      <c r="Z170" s="135">
        <f t="shared" si="56"/>
        <v>0.42</v>
      </c>
      <c r="AA170" s="135">
        <f t="shared" si="56"/>
        <v>0.42</v>
      </c>
      <c r="AB170" s="135">
        <f t="shared" si="56"/>
        <v>0.42</v>
      </c>
      <c r="AC170" s="135">
        <f t="shared" si="56"/>
        <v>0.42</v>
      </c>
      <c r="AD170" s="135">
        <f t="shared" si="56"/>
        <v>0.42</v>
      </c>
      <c r="AE170" s="135">
        <f t="shared" si="56"/>
        <v>0.42</v>
      </c>
      <c r="AF170" s="135">
        <f t="shared" si="56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54"/>
        <v>0.46</v>
      </c>
      <c r="C171" s="136">
        <v>0.46</v>
      </c>
      <c r="D171" s="135">
        <f t="shared" si="55"/>
        <v>0.46</v>
      </c>
      <c r="E171" s="135">
        <f t="shared" si="55"/>
        <v>0.46</v>
      </c>
      <c r="F171" s="135">
        <f t="shared" si="55"/>
        <v>0.46</v>
      </c>
      <c r="G171" s="135">
        <f t="shared" si="55"/>
        <v>0.46</v>
      </c>
      <c r="H171" s="135">
        <f t="shared" si="55"/>
        <v>0.46</v>
      </c>
      <c r="I171" s="135">
        <f t="shared" si="55"/>
        <v>0.46</v>
      </c>
      <c r="J171" s="135">
        <f t="shared" si="55"/>
        <v>0.46</v>
      </c>
      <c r="K171" s="135">
        <f t="shared" si="55"/>
        <v>0.46</v>
      </c>
      <c r="L171" s="135">
        <f t="shared" si="55"/>
        <v>0.46</v>
      </c>
      <c r="M171" s="135">
        <f t="shared" si="55"/>
        <v>0.46</v>
      </c>
      <c r="N171" s="135">
        <f t="shared" si="55"/>
        <v>0.46</v>
      </c>
      <c r="O171" s="135">
        <f t="shared" si="55"/>
        <v>0.46</v>
      </c>
      <c r="P171" s="135">
        <f t="shared" si="55"/>
        <v>0.46</v>
      </c>
      <c r="Q171" s="135">
        <f t="shared" si="55"/>
        <v>0.46</v>
      </c>
      <c r="R171" s="135">
        <f t="shared" si="55"/>
        <v>0.46</v>
      </c>
      <c r="S171" s="135">
        <f t="shared" si="56"/>
        <v>0.46</v>
      </c>
      <c r="T171" s="135">
        <f t="shared" si="56"/>
        <v>0.46</v>
      </c>
      <c r="U171" s="135">
        <f t="shared" si="56"/>
        <v>0.46</v>
      </c>
      <c r="V171" s="135">
        <f t="shared" si="56"/>
        <v>0.46</v>
      </c>
      <c r="W171" s="135">
        <f t="shared" si="56"/>
        <v>0.46</v>
      </c>
      <c r="X171" s="135">
        <f t="shared" si="56"/>
        <v>0.46</v>
      </c>
      <c r="Y171" s="135">
        <f t="shared" si="56"/>
        <v>0.46</v>
      </c>
      <c r="Z171" s="135">
        <f t="shared" si="56"/>
        <v>0.46</v>
      </c>
      <c r="AA171" s="135">
        <f t="shared" si="56"/>
        <v>0.46</v>
      </c>
      <c r="AB171" s="135">
        <f t="shared" si="56"/>
        <v>0.46</v>
      </c>
      <c r="AC171" s="135">
        <f t="shared" si="56"/>
        <v>0.46</v>
      </c>
      <c r="AD171" s="135">
        <f t="shared" si="56"/>
        <v>0.46</v>
      </c>
      <c r="AE171" s="135">
        <f t="shared" si="56"/>
        <v>0.46</v>
      </c>
      <c r="AF171" s="135">
        <f t="shared" si="56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54"/>
        <v>0.85</v>
      </c>
      <c r="C172" s="136">
        <v>0.85</v>
      </c>
      <c r="D172" s="135">
        <f t="shared" si="55"/>
        <v>0.85</v>
      </c>
      <c r="E172" s="135">
        <f t="shared" si="55"/>
        <v>0.85</v>
      </c>
      <c r="F172" s="135">
        <f t="shared" si="55"/>
        <v>0.85</v>
      </c>
      <c r="G172" s="135">
        <f t="shared" si="55"/>
        <v>0.85</v>
      </c>
      <c r="H172" s="135">
        <f t="shared" si="55"/>
        <v>0.85</v>
      </c>
      <c r="I172" s="135">
        <f t="shared" si="55"/>
        <v>0.85</v>
      </c>
      <c r="J172" s="135">
        <f t="shared" si="55"/>
        <v>0.85</v>
      </c>
      <c r="K172" s="135">
        <f t="shared" si="55"/>
        <v>0.85</v>
      </c>
      <c r="L172" s="135">
        <f t="shared" si="55"/>
        <v>0.85</v>
      </c>
      <c r="M172" s="135">
        <f t="shared" si="55"/>
        <v>0.85</v>
      </c>
      <c r="N172" s="135">
        <f t="shared" si="55"/>
        <v>0.85</v>
      </c>
      <c r="O172" s="135">
        <f t="shared" si="55"/>
        <v>0.85</v>
      </c>
      <c r="P172" s="135">
        <f t="shared" si="55"/>
        <v>0.85</v>
      </c>
      <c r="Q172" s="135">
        <f t="shared" si="55"/>
        <v>0.85</v>
      </c>
      <c r="R172" s="135">
        <f t="shared" si="55"/>
        <v>0.85</v>
      </c>
      <c r="S172" s="135">
        <f t="shared" si="56"/>
        <v>0.85</v>
      </c>
      <c r="T172" s="135">
        <f t="shared" si="56"/>
        <v>0.85</v>
      </c>
      <c r="U172" s="135">
        <f t="shared" si="56"/>
        <v>0.85</v>
      </c>
      <c r="V172" s="135">
        <f t="shared" si="56"/>
        <v>0.85</v>
      </c>
      <c r="W172" s="135">
        <f t="shared" si="56"/>
        <v>0.85</v>
      </c>
      <c r="X172" s="135">
        <f t="shared" si="56"/>
        <v>0.85</v>
      </c>
      <c r="Y172" s="135">
        <f t="shared" si="56"/>
        <v>0.85</v>
      </c>
      <c r="Z172" s="135">
        <f t="shared" si="56"/>
        <v>0.85</v>
      </c>
      <c r="AA172" s="135">
        <f t="shared" si="56"/>
        <v>0.85</v>
      </c>
      <c r="AB172" s="135">
        <f t="shared" si="56"/>
        <v>0.85</v>
      </c>
      <c r="AC172" s="135">
        <f t="shared" si="56"/>
        <v>0.85</v>
      </c>
      <c r="AD172" s="135">
        <f t="shared" si="56"/>
        <v>0.85</v>
      </c>
      <c r="AE172" s="135">
        <f t="shared" si="56"/>
        <v>0.85</v>
      </c>
      <c r="AF172" s="135">
        <f t="shared" si="56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54"/>
        <v>0.9</v>
      </c>
      <c r="C173" s="136">
        <v>0.9</v>
      </c>
      <c r="D173" s="135">
        <f t="shared" si="55"/>
        <v>0.9</v>
      </c>
      <c r="E173" s="135">
        <f t="shared" si="55"/>
        <v>0.9</v>
      </c>
      <c r="F173" s="135">
        <f t="shared" si="55"/>
        <v>0.9</v>
      </c>
      <c r="G173" s="135">
        <f t="shared" si="55"/>
        <v>0.9</v>
      </c>
      <c r="H173" s="135">
        <f t="shared" si="55"/>
        <v>0.9</v>
      </c>
      <c r="I173" s="135">
        <f t="shared" si="55"/>
        <v>0.9</v>
      </c>
      <c r="J173" s="135">
        <f t="shared" si="55"/>
        <v>0.9</v>
      </c>
      <c r="K173" s="135">
        <f t="shared" si="55"/>
        <v>0.9</v>
      </c>
      <c r="L173" s="135">
        <f t="shared" si="55"/>
        <v>0.9</v>
      </c>
      <c r="M173" s="135">
        <f t="shared" si="55"/>
        <v>0.9</v>
      </c>
      <c r="N173" s="135">
        <f t="shared" si="55"/>
        <v>0.9</v>
      </c>
      <c r="O173" s="135">
        <f t="shared" si="55"/>
        <v>0.9</v>
      </c>
      <c r="P173" s="135">
        <f t="shared" si="55"/>
        <v>0.9</v>
      </c>
      <c r="Q173" s="135">
        <f t="shared" si="55"/>
        <v>0.9</v>
      </c>
      <c r="R173" s="135">
        <f t="shared" si="55"/>
        <v>0.9</v>
      </c>
      <c r="S173" s="135">
        <f t="shared" si="56"/>
        <v>0.9</v>
      </c>
      <c r="T173" s="135">
        <f t="shared" si="56"/>
        <v>0.9</v>
      </c>
      <c r="U173" s="135">
        <f t="shared" si="56"/>
        <v>0.9</v>
      </c>
      <c r="V173" s="135">
        <f t="shared" si="56"/>
        <v>0.9</v>
      </c>
      <c r="W173" s="135">
        <f t="shared" si="56"/>
        <v>0.9</v>
      </c>
      <c r="X173" s="135">
        <f t="shared" si="56"/>
        <v>0.9</v>
      </c>
      <c r="Y173" s="135">
        <f t="shared" si="56"/>
        <v>0.9</v>
      </c>
      <c r="Z173" s="135">
        <f t="shared" si="56"/>
        <v>0.9</v>
      </c>
      <c r="AA173" s="135">
        <f t="shared" si="56"/>
        <v>0.9</v>
      </c>
      <c r="AB173" s="135">
        <f t="shared" si="56"/>
        <v>0.9</v>
      </c>
      <c r="AC173" s="135">
        <f t="shared" si="56"/>
        <v>0.9</v>
      </c>
      <c r="AD173" s="135">
        <f t="shared" si="56"/>
        <v>0.9</v>
      </c>
      <c r="AE173" s="135">
        <f t="shared" si="56"/>
        <v>0.9</v>
      </c>
      <c r="AF173" s="135">
        <f t="shared" si="56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54"/>
        <v>0.44</v>
      </c>
      <c r="C174" s="136">
        <v>0.44</v>
      </c>
      <c r="D174" s="135">
        <f t="shared" si="55"/>
        <v>0.44</v>
      </c>
      <c r="E174" s="135">
        <f t="shared" si="55"/>
        <v>0.44</v>
      </c>
      <c r="F174" s="135">
        <f t="shared" si="55"/>
        <v>0.44</v>
      </c>
      <c r="G174" s="135">
        <f t="shared" si="55"/>
        <v>0.44</v>
      </c>
      <c r="H174" s="135">
        <f t="shared" si="55"/>
        <v>0.44</v>
      </c>
      <c r="I174" s="135">
        <f t="shared" si="55"/>
        <v>0.44</v>
      </c>
      <c r="J174" s="135">
        <f t="shared" si="55"/>
        <v>0.44</v>
      </c>
      <c r="K174" s="135">
        <f t="shared" si="55"/>
        <v>0.44</v>
      </c>
      <c r="L174" s="135">
        <f t="shared" si="55"/>
        <v>0.44</v>
      </c>
      <c r="M174" s="135">
        <f t="shared" si="55"/>
        <v>0.44</v>
      </c>
      <c r="N174" s="135">
        <f t="shared" si="55"/>
        <v>0.44</v>
      </c>
      <c r="O174" s="135">
        <f t="shared" si="55"/>
        <v>0.44</v>
      </c>
      <c r="P174" s="135">
        <f t="shared" si="55"/>
        <v>0.44</v>
      </c>
      <c r="Q174" s="135">
        <f t="shared" si="55"/>
        <v>0.44</v>
      </c>
      <c r="R174" s="135">
        <f t="shared" si="55"/>
        <v>0.44</v>
      </c>
      <c r="S174" s="135">
        <f t="shared" si="56"/>
        <v>0.44</v>
      </c>
      <c r="T174" s="135">
        <f t="shared" si="56"/>
        <v>0.44</v>
      </c>
      <c r="U174" s="135">
        <f t="shared" si="56"/>
        <v>0.44</v>
      </c>
      <c r="V174" s="135">
        <f t="shared" si="56"/>
        <v>0.44</v>
      </c>
      <c r="W174" s="135">
        <f t="shared" si="56"/>
        <v>0.44</v>
      </c>
      <c r="X174" s="135">
        <f t="shared" si="56"/>
        <v>0.44</v>
      </c>
      <c r="Y174" s="135">
        <f t="shared" si="56"/>
        <v>0.44</v>
      </c>
      <c r="Z174" s="135">
        <f t="shared" si="56"/>
        <v>0.44</v>
      </c>
      <c r="AA174" s="135">
        <f t="shared" si="56"/>
        <v>0.44</v>
      </c>
      <c r="AB174" s="135">
        <f t="shared" si="56"/>
        <v>0.44</v>
      </c>
      <c r="AC174" s="135">
        <f t="shared" si="56"/>
        <v>0.44</v>
      </c>
      <c r="AD174" s="135">
        <f t="shared" si="56"/>
        <v>0.44</v>
      </c>
      <c r="AE174" s="135">
        <f t="shared" si="56"/>
        <v>0.44</v>
      </c>
      <c r="AF174" s="135">
        <f t="shared" si="56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54"/>
        <v>2.1</v>
      </c>
      <c r="C175" s="136">
        <v>2.1</v>
      </c>
      <c r="D175" s="135">
        <f t="shared" si="55"/>
        <v>2.1</v>
      </c>
      <c r="E175" s="135">
        <f t="shared" si="55"/>
        <v>2.1</v>
      </c>
      <c r="F175" s="135">
        <f t="shared" si="55"/>
        <v>2.1</v>
      </c>
      <c r="G175" s="135">
        <f t="shared" si="55"/>
        <v>2.1</v>
      </c>
      <c r="H175" s="135">
        <f t="shared" si="55"/>
        <v>2.1</v>
      </c>
      <c r="I175" s="135">
        <f t="shared" si="55"/>
        <v>2.1</v>
      </c>
      <c r="J175" s="135">
        <f t="shared" si="55"/>
        <v>2.1</v>
      </c>
      <c r="K175" s="135">
        <f t="shared" si="55"/>
        <v>2.1</v>
      </c>
      <c r="L175" s="135">
        <f t="shared" si="55"/>
        <v>2.1</v>
      </c>
      <c r="M175" s="135">
        <f t="shared" si="55"/>
        <v>2.1</v>
      </c>
      <c r="N175" s="135">
        <f t="shared" si="55"/>
        <v>2.1</v>
      </c>
      <c r="O175" s="135">
        <f t="shared" si="55"/>
        <v>2.1</v>
      </c>
      <c r="P175" s="135">
        <f t="shared" si="55"/>
        <v>2.1</v>
      </c>
      <c r="Q175" s="135">
        <f t="shared" si="55"/>
        <v>2.1</v>
      </c>
      <c r="R175" s="135">
        <f t="shared" si="55"/>
        <v>2.1</v>
      </c>
      <c r="S175" s="135">
        <f t="shared" si="56"/>
        <v>2.1</v>
      </c>
      <c r="T175" s="135">
        <f t="shared" si="56"/>
        <v>2.1</v>
      </c>
      <c r="U175" s="135">
        <f t="shared" si="56"/>
        <v>2.1</v>
      </c>
      <c r="V175" s="135">
        <f t="shared" si="56"/>
        <v>2.1</v>
      </c>
      <c r="W175" s="135">
        <f t="shared" si="56"/>
        <v>2.1</v>
      </c>
      <c r="X175" s="135">
        <f t="shared" si="56"/>
        <v>2.1</v>
      </c>
      <c r="Y175" s="135">
        <f t="shared" si="56"/>
        <v>2.1</v>
      </c>
      <c r="Z175" s="135">
        <f t="shared" si="56"/>
        <v>2.1</v>
      </c>
      <c r="AA175" s="135">
        <f t="shared" si="56"/>
        <v>2.1</v>
      </c>
      <c r="AB175" s="135">
        <f t="shared" si="56"/>
        <v>2.1</v>
      </c>
      <c r="AC175" s="135">
        <f t="shared" si="56"/>
        <v>2.1</v>
      </c>
      <c r="AD175" s="135">
        <f t="shared" si="56"/>
        <v>2.1</v>
      </c>
      <c r="AE175" s="135">
        <f t="shared" si="56"/>
        <v>2.1</v>
      </c>
      <c r="AF175" s="135">
        <f t="shared" si="56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54"/>
        <v>0.9</v>
      </c>
      <c r="C176" s="136">
        <v>0.9</v>
      </c>
      <c r="D176" s="135">
        <f t="shared" si="55"/>
        <v>0.9</v>
      </c>
      <c r="E176" s="135">
        <f t="shared" si="55"/>
        <v>0.9</v>
      </c>
      <c r="F176" s="135">
        <f t="shared" si="55"/>
        <v>0.9</v>
      </c>
      <c r="G176" s="135">
        <f t="shared" si="55"/>
        <v>0.9</v>
      </c>
      <c r="H176" s="135">
        <f t="shared" si="55"/>
        <v>0.9</v>
      </c>
      <c r="I176" s="135">
        <f t="shared" si="55"/>
        <v>0.9</v>
      </c>
      <c r="J176" s="135">
        <f t="shared" si="55"/>
        <v>0.9</v>
      </c>
      <c r="K176" s="135">
        <f t="shared" si="55"/>
        <v>0.9</v>
      </c>
      <c r="L176" s="135">
        <f t="shared" si="55"/>
        <v>0.9</v>
      </c>
      <c r="M176" s="135">
        <f t="shared" si="55"/>
        <v>0.9</v>
      </c>
      <c r="N176" s="135">
        <f t="shared" si="55"/>
        <v>0.9</v>
      </c>
      <c r="O176" s="135">
        <f t="shared" si="55"/>
        <v>0.9</v>
      </c>
      <c r="P176" s="135">
        <f t="shared" si="55"/>
        <v>0.9</v>
      </c>
      <c r="Q176" s="135">
        <f t="shared" si="55"/>
        <v>0.9</v>
      </c>
      <c r="R176" s="135">
        <f t="shared" si="55"/>
        <v>0.9</v>
      </c>
      <c r="S176" s="135">
        <f t="shared" si="56"/>
        <v>0.9</v>
      </c>
      <c r="T176" s="135">
        <f t="shared" si="56"/>
        <v>0.9</v>
      </c>
      <c r="U176" s="135">
        <f t="shared" si="56"/>
        <v>0.9</v>
      </c>
      <c r="V176" s="135">
        <f t="shared" si="56"/>
        <v>0.9</v>
      </c>
      <c r="W176" s="135">
        <f t="shared" si="56"/>
        <v>0.9</v>
      </c>
      <c r="X176" s="135">
        <f t="shared" si="56"/>
        <v>0.9</v>
      </c>
      <c r="Y176" s="135">
        <f t="shared" si="56"/>
        <v>0.9</v>
      </c>
      <c r="Z176" s="135">
        <f t="shared" si="56"/>
        <v>0.9</v>
      </c>
      <c r="AA176" s="135">
        <f t="shared" si="56"/>
        <v>0.9</v>
      </c>
      <c r="AB176" s="135">
        <f t="shared" si="56"/>
        <v>0.9</v>
      </c>
      <c r="AC176" s="135">
        <f t="shared" si="56"/>
        <v>0.9</v>
      </c>
      <c r="AD176" s="135">
        <f t="shared" si="56"/>
        <v>0.9</v>
      </c>
      <c r="AE176" s="135">
        <f t="shared" si="56"/>
        <v>0.9</v>
      </c>
      <c r="AF176" s="135">
        <f t="shared" si="56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7">AF178</f>
        <v>0.57999999999999996</v>
      </c>
      <c r="C178" s="136">
        <v>0.57999999999999996</v>
      </c>
      <c r="D178" s="135">
        <f t="shared" ref="D178:S190" si="58">C178</f>
        <v>0.57999999999999996</v>
      </c>
      <c r="E178" s="135">
        <f t="shared" si="58"/>
        <v>0.57999999999999996</v>
      </c>
      <c r="F178" s="135">
        <f t="shared" si="58"/>
        <v>0.57999999999999996</v>
      </c>
      <c r="G178" s="135">
        <f t="shared" si="58"/>
        <v>0.57999999999999996</v>
      </c>
      <c r="H178" s="135">
        <f t="shared" si="58"/>
        <v>0.57999999999999996</v>
      </c>
      <c r="I178" s="135">
        <f t="shared" si="58"/>
        <v>0.57999999999999996</v>
      </c>
      <c r="J178" s="135">
        <f t="shared" si="58"/>
        <v>0.57999999999999996</v>
      </c>
      <c r="K178" s="135">
        <f t="shared" si="58"/>
        <v>0.57999999999999996</v>
      </c>
      <c r="L178" s="135">
        <f t="shared" si="58"/>
        <v>0.57999999999999996</v>
      </c>
      <c r="M178" s="135">
        <f t="shared" si="58"/>
        <v>0.57999999999999996</v>
      </c>
      <c r="N178" s="135">
        <f t="shared" si="58"/>
        <v>0.57999999999999996</v>
      </c>
      <c r="O178" s="135">
        <f t="shared" si="58"/>
        <v>0.57999999999999996</v>
      </c>
      <c r="P178" s="135">
        <f t="shared" si="58"/>
        <v>0.57999999999999996</v>
      </c>
      <c r="Q178" s="135">
        <f t="shared" si="58"/>
        <v>0.57999999999999996</v>
      </c>
      <c r="R178" s="135">
        <f t="shared" si="58"/>
        <v>0.57999999999999996</v>
      </c>
      <c r="S178" s="135">
        <f t="shared" si="58"/>
        <v>0.57999999999999996</v>
      </c>
      <c r="T178" s="135">
        <f t="shared" ref="S178:AF190" si="59">S178</f>
        <v>0.57999999999999996</v>
      </c>
      <c r="U178" s="135">
        <f t="shared" si="59"/>
        <v>0.57999999999999996</v>
      </c>
      <c r="V178" s="135">
        <f t="shared" si="59"/>
        <v>0.57999999999999996</v>
      </c>
      <c r="W178" s="135">
        <f t="shared" si="59"/>
        <v>0.57999999999999996</v>
      </c>
      <c r="X178" s="135">
        <f t="shared" si="59"/>
        <v>0.57999999999999996</v>
      </c>
      <c r="Y178" s="135">
        <f t="shared" si="59"/>
        <v>0.57999999999999996</v>
      </c>
      <c r="Z178" s="135">
        <f t="shared" si="59"/>
        <v>0.57999999999999996</v>
      </c>
      <c r="AA178" s="135">
        <f t="shared" si="59"/>
        <v>0.57999999999999996</v>
      </c>
      <c r="AB178" s="135">
        <f t="shared" si="59"/>
        <v>0.57999999999999996</v>
      </c>
      <c r="AC178" s="135">
        <f t="shared" si="59"/>
        <v>0.57999999999999996</v>
      </c>
      <c r="AD178" s="135">
        <f t="shared" si="59"/>
        <v>0.57999999999999996</v>
      </c>
      <c r="AE178" s="135">
        <f t="shared" si="59"/>
        <v>0.57999999999999996</v>
      </c>
      <c r="AF178" s="135">
        <f t="shared" si="59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7"/>
        <v>0.8</v>
      </c>
      <c r="C179" s="136">
        <v>0.8</v>
      </c>
      <c r="D179" s="135">
        <f t="shared" si="58"/>
        <v>0.8</v>
      </c>
      <c r="E179" s="135">
        <f t="shared" si="58"/>
        <v>0.8</v>
      </c>
      <c r="F179" s="135">
        <f t="shared" si="58"/>
        <v>0.8</v>
      </c>
      <c r="G179" s="135">
        <f t="shared" si="58"/>
        <v>0.8</v>
      </c>
      <c r="H179" s="135">
        <f t="shared" si="58"/>
        <v>0.8</v>
      </c>
      <c r="I179" s="135">
        <f t="shared" si="58"/>
        <v>0.8</v>
      </c>
      <c r="J179" s="135">
        <f t="shared" si="58"/>
        <v>0.8</v>
      </c>
      <c r="K179" s="135">
        <f t="shared" si="58"/>
        <v>0.8</v>
      </c>
      <c r="L179" s="135">
        <f t="shared" si="58"/>
        <v>0.8</v>
      </c>
      <c r="M179" s="135">
        <f t="shared" si="58"/>
        <v>0.8</v>
      </c>
      <c r="N179" s="135">
        <f t="shared" si="58"/>
        <v>0.8</v>
      </c>
      <c r="O179" s="135">
        <f t="shared" si="58"/>
        <v>0.8</v>
      </c>
      <c r="P179" s="135">
        <f t="shared" si="58"/>
        <v>0.8</v>
      </c>
      <c r="Q179" s="135">
        <f t="shared" si="58"/>
        <v>0.8</v>
      </c>
      <c r="R179" s="135">
        <f t="shared" si="58"/>
        <v>0.8</v>
      </c>
      <c r="S179" s="135">
        <f t="shared" si="58"/>
        <v>0.8</v>
      </c>
      <c r="T179" s="135">
        <f t="shared" si="59"/>
        <v>0.8</v>
      </c>
      <c r="U179" s="135">
        <f t="shared" si="59"/>
        <v>0.8</v>
      </c>
      <c r="V179" s="135">
        <f t="shared" si="59"/>
        <v>0.8</v>
      </c>
      <c r="W179" s="135">
        <f t="shared" si="59"/>
        <v>0.8</v>
      </c>
      <c r="X179" s="135">
        <f t="shared" si="59"/>
        <v>0.8</v>
      </c>
      <c r="Y179" s="135">
        <f t="shared" si="59"/>
        <v>0.8</v>
      </c>
      <c r="Z179" s="135">
        <f t="shared" si="59"/>
        <v>0.8</v>
      </c>
      <c r="AA179" s="135">
        <f t="shared" si="59"/>
        <v>0.8</v>
      </c>
      <c r="AB179" s="135">
        <f t="shared" si="59"/>
        <v>0.8</v>
      </c>
      <c r="AC179" s="135">
        <f t="shared" si="59"/>
        <v>0.8</v>
      </c>
      <c r="AD179" s="135">
        <f t="shared" si="59"/>
        <v>0.8</v>
      </c>
      <c r="AE179" s="135">
        <f t="shared" si="59"/>
        <v>0.8</v>
      </c>
      <c r="AF179" s="135">
        <f t="shared" si="59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7"/>
        <v>0</v>
      </c>
      <c r="C180" s="136">
        <v>0</v>
      </c>
      <c r="D180" s="135">
        <f t="shared" si="58"/>
        <v>0</v>
      </c>
      <c r="E180" s="135">
        <f t="shared" si="58"/>
        <v>0</v>
      </c>
      <c r="F180" s="135">
        <f t="shared" si="58"/>
        <v>0</v>
      </c>
      <c r="G180" s="135">
        <f t="shared" si="58"/>
        <v>0</v>
      </c>
      <c r="H180" s="135">
        <f t="shared" si="58"/>
        <v>0</v>
      </c>
      <c r="I180" s="135">
        <f t="shared" si="58"/>
        <v>0</v>
      </c>
      <c r="J180" s="135">
        <f t="shared" si="58"/>
        <v>0</v>
      </c>
      <c r="K180" s="135">
        <f t="shared" si="58"/>
        <v>0</v>
      </c>
      <c r="L180" s="135">
        <f t="shared" si="58"/>
        <v>0</v>
      </c>
      <c r="M180" s="135">
        <f t="shared" si="58"/>
        <v>0</v>
      </c>
      <c r="N180" s="135">
        <f t="shared" si="58"/>
        <v>0</v>
      </c>
      <c r="O180" s="135">
        <f t="shared" si="58"/>
        <v>0</v>
      </c>
      <c r="P180" s="135">
        <f t="shared" si="58"/>
        <v>0</v>
      </c>
      <c r="Q180" s="135">
        <f t="shared" si="58"/>
        <v>0</v>
      </c>
      <c r="R180" s="135">
        <f t="shared" si="58"/>
        <v>0</v>
      </c>
      <c r="S180" s="135">
        <f t="shared" si="58"/>
        <v>0</v>
      </c>
      <c r="T180" s="135">
        <f t="shared" si="59"/>
        <v>0</v>
      </c>
      <c r="U180" s="135">
        <f t="shared" si="59"/>
        <v>0</v>
      </c>
      <c r="V180" s="135">
        <f t="shared" si="59"/>
        <v>0</v>
      </c>
      <c r="W180" s="135">
        <f t="shared" si="59"/>
        <v>0</v>
      </c>
      <c r="X180" s="135">
        <f t="shared" si="59"/>
        <v>0</v>
      </c>
      <c r="Y180" s="135">
        <f t="shared" si="59"/>
        <v>0</v>
      </c>
      <c r="Z180" s="135">
        <f t="shared" si="59"/>
        <v>0</v>
      </c>
      <c r="AA180" s="135">
        <f t="shared" si="59"/>
        <v>0</v>
      </c>
      <c r="AB180" s="135">
        <f t="shared" si="59"/>
        <v>0</v>
      </c>
      <c r="AC180" s="135">
        <f t="shared" si="59"/>
        <v>0</v>
      </c>
      <c r="AD180" s="135">
        <f t="shared" si="59"/>
        <v>0</v>
      </c>
      <c r="AE180" s="135">
        <f t="shared" si="59"/>
        <v>0</v>
      </c>
      <c r="AF180" s="135">
        <f t="shared" si="59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7"/>
        <v>0.6</v>
      </c>
      <c r="C181" s="136">
        <v>0.6</v>
      </c>
      <c r="D181" s="135">
        <f t="shared" si="58"/>
        <v>0.6</v>
      </c>
      <c r="E181" s="135">
        <f t="shared" si="58"/>
        <v>0.6</v>
      </c>
      <c r="F181" s="135">
        <f t="shared" si="58"/>
        <v>0.6</v>
      </c>
      <c r="G181" s="135">
        <f t="shared" si="58"/>
        <v>0.6</v>
      </c>
      <c r="H181" s="135">
        <f t="shared" si="58"/>
        <v>0.6</v>
      </c>
      <c r="I181" s="135">
        <f t="shared" si="58"/>
        <v>0.6</v>
      </c>
      <c r="J181" s="135">
        <f t="shared" si="58"/>
        <v>0.6</v>
      </c>
      <c r="K181" s="135">
        <f t="shared" si="58"/>
        <v>0.6</v>
      </c>
      <c r="L181" s="135">
        <f t="shared" si="58"/>
        <v>0.6</v>
      </c>
      <c r="M181" s="135">
        <f t="shared" si="58"/>
        <v>0.6</v>
      </c>
      <c r="N181" s="135">
        <f t="shared" si="58"/>
        <v>0.6</v>
      </c>
      <c r="O181" s="135">
        <f t="shared" si="58"/>
        <v>0.6</v>
      </c>
      <c r="P181" s="135">
        <f t="shared" si="58"/>
        <v>0.6</v>
      </c>
      <c r="Q181" s="135">
        <f t="shared" si="58"/>
        <v>0.6</v>
      </c>
      <c r="R181" s="135">
        <f t="shared" si="58"/>
        <v>0.6</v>
      </c>
      <c r="S181" s="135">
        <f t="shared" si="58"/>
        <v>0.6</v>
      </c>
      <c r="T181" s="135">
        <f t="shared" si="59"/>
        <v>0.6</v>
      </c>
      <c r="U181" s="135">
        <f t="shared" si="59"/>
        <v>0.6</v>
      </c>
      <c r="V181" s="135">
        <f t="shared" si="59"/>
        <v>0.6</v>
      </c>
      <c r="W181" s="135">
        <f t="shared" si="59"/>
        <v>0.6</v>
      </c>
      <c r="X181" s="135">
        <f t="shared" si="59"/>
        <v>0.6</v>
      </c>
      <c r="Y181" s="135">
        <f t="shared" si="59"/>
        <v>0.6</v>
      </c>
      <c r="Z181" s="135">
        <f t="shared" si="59"/>
        <v>0.6</v>
      </c>
      <c r="AA181" s="135">
        <f t="shared" si="59"/>
        <v>0.6</v>
      </c>
      <c r="AB181" s="135">
        <f t="shared" si="59"/>
        <v>0.6</v>
      </c>
      <c r="AC181" s="135">
        <f t="shared" si="59"/>
        <v>0.6</v>
      </c>
      <c r="AD181" s="135">
        <f t="shared" si="59"/>
        <v>0.6</v>
      </c>
      <c r="AE181" s="135">
        <f t="shared" si="59"/>
        <v>0.6</v>
      </c>
      <c r="AF181" s="135">
        <f t="shared" si="59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7"/>
        <v>0.6</v>
      </c>
      <c r="C182" s="136">
        <v>0.6</v>
      </c>
      <c r="D182" s="135">
        <f t="shared" si="58"/>
        <v>0.6</v>
      </c>
      <c r="E182" s="135">
        <f t="shared" si="58"/>
        <v>0.6</v>
      </c>
      <c r="F182" s="135">
        <f t="shared" si="58"/>
        <v>0.6</v>
      </c>
      <c r="G182" s="135">
        <f t="shared" si="58"/>
        <v>0.6</v>
      </c>
      <c r="H182" s="135">
        <f t="shared" si="58"/>
        <v>0.6</v>
      </c>
      <c r="I182" s="135">
        <f t="shared" si="58"/>
        <v>0.6</v>
      </c>
      <c r="J182" s="135">
        <f t="shared" si="58"/>
        <v>0.6</v>
      </c>
      <c r="K182" s="135">
        <f t="shared" si="58"/>
        <v>0.6</v>
      </c>
      <c r="L182" s="135">
        <f t="shared" si="58"/>
        <v>0.6</v>
      </c>
      <c r="M182" s="135">
        <f t="shared" si="58"/>
        <v>0.6</v>
      </c>
      <c r="N182" s="135">
        <f t="shared" si="58"/>
        <v>0.6</v>
      </c>
      <c r="O182" s="135">
        <f t="shared" si="58"/>
        <v>0.6</v>
      </c>
      <c r="P182" s="135">
        <f t="shared" si="58"/>
        <v>0.6</v>
      </c>
      <c r="Q182" s="135">
        <f t="shared" si="58"/>
        <v>0.6</v>
      </c>
      <c r="R182" s="135">
        <f t="shared" si="58"/>
        <v>0.6</v>
      </c>
      <c r="S182" s="135">
        <f t="shared" si="58"/>
        <v>0.6</v>
      </c>
      <c r="T182" s="135">
        <f t="shared" si="59"/>
        <v>0.6</v>
      </c>
      <c r="U182" s="135">
        <f t="shared" si="59"/>
        <v>0.6</v>
      </c>
      <c r="V182" s="135">
        <f t="shared" si="59"/>
        <v>0.6</v>
      </c>
      <c r="W182" s="135">
        <f t="shared" si="59"/>
        <v>0.6</v>
      </c>
      <c r="X182" s="135">
        <f t="shared" si="59"/>
        <v>0.6</v>
      </c>
      <c r="Y182" s="135">
        <f t="shared" si="59"/>
        <v>0.6</v>
      </c>
      <c r="Z182" s="135">
        <f t="shared" si="59"/>
        <v>0.6</v>
      </c>
      <c r="AA182" s="135">
        <f t="shared" si="59"/>
        <v>0.6</v>
      </c>
      <c r="AB182" s="135">
        <f t="shared" si="59"/>
        <v>0.6</v>
      </c>
      <c r="AC182" s="135">
        <f t="shared" si="59"/>
        <v>0.6</v>
      </c>
      <c r="AD182" s="135">
        <f t="shared" si="59"/>
        <v>0.6</v>
      </c>
      <c r="AE182" s="135">
        <f t="shared" si="59"/>
        <v>0.6</v>
      </c>
      <c r="AF182" s="135">
        <f t="shared" si="59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7"/>
        <v>0.35</v>
      </c>
      <c r="C183" s="136">
        <v>0.35</v>
      </c>
      <c r="D183" s="135">
        <f t="shared" si="58"/>
        <v>0.35</v>
      </c>
      <c r="E183" s="135">
        <f t="shared" si="58"/>
        <v>0.35</v>
      </c>
      <c r="F183" s="135">
        <f t="shared" si="58"/>
        <v>0.35</v>
      </c>
      <c r="G183" s="135">
        <f t="shared" si="58"/>
        <v>0.35</v>
      </c>
      <c r="H183" s="135">
        <f t="shared" si="58"/>
        <v>0.35</v>
      </c>
      <c r="I183" s="135">
        <f t="shared" si="58"/>
        <v>0.35</v>
      </c>
      <c r="J183" s="135">
        <f t="shared" si="58"/>
        <v>0.35</v>
      </c>
      <c r="K183" s="135">
        <f t="shared" si="58"/>
        <v>0.35</v>
      </c>
      <c r="L183" s="135">
        <f t="shared" si="58"/>
        <v>0.35</v>
      </c>
      <c r="M183" s="135">
        <f t="shared" si="58"/>
        <v>0.35</v>
      </c>
      <c r="N183" s="135">
        <f t="shared" si="58"/>
        <v>0.35</v>
      </c>
      <c r="O183" s="135">
        <f t="shared" si="58"/>
        <v>0.35</v>
      </c>
      <c r="P183" s="135">
        <f t="shared" si="58"/>
        <v>0.35</v>
      </c>
      <c r="Q183" s="135">
        <f t="shared" si="58"/>
        <v>0.35</v>
      </c>
      <c r="R183" s="135">
        <f t="shared" si="58"/>
        <v>0.35</v>
      </c>
      <c r="S183" s="135">
        <f t="shared" si="58"/>
        <v>0.35</v>
      </c>
      <c r="T183" s="135">
        <f t="shared" si="59"/>
        <v>0.35</v>
      </c>
      <c r="U183" s="135">
        <f t="shared" si="59"/>
        <v>0.35</v>
      </c>
      <c r="V183" s="135">
        <f t="shared" si="59"/>
        <v>0.35</v>
      </c>
      <c r="W183" s="135">
        <f t="shared" si="59"/>
        <v>0.35</v>
      </c>
      <c r="X183" s="135">
        <f t="shared" si="59"/>
        <v>0.35</v>
      </c>
      <c r="Y183" s="135">
        <f t="shared" si="59"/>
        <v>0.35</v>
      </c>
      <c r="Z183" s="135">
        <f t="shared" si="59"/>
        <v>0.35</v>
      </c>
      <c r="AA183" s="135">
        <f t="shared" si="59"/>
        <v>0.35</v>
      </c>
      <c r="AB183" s="135">
        <f t="shared" si="59"/>
        <v>0.35</v>
      </c>
      <c r="AC183" s="135">
        <f t="shared" si="59"/>
        <v>0.35</v>
      </c>
      <c r="AD183" s="135">
        <f t="shared" si="59"/>
        <v>0.35</v>
      </c>
      <c r="AE183" s="135">
        <f t="shared" si="59"/>
        <v>0.35</v>
      </c>
      <c r="AF183" s="135">
        <f t="shared" si="59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7"/>
        <v>0.28999999999999998</v>
      </c>
      <c r="C184" s="136">
        <v>0.28999999999999998</v>
      </c>
      <c r="D184" s="135">
        <f t="shared" si="58"/>
        <v>0.28999999999999998</v>
      </c>
      <c r="E184" s="135">
        <f t="shared" si="58"/>
        <v>0.28999999999999998</v>
      </c>
      <c r="F184" s="135">
        <f t="shared" si="58"/>
        <v>0.28999999999999998</v>
      </c>
      <c r="G184" s="135">
        <f t="shared" si="58"/>
        <v>0.28999999999999998</v>
      </c>
      <c r="H184" s="135">
        <f t="shared" si="58"/>
        <v>0.28999999999999998</v>
      </c>
      <c r="I184" s="135">
        <f t="shared" si="58"/>
        <v>0.28999999999999998</v>
      </c>
      <c r="J184" s="135">
        <f t="shared" si="58"/>
        <v>0.28999999999999998</v>
      </c>
      <c r="K184" s="135">
        <f t="shared" si="58"/>
        <v>0.28999999999999998</v>
      </c>
      <c r="L184" s="135">
        <f t="shared" si="58"/>
        <v>0.28999999999999998</v>
      </c>
      <c r="M184" s="135">
        <f t="shared" si="58"/>
        <v>0.28999999999999998</v>
      </c>
      <c r="N184" s="135">
        <f t="shared" si="58"/>
        <v>0.28999999999999998</v>
      </c>
      <c r="O184" s="135">
        <f t="shared" si="58"/>
        <v>0.28999999999999998</v>
      </c>
      <c r="P184" s="135">
        <f t="shared" si="58"/>
        <v>0.28999999999999998</v>
      </c>
      <c r="Q184" s="135">
        <f t="shared" si="58"/>
        <v>0.28999999999999998</v>
      </c>
      <c r="R184" s="135">
        <f t="shared" si="58"/>
        <v>0.28999999999999998</v>
      </c>
      <c r="S184" s="135">
        <f t="shared" si="58"/>
        <v>0.28999999999999998</v>
      </c>
      <c r="T184" s="135">
        <f t="shared" si="59"/>
        <v>0.28999999999999998</v>
      </c>
      <c r="U184" s="135">
        <f t="shared" si="59"/>
        <v>0.28999999999999998</v>
      </c>
      <c r="V184" s="135">
        <f t="shared" si="59"/>
        <v>0.28999999999999998</v>
      </c>
      <c r="W184" s="135">
        <f t="shared" si="59"/>
        <v>0.28999999999999998</v>
      </c>
      <c r="X184" s="135">
        <f t="shared" si="59"/>
        <v>0.28999999999999998</v>
      </c>
      <c r="Y184" s="135">
        <f t="shared" si="59"/>
        <v>0.28999999999999998</v>
      </c>
      <c r="Z184" s="135">
        <f t="shared" si="59"/>
        <v>0.28999999999999998</v>
      </c>
      <c r="AA184" s="135">
        <f t="shared" si="59"/>
        <v>0.28999999999999998</v>
      </c>
      <c r="AB184" s="135">
        <f t="shared" si="59"/>
        <v>0.28999999999999998</v>
      </c>
      <c r="AC184" s="135">
        <f t="shared" si="59"/>
        <v>0.28999999999999998</v>
      </c>
      <c r="AD184" s="135">
        <f t="shared" si="59"/>
        <v>0.28999999999999998</v>
      </c>
      <c r="AE184" s="135">
        <f t="shared" si="59"/>
        <v>0.28999999999999998</v>
      </c>
      <c r="AF184" s="135">
        <f t="shared" si="59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7"/>
        <v>0.06</v>
      </c>
      <c r="C185" s="136">
        <v>0.06</v>
      </c>
      <c r="D185" s="135">
        <f t="shared" si="58"/>
        <v>0.06</v>
      </c>
      <c r="E185" s="135">
        <f t="shared" si="58"/>
        <v>0.06</v>
      </c>
      <c r="F185" s="135">
        <f t="shared" si="58"/>
        <v>0.06</v>
      </c>
      <c r="G185" s="135">
        <f t="shared" si="58"/>
        <v>0.06</v>
      </c>
      <c r="H185" s="135">
        <f t="shared" si="58"/>
        <v>0.06</v>
      </c>
      <c r="I185" s="135">
        <f t="shared" si="58"/>
        <v>0.06</v>
      </c>
      <c r="J185" s="135">
        <f t="shared" si="58"/>
        <v>0.06</v>
      </c>
      <c r="K185" s="135">
        <f t="shared" si="58"/>
        <v>0.06</v>
      </c>
      <c r="L185" s="135">
        <f t="shared" si="58"/>
        <v>0.06</v>
      </c>
      <c r="M185" s="135">
        <f t="shared" si="58"/>
        <v>0.06</v>
      </c>
      <c r="N185" s="135">
        <f t="shared" si="58"/>
        <v>0.06</v>
      </c>
      <c r="O185" s="135">
        <f t="shared" si="58"/>
        <v>0.06</v>
      </c>
      <c r="P185" s="135">
        <f t="shared" si="58"/>
        <v>0.06</v>
      </c>
      <c r="Q185" s="135">
        <f t="shared" si="58"/>
        <v>0.06</v>
      </c>
      <c r="R185" s="135">
        <f t="shared" si="58"/>
        <v>0.06</v>
      </c>
      <c r="S185" s="135">
        <f t="shared" si="58"/>
        <v>0.06</v>
      </c>
      <c r="T185" s="135">
        <f t="shared" si="59"/>
        <v>0.06</v>
      </c>
      <c r="U185" s="135">
        <f t="shared" si="59"/>
        <v>0.06</v>
      </c>
      <c r="V185" s="135">
        <f t="shared" si="59"/>
        <v>0.06</v>
      </c>
      <c r="W185" s="135">
        <f t="shared" si="59"/>
        <v>0.06</v>
      </c>
      <c r="X185" s="135">
        <f t="shared" si="59"/>
        <v>0.06</v>
      </c>
      <c r="Y185" s="135">
        <f t="shared" si="59"/>
        <v>0.06</v>
      </c>
      <c r="Z185" s="135">
        <f t="shared" si="59"/>
        <v>0.06</v>
      </c>
      <c r="AA185" s="135">
        <f t="shared" si="59"/>
        <v>0.06</v>
      </c>
      <c r="AB185" s="135">
        <f t="shared" si="59"/>
        <v>0.06</v>
      </c>
      <c r="AC185" s="135">
        <f t="shared" si="59"/>
        <v>0.06</v>
      </c>
      <c r="AD185" s="135">
        <f t="shared" si="59"/>
        <v>0.06</v>
      </c>
      <c r="AE185" s="135">
        <f t="shared" si="59"/>
        <v>0.06</v>
      </c>
      <c r="AF185" s="135">
        <f t="shared" si="59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7"/>
        <v>0.11</v>
      </c>
      <c r="C186" s="136">
        <v>0.11</v>
      </c>
      <c r="D186" s="135">
        <f t="shared" si="58"/>
        <v>0.11</v>
      </c>
      <c r="E186" s="135">
        <f t="shared" si="58"/>
        <v>0.11</v>
      </c>
      <c r="F186" s="135">
        <f t="shared" si="58"/>
        <v>0.11</v>
      </c>
      <c r="G186" s="135">
        <f t="shared" si="58"/>
        <v>0.11</v>
      </c>
      <c r="H186" s="135">
        <f t="shared" si="58"/>
        <v>0.11</v>
      </c>
      <c r="I186" s="135">
        <f t="shared" si="58"/>
        <v>0.11</v>
      </c>
      <c r="J186" s="135">
        <f t="shared" si="58"/>
        <v>0.11</v>
      </c>
      <c r="K186" s="135">
        <f t="shared" si="58"/>
        <v>0.11</v>
      </c>
      <c r="L186" s="135">
        <f t="shared" si="58"/>
        <v>0.11</v>
      </c>
      <c r="M186" s="135">
        <f t="shared" si="58"/>
        <v>0.11</v>
      </c>
      <c r="N186" s="135">
        <f t="shared" si="58"/>
        <v>0.11</v>
      </c>
      <c r="O186" s="135">
        <f t="shared" si="58"/>
        <v>0.11</v>
      </c>
      <c r="P186" s="135">
        <f t="shared" si="58"/>
        <v>0.11</v>
      </c>
      <c r="Q186" s="135">
        <f t="shared" si="58"/>
        <v>0.11</v>
      </c>
      <c r="R186" s="135">
        <f t="shared" si="58"/>
        <v>0.11</v>
      </c>
      <c r="S186" s="135">
        <f t="shared" si="58"/>
        <v>0.11</v>
      </c>
      <c r="T186" s="135">
        <f t="shared" si="59"/>
        <v>0.11</v>
      </c>
      <c r="U186" s="135">
        <f t="shared" si="59"/>
        <v>0.11</v>
      </c>
      <c r="V186" s="135">
        <f t="shared" si="59"/>
        <v>0.11</v>
      </c>
      <c r="W186" s="135">
        <f t="shared" si="59"/>
        <v>0.11</v>
      </c>
      <c r="X186" s="135">
        <f t="shared" si="59"/>
        <v>0.11</v>
      </c>
      <c r="Y186" s="135">
        <f t="shared" si="59"/>
        <v>0.11</v>
      </c>
      <c r="Z186" s="135">
        <f t="shared" si="59"/>
        <v>0.11</v>
      </c>
      <c r="AA186" s="135">
        <f t="shared" si="59"/>
        <v>0.11</v>
      </c>
      <c r="AB186" s="135">
        <f t="shared" si="59"/>
        <v>0.11</v>
      </c>
      <c r="AC186" s="135">
        <f t="shared" si="59"/>
        <v>0.11</v>
      </c>
      <c r="AD186" s="135">
        <f t="shared" si="59"/>
        <v>0.11</v>
      </c>
      <c r="AE186" s="135">
        <f t="shared" si="59"/>
        <v>0.11</v>
      </c>
      <c r="AF186" s="135">
        <f t="shared" si="59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7"/>
        <v>0.1</v>
      </c>
      <c r="C187" s="136">
        <v>0.1</v>
      </c>
      <c r="D187" s="135">
        <f t="shared" si="58"/>
        <v>0.1</v>
      </c>
      <c r="E187" s="135">
        <f t="shared" si="58"/>
        <v>0.1</v>
      </c>
      <c r="F187" s="135">
        <f t="shared" si="58"/>
        <v>0.1</v>
      </c>
      <c r="G187" s="135">
        <f t="shared" si="58"/>
        <v>0.1</v>
      </c>
      <c r="H187" s="135">
        <f t="shared" si="58"/>
        <v>0.1</v>
      </c>
      <c r="I187" s="135">
        <f t="shared" si="58"/>
        <v>0.1</v>
      </c>
      <c r="J187" s="135">
        <f t="shared" si="58"/>
        <v>0.1</v>
      </c>
      <c r="K187" s="135">
        <f t="shared" si="58"/>
        <v>0.1</v>
      </c>
      <c r="L187" s="135">
        <f t="shared" si="58"/>
        <v>0.1</v>
      </c>
      <c r="M187" s="135">
        <f t="shared" si="58"/>
        <v>0.1</v>
      </c>
      <c r="N187" s="135">
        <f t="shared" si="58"/>
        <v>0.1</v>
      </c>
      <c r="O187" s="135">
        <f t="shared" si="58"/>
        <v>0.1</v>
      </c>
      <c r="P187" s="135">
        <f t="shared" si="58"/>
        <v>0.1</v>
      </c>
      <c r="Q187" s="135">
        <f t="shared" si="58"/>
        <v>0.1</v>
      </c>
      <c r="R187" s="135">
        <f t="shared" si="58"/>
        <v>0.1</v>
      </c>
      <c r="S187" s="135">
        <f t="shared" si="59"/>
        <v>0.1</v>
      </c>
      <c r="T187" s="135">
        <f t="shared" si="59"/>
        <v>0.1</v>
      </c>
      <c r="U187" s="135">
        <f t="shared" si="59"/>
        <v>0.1</v>
      </c>
      <c r="V187" s="135">
        <f t="shared" si="59"/>
        <v>0.1</v>
      </c>
      <c r="W187" s="135">
        <f t="shared" si="59"/>
        <v>0.1</v>
      </c>
      <c r="X187" s="135">
        <f t="shared" si="59"/>
        <v>0.1</v>
      </c>
      <c r="Y187" s="135">
        <f t="shared" si="59"/>
        <v>0.1</v>
      </c>
      <c r="Z187" s="135">
        <f t="shared" si="59"/>
        <v>0.1</v>
      </c>
      <c r="AA187" s="135">
        <f t="shared" si="59"/>
        <v>0.1</v>
      </c>
      <c r="AB187" s="135">
        <f t="shared" si="59"/>
        <v>0.1</v>
      </c>
      <c r="AC187" s="135">
        <f t="shared" si="59"/>
        <v>0.1</v>
      </c>
      <c r="AD187" s="135">
        <f t="shared" si="59"/>
        <v>0.1</v>
      </c>
      <c r="AE187" s="135">
        <f t="shared" si="59"/>
        <v>0.1</v>
      </c>
      <c r="AF187" s="135">
        <f t="shared" si="59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7"/>
        <v>0.09</v>
      </c>
      <c r="C188" s="136">
        <v>0.09</v>
      </c>
      <c r="D188" s="135">
        <f t="shared" si="58"/>
        <v>0.09</v>
      </c>
      <c r="E188" s="135">
        <f t="shared" si="58"/>
        <v>0.09</v>
      </c>
      <c r="F188" s="135">
        <f t="shared" si="58"/>
        <v>0.09</v>
      </c>
      <c r="G188" s="135">
        <f t="shared" si="58"/>
        <v>0.09</v>
      </c>
      <c r="H188" s="135">
        <f t="shared" si="58"/>
        <v>0.09</v>
      </c>
      <c r="I188" s="135">
        <f t="shared" si="58"/>
        <v>0.09</v>
      </c>
      <c r="J188" s="135">
        <f t="shared" si="58"/>
        <v>0.09</v>
      </c>
      <c r="K188" s="135">
        <f t="shared" si="58"/>
        <v>0.09</v>
      </c>
      <c r="L188" s="135">
        <f t="shared" si="58"/>
        <v>0.09</v>
      </c>
      <c r="M188" s="135">
        <f t="shared" si="58"/>
        <v>0.09</v>
      </c>
      <c r="N188" s="135">
        <f t="shared" si="58"/>
        <v>0.09</v>
      </c>
      <c r="O188" s="135">
        <f t="shared" si="58"/>
        <v>0.09</v>
      </c>
      <c r="P188" s="135">
        <f t="shared" si="58"/>
        <v>0.09</v>
      </c>
      <c r="Q188" s="135">
        <f t="shared" si="58"/>
        <v>0.09</v>
      </c>
      <c r="R188" s="135">
        <f t="shared" si="58"/>
        <v>0.09</v>
      </c>
      <c r="S188" s="135">
        <f t="shared" si="59"/>
        <v>0.09</v>
      </c>
      <c r="T188" s="135">
        <f t="shared" si="59"/>
        <v>0.09</v>
      </c>
      <c r="U188" s="135">
        <f t="shared" si="59"/>
        <v>0.09</v>
      </c>
      <c r="V188" s="135">
        <f t="shared" si="59"/>
        <v>0.09</v>
      </c>
      <c r="W188" s="135">
        <f t="shared" si="59"/>
        <v>0.09</v>
      </c>
      <c r="X188" s="135">
        <f t="shared" si="59"/>
        <v>0.09</v>
      </c>
      <c r="Y188" s="135">
        <f t="shared" si="59"/>
        <v>0.09</v>
      </c>
      <c r="Z188" s="135">
        <f t="shared" si="59"/>
        <v>0.09</v>
      </c>
      <c r="AA188" s="135">
        <f t="shared" si="59"/>
        <v>0.09</v>
      </c>
      <c r="AB188" s="135">
        <f t="shared" si="59"/>
        <v>0.09</v>
      </c>
      <c r="AC188" s="135">
        <f t="shared" si="59"/>
        <v>0.09</v>
      </c>
      <c r="AD188" s="135">
        <f t="shared" si="59"/>
        <v>0.09</v>
      </c>
      <c r="AE188" s="135">
        <f t="shared" si="59"/>
        <v>0.09</v>
      </c>
      <c r="AF188" s="135">
        <f t="shared" si="59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7"/>
        <v>0.04</v>
      </c>
      <c r="C189" s="52">
        <v>0.04</v>
      </c>
      <c r="D189" s="135">
        <f t="shared" si="58"/>
        <v>0.04</v>
      </c>
      <c r="E189" s="135">
        <f t="shared" si="58"/>
        <v>0.04</v>
      </c>
      <c r="F189" s="135">
        <f t="shared" si="58"/>
        <v>0.04</v>
      </c>
      <c r="G189" s="135">
        <f t="shared" si="58"/>
        <v>0.04</v>
      </c>
      <c r="H189" s="135">
        <f t="shared" si="58"/>
        <v>0.04</v>
      </c>
      <c r="I189" s="135">
        <f t="shared" si="58"/>
        <v>0.04</v>
      </c>
      <c r="J189" s="135">
        <f t="shared" si="58"/>
        <v>0.04</v>
      </c>
      <c r="K189" s="135">
        <f t="shared" si="58"/>
        <v>0.04</v>
      </c>
      <c r="L189" s="135">
        <f t="shared" si="58"/>
        <v>0.04</v>
      </c>
      <c r="M189" s="135">
        <f t="shared" si="58"/>
        <v>0.04</v>
      </c>
      <c r="N189" s="135">
        <f t="shared" si="58"/>
        <v>0.04</v>
      </c>
      <c r="O189" s="135">
        <f t="shared" si="58"/>
        <v>0.04</v>
      </c>
      <c r="P189" s="135">
        <f t="shared" si="58"/>
        <v>0.04</v>
      </c>
      <c r="Q189" s="135">
        <f t="shared" si="58"/>
        <v>0.04</v>
      </c>
      <c r="R189" s="135">
        <f t="shared" si="58"/>
        <v>0.04</v>
      </c>
      <c r="S189" s="135">
        <f t="shared" si="59"/>
        <v>0.04</v>
      </c>
      <c r="T189" s="135">
        <f t="shared" si="59"/>
        <v>0.04</v>
      </c>
      <c r="U189" s="135">
        <f t="shared" si="59"/>
        <v>0.04</v>
      </c>
      <c r="V189" s="135">
        <f t="shared" si="59"/>
        <v>0.04</v>
      </c>
      <c r="W189" s="135">
        <f t="shared" si="59"/>
        <v>0.04</v>
      </c>
      <c r="X189" s="135">
        <f t="shared" si="59"/>
        <v>0.04</v>
      </c>
      <c r="Y189" s="135">
        <f t="shared" si="59"/>
        <v>0.04</v>
      </c>
      <c r="Z189" s="135">
        <f t="shared" si="59"/>
        <v>0.04</v>
      </c>
      <c r="AA189" s="135">
        <f t="shared" si="59"/>
        <v>0.04</v>
      </c>
      <c r="AB189" s="135">
        <f t="shared" si="59"/>
        <v>0.04</v>
      </c>
      <c r="AC189" s="135">
        <f t="shared" si="59"/>
        <v>0.04</v>
      </c>
      <c r="AD189" s="135">
        <f t="shared" si="59"/>
        <v>0.04</v>
      </c>
      <c r="AE189" s="135">
        <f t="shared" si="59"/>
        <v>0.04</v>
      </c>
      <c r="AF189" s="135">
        <f t="shared" si="59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7"/>
        <v>2.3E-2</v>
      </c>
      <c r="C190" s="52">
        <v>2.3E-2</v>
      </c>
      <c r="D190" s="135">
        <f>C190</f>
        <v>2.3E-2</v>
      </c>
      <c r="E190" s="135">
        <f t="shared" si="58"/>
        <v>2.3E-2</v>
      </c>
      <c r="F190" s="135">
        <f t="shared" si="58"/>
        <v>2.3E-2</v>
      </c>
      <c r="G190" s="135">
        <f t="shared" si="58"/>
        <v>2.3E-2</v>
      </c>
      <c r="H190" s="135">
        <f t="shared" si="58"/>
        <v>2.3E-2</v>
      </c>
      <c r="I190" s="135">
        <f t="shared" si="58"/>
        <v>2.3E-2</v>
      </c>
      <c r="J190" s="135">
        <f t="shared" si="58"/>
        <v>2.3E-2</v>
      </c>
      <c r="K190" s="135">
        <f t="shared" si="58"/>
        <v>2.3E-2</v>
      </c>
      <c r="L190" s="135">
        <f t="shared" si="58"/>
        <v>2.3E-2</v>
      </c>
      <c r="M190" s="135">
        <f t="shared" si="58"/>
        <v>2.3E-2</v>
      </c>
      <c r="N190" s="135">
        <f t="shared" si="58"/>
        <v>2.3E-2</v>
      </c>
      <c r="O190" s="135">
        <f t="shared" si="58"/>
        <v>2.3E-2</v>
      </c>
      <c r="P190" s="135">
        <f t="shared" si="58"/>
        <v>2.3E-2</v>
      </c>
      <c r="Q190" s="135">
        <f t="shared" si="58"/>
        <v>2.3E-2</v>
      </c>
      <c r="R190" s="135">
        <f t="shared" si="58"/>
        <v>2.3E-2</v>
      </c>
      <c r="S190" s="135">
        <f t="shared" si="59"/>
        <v>2.3E-2</v>
      </c>
      <c r="T190" s="135">
        <f t="shared" si="59"/>
        <v>2.3E-2</v>
      </c>
      <c r="U190" s="135">
        <f t="shared" si="59"/>
        <v>2.3E-2</v>
      </c>
      <c r="V190" s="135">
        <f t="shared" si="59"/>
        <v>2.3E-2</v>
      </c>
      <c r="W190" s="135">
        <f t="shared" si="59"/>
        <v>2.3E-2</v>
      </c>
      <c r="X190" s="135">
        <f t="shared" si="59"/>
        <v>2.3E-2</v>
      </c>
      <c r="Y190" s="135">
        <f t="shared" si="59"/>
        <v>2.3E-2</v>
      </c>
      <c r="Z190" s="135">
        <f t="shared" si="59"/>
        <v>2.3E-2</v>
      </c>
      <c r="AA190" s="135">
        <f t="shared" si="59"/>
        <v>2.3E-2</v>
      </c>
      <c r="AB190" s="135">
        <f t="shared" si="59"/>
        <v>2.3E-2</v>
      </c>
      <c r="AC190" s="135">
        <f t="shared" si="59"/>
        <v>2.3E-2</v>
      </c>
      <c r="AD190" s="135">
        <f t="shared" si="59"/>
        <v>2.3E-2</v>
      </c>
      <c r="AE190" s="135">
        <f t="shared" si="59"/>
        <v>2.3E-2</v>
      </c>
      <c r="AF190" s="135">
        <f t="shared" si="59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60">SUM(C101:C190)</f>
        <v>194.70600000000002</v>
      </c>
      <c r="D191" s="140">
        <f t="shared" si="60"/>
        <v>194.70600000000002</v>
      </c>
      <c r="E191" s="140">
        <f t="shared" si="60"/>
        <v>194.70600000000002</v>
      </c>
      <c r="F191" s="140">
        <f t="shared" si="60"/>
        <v>194.70600000000002</v>
      </c>
      <c r="G191" s="140">
        <f t="shared" si="60"/>
        <v>194.70600000000002</v>
      </c>
      <c r="H191" s="140">
        <f t="shared" si="60"/>
        <v>194.70600000000002</v>
      </c>
      <c r="I191" s="140">
        <f t="shared" si="60"/>
        <v>194.70600000000002</v>
      </c>
      <c r="J191" s="140">
        <f t="shared" si="60"/>
        <v>192.10600000000005</v>
      </c>
      <c r="K191" s="140">
        <f t="shared" si="60"/>
        <v>192.10600000000005</v>
      </c>
      <c r="L191" s="140">
        <f t="shared" si="60"/>
        <v>192.10600000000005</v>
      </c>
      <c r="M191" s="140">
        <f t="shared" si="60"/>
        <v>192.10600000000005</v>
      </c>
      <c r="N191" s="140">
        <f t="shared" si="60"/>
        <v>192.10600000000005</v>
      </c>
      <c r="O191" s="140">
        <f t="shared" si="60"/>
        <v>192.10600000000005</v>
      </c>
      <c r="P191" s="140">
        <f t="shared" si="60"/>
        <v>192.10600000000005</v>
      </c>
      <c r="Q191" s="140">
        <f t="shared" si="60"/>
        <v>192.10600000000005</v>
      </c>
      <c r="R191" s="140">
        <f t="shared" si="60"/>
        <v>192.10600000000005</v>
      </c>
      <c r="S191" s="140">
        <f t="shared" si="60"/>
        <v>192.10600000000005</v>
      </c>
      <c r="T191" s="140">
        <f t="shared" si="60"/>
        <v>192.10600000000005</v>
      </c>
      <c r="U191" s="140">
        <f t="shared" si="60"/>
        <v>192.10600000000005</v>
      </c>
      <c r="V191" s="140">
        <f t="shared" si="60"/>
        <v>192.10600000000005</v>
      </c>
      <c r="W191" s="140">
        <f t="shared" si="60"/>
        <v>192.10600000000005</v>
      </c>
      <c r="X191" s="140">
        <f t="shared" si="60"/>
        <v>192.10600000000005</v>
      </c>
      <c r="Y191" s="140">
        <f t="shared" si="60"/>
        <v>192.10600000000005</v>
      </c>
      <c r="Z191" s="140">
        <f t="shared" si="60"/>
        <v>192.10600000000005</v>
      </c>
      <c r="AA191" s="140">
        <f t="shared" si="60"/>
        <v>192.10600000000005</v>
      </c>
      <c r="AB191" s="140">
        <f t="shared" si="60"/>
        <v>192.10600000000005</v>
      </c>
      <c r="AC191" s="140">
        <f t="shared" si="60"/>
        <v>192.10600000000005</v>
      </c>
      <c r="AD191" s="140">
        <f t="shared" si="60"/>
        <v>192.10600000000005</v>
      </c>
      <c r="AE191" s="140">
        <f t="shared" si="60"/>
        <v>192.10600000000005</v>
      </c>
      <c r="AF191" s="140">
        <f t="shared" si="60"/>
        <v>192.10600000000005</v>
      </c>
      <c r="AG191" s="141">
        <f t="shared" si="60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61">AF193</f>
        <v>0.3</v>
      </c>
      <c r="C193" s="142">
        <v>0.3</v>
      </c>
      <c r="D193" s="142">
        <f t="shared" ref="D193:S198" si="62">C193</f>
        <v>0.3</v>
      </c>
      <c r="E193" s="142">
        <f t="shared" si="62"/>
        <v>0.3</v>
      </c>
      <c r="F193" s="142">
        <f t="shared" si="62"/>
        <v>0.3</v>
      </c>
      <c r="G193" s="142">
        <f t="shared" si="62"/>
        <v>0.3</v>
      </c>
      <c r="H193" s="142">
        <f t="shared" si="62"/>
        <v>0.3</v>
      </c>
      <c r="I193" s="142">
        <f t="shared" si="62"/>
        <v>0.3</v>
      </c>
      <c r="J193" s="142">
        <f t="shared" si="62"/>
        <v>0.3</v>
      </c>
      <c r="K193" s="142">
        <f t="shared" si="62"/>
        <v>0.3</v>
      </c>
      <c r="L193" s="142">
        <f t="shared" si="62"/>
        <v>0.3</v>
      </c>
      <c r="M193" s="142">
        <f t="shared" si="62"/>
        <v>0.3</v>
      </c>
      <c r="N193" s="142">
        <f t="shared" si="62"/>
        <v>0.3</v>
      </c>
      <c r="O193" s="142">
        <f t="shared" si="62"/>
        <v>0.3</v>
      </c>
      <c r="P193" s="142">
        <f t="shared" si="62"/>
        <v>0.3</v>
      </c>
      <c r="Q193" s="142">
        <f t="shared" si="62"/>
        <v>0.3</v>
      </c>
      <c r="R193" s="142">
        <f t="shared" si="62"/>
        <v>0.3</v>
      </c>
      <c r="S193" s="142">
        <f t="shared" si="62"/>
        <v>0.3</v>
      </c>
      <c r="T193" s="142">
        <f t="shared" ref="T193:AF198" si="63">S193</f>
        <v>0.3</v>
      </c>
      <c r="U193" s="142">
        <f t="shared" si="63"/>
        <v>0.3</v>
      </c>
      <c r="V193" s="142">
        <f t="shared" si="63"/>
        <v>0.3</v>
      </c>
      <c r="W193" s="142">
        <f t="shared" si="63"/>
        <v>0.3</v>
      </c>
      <c r="X193" s="142">
        <f t="shared" si="63"/>
        <v>0.3</v>
      </c>
      <c r="Y193" s="142">
        <f t="shared" si="63"/>
        <v>0.3</v>
      </c>
      <c r="Z193" s="142">
        <f t="shared" si="63"/>
        <v>0.3</v>
      </c>
      <c r="AA193" s="142">
        <f t="shared" si="63"/>
        <v>0.3</v>
      </c>
      <c r="AB193" s="142">
        <f t="shared" si="63"/>
        <v>0.3</v>
      </c>
      <c r="AC193" s="142">
        <f t="shared" si="63"/>
        <v>0.3</v>
      </c>
      <c r="AD193" s="142">
        <f t="shared" si="63"/>
        <v>0.3</v>
      </c>
      <c r="AE193" s="142">
        <f t="shared" si="63"/>
        <v>0.3</v>
      </c>
      <c r="AF193" s="142">
        <f t="shared" si="63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61"/>
        <v>0.4</v>
      </c>
      <c r="C194" s="135">
        <v>0.4</v>
      </c>
      <c r="D194" s="135">
        <f t="shared" si="62"/>
        <v>0.4</v>
      </c>
      <c r="E194" s="135">
        <f t="shared" si="62"/>
        <v>0.4</v>
      </c>
      <c r="F194" s="135">
        <f t="shared" si="62"/>
        <v>0.4</v>
      </c>
      <c r="G194" s="135">
        <f t="shared" si="62"/>
        <v>0.4</v>
      </c>
      <c r="H194" s="135">
        <f t="shared" si="62"/>
        <v>0.4</v>
      </c>
      <c r="I194" s="135">
        <f t="shared" si="62"/>
        <v>0.4</v>
      </c>
      <c r="J194" s="135">
        <f t="shared" si="62"/>
        <v>0.4</v>
      </c>
      <c r="K194" s="135">
        <f t="shared" si="62"/>
        <v>0.4</v>
      </c>
      <c r="L194" s="135">
        <f t="shared" si="62"/>
        <v>0.4</v>
      </c>
      <c r="M194" s="135">
        <f t="shared" si="62"/>
        <v>0.4</v>
      </c>
      <c r="N194" s="135">
        <f t="shared" si="62"/>
        <v>0.4</v>
      </c>
      <c r="O194" s="135">
        <f t="shared" si="62"/>
        <v>0.4</v>
      </c>
      <c r="P194" s="135">
        <f t="shared" si="62"/>
        <v>0.4</v>
      </c>
      <c r="Q194" s="135">
        <f t="shared" si="62"/>
        <v>0.4</v>
      </c>
      <c r="R194" s="135">
        <f t="shared" si="62"/>
        <v>0.4</v>
      </c>
      <c r="S194" s="135">
        <f t="shared" si="62"/>
        <v>0.4</v>
      </c>
      <c r="T194" s="135">
        <f t="shared" si="63"/>
        <v>0.4</v>
      </c>
      <c r="U194" s="135">
        <f t="shared" si="63"/>
        <v>0.4</v>
      </c>
      <c r="V194" s="135">
        <f t="shared" si="63"/>
        <v>0.4</v>
      </c>
      <c r="W194" s="135">
        <f>V194</f>
        <v>0.4</v>
      </c>
      <c r="X194" s="135">
        <f>W194</f>
        <v>0.4</v>
      </c>
      <c r="Y194" s="135">
        <f t="shared" si="63"/>
        <v>0.4</v>
      </c>
      <c r="Z194" s="135">
        <f t="shared" si="63"/>
        <v>0.4</v>
      </c>
      <c r="AA194" s="135">
        <f t="shared" si="63"/>
        <v>0.4</v>
      </c>
      <c r="AB194" s="135">
        <f t="shared" si="63"/>
        <v>0.4</v>
      </c>
      <c r="AC194" s="135">
        <f t="shared" si="63"/>
        <v>0.4</v>
      </c>
      <c r="AD194" s="135">
        <f t="shared" si="63"/>
        <v>0.4</v>
      </c>
      <c r="AE194" s="135">
        <f t="shared" si="63"/>
        <v>0.4</v>
      </c>
      <c r="AF194" s="135">
        <f t="shared" si="63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61"/>
        <v>1.5</v>
      </c>
      <c r="C195" s="135">
        <v>1.5</v>
      </c>
      <c r="D195" s="135">
        <f t="shared" si="62"/>
        <v>1.5</v>
      </c>
      <c r="E195" s="135">
        <f t="shared" si="62"/>
        <v>1.5</v>
      </c>
      <c r="F195" s="135">
        <f t="shared" si="62"/>
        <v>1.5</v>
      </c>
      <c r="G195" s="135">
        <f t="shared" si="62"/>
        <v>1.5</v>
      </c>
      <c r="H195" s="135">
        <f t="shared" si="62"/>
        <v>1.5</v>
      </c>
      <c r="I195" s="135">
        <f t="shared" si="62"/>
        <v>1.5</v>
      </c>
      <c r="J195" s="135">
        <f t="shared" si="62"/>
        <v>1.5</v>
      </c>
      <c r="K195" s="135">
        <f t="shared" si="62"/>
        <v>1.5</v>
      </c>
      <c r="L195" s="135">
        <f t="shared" si="62"/>
        <v>1.5</v>
      </c>
      <c r="M195" s="135">
        <f t="shared" si="62"/>
        <v>1.5</v>
      </c>
      <c r="N195" s="135">
        <f t="shared" si="62"/>
        <v>1.5</v>
      </c>
      <c r="O195" s="135">
        <f t="shared" si="62"/>
        <v>1.5</v>
      </c>
      <c r="P195" s="135">
        <f t="shared" si="62"/>
        <v>1.5</v>
      </c>
      <c r="Q195" s="135">
        <f t="shared" si="62"/>
        <v>1.5</v>
      </c>
      <c r="R195" s="135">
        <f t="shared" si="62"/>
        <v>1.5</v>
      </c>
      <c r="S195" s="135">
        <f t="shared" si="62"/>
        <v>1.5</v>
      </c>
      <c r="T195" s="135">
        <f t="shared" si="63"/>
        <v>1.5</v>
      </c>
      <c r="U195" s="135">
        <f t="shared" si="63"/>
        <v>1.5</v>
      </c>
      <c r="V195" s="135">
        <f t="shared" si="63"/>
        <v>1.5</v>
      </c>
      <c r="W195" s="135">
        <f t="shared" si="63"/>
        <v>1.5</v>
      </c>
      <c r="X195" s="135">
        <f t="shared" si="63"/>
        <v>1.5</v>
      </c>
      <c r="Y195" s="135">
        <f t="shared" si="63"/>
        <v>1.5</v>
      </c>
      <c r="Z195" s="135">
        <f t="shared" si="63"/>
        <v>1.5</v>
      </c>
      <c r="AA195" s="135">
        <f t="shared" si="63"/>
        <v>1.5</v>
      </c>
      <c r="AB195" s="135">
        <f t="shared" si="63"/>
        <v>1.5</v>
      </c>
      <c r="AC195" s="135">
        <f t="shared" si="63"/>
        <v>1.5</v>
      </c>
      <c r="AD195" s="135">
        <f t="shared" si="63"/>
        <v>1.5</v>
      </c>
      <c r="AE195" s="135">
        <f t="shared" si="63"/>
        <v>1.5</v>
      </c>
      <c r="AF195" s="135">
        <f t="shared" si="63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61"/>
        <v>0.3</v>
      </c>
      <c r="C196" s="135">
        <v>0.3</v>
      </c>
      <c r="D196" s="135">
        <f t="shared" si="62"/>
        <v>0.3</v>
      </c>
      <c r="E196" s="135">
        <f t="shared" si="62"/>
        <v>0.3</v>
      </c>
      <c r="F196" s="135">
        <f t="shared" si="62"/>
        <v>0.3</v>
      </c>
      <c r="G196" s="135">
        <f t="shared" si="62"/>
        <v>0.3</v>
      </c>
      <c r="H196" s="135">
        <f t="shared" si="62"/>
        <v>0.3</v>
      </c>
      <c r="I196" s="135">
        <f t="shared" si="62"/>
        <v>0.3</v>
      </c>
      <c r="J196" s="135">
        <f t="shared" si="62"/>
        <v>0.3</v>
      </c>
      <c r="K196" s="135">
        <f t="shared" si="62"/>
        <v>0.3</v>
      </c>
      <c r="L196" s="135">
        <f t="shared" si="62"/>
        <v>0.3</v>
      </c>
      <c r="M196" s="135">
        <f t="shared" si="62"/>
        <v>0.3</v>
      </c>
      <c r="N196" s="135">
        <f t="shared" si="62"/>
        <v>0.3</v>
      </c>
      <c r="O196" s="135">
        <f t="shared" si="62"/>
        <v>0.3</v>
      </c>
      <c r="P196" s="135">
        <f t="shared" si="62"/>
        <v>0.3</v>
      </c>
      <c r="Q196" s="135">
        <f t="shared" si="62"/>
        <v>0.3</v>
      </c>
      <c r="R196" s="135">
        <f t="shared" si="62"/>
        <v>0.3</v>
      </c>
      <c r="S196" s="135">
        <f t="shared" si="62"/>
        <v>0.3</v>
      </c>
      <c r="T196" s="135">
        <f t="shared" si="63"/>
        <v>0.3</v>
      </c>
      <c r="U196" s="135">
        <f t="shared" si="63"/>
        <v>0.3</v>
      </c>
      <c r="V196" s="135">
        <f t="shared" si="63"/>
        <v>0.3</v>
      </c>
      <c r="W196" s="135">
        <f t="shared" si="63"/>
        <v>0.3</v>
      </c>
      <c r="X196" s="135">
        <f t="shared" si="63"/>
        <v>0.3</v>
      </c>
      <c r="Y196" s="135">
        <f t="shared" si="63"/>
        <v>0.3</v>
      </c>
      <c r="Z196" s="135">
        <f t="shared" si="63"/>
        <v>0.3</v>
      </c>
      <c r="AA196" s="135">
        <f t="shared" si="63"/>
        <v>0.3</v>
      </c>
      <c r="AB196" s="135">
        <f t="shared" si="63"/>
        <v>0.3</v>
      </c>
      <c r="AC196" s="135">
        <f t="shared" si="63"/>
        <v>0.3</v>
      </c>
      <c r="AD196" s="135">
        <f t="shared" si="63"/>
        <v>0.3</v>
      </c>
      <c r="AE196" s="135">
        <f t="shared" si="63"/>
        <v>0.3</v>
      </c>
      <c r="AF196" s="135">
        <f t="shared" si="63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61"/>
        <v>0.4</v>
      </c>
      <c r="C197" s="135">
        <v>0.4</v>
      </c>
      <c r="D197" s="135">
        <f t="shared" si="62"/>
        <v>0.4</v>
      </c>
      <c r="E197" s="135">
        <f t="shared" si="62"/>
        <v>0.4</v>
      </c>
      <c r="F197" s="135">
        <f t="shared" si="62"/>
        <v>0.4</v>
      </c>
      <c r="G197" s="135">
        <f t="shared" si="62"/>
        <v>0.4</v>
      </c>
      <c r="H197" s="135">
        <f t="shared" si="62"/>
        <v>0.4</v>
      </c>
      <c r="I197" s="135">
        <f t="shared" si="62"/>
        <v>0.4</v>
      </c>
      <c r="J197" s="135">
        <f t="shared" si="62"/>
        <v>0.4</v>
      </c>
      <c r="K197" s="135">
        <f t="shared" si="62"/>
        <v>0.4</v>
      </c>
      <c r="L197" s="135">
        <f t="shared" si="62"/>
        <v>0.4</v>
      </c>
      <c r="M197" s="135">
        <f t="shared" si="62"/>
        <v>0.4</v>
      </c>
      <c r="N197" s="135">
        <f t="shared" si="62"/>
        <v>0.4</v>
      </c>
      <c r="O197" s="135">
        <f t="shared" si="62"/>
        <v>0.4</v>
      </c>
      <c r="P197" s="135">
        <f t="shared" si="62"/>
        <v>0.4</v>
      </c>
      <c r="Q197" s="135">
        <f t="shared" si="62"/>
        <v>0.4</v>
      </c>
      <c r="R197" s="135">
        <f t="shared" si="62"/>
        <v>0.4</v>
      </c>
      <c r="S197" s="135">
        <f t="shared" si="62"/>
        <v>0.4</v>
      </c>
      <c r="T197" s="135">
        <f t="shared" si="63"/>
        <v>0.4</v>
      </c>
      <c r="U197" s="135">
        <f t="shared" si="63"/>
        <v>0.4</v>
      </c>
      <c r="V197" s="135">
        <f t="shared" si="63"/>
        <v>0.4</v>
      </c>
      <c r="W197" s="135">
        <f t="shared" si="63"/>
        <v>0.4</v>
      </c>
      <c r="X197" s="135">
        <f t="shared" si="63"/>
        <v>0.4</v>
      </c>
      <c r="Y197" s="135">
        <f t="shared" si="63"/>
        <v>0.4</v>
      </c>
      <c r="Z197" s="135">
        <f t="shared" si="63"/>
        <v>0.4</v>
      </c>
      <c r="AA197" s="135">
        <f t="shared" si="63"/>
        <v>0.4</v>
      </c>
      <c r="AB197" s="135">
        <f t="shared" si="63"/>
        <v>0.4</v>
      </c>
      <c r="AC197" s="135">
        <f t="shared" si="63"/>
        <v>0.4</v>
      </c>
      <c r="AD197" s="135">
        <f t="shared" si="63"/>
        <v>0.4</v>
      </c>
      <c r="AE197" s="135">
        <f t="shared" si="63"/>
        <v>0.4</v>
      </c>
      <c r="AF197" s="135">
        <f t="shared" si="63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61"/>
        <v>0.64</v>
      </c>
      <c r="C198" s="145">
        <v>0.64</v>
      </c>
      <c r="D198" s="145">
        <f t="shared" si="62"/>
        <v>0.64</v>
      </c>
      <c r="E198" s="145">
        <f t="shared" si="62"/>
        <v>0.64</v>
      </c>
      <c r="F198" s="145">
        <f t="shared" si="62"/>
        <v>0.64</v>
      </c>
      <c r="G198" s="145">
        <f t="shared" si="62"/>
        <v>0.64</v>
      </c>
      <c r="H198" s="145">
        <f t="shared" si="62"/>
        <v>0.64</v>
      </c>
      <c r="I198" s="145">
        <f t="shared" si="62"/>
        <v>0.64</v>
      </c>
      <c r="J198" s="145">
        <f t="shared" si="62"/>
        <v>0.64</v>
      </c>
      <c r="K198" s="145">
        <f t="shared" si="62"/>
        <v>0.64</v>
      </c>
      <c r="L198" s="145">
        <f t="shared" si="62"/>
        <v>0.64</v>
      </c>
      <c r="M198" s="145">
        <f t="shared" si="62"/>
        <v>0.64</v>
      </c>
      <c r="N198" s="145">
        <f t="shared" si="62"/>
        <v>0.64</v>
      </c>
      <c r="O198" s="145">
        <f t="shared" si="62"/>
        <v>0.64</v>
      </c>
      <c r="P198" s="145">
        <f t="shared" si="62"/>
        <v>0.64</v>
      </c>
      <c r="Q198" s="145">
        <f t="shared" si="62"/>
        <v>0.64</v>
      </c>
      <c r="R198" s="145">
        <f t="shared" si="62"/>
        <v>0.64</v>
      </c>
      <c r="S198" s="145">
        <f t="shared" si="62"/>
        <v>0.64</v>
      </c>
      <c r="T198" s="145">
        <f t="shared" si="63"/>
        <v>0.64</v>
      </c>
      <c r="U198" s="145">
        <f t="shared" si="63"/>
        <v>0.64</v>
      </c>
      <c r="V198" s="145">
        <f t="shared" si="63"/>
        <v>0.64</v>
      </c>
      <c r="W198" s="145">
        <f t="shared" si="63"/>
        <v>0.64</v>
      </c>
      <c r="X198" s="145">
        <f t="shared" si="63"/>
        <v>0.64</v>
      </c>
      <c r="Y198" s="145">
        <f t="shared" si="63"/>
        <v>0.64</v>
      </c>
      <c r="Z198" s="145">
        <f t="shared" si="63"/>
        <v>0.64</v>
      </c>
      <c r="AA198" s="145">
        <f t="shared" si="63"/>
        <v>0.64</v>
      </c>
      <c r="AB198" s="145">
        <f t="shared" si="63"/>
        <v>0.64</v>
      </c>
      <c r="AC198" s="145">
        <f t="shared" si="63"/>
        <v>0.64</v>
      </c>
      <c r="AD198" s="145">
        <f t="shared" si="63"/>
        <v>0.64</v>
      </c>
      <c r="AE198" s="145">
        <f t="shared" si="63"/>
        <v>0.64</v>
      </c>
      <c r="AF198" s="145">
        <f t="shared" si="63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64">SUM(D193:D198)</f>
        <v>3.54</v>
      </c>
      <c r="E199" s="148">
        <f t="shared" si="64"/>
        <v>3.54</v>
      </c>
      <c r="F199" s="148">
        <f t="shared" si="64"/>
        <v>3.54</v>
      </c>
      <c r="G199" s="148">
        <f t="shared" si="64"/>
        <v>3.54</v>
      </c>
      <c r="H199" s="148">
        <f t="shared" si="64"/>
        <v>3.54</v>
      </c>
      <c r="I199" s="148">
        <f t="shared" si="64"/>
        <v>3.54</v>
      </c>
      <c r="J199" s="148">
        <f t="shared" si="64"/>
        <v>3.54</v>
      </c>
      <c r="K199" s="148">
        <f t="shared" si="64"/>
        <v>3.54</v>
      </c>
      <c r="L199" s="148">
        <f t="shared" si="64"/>
        <v>3.54</v>
      </c>
      <c r="M199" s="148">
        <f>SUM(M193:M198)</f>
        <v>3.54</v>
      </c>
      <c r="N199" s="148">
        <f t="shared" ref="N199:S199" si="65">SUM(N193:N198)</f>
        <v>3.54</v>
      </c>
      <c r="O199" s="148">
        <f t="shared" si="65"/>
        <v>3.54</v>
      </c>
      <c r="P199" s="148">
        <f t="shared" si="65"/>
        <v>3.54</v>
      </c>
      <c r="Q199" s="148">
        <f t="shared" si="65"/>
        <v>3.54</v>
      </c>
      <c r="R199" s="148">
        <f t="shared" si="65"/>
        <v>3.54</v>
      </c>
      <c r="S199" s="148">
        <f t="shared" si="65"/>
        <v>3.54</v>
      </c>
      <c r="T199" s="148">
        <f>SUM(T193:T198)</f>
        <v>3.54</v>
      </c>
      <c r="U199" s="148">
        <f t="shared" ref="U199:AG199" si="66">SUM(U193:U198)</f>
        <v>3.54</v>
      </c>
      <c r="V199" s="148">
        <f t="shared" si="66"/>
        <v>3.54</v>
      </c>
      <c r="W199" s="148">
        <f t="shared" si="66"/>
        <v>3.54</v>
      </c>
      <c r="X199" s="148">
        <f t="shared" si="66"/>
        <v>3.54</v>
      </c>
      <c r="Y199" s="148">
        <f t="shared" si="66"/>
        <v>3.54</v>
      </c>
      <c r="Z199" s="148">
        <f t="shared" si="66"/>
        <v>3.54</v>
      </c>
      <c r="AA199" s="148">
        <f t="shared" si="66"/>
        <v>3.54</v>
      </c>
      <c r="AB199" s="148">
        <f t="shared" si="66"/>
        <v>3.54</v>
      </c>
      <c r="AC199" s="148">
        <f t="shared" si="66"/>
        <v>3.54</v>
      </c>
      <c r="AD199" s="148">
        <f t="shared" si="66"/>
        <v>3.54</v>
      </c>
      <c r="AE199" s="148">
        <f t="shared" si="66"/>
        <v>3.54</v>
      </c>
      <c r="AF199" s="148">
        <f t="shared" si="66"/>
        <v>3.54</v>
      </c>
      <c r="AG199" s="149">
        <f t="shared" si="66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1471.74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2078/10/15)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7">B75</f>
        <v>991.83999999999992</v>
      </c>
      <c r="U213" s="173">
        <f t="shared" si="67"/>
        <v>962.83999999999992</v>
      </c>
      <c r="V213" s="173">
        <f t="shared" si="67"/>
        <v>912.54</v>
      </c>
      <c r="W213" s="173">
        <f t="shared" si="67"/>
        <v>938.74</v>
      </c>
      <c r="X213" s="173">
        <f t="shared" si="67"/>
        <v>917.33999999999992</v>
      </c>
      <c r="Y213" s="173">
        <f t="shared" si="67"/>
        <v>951.44</v>
      </c>
      <c r="Z213" s="173">
        <f t="shared" si="67"/>
        <v>1011.44</v>
      </c>
      <c r="AA213" s="173">
        <f t="shared" si="67"/>
        <v>1050.74</v>
      </c>
      <c r="AB213" s="173">
        <f t="shared" si="67"/>
        <v>1178.44</v>
      </c>
      <c r="AC213" s="173">
        <f t="shared" si="67"/>
        <v>1281.54</v>
      </c>
      <c r="AD213" s="173">
        <f t="shared" si="67"/>
        <v>1352.3400000000001</v>
      </c>
      <c r="AE213" s="173">
        <f t="shared" si="67"/>
        <v>1424.74</v>
      </c>
      <c r="AF213" s="173">
        <f t="shared" si="67"/>
        <v>1471.74</v>
      </c>
      <c r="AG213" s="173">
        <f t="shared" si="67"/>
        <v>1401.54</v>
      </c>
      <c r="AH213" s="173">
        <f t="shared" si="67"/>
        <v>1296.8400000000001</v>
      </c>
      <c r="AI213" s="173">
        <f t="shared" si="67"/>
        <v>1165.6400000000001</v>
      </c>
      <c r="AJ213" s="173">
        <f t="shared" si="67"/>
        <v>1065.74</v>
      </c>
      <c r="AK213" s="173">
        <f t="shared" si="67"/>
        <v>1089.6399999999999</v>
      </c>
      <c r="AL213" s="173">
        <f t="shared" si="67"/>
        <v>1086.54</v>
      </c>
      <c r="AM213" s="173">
        <f t="shared" si="67"/>
        <v>1121.24</v>
      </c>
      <c r="AN213" s="173">
        <f t="shared" si="67"/>
        <v>1225.1399999999999</v>
      </c>
      <c r="AO213" s="173">
        <f t="shared" si="67"/>
        <v>1314.24</v>
      </c>
      <c r="AP213" s="173">
        <f t="shared" si="67"/>
        <v>1476.54</v>
      </c>
      <c r="AQ213" s="173">
        <f t="shared" si="67"/>
        <v>1619.7400000000002</v>
      </c>
      <c r="AR213" s="173">
        <f t="shared" si="67"/>
        <v>1580.3400000000001</v>
      </c>
      <c r="AS213" s="173">
        <f t="shared" si="67"/>
        <v>1540.94</v>
      </c>
      <c r="AT213" s="173">
        <f t="shared" si="67"/>
        <v>1454.04</v>
      </c>
      <c r="AU213" s="173">
        <f t="shared" si="67"/>
        <v>1429.7399999999998</v>
      </c>
      <c r="AV213" s="173">
        <f t="shared" si="67"/>
        <v>1335.54</v>
      </c>
      <c r="AW213" s="173">
        <f t="shared" si="67"/>
        <v>1067.04</v>
      </c>
      <c r="AX213" s="173">
        <f t="shared" si="67"/>
        <v>962.24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8">C198</f>
        <v>0.64</v>
      </c>
      <c r="C234" s="176">
        <f t="shared" si="68"/>
        <v>0.64</v>
      </c>
      <c r="D234" s="176">
        <f t="shared" si="68"/>
        <v>0.64</v>
      </c>
      <c r="E234" s="176">
        <f t="shared" si="68"/>
        <v>0.64</v>
      </c>
      <c r="F234" s="176">
        <f t="shared" si="68"/>
        <v>0.64</v>
      </c>
      <c r="G234" s="176">
        <f t="shared" si="68"/>
        <v>0.64</v>
      </c>
      <c r="H234" s="176">
        <f t="shared" si="68"/>
        <v>0.64</v>
      </c>
      <c r="I234" s="176">
        <f t="shared" si="68"/>
        <v>0.64</v>
      </c>
      <c r="J234" s="176">
        <f t="shared" si="68"/>
        <v>0.64</v>
      </c>
      <c r="K234" s="176">
        <f t="shared" si="68"/>
        <v>0.64</v>
      </c>
      <c r="L234" s="176">
        <f t="shared" si="68"/>
        <v>0.64</v>
      </c>
      <c r="M234" s="176">
        <f t="shared" si="68"/>
        <v>0.64</v>
      </c>
      <c r="N234" s="176">
        <f t="shared" si="68"/>
        <v>0.64</v>
      </c>
      <c r="O234" s="176">
        <f t="shared" si="68"/>
        <v>0.64</v>
      </c>
      <c r="P234" s="176">
        <f t="shared" si="68"/>
        <v>0.64</v>
      </c>
      <c r="Q234" s="176">
        <f t="shared" si="68"/>
        <v>0.64</v>
      </c>
      <c r="R234" s="176">
        <f t="shared" si="68"/>
        <v>0.64</v>
      </c>
      <c r="S234" s="176">
        <f t="shared" si="68"/>
        <v>0.64</v>
      </c>
      <c r="T234" s="176">
        <f t="shared" si="68"/>
        <v>0.64</v>
      </c>
      <c r="U234" s="176">
        <f t="shared" si="68"/>
        <v>0.64</v>
      </c>
      <c r="V234" s="176">
        <f t="shared" si="68"/>
        <v>0.64</v>
      </c>
      <c r="W234" s="176">
        <f t="shared" si="68"/>
        <v>0.64</v>
      </c>
      <c r="X234" s="176">
        <f t="shared" si="68"/>
        <v>0.64</v>
      </c>
      <c r="Y234" s="176">
        <f t="shared" si="68"/>
        <v>0.64</v>
      </c>
      <c r="Z234" s="176">
        <f t="shared" si="68"/>
        <v>0.64</v>
      </c>
      <c r="AA234" s="176">
        <f t="shared" si="68"/>
        <v>0.64</v>
      </c>
      <c r="AB234" s="176">
        <f t="shared" si="68"/>
        <v>0.64</v>
      </c>
      <c r="AC234" s="176">
        <f t="shared" si="68"/>
        <v>0.64</v>
      </c>
      <c r="AD234" s="176">
        <f t="shared" si="68"/>
        <v>0.64</v>
      </c>
      <c r="AE234" s="176">
        <f t="shared" si="68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9">IF(C202&lt;100,"",C202-520)</f>
        <v/>
      </c>
      <c r="D235" s="119" t="str">
        <f t="shared" si="69"/>
        <v/>
      </c>
      <c r="E235" s="119" t="str">
        <f t="shared" si="69"/>
        <v/>
      </c>
      <c r="F235" s="119" t="str">
        <f t="shared" si="69"/>
        <v/>
      </c>
      <c r="G235" s="119" t="str">
        <f t="shared" si="69"/>
        <v/>
      </c>
      <c r="H235" s="119" t="str">
        <f t="shared" si="69"/>
        <v/>
      </c>
      <c r="I235" s="119" t="str">
        <f t="shared" si="69"/>
        <v/>
      </c>
      <c r="J235" s="119" t="str">
        <f t="shared" si="69"/>
        <v/>
      </c>
      <c r="K235" s="119" t="str">
        <f t="shared" si="69"/>
        <v/>
      </c>
      <c r="L235" s="119" t="str">
        <f t="shared" si="69"/>
        <v/>
      </c>
      <c r="M235" s="119" t="str">
        <f t="shared" si="69"/>
        <v/>
      </c>
      <c r="N235" s="119" t="str">
        <f t="shared" si="69"/>
        <v/>
      </c>
      <c r="O235" s="119" t="str">
        <f t="shared" si="69"/>
        <v/>
      </c>
      <c r="P235" s="119" t="str">
        <f t="shared" si="69"/>
        <v/>
      </c>
      <c r="Q235" s="119" t="str">
        <f t="shared" si="69"/>
        <v/>
      </c>
      <c r="R235" s="119" t="str">
        <f t="shared" si="69"/>
        <v/>
      </c>
      <c r="S235" s="119" t="str">
        <f t="shared" si="69"/>
        <v/>
      </c>
      <c r="T235" s="119" t="str">
        <f t="shared" si="69"/>
        <v/>
      </c>
      <c r="U235" s="119" t="str">
        <f t="shared" si="69"/>
        <v/>
      </c>
      <c r="V235" s="119" t="str">
        <f t="shared" si="69"/>
        <v/>
      </c>
      <c r="W235" s="119" t="str">
        <f t="shared" si="69"/>
        <v/>
      </c>
      <c r="X235" s="119" t="str">
        <f t="shared" si="69"/>
        <v/>
      </c>
      <c r="Y235" s="119" t="str">
        <f t="shared" si="69"/>
        <v/>
      </c>
      <c r="Z235" s="119" t="str">
        <f t="shared" si="69"/>
        <v/>
      </c>
      <c r="AA235" s="119" t="str">
        <f t="shared" si="69"/>
        <v/>
      </c>
      <c r="AB235" s="119" t="str">
        <f t="shared" si="69"/>
        <v/>
      </c>
      <c r="AC235" s="119" t="str">
        <f t="shared" si="69"/>
        <v/>
      </c>
      <c r="AD235" s="119" t="str">
        <f t="shared" si="69"/>
        <v/>
      </c>
      <c r="AE235" s="119" t="str">
        <f t="shared" si="69"/>
        <v/>
      </c>
      <c r="AF235" s="119" t="str">
        <f t="shared" si="69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70">IF(B203&lt;100,"",B203-620)</f>
        <v/>
      </c>
      <c r="C236" s="119" t="str">
        <f t="shared" si="70"/>
        <v/>
      </c>
      <c r="D236" s="119" t="str">
        <f t="shared" si="70"/>
        <v/>
      </c>
      <c r="E236" s="119" t="str">
        <f t="shared" si="70"/>
        <v/>
      </c>
      <c r="F236" s="119" t="str">
        <f t="shared" si="70"/>
        <v/>
      </c>
      <c r="G236" s="119" t="str">
        <f t="shared" si="70"/>
        <v/>
      </c>
      <c r="H236" s="119" t="str">
        <f t="shared" si="70"/>
        <v/>
      </c>
      <c r="I236" s="119" t="str">
        <f t="shared" si="70"/>
        <v/>
      </c>
      <c r="J236" s="119" t="str">
        <f t="shared" si="70"/>
        <v/>
      </c>
      <c r="K236" s="119" t="str">
        <f t="shared" si="70"/>
        <v/>
      </c>
      <c r="L236" s="119" t="str">
        <f t="shared" si="70"/>
        <v/>
      </c>
      <c r="M236" s="119" t="str">
        <f t="shared" si="70"/>
        <v/>
      </c>
      <c r="N236" s="119" t="str">
        <f t="shared" si="70"/>
        <v/>
      </c>
      <c r="O236" s="119" t="str">
        <f t="shared" si="70"/>
        <v/>
      </c>
      <c r="P236" s="119" t="str">
        <f t="shared" si="70"/>
        <v/>
      </c>
      <c r="Q236" s="119" t="str">
        <f t="shared" si="70"/>
        <v/>
      </c>
      <c r="R236" s="119" t="str">
        <f t="shared" si="70"/>
        <v/>
      </c>
      <c r="S236" s="119" t="str">
        <f t="shared" si="70"/>
        <v/>
      </c>
      <c r="T236" s="119" t="str">
        <f t="shared" si="70"/>
        <v/>
      </c>
      <c r="U236" s="119" t="str">
        <f t="shared" si="70"/>
        <v/>
      </c>
      <c r="V236" s="119" t="str">
        <f t="shared" si="70"/>
        <v/>
      </c>
      <c r="W236" s="119" t="str">
        <f t="shared" si="70"/>
        <v/>
      </c>
      <c r="X236" s="119" t="str">
        <f t="shared" si="70"/>
        <v/>
      </c>
      <c r="Y236" s="119" t="str">
        <f t="shared" si="70"/>
        <v/>
      </c>
      <c r="Z236" s="119" t="str">
        <f t="shared" si="70"/>
        <v/>
      </c>
      <c r="AA236" s="119" t="str">
        <f t="shared" si="70"/>
        <v/>
      </c>
      <c r="AB236" s="119" t="str">
        <f t="shared" si="70"/>
        <v/>
      </c>
      <c r="AC236" s="119" t="str">
        <f t="shared" si="70"/>
        <v/>
      </c>
      <c r="AD236" s="119" t="str">
        <f t="shared" si="70"/>
        <v/>
      </c>
      <c r="AE236" s="119" t="str">
        <f t="shared" si="70"/>
        <v/>
      </c>
      <c r="AF236" s="119" t="str">
        <f t="shared" si="70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71">IF(B204&lt;100,"",B204-330)</f>
        <v/>
      </c>
      <c r="C237" s="119" t="str">
        <f t="shared" si="71"/>
        <v/>
      </c>
      <c r="D237" s="119" t="str">
        <f t="shared" si="71"/>
        <v/>
      </c>
      <c r="E237" s="119" t="str">
        <f t="shared" si="71"/>
        <v/>
      </c>
      <c r="F237" s="119" t="str">
        <f t="shared" si="71"/>
        <v/>
      </c>
      <c r="G237" s="119" t="str">
        <f t="shared" si="71"/>
        <v/>
      </c>
      <c r="H237" s="119" t="str">
        <f t="shared" si="71"/>
        <v/>
      </c>
      <c r="I237" s="119" t="str">
        <f t="shared" si="71"/>
        <v/>
      </c>
      <c r="J237" s="119" t="str">
        <f t="shared" si="71"/>
        <v/>
      </c>
      <c r="K237" s="119" t="str">
        <f t="shared" si="71"/>
        <v/>
      </c>
      <c r="L237" s="119" t="str">
        <f t="shared" si="71"/>
        <v/>
      </c>
      <c r="M237" s="119" t="str">
        <f t="shared" si="71"/>
        <v/>
      </c>
      <c r="N237" s="119" t="str">
        <f t="shared" si="71"/>
        <v/>
      </c>
      <c r="O237" s="119" t="str">
        <f t="shared" si="71"/>
        <v/>
      </c>
      <c r="P237" s="119" t="str">
        <f t="shared" si="71"/>
        <v/>
      </c>
      <c r="Q237" s="119" t="str">
        <f t="shared" si="71"/>
        <v/>
      </c>
      <c r="R237" s="119" t="str">
        <f t="shared" si="71"/>
        <v/>
      </c>
      <c r="S237" s="119" t="str">
        <f t="shared" si="71"/>
        <v/>
      </c>
      <c r="T237" s="119" t="str">
        <f t="shared" si="71"/>
        <v/>
      </c>
      <c r="U237" s="119" t="str">
        <f t="shared" si="71"/>
        <v/>
      </c>
      <c r="V237" s="119" t="str">
        <f t="shared" si="71"/>
        <v/>
      </c>
      <c r="W237" s="119" t="str">
        <f t="shared" si="71"/>
        <v/>
      </c>
      <c r="X237" s="119" t="str">
        <f t="shared" si="71"/>
        <v/>
      </c>
      <c r="Y237" s="119" t="str">
        <f t="shared" si="71"/>
        <v/>
      </c>
      <c r="Z237" s="119" t="str">
        <f t="shared" si="71"/>
        <v/>
      </c>
      <c r="AA237" s="119" t="str">
        <f t="shared" si="71"/>
        <v/>
      </c>
      <c r="AB237" s="119" t="str">
        <f t="shared" si="71"/>
        <v/>
      </c>
      <c r="AC237" s="119" t="str">
        <f t="shared" si="71"/>
        <v/>
      </c>
      <c r="AD237" s="119" t="str">
        <f t="shared" si="71"/>
        <v/>
      </c>
      <c r="AE237" s="119" t="str">
        <f t="shared" si="71"/>
        <v/>
      </c>
      <c r="AF237" s="119" t="str">
        <f t="shared" si="71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72">IF(C205&lt;100,"",C205-1500)</f>
        <v/>
      </c>
      <c r="D238" s="119" t="str">
        <f t="shared" si="72"/>
        <v/>
      </c>
      <c r="E238" s="119" t="str">
        <f t="shared" si="72"/>
        <v/>
      </c>
      <c r="F238" s="119" t="str">
        <f t="shared" si="72"/>
        <v/>
      </c>
      <c r="G238" s="119" t="str">
        <f t="shared" si="72"/>
        <v/>
      </c>
      <c r="H238" s="119" t="str">
        <f t="shared" si="72"/>
        <v/>
      </c>
      <c r="I238" s="119" t="str">
        <f t="shared" si="72"/>
        <v/>
      </c>
      <c r="J238" s="119" t="str">
        <f t="shared" si="72"/>
        <v/>
      </c>
      <c r="K238" s="119" t="str">
        <f t="shared" si="72"/>
        <v/>
      </c>
      <c r="L238" s="119" t="str">
        <f t="shared" si="72"/>
        <v/>
      </c>
      <c r="M238" s="119" t="str">
        <f t="shared" si="72"/>
        <v/>
      </c>
      <c r="N238" s="119" t="str">
        <f t="shared" si="72"/>
        <v/>
      </c>
      <c r="O238" s="119" t="str">
        <f t="shared" si="72"/>
        <v/>
      </c>
      <c r="P238" s="119" t="str">
        <f t="shared" si="72"/>
        <v/>
      </c>
      <c r="Q238" s="119" t="str">
        <f t="shared" si="72"/>
        <v/>
      </c>
      <c r="R238" s="119" t="str">
        <f t="shared" si="72"/>
        <v/>
      </c>
      <c r="S238" s="119" t="str">
        <f t="shared" si="72"/>
        <v/>
      </c>
      <c r="T238" s="119" t="str">
        <f t="shared" si="72"/>
        <v/>
      </c>
      <c r="U238" s="119" t="str">
        <f t="shared" si="72"/>
        <v/>
      </c>
      <c r="V238" s="119" t="str">
        <f t="shared" si="72"/>
        <v/>
      </c>
      <c r="W238" s="119" t="str">
        <f t="shared" si="72"/>
        <v/>
      </c>
      <c r="X238" s="119" t="str">
        <f t="shared" si="72"/>
        <v/>
      </c>
      <c r="Y238" s="119" t="str">
        <f t="shared" si="72"/>
        <v/>
      </c>
      <c r="Z238" s="119" t="str">
        <f t="shared" si="72"/>
        <v/>
      </c>
      <c r="AA238" s="119" t="str">
        <f t="shared" si="72"/>
        <v/>
      </c>
      <c r="AB238" s="119" t="str">
        <f t="shared" si="72"/>
        <v/>
      </c>
      <c r="AC238" s="119" t="str">
        <f t="shared" si="72"/>
        <v/>
      </c>
      <c r="AD238" s="119" t="str">
        <f t="shared" si="72"/>
        <v/>
      </c>
      <c r="AE238" s="119" t="str">
        <f t="shared" si="72"/>
        <v/>
      </c>
      <c r="AF238" s="119" t="str">
        <f t="shared" si="72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6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67">
      <iconSet iconSet="3TrafficLights2" reverse="1">
        <cfvo type="percent" val="0"/>
        <cfvo type="num" val="1"/>
        <cfvo type="num" val="1"/>
      </iconSet>
    </cfRule>
  </conditionalFormatting>
  <conditionalFormatting sqref="P39:R39 N39:O42 F61:L61 P40:Q42 R42 M11:T11 N58:W59 R40:X41 X91:AA91 Z40:AE43 AB81:AF81 C56:L60 D193:AF199 B193:B199 C68:L72 B84:B91 B73:L83 B9:AF10 B191:AF191 AF57:AF67 B36 AG73 AB94:AF99 B94:B99 U212:AF212 B53:B72 C61:E67 F36:L36 N68:X80 N53:X56 N81:R81 Q46:R46 N45:R45 R47:R48 S45:S48 N60:S67 N12:T14 T64:T67 N37:U37 U42:X42 W36:X36 U11:X14 O16:X25 Z68:AF80 X85:X90 Z85:AA90 Y56 Y68 Y73 Y75:Y80 N82:AF83 Z11:AE11 Z53:AF56 AB16:AF26 AB28:AF31 AA36:AF36 AB12:AF14 T46:AF46 AB84:AF91">
    <cfRule type="expression" dxfId="7112" priority="563">
      <formula>B$9&gt;=20/24</formula>
    </cfRule>
    <cfRule type="expression" dxfId="7111" priority="564">
      <formula>AND(B$9&gt;=14/24,B$9&lt;20/24)</formula>
    </cfRule>
    <cfRule type="expression" dxfId="7110" priority="565">
      <formula>AND(B$9&gt;=8/24,B$9&lt;14/24)</formula>
    </cfRule>
    <cfRule type="expression" dxfId="7109" priority="566">
      <formula>B$9&lt;8/24</formula>
    </cfRule>
  </conditionalFormatting>
  <conditionalFormatting sqref="AL4:AL6">
    <cfRule type="iconSet" priority="562">
      <iconSet iconSet="3TrafficLights2" reverse="1">
        <cfvo type="percent" val="0"/>
        <cfvo type="num" val="1"/>
        <cfvo type="num" val="1"/>
      </iconSet>
    </cfRule>
  </conditionalFormatting>
  <conditionalFormatting sqref="N57:R57">
    <cfRule type="expression" dxfId="7108" priority="558">
      <formula>N$9&gt;=20/24</formula>
    </cfRule>
    <cfRule type="expression" dxfId="7107" priority="559">
      <formula>AND(N$9&gt;=14/24,N$9&lt;20/24)</formula>
    </cfRule>
    <cfRule type="expression" dxfId="7106" priority="560">
      <formula>AND(N$9&gt;=8/24,N$9&lt;14/24)</formula>
    </cfRule>
    <cfRule type="expression" dxfId="7105" priority="561">
      <formula>N$9&lt;8/24</formula>
    </cfRule>
  </conditionalFormatting>
  <conditionalFormatting sqref="N43:S43">
    <cfRule type="expression" dxfId="7104" priority="554">
      <formula>N$9&gt;=20/24</formula>
    </cfRule>
    <cfRule type="expression" dxfId="7103" priority="555">
      <formula>AND(N$9&gt;=14/24,N$9&lt;20/24)</formula>
    </cfRule>
    <cfRule type="expression" dxfId="7102" priority="556">
      <formula>AND(N$9&gt;=8/24,N$9&lt;14/24)</formula>
    </cfRule>
    <cfRule type="expression" dxfId="7101" priority="557">
      <formula>N$9&lt;8/24</formula>
    </cfRule>
  </conditionalFormatting>
  <conditionalFormatting sqref="AB32:AF32">
    <cfRule type="expression" dxfId="7100" priority="550">
      <formula>AB$9&gt;=20/24</formula>
    </cfRule>
    <cfRule type="expression" dxfId="7099" priority="551">
      <formula>AND(AB$9&gt;=14/24,AB$9&lt;20/24)</formula>
    </cfRule>
    <cfRule type="expression" dxfId="7098" priority="552">
      <formula>AND(AB$9&gt;=8/24,AB$9&lt;14/24)</formula>
    </cfRule>
    <cfRule type="expression" dxfId="7097" priority="553">
      <formula>AB$9&lt;8/24</formula>
    </cfRule>
  </conditionalFormatting>
  <conditionalFormatting sqref="S39:X39 Z39:AE39">
    <cfRule type="expression" dxfId="7096" priority="546">
      <formula>S$9&gt;=20/24</formula>
    </cfRule>
    <cfRule type="expression" dxfId="7095" priority="547">
      <formula>AND(S$9&gt;=14/24,S$9&lt;20/24)</formula>
    </cfRule>
    <cfRule type="expression" dxfId="7094" priority="548">
      <formula>AND(S$9&gt;=8/24,S$9&lt;14/24)</formula>
    </cfRule>
    <cfRule type="expression" dxfId="7093" priority="549">
      <formula>S$9&lt;8/24</formula>
    </cfRule>
  </conditionalFormatting>
  <conditionalFormatting sqref="S57:X57 Z57:AE57">
    <cfRule type="expression" dxfId="7092" priority="542">
      <formula>S$9&gt;=20/24</formula>
    </cfRule>
    <cfRule type="expression" dxfId="7091" priority="543">
      <formula>AND(S$9&gt;=14/24,S$9&lt;20/24)</formula>
    </cfRule>
    <cfRule type="expression" dxfId="7090" priority="544">
      <formula>AND(S$9&gt;=8/24,S$9&lt;14/24)</formula>
    </cfRule>
    <cfRule type="expression" dxfId="7089" priority="545">
      <formula>S$9&lt;8/24</formula>
    </cfRule>
  </conditionalFormatting>
  <conditionalFormatting sqref="S81:X81 Z81:AA81">
    <cfRule type="expression" dxfId="7088" priority="538">
      <formula>S$9&gt;=20/24</formula>
    </cfRule>
    <cfRule type="expression" dxfId="7087" priority="539">
      <formula>AND(S$9&gt;=14/24,S$9&lt;20/24)</formula>
    </cfRule>
    <cfRule type="expression" dxfId="7086" priority="540">
      <formula>AND(S$9&gt;=8/24,S$9&lt;14/24)</formula>
    </cfRule>
    <cfRule type="expression" dxfId="7085" priority="541">
      <formula>S$9&lt;8/24</formula>
    </cfRule>
  </conditionalFormatting>
  <conditionalFormatting sqref="U84:X84 Z84:AA84">
    <cfRule type="expression" dxfId="7084" priority="534">
      <formula>U$9&gt;=20/24</formula>
    </cfRule>
    <cfRule type="expression" dxfId="7083" priority="535">
      <formula>AND(U$9&gt;=14/24,U$9&lt;20/24)</formula>
    </cfRule>
    <cfRule type="expression" dxfId="7082" priority="536">
      <formula>AND(U$9&gt;=8/24,U$9&lt;14/24)</formula>
    </cfRule>
    <cfRule type="expression" dxfId="7081" priority="537">
      <formula>U$9&lt;8/24</formula>
    </cfRule>
  </conditionalFormatting>
  <conditionalFormatting sqref="Q49:T49">
    <cfRule type="expression" dxfId="7080" priority="526">
      <formula>Q$9&gt;=20/24</formula>
    </cfRule>
    <cfRule type="expression" dxfId="7079" priority="527">
      <formula>AND(Q$9&gt;=14/24,Q$9&lt;20/24)</formula>
    </cfRule>
    <cfRule type="expression" dxfId="7078" priority="528">
      <formula>AND(Q$9&gt;=8/24,Q$9&lt;14/24)</formula>
    </cfRule>
    <cfRule type="expression" dxfId="7077" priority="529">
      <formula>Q$9&lt;8/24</formula>
    </cfRule>
  </conditionalFormatting>
  <conditionalFormatting sqref="R50:S50">
    <cfRule type="expression" dxfId="7076" priority="522">
      <formula>R$9&gt;=20/24</formula>
    </cfRule>
    <cfRule type="expression" dxfId="7075" priority="523">
      <formula>AND(R$9&gt;=14/24,R$9&lt;20/24)</formula>
    </cfRule>
    <cfRule type="expression" dxfId="7074" priority="524">
      <formula>AND(R$9&gt;=8/24,R$9&lt;14/24)</formula>
    </cfRule>
    <cfRule type="expression" dxfId="7073" priority="525">
      <formula>R$9&lt;8/24</formula>
    </cfRule>
  </conditionalFormatting>
  <conditionalFormatting sqref="Q46:R46 N45:R45 R47:R48 S45:S48 T46:AF46">
    <cfRule type="expression" dxfId="7072" priority="518">
      <formula>N$9&gt;=20/24</formula>
    </cfRule>
    <cfRule type="expression" dxfId="7071" priority="519">
      <formula>AND(N$9&gt;=14/24,N$9&lt;20/24)</formula>
    </cfRule>
    <cfRule type="expression" dxfId="7070" priority="520">
      <formula>AND(N$9&gt;=8/24,N$9&lt;14/24)</formula>
    </cfRule>
    <cfRule type="expression" dxfId="7069" priority="521">
      <formula>N$9&lt;8/24</formula>
    </cfRule>
  </conditionalFormatting>
  <conditionalFormatting sqref="V37:X37 Z37:AE37">
    <cfRule type="expression" dxfId="7068" priority="514">
      <formula>V$9&gt;=20/24</formula>
    </cfRule>
    <cfRule type="expression" dxfId="7067" priority="515">
      <formula>AND(V$9&gt;=14/24,V$9&lt;20/24)</formula>
    </cfRule>
    <cfRule type="expression" dxfId="7066" priority="516">
      <formula>AND(V$9&gt;=8/24,V$9&lt;14/24)</formula>
    </cfRule>
    <cfRule type="expression" dxfId="7065" priority="517">
      <formula>V$9&lt;8/24</formula>
    </cfRule>
  </conditionalFormatting>
  <conditionalFormatting sqref="AB35:AF35">
    <cfRule type="expression" dxfId="7064" priority="510">
      <formula>AB$9&gt;=20/24</formula>
    </cfRule>
    <cfRule type="expression" dxfId="7063" priority="511">
      <formula>AND(AB$9&gt;=14/24,AB$9&lt;20/24)</formula>
    </cfRule>
    <cfRule type="expression" dxfId="7062" priority="512">
      <formula>AND(AB$9&gt;=8/24,AB$9&lt;14/24)</formula>
    </cfRule>
    <cfRule type="expression" dxfId="7061" priority="513">
      <formula>AB$9&lt;8/24</formula>
    </cfRule>
  </conditionalFormatting>
  <conditionalFormatting sqref="S42:T42 T45:X45 T43:X43 T47:X48 AA45:AC45 AA47:AC48 AC45:AF48">
    <cfRule type="expression" dxfId="7060" priority="506">
      <formula>S$9&gt;=20/24</formula>
    </cfRule>
    <cfRule type="expression" dxfId="7059" priority="507">
      <formula>AND(S$9&gt;=14/24,S$9&lt;20/24)</formula>
    </cfRule>
    <cfRule type="expression" dxfId="7058" priority="508">
      <formula>AND(S$9&gt;=8/24,S$9&lt;14/24)</formula>
    </cfRule>
    <cfRule type="expression" dxfId="7057" priority="509">
      <formula>S$9&lt;8/24</formula>
    </cfRule>
  </conditionalFormatting>
  <conditionalFormatting sqref="T49:X49 AA49:AF49">
    <cfRule type="expression" dxfId="7056" priority="502">
      <formula>T$9&gt;=20/24</formula>
    </cfRule>
    <cfRule type="expression" dxfId="7055" priority="503">
      <formula>AND(T$9&gt;=14/24,T$9&lt;20/24)</formula>
    </cfRule>
    <cfRule type="expression" dxfId="7054" priority="504">
      <formula>AND(T$9&gt;=8/24,T$9&lt;14/24)</formula>
    </cfRule>
    <cfRule type="expression" dxfId="7053" priority="505">
      <formula>T$9&lt;8/24</formula>
    </cfRule>
  </conditionalFormatting>
  <conditionalFormatting sqref="T50:X50 AA50:AF50">
    <cfRule type="expression" dxfId="7052" priority="498">
      <formula>T$9&gt;=20/24</formula>
    </cfRule>
    <cfRule type="expression" dxfId="7051" priority="499">
      <formula>AND(T$9&gt;=14/24,T$9&lt;20/24)</formula>
    </cfRule>
    <cfRule type="expression" dxfId="7050" priority="500">
      <formula>AND(T$9&gt;=8/24,T$9&lt;14/24)</formula>
    </cfRule>
    <cfRule type="expression" dxfId="7049" priority="501">
      <formula>T$9&lt;8/24</formula>
    </cfRule>
  </conditionalFormatting>
  <conditionalFormatting sqref="T60:T63 X60:X61 Z60:AE61 Z62:AA63 AB62:AE67">
    <cfRule type="expression" dxfId="7048" priority="494">
      <formula>T$9&gt;=20/24</formula>
    </cfRule>
    <cfRule type="expression" dxfId="7047" priority="495">
      <formula>AND(T$9&gt;=14/24,T$9&lt;20/24)</formula>
    </cfRule>
    <cfRule type="expression" dxfId="7046" priority="496">
      <formula>AND(T$9&gt;=8/24,T$9&lt;14/24)</formula>
    </cfRule>
    <cfRule type="expression" dxfId="7045" priority="497">
      <formula>T$9&lt;8/24</formula>
    </cfRule>
  </conditionalFormatting>
  <conditionalFormatting sqref="F62:I62 J62:L67">
    <cfRule type="expression" dxfId="7044" priority="490">
      <formula>F$9&gt;=20/24</formula>
    </cfRule>
    <cfRule type="expression" dxfId="7043" priority="491">
      <formula>AND(F$9&gt;=14/24,F$9&lt;20/24)</formula>
    </cfRule>
    <cfRule type="expression" dxfId="7042" priority="492">
      <formula>AND(F$9&gt;=8/24,F$9&lt;14/24)</formula>
    </cfRule>
    <cfRule type="expression" dxfId="7041" priority="493">
      <formula>F$9&lt;8/24</formula>
    </cfRule>
  </conditionalFormatting>
  <conditionalFormatting sqref="U94:X97 Z94:AA97">
    <cfRule type="expression" dxfId="7040" priority="486">
      <formula>U$9&gt;=20/24</formula>
    </cfRule>
    <cfRule type="expression" dxfId="7039" priority="487">
      <formula>AND(U$9&gt;=14/24,U$9&lt;20/24)</formula>
    </cfRule>
    <cfRule type="expression" dxfId="7038" priority="488">
      <formula>AND(U$9&gt;=8/24,U$9&lt;14/24)</formula>
    </cfRule>
    <cfRule type="expression" dxfId="7037" priority="489">
      <formula>U$9&lt;8/24</formula>
    </cfRule>
  </conditionalFormatting>
  <conditionalFormatting sqref="B11:B15 B52:L56 C51:L51 B36 B43 D43:D44 C17 B42:D42 F42:L42 M11:T11 F36:L36 C11:L14 B37:L41 C16:L16 G43:L44 N51:X56 Q49:R49 R47:R48 R50 N12:T14 N37:X45 W36:X36 U11:X14 O16:X25 Z37:AF43 Z51:AG51 Y38 Y52 Y56 AA36:AB36 AA44:AC44 AB34:AB35 AA47:AA50 S47:X50 Q46:AA46 AA45 Z11:AF11 AB45:AC50 Z52:AF56 AC34:AF36 AB12:AF32 AD44:AF50">
    <cfRule type="expression" dxfId="7036" priority="485">
      <formula>B11&gt;$AG11</formula>
    </cfRule>
  </conditionalFormatting>
  <conditionalFormatting sqref="A100:A156 A84:A97 A11:A14 A16:A32 A45:A72 A80:A82 A74:A78 A35:A43 A169:A199">
    <cfRule type="expression" dxfId="7035" priority="484">
      <formula>$AH11=0</formula>
    </cfRule>
  </conditionalFormatting>
  <conditionalFormatting sqref="U98:X98 Z98:AA98">
    <cfRule type="expression" dxfId="7034" priority="480">
      <formula>U$9&gt;=20/24</formula>
    </cfRule>
    <cfRule type="expression" dxfId="7033" priority="481">
      <formula>AND(U$9&gt;=14/24,U$9&lt;20/24)</formula>
    </cfRule>
    <cfRule type="expression" dxfId="7032" priority="482">
      <formula>AND(U$9&gt;=8/24,U$9&lt;14/24)</formula>
    </cfRule>
    <cfRule type="expression" dxfId="7031" priority="483">
      <formula>U$9&lt;8/24</formula>
    </cfRule>
  </conditionalFormatting>
  <conditionalFormatting sqref="A98">
    <cfRule type="expression" dxfId="7030" priority="479">
      <formula>$AH98=0</formula>
    </cfRule>
  </conditionalFormatting>
  <conditionalFormatting sqref="F63:I67">
    <cfRule type="expression" dxfId="7029" priority="471">
      <formula>F$9&gt;=20/24</formula>
    </cfRule>
    <cfRule type="expression" dxfId="7028" priority="472">
      <formula>AND(F$9&gt;=14/24,F$9&lt;20/24)</formula>
    </cfRule>
    <cfRule type="expression" dxfId="7027" priority="473">
      <formula>AND(F$9&gt;=8/24,F$9&lt;14/24)</formula>
    </cfRule>
    <cfRule type="expression" dxfId="7026" priority="474">
      <formula>F$9&lt;8/24</formula>
    </cfRule>
  </conditionalFormatting>
  <conditionalFormatting sqref="AL32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7025" priority="462">
      <formula>AB$9&gt;=20/24</formula>
    </cfRule>
    <cfRule type="expression" dxfId="7024" priority="463">
      <formula>AND(AB$9&gt;=14/24,AB$9&lt;20/24)</formula>
    </cfRule>
    <cfRule type="expression" dxfId="7023" priority="464">
      <formula>AND(AB$9&gt;=8/24,AB$9&lt;14/24)</formula>
    </cfRule>
    <cfRule type="expression" dxfId="7022" priority="465">
      <formula>AB$9&lt;8/24</formula>
    </cfRule>
  </conditionalFormatting>
  <conditionalFormatting sqref="A34">
    <cfRule type="expression" dxfId="7021" priority="453">
      <formula>$AH34=0</formula>
    </cfRule>
  </conditionalFormatting>
  <conditionalFormatting sqref="A83">
    <cfRule type="expression" dxfId="7020" priority="452">
      <formula>$AH83=0</formula>
    </cfRule>
  </conditionalFormatting>
  <conditionalFormatting sqref="AB15:AF15">
    <cfRule type="expression" dxfId="7019" priority="448">
      <formula>AB$9&gt;=20/24</formula>
    </cfRule>
    <cfRule type="expression" dxfId="7018" priority="449">
      <formula>AND(AB$9&gt;=14/24,AB$9&lt;20/24)</formula>
    </cfRule>
    <cfRule type="expression" dxfId="7017" priority="450">
      <formula>AND(AB$9&gt;=8/24,AB$9&lt;14/24)</formula>
    </cfRule>
    <cfRule type="expression" dxfId="7016" priority="451">
      <formula>AB$9&lt;8/24</formula>
    </cfRule>
  </conditionalFormatting>
  <conditionalFormatting sqref="N15:X15">
    <cfRule type="expression" dxfId="7015" priority="444">
      <formula>N$9&gt;=20/24</formula>
    </cfRule>
    <cfRule type="expression" dxfId="7014" priority="445">
      <formula>AND(N$9&gt;=14/24,N$9&lt;20/24)</formula>
    </cfRule>
    <cfRule type="expression" dxfId="7013" priority="446">
      <formula>AND(N$9&gt;=8/24,N$9&lt;14/24)</formula>
    </cfRule>
    <cfRule type="expression" dxfId="7012" priority="447">
      <formula>N$9&lt;8/24</formula>
    </cfRule>
  </conditionalFormatting>
  <conditionalFormatting sqref="C15:L15 N15:X15">
    <cfRule type="expression" dxfId="7011" priority="443">
      <formula>C15&gt;$AG15</formula>
    </cfRule>
  </conditionalFormatting>
  <conditionalFormatting sqref="A15">
    <cfRule type="expression" dxfId="7010" priority="442">
      <formula>$AH15=0</formula>
    </cfRule>
  </conditionalFormatting>
  <conditionalFormatting sqref="A163:A168">
    <cfRule type="expression" dxfId="7009" priority="441">
      <formula>$AH163=0</formula>
    </cfRule>
  </conditionalFormatting>
  <conditionalFormatting sqref="A157:A162">
    <cfRule type="expression" dxfId="7008" priority="440">
      <formula>$AH157=0</formula>
    </cfRule>
  </conditionalFormatting>
  <conditionalFormatting sqref="AA44:AE44">
    <cfRule type="expression" dxfId="7007" priority="436">
      <formula>AA$9&gt;=20/24</formula>
    </cfRule>
    <cfRule type="expression" dxfId="7006" priority="437">
      <formula>AND(AA$9&gt;=14/24,AA$9&lt;20/24)</formula>
    </cfRule>
    <cfRule type="expression" dxfId="7005" priority="438">
      <formula>AND(AA$9&gt;=8/24,AA$9&lt;14/24)</formula>
    </cfRule>
    <cfRule type="expression" dxfId="7004" priority="439">
      <formula>AA$9&lt;8/24</formula>
    </cfRule>
  </conditionalFormatting>
  <conditionalFormatting sqref="N44:S44">
    <cfRule type="expression" dxfId="7003" priority="432">
      <formula>N$9&gt;=20/24</formula>
    </cfRule>
    <cfRule type="expression" dxfId="7002" priority="433">
      <formula>AND(N$9&gt;=14/24,N$9&lt;20/24)</formula>
    </cfRule>
    <cfRule type="expression" dxfId="7001" priority="434">
      <formula>AND(N$9&gt;=8/24,N$9&lt;14/24)</formula>
    </cfRule>
    <cfRule type="expression" dxfId="7000" priority="435">
      <formula>N$9&lt;8/24</formula>
    </cfRule>
  </conditionalFormatting>
  <conditionalFormatting sqref="T44:X44">
    <cfRule type="expression" dxfId="6999" priority="428">
      <formula>T$9&gt;=20/24</formula>
    </cfRule>
    <cfRule type="expression" dxfId="6998" priority="429">
      <formula>AND(T$9&gt;=14/24,T$9&lt;20/24)</formula>
    </cfRule>
    <cfRule type="expression" dxfId="6997" priority="430">
      <formula>AND(T$9&gt;=8/24,T$9&lt;14/24)</formula>
    </cfRule>
    <cfRule type="expression" dxfId="6996" priority="431">
      <formula>T$9&lt;8/24</formula>
    </cfRule>
  </conditionalFormatting>
  <conditionalFormatting sqref="A44">
    <cfRule type="expression" dxfId="6995" priority="427">
      <formula>$AH44=0</formula>
    </cfRule>
  </conditionalFormatting>
  <conditionalFormatting sqref="A79">
    <cfRule type="expression" dxfId="6994" priority="426">
      <formula>$AH79=0</formula>
    </cfRule>
  </conditionalFormatting>
  <conditionalFormatting sqref="A73">
    <cfRule type="expression" dxfId="6993" priority="425">
      <formula>$AH73=0</formula>
    </cfRule>
  </conditionalFormatting>
  <conditionalFormatting sqref="AL34:AL35 AL7:AL31">
    <cfRule type="iconSet" priority="569">
      <iconSet iconSet="3TrafficLights2" reverse="1">
        <cfvo type="percent" val="0"/>
        <cfvo type="num" val="1"/>
        <cfvo type="num" val="1"/>
      </iconSet>
    </cfRule>
  </conditionalFormatting>
  <conditionalFormatting sqref="U60:W67 X62:X67">
    <cfRule type="expression" dxfId="6992" priority="421">
      <formula>U$9&gt;=20/24</formula>
    </cfRule>
    <cfRule type="expression" dxfId="6991" priority="422">
      <formula>AND(U$9&gt;=14/24,U$9&lt;20/24)</formula>
    </cfRule>
    <cfRule type="expression" dxfId="6990" priority="423">
      <formula>AND(U$9&gt;=8/24,U$9&lt;14/24)</formula>
    </cfRule>
    <cfRule type="expression" dxfId="6989" priority="424">
      <formula>U$9&lt;8/24</formula>
    </cfRule>
  </conditionalFormatting>
  <conditionalFormatting sqref="U85:W91">
    <cfRule type="expression" dxfId="6988" priority="417">
      <formula>U$9&gt;=20/24</formula>
    </cfRule>
    <cfRule type="expression" dxfId="6987" priority="418">
      <formula>AND(U$9&gt;=14/24,U$9&lt;20/24)</formula>
    </cfRule>
    <cfRule type="expression" dxfId="6986" priority="419">
      <formula>AND(U$9&gt;=8/24,U$9&lt;14/24)</formula>
    </cfRule>
    <cfRule type="expression" dxfId="6985" priority="420">
      <formula>U$9&lt;8/24</formula>
    </cfRule>
  </conditionalFormatting>
  <conditionalFormatting sqref="S85:T91 C84:L91 N84:R91">
    <cfRule type="expression" dxfId="6984" priority="413">
      <formula>C$9&gt;=20/24</formula>
    </cfRule>
    <cfRule type="expression" dxfId="6983" priority="414">
      <formula>AND(C$9&gt;=14/24,C$9&lt;20/24)</formula>
    </cfRule>
    <cfRule type="expression" dxfId="6982" priority="415">
      <formula>AND(C$9&gt;=8/24,C$9&lt;14/24)</formula>
    </cfRule>
    <cfRule type="expression" dxfId="6981" priority="416">
      <formula>C$9&lt;8/24</formula>
    </cfRule>
  </conditionalFormatting>
  <conditionalFormatting sqref="S84:T84">
    <cfRule type="expression" dxfId="6980" priority="409">
      <formula>S$9&gt;=20/24</formula>
    </cfRule>
    <cfRule type="expression" dxfId="6979" priority="410">
      <formula>AND(S$9&gt;=14/24,S$9&lt;20/24)</formula>
    </cfRule>
    <cfRule type="expression" dxfId="6978" priority="411">
      <formula>AND(S$9&gt;=8/24,S$9&lt;14/24)</formula>
    </cfRule>
    <cfRule type="expression" dxfId="6977" priority="412">
      <formula>S$9&lt;8/24</formula>
    </cfRule>
  </conditionalFormatting>
  <conditionalFormatting sqref="C95:L97 C94:F94">
    <cfRule type="expression" dxfId="6976" priority="405">
      <formula>C$9&gt;=20/24</formula>
    </cfRule>
    <cfRule type="expression" dxfId="6975" priority="406">
      <formula>AND(C$9&gt;=14/24,C$9&lt;20/24)</formula>
    </cfRule>
    <cfRule type="expression" dxfId="6974" priority="407">
      <formula>AND(C$9&gt;=8/24,C$9&lt;14/24)</formula>
    </cfRule>
    <cfRule type="expression" dxfId="6973" priority="408">
      <formula>C$9&lt;8/24</formula>
    </cfRule>
  </conditionalFormatting>
  <conditionalFormatting sqref="N95:R97 O94:R94">
    <cfRule type="expression" dxfId="6972" priority="401">
      <formula>N$9&gt;=20/24</formula>
    </cfRule>
    <cfRule type="expression" dxfId="6971" priority="402">
      <formula>AND(N$9&gt;=14/24,N$9&lt;20/24)</formula>
    </cfRule>
    <cfRule type="expression" dxfId="6970" priority="403">
      <formula>AND(N$9&gt;=8/24,N$9&lt;14/24)</formula>
    </cfRule>
    <cfRule type="expression" dxfId="6969" priority="404">
      <formula>N$9&lt;8/24</formula>
    </cfRule>
  </conditionalFormatting>
  <conditionalFormatting sqref="S94:T97">
    <cfRule type="expression" dxfId="6968" priority="397">
      <formula>S$9&gt;=20/24</formula>
    </cfRule>
    <cfRule type="expression" dxfId="6967" priority="398">
      <formula>AND(S$9&gt;=14/24,S$9&lt;20/24)</formula>
    </cfRule>
    <cfRule type="expression" dxfId="6966" priority="399">
      <formula>AND(S$9&gt;=8/24,S$9&lt;14/24)</formula>
    </cfRule>
    <cfRule type="expression" dxfId="6965" priority="400">
      <formula>S$9&lt;8/24</formula>
    </cfRule>
  </conditionalFormatting>
  <conditionalFormatting sqref="C98:L98">
    <cfRule type="expression" dxfId="6964" priority="393">
      <formula>C$9&gt;=20/24</formula>
    </cfRule>
    <cfRule type="expression" dxfId="6963" priority="394">
      <formula>AND(C$9&gt;=14/24,C$9&lt;20/24)</formula>
    </cfRule>
    <cfRule type="expression" dxfId="6962" priority="395">
      <formula>AND(C$9&gt;=8/24,C$9&lt;14/24)</formula>
    </cfRule>
    <cfRule type="expression" dxfId="6961" priority="396">
      <formula>C$9&lt;8/24</formula>
    </cfRule>
  </conditionalFormatting>
  <conditionalFormatting sqref="N98:R98">
    <cfRule type="expression" dxfId="6960" priority="389">
      <formula>N$9&gt;=20/24</formula>
    </cfRule>
    <cfRule type="expression" dxfId="6959" priority="390">
      <formula>AND(N$9&gt;=14/24,N$9&lt;20/24)</formula>
    </cfRule>
    <cfRule type="expression" dxfId="6958" priority="391">
      <formula>AND(N$9&gt;=8/24,N$9&lt;14/24)</formula>
    </cfRule>
    <cfRule type="expression" dxfId="6957" priority="392">
      <formula>N$9&lt;8/24</formula>
    </cfRule>
  </conditionalFormatting>
  <conditionalFormatting sqref="S98:T98">
    <cfRule type="expression" dxfId="6956" priority="385">
      <formula>S$9&gt;=20/24</formula>
    </cfRule>
    <cfRule type="expression" dxfId="6955" priority="386">
      <formula>AND(S$9&gt;=14/24,S$9&lt;20/24)</formula>
    </cfRule>
    <cfRule type="expression" dxfId="6954" priority="387">
      <formula>AND(S$9&gt;=8/24,S$9&lt;14/24)</formula>
    </cfRule>
    <cfRule type="expression" dxfId="6953" priority="388">
      <formula>S$9&lt;8/24</formula>
    </cfRule>
  </conditionalFormatting>
  <conditionalFormatting sqref="N94">
    <cfRule type="expression" dxfId="6952" priority="381">
      <formula>N$9&gt;=20/24</formula>
    </cfRule>
    <cfRule type="expression" dxfId="6951" priority="382">
      <formula>AND(N$9&gt;=14/24,N$9&lt;20/24)</formula>
    </cfRule>
    <cfRule type="expression" dxfId="6950" priority="383">
      <formula>AND(N$9&gt;=8/24,N$9&lt;14/24)</formula>
    </cfRule>
    <cfRule type="expression" dxfId="6949" priority="384">
      <formula>N$9&lt;8/24</formula>
    </cfRule>
  </conditionalFormatting>
  <conditionalFormatting sqref="G94:L94">
    <cfRule type="expression" dxfId="6948" priority="377">
      <formula>G$9&gt;=20/24</formula>
    </cfRule>
    <cfRule type="expression" dxfId="6947" priority="378">
      <formula>AND(G$9&gt;=14/24,G$9&lt;20/24)</formula>
    </cfRule>
    <cfRule type="expression" dxfId="6946" priority="379">
      <formula>AND(G$9&gt;=8/24,G$9&lt;14/24)</formula>
    </cfRule>
    <cfRule type="expression" dxfId="6945" priority="380">
      <formula>G$9&lt;8/24</formula>
    </cfRule>
  </conditionalFormatting>
  <conditionalFormatting sqref="U94:W94">
    <cfRule type="expression" dxfId="6944" priority="373">
      <formula>U$9&gt;=20/24</formula>
    </cfRule>
    <cfRule type="expression" dxfId="6943" priority="374">
      <formula>AND(U$9&gt;=14/24,U$9&lt;20/24)</formula>
    </cfRule>
    <cfRule type="expression" dxfId="6942" priority="375">
      <formula>AND(U$9&gt;=8/24,U$9&lt;14/24)</formula>
    </cfRule>
    <cfRule type="expression" dxfId="6941" priority="376">
      <formula>U$9&lt;8/24</formula>
    </cfRule>
  </conditionalFormatting>
  <conditionalFormatting sqref="N94:T94">
    <cfRule type="expression" dxfId="6940" priority="369">
      <formula>N$9&gt;=20/24</formula>
    </cfRule>
    <cfRule type="expression" dxfId="6939" priority="370">
      <formula>AND(N$9&gt;=14/24,N$9&lt;20/24)</formula>
    </cfRule>
    <cfRule type="expression" dxfId="6938" priority="371">
      <formula>AND(N$9&gt;=8/24,N$9&lt;14/24)</formula>
    </cfRule>
    <cfRule type="expression" dxfId="6937" priority="372">
      <formula>N$9&lt;8/24</formula>
    </cfRule>
  </conditionalFormatting>
  <conditionalFormatting sqref="U99:X99 Z99:AA99">
    <cfRule type="expression" dxfId="6936" priority="365">
      <formula>U$9&gt;=20/24</formula>
    </cfRule>
    <cfRule type="expression" dxfId="6935" priority="366">
      <formula>AND(U$9&gt;=14/24,U$9&lt;20/24)</formula>
    </cfRule>
    <cfRule type="expression" dxfId="6934" priority="367">
      <formula>AND(U$9&gt;=8/24,U$9&lt;14/24)</formula>
    </cfRule>
    <cfRule type="expression" dxfId="6933" priority="368">
      <formula>U$9&lt;8/24</formula>
    </cfRule>
  </conditionalFormatting>
  <conditionalFormatting sqref="C99:L99">
    <cfRule type="expression" dxfId="6932" priority="361">
      <formula>C$9&gt;=20/24</formula>
    </cfRule>
    <cfRule type="expression" dxfId="6931" priority="362">
      <formula>AND(C$9&gt;=14/24,C$9&lt;20/24)</formula>
    </cfRule>
    <cfRule type="expression" dxfId="6930" priority="363">
      <formula>AND(C$9&gt;=8/24,C$9&lt;14/24)</formula>
    </cfRule>
    <cfRule type="expression" dxfId="6929" priority="364">
      <formula>C$9&lt;8/24</formula>
    </cfRule>
  </conditionalFormatting>
  <conditionalFormatting sqref="N99:R99">
    <cfRule type="expression" dxfId="6928" priority="357">
      <formula>N$9&gt;=20/24</formula>
    </cfRule>
    <cfRule type="expression" dxfId="6927" priority="358">
      <formula>AND(N$9&gt;=14/24,N$9&lt;20/24)</formula>
    </cfRule>
    <cfRule type="expression" dxfId="6926" priority="359">
      <formula>AND(N$9&gt;=8/24,N$9&lt;14/24)</formula>
    </cfRule>
    <cfRule type="expression" dxfId="6925" priority="360">
      <formula>N$9&lt;8/24</formula>
    </cfRule>
  </conditionalFormatting>
  <conditionalFormatting sqref="S99:T99">
    <cfRule type="expression" dxfId="6924" priority="353">
      <formula>S$9&gt;=20/24</formula>
    </cfRule>
    <cfRule type="expression" dxfId="6923" priority="354">
      <formula>AND(S$9&gt;=14/24,S$9&lt;20/24)</formula>
    </cfRule>
    <cfRule type="expression" dxfId="6922" priority="355">
      <formula>AND(S$9&gt;=8/24,S$9&lt;14/24)</formula>
    </cfRule>
    <cfRule type="expression" dxfId="6921" priority="356">
      <formula>S$9&lt;8/24</formula>
    </cfRule>
  </conditionalFormatting>
  <conditionalFormatting sqref="AB58:AE59">
    <cfRule type="expression" dxfId="6920" priority="337">
      <formula>AB$9&gt;=20/24</formula>
    </cfRule>
    <cfRule type="expression" dxfId="6919" priority="338">
      <formula>AND(AB$9&gt;=14/24,AB$9&lt;20/24)</formula>
    </cfRule>
    <cfRule type="expression" dxfId="6918" priority="339">
      <formula>AND(AB$9&gt;=8/24,AB$9&lt;14/24)</formula>
    </cfRule>
    <cfRule type="expression" dxfId="6917" priority="340">
      <formula>AB$9&lt;8/24</formula>
    </cfRule>
  </conditionalFormatting>
  <conditionalFormatting sqref="AL3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16" priority="570">
      <formula>C$9&gt;=20/24</formula>
    </cfRule>
    <cfRule type="expression" dxfId="6915" priority="571">
      <formula>AND(C$9&gt;=14/24,C$9&lt;20/24)</formula>
    </cfRule>
    <cfRule type="expression" dxfId="6914" priority="572">
      <formula>AND(C$9&gt;=8/24,C$9&lt;14/24)</formula>
    </cfRule>
    <cfRule type="expression" dxfId="6913" priority="573">
      <formula>C$9&lt;8/24</formula>
    </cfRule>
  </conditionalFormatting>
  <conditionalFormatting sqref="A200">
    <cfRule type="expression" dxfId="6912" priority="574">
      <formula>$AH200=0</formula>
    </cfRule>
  </conditionalFormatting>
  <conditionalFormatting sqref="AG212">
    <cfRule type="expression" dxfId="6911" priority="575">
      <formula>B$9&gt;=20/24</formula>
    </cfRule>
    <cfRule type="expression" dxfId="6910" priority="576">
      <formula>AND(B$9&gt;=14/24,B$9&lt;20/24)</formula>
    </cfRule>
    <cfRule type="expression" dxfId="6909" priority="577">
      <formula>AND(B$9&gt;=8/24,B$9&lt;14/24)</formula>
    </cfRule>
    <cfRule type="expression" dxfId="6908" priority="578">
      <formula>B$9&lt;8/24</formula>
    </cfRule>
  </conditionalFormatting>
  <conditionalFormatting sqref="S8">
    <cfRule type="expression" dxfId="6907" priority="331">
      <formula>U$9&gt;=20/24</formula>
    </cfRule>
    <cfRule type="expression" dxfId="6906" priority="332">
      <formula>AND(U$9&gt;=14/24,U$9&lt;20/24)</formula>
    </cfRule>
    <cfRule type="expression" dxfId="6905" priority="333">
      <formula>AND(U$9&gt;=8/24,U$9&lt;14/24)</formula>
    </cfRule>
    <cfRule type="expression" dxfId="6904" priority="334">
      <formula>U$9&lt;8/24</formula>
    </cfRule>
  </conditionalFormatting>
  <conditionalFormatting sqref="AB8">
    <cfRule type="expression" dxfId="6903" priority="327">
      <formula>AD$9&gt;=20/24</formula>
    </cfRule>
    <cfRule type="expression" dxfId="6902" priority="328">
      <formula>AND(AD$9&gt;=14/24,AD$9&lt;20/24)</formula>
    </cfRule>
    <cfRule type="expression" dxfId="6901" priority="329">
      <formula>AND(AD$9&gt;=8/24,AD$9&lt;14/24)</formula>
    </cfRule>
    <cfRule type="expression" dxfId="6900" priority="330">
      <formula>AD$9&lt;8/24</formula>
    </cfRule>
  </conditionalFormatting>
  <conditionalFormatting sqref="AH212:AX212">
    <cfRule type="expression" dxfId="6899" priority="579">
      <formula>AG$9&gt;=20/24</formula>
    </cfRule>
    <cfRule type="expression" dxfId="6898" priority="580">
      <formula>AND(AG$9&gt;=14/24,AG$9&lt;20/24)</formula>
    </cfRule>
    <cfRule type="expression" dxfId="6897" priority="581">
      <formula>AND(AG$9&gt;=8/24,AG$9&lt;14/24)</formula>
    </cfRule>
    <cfRule type="expression" dxfId="6896" priority="582">
      <formula>AG$9&lt;8/24</formula>
    </cfRule>
  </conditionalFormatting>
  <conditionalFormatting sqref="T212">
    <cfRule type="expression" dxfId="6895" priority="583">
      <formula>AX$9&gt;=20/24</formula>
    </cfRule>
    <cfRule type="expression" dxfId="6894" priority="584">
      <formula>AND(AX$9&gt;=14/24,AX$9&lt;20/24)</formula>
    </cfRule>
    <cfRule type="expression" dxfId="6893" priority="585">
      <formula>AND(AX$9&gt;=8/24,AX$9&lt;14/24)</formula>
    </cfRule>
    <cfRule type="expression" dxfId="6892" priority="586">
      <formula>AX$9&lt;8/24</formula>
    </cfRule>
  </conditionalFormatting>
  <conditionalFormatting sqref="A99">
    <cfRule type="expression" dxfId="6891" priority="326">
      <formula>$AH99=0</formula>
    </cfRule>
  </conditionalFormatting>
  <conditionalFormatting sqref="AB33:AF33">
    <cfRule type="expression" dxfId="6890" priority="318">
      <formula>AB$9&gt;=20/24</formula>
    </cfRule>
    <cfRule type="expression" dxfId="6889" priority="319">
      <formula>AND(AB$9&gt;=14/24,AB$9&lt;20/24)</formula>
    </cfRule>
    <cfRule type="expression" dxfId="6888" priority="320">
      <formula>AND(AB$9&gt;=8/24,AB$9&lt;14/24)</formula>
    </cfRule>
    <cfRule type="expression" dxfId="6887" priority="321">
      <formula>AB$9&lt;8/24</formula>
    </cfRule>
  </conditionalFormatting>
  <conditionalFormatting sqref="AB33:AF33">
    <cfRule type="expression" dxfId="6886" priority="313">
      <formula>AB33&gt;$AG33</formula>
    </cfRule>
  </conditionalFormatting>
  <conditionalFormatting sqref="B16">
    <cfRule type="expression" dxfId="6885" priority="309">
      <formula>B$9&gt;=20/24</formula>
    </cfRule>
    <cfRule type="expression" dxfId="6884" priority="310">
      <formula>AND(B$9&gt;=14/24,B$9&lt;20/24)</formula>
    </cfRule>
    <cfRule type="expression" dxfId="6883" priority="311">
      <formula>AND(B$9&gt;=8/24,B$9&lt;14/24)</formula>
    </cfRule>
    <cfRule type="expression" dxfId="6882" priority="312">
      <formula>B$9&lt;8/24</formula>
    </cfRule>
  </conditionalFormatting>
  <conditionalFormatting sqref="B16">
    <cfRule type="expression" dxfId="6881" priority="308">
      <formula>B16&gt;$AG16</formula>
    </cfRule>
  </conditionalFormatting>
  <conditionalFormatting sqref="B18:B30">
    <cfRule type="expression" dxfId="6880" priority="304">
      <formula>B$9&gt;=20/24</formula>
    </cfRule>
    <cfRule type="expression" dxfId="6879" priority="305">
      <formula>AND(B$9&gt;=14/24,B$9&lt;20/24)</formula>
    </cfRule>
    <cfRule type="expression" dxfId="6878" priority="306">
      <formula>AND(B$9&gt;=8/24,B$9&lt;14/24)</formula>
    </cfRule>
    <cfRule type="expression" dxfId="6877" priority="307">
      <formula>B$9&lt;8/24</formula>
    </cfRule>
  </conditionalFormatting>
  <conditionalFormatting sqref="B31:B32 B35">
    <cfRule type="expression" dxfId="6876" priority="300">
      <formula>B$9&gt;=20/24</formula>
    </cfRule>
    <cfRule type="expression" dxfId="6875" priority="301">
      <formula>AND(B$9&gt;=14/24,B$9&lt;20/24)</formula>
    </cfRule>
    <cfRule type="expression" dxfId="6874" priority="302">
      <formula>AND(B$9&gt;=8/24,B$9&lt;14/24)</formula>
    </cfRule>
    <cfRule type="expression" dxfId="6873" priority="303">
      <formula>B$9&lt;8/24</formula>
    </cfRule>
  </conditionalFormatting>
  <conditionalFormatting sqref="B18:B32 B34:B35">
    <cfRule type="expression" dxfId="6872" priority="299">
      <formula>B18&gt;$AG18</formula>
    </cfRule>
  </conditionalFormatting>
  <conditionalFormatting sqref="B34">
    <cfRule type="expression" dxfId="6871" priority="295">
      <formula>B$9&gt;=20/24</formula>
    </cfRule>
    <cfRule type="expression" dxfId="6870" priority="296">
      <formula>AND(B$9&gt;=14/24,B$9&lt;20/24)</formula>
    </cfRule>
    <cfRule type="expression" dxfId="6869" priority="297">
      <formula>AND(B$9&gt;=8/24,B$9&lt;14/24)</formula>
    </cfRule>
    <cfRule type="expression" dxfId="6868" priority="298">
      <formula>B$9&lt;8/24</formula>
    </cfRule>
  </conditionalFormatting>
  <conditionalFormatting sqref="B17">
    <cfRule type="expression" dxfId="6867" priority="291">
      <formula>B$9&gt;=20/24</formula>
    </cfRule>
    <cfRule type="expression" dxfId="6866" priority="292">
      <formula>AND(B$9&gt;=14/24,B$9&lt;20/24)</formula>
    </cfRule>
    <cfRule type="expression" dxfId="6865" priority="293">
      <formula>AND(B$9&gt;=8/24,B$9&lt;14/24)</formula>
    </cfRule>
    <cfRule type="expression" dxfId="6864" priority="294">
      <formula>B$9&lt;8/24</formula>
    </cfRule>
  </conditionalFormatting>
  <conditionalFormatting sqref="B33">
    <cfRule type="expression" dxfId="6863" priority="287">
      <formula>B$9&gt;=20/24</formula>
    </cfRule>
    <cfRule type="expression" dxfId="6862" priority="288">
      <formula>AND(B$9&gt;=14/24,B$9&lt;20/24)</formula>
    </cfRule>
    <cfRule type="expression" dxfId="6861" priority="289">
      <formula>AND(B$9&gt;=8/24,B$9&lt;14/24)</formula>
    </cfRule>
    <cfRule type="expression" dxfId="6860" priority="290">
      <formula>B$9&lt;8/24</formula>
    </cfRule>
  </conditionalFormatting>
  <conditionalFormatting sqref="B33">
    <cfRule type="expression" dxfId="6859" priority="286">
      <formula>B33&gt;$AG33</formula>
    </cfRule>
  </conditionalFormatting>
  <conditionalFormatting sqref="B44:B51">
    <cfRule type="expression" dxfId="6858" priority="285">
      <formula>B44&gt;$AG44</formula>
    </cfRule>
  </conditionalFormatting>
  <conditionalFormatting sqref="B45:B48">
    <cfRule type="expression" dxfId="6857" priority="281">
      <formula>B$9&gt;=20/24</formula>
    </cfRule>
    <cfRule type="expression" dxfId="6856" priority="282">
      <formula>AND(B$9&gt;=14/24,B$9&lt;20/24)</formula>
    </cfRule>
    <cfRule type="expression" dxfId="6855" priority="283">
      <formula>AND(B$9&gt;=8/24,B$9&lt;14/24)</formula>
    </cfRule>
    <cfRule type="expression" dxfId="6854" priority="284">
      <formula>B$9&lt;8/24</formula>
    </cfRule>
  </conditionalFormatting>
  <conditionalFormatting sqref="B49">
    <cfRule type="expression" dxfId="6853" priority="277">
      <formula>B$9&gt;=20/24</formula>
    </cfRule>
    <cfRule type="expression" dxfId="6852" priority="278">
      <formula>AND(B$9&gt;=14/24,B$9&lt;20/24)</formula>
    </cfRule>
    <cfRule type="expression" dxfId="6851" priority="279">
      <formula>AND(B$9&gt;=8/24,B$9&lt;14/24)</formula>
    </cfRule>
    <cfRule type="expression" dxfId="6850" priority="280">
      <formula>B$9&lt;8/24</formula>
    </cfRule>
  </conditionalFormatting>
  <conditionalFormatting sqref="B50">
    <cfRule type="expression" dxfId="6849" priority="273">
      <formula>B$9&gt;=20/24</formula>
    </cfRule>
    <cfRule type="expression" dxfId="6848" priority="274">
      <formula>AND(B$9&gt;=14/24,B$9&lt;20/24)</formula>
    </cfRule>
    <cfRule type="expression" dxfId="6847" priority="275">
      <formula>AND(B$9&gt;=8/24,B$9&lt;14/24)</formula>
    </cfRule>
    <cfRule type="expression" dxfId="6846" priority="276">
      <formula>B$9&lt;8/24</formula>
    </cfRule>
  </conditionalFormatting>
  <conditionalFormatting sqref="C36">
    <cfRule type="expression" dxfId="6845" priority="269">
      <formula>C$9&gt;=20/24</formula>
    </cfRule>
    <cfRule type="expression" dxfId="6844" priority="270">
      <formula>AND(C$9&gt;=14/24,C$9&lt;20/24)</formula>
    </cfRule>
    <cfRule type="expression" dxfId="6843" priority="271">
      <formula>AND(C$9&gt;=8/24,C$9&lt;14/24)</formula>
    </cfRule>
    <cfRule type="expression" dxfId="6842" priority="272">
      <formula>C$9&lt;8/24</formula>
    </cfRule>
  </conditionalFormatting>
  <conditionalFormatting sqref="C36">
    <cfRule type="expression" dxfId="6841" priority="268">
      <formula>C36&gt;$AG36</formula>
    </cfRule>
  </conditionalFormatting>
  <conditionalFormatting sqref="C18:C30">
    <cfRule type="expression" dxfId="6840" priority="264">
      <formula>C$9&gt;=20/24</formula>
    </cfRule>
    <cfRule type="expression" dxfId="6839" priority="265">
      <formula>AND(C$9&gt;=14/24,C$9&lt;20/24)</formula>
    </cfRule>
    <cfRule type="expression" dxfId="6838" priority="266">
      <formula>AND(C$9&gt;=8/24,C$9&lt;14/24)</formula>
    </cfRule>
    <cfRule type="expression" dxfId="6837" priority="267">
      <formula>C$9&lt;8/24</formula>
    </cfRule>
  </conditionalFormatting>
  <conditionalFormatting sqref="C31:C32 C35">
    <cfRule type="expression" dxfId="6836" priority="260">
      <formula>C$9&gt;=20/24</formula>
    </cfRule>
    <cfRule type="expression" dxfId="6835" priority="261">
      <formula>AND(C$9&gt;=14/24,C$9&lt;20/24)</formula>
    </cfRule>
    <cfRule type="expression" dxfId="6834" priority="262">
      <formula>AND(C$9&gt;=8/24,C$9&lt;14/24)</formula>
    </cfRule>
    <cfRule type="expression" dxfId="6833" priority="263">
      <formula>C$9&lt;8/24</formula>
    </cfRule>
  </conditionalFormatting>
  <conditionalFormatting sqref="C18:C32 C34:C35">
    <cfRule type="expression" dxfId="6832" priority="259">
      <formula>C18&gt;$AG18</formula>
    </cfRule>
  </conditionalFormatting>
  <conditionalFormatting sqref="C34">
    <cfRule type="expression" dxfId="6831" priority="255">
      <formula>C$9&gt;=20/24</formula>
    </cfRule>
    <cfRule type="expression" dxfId="6830" priority="256">
      <formula>AND(C$9&gt;=14/24,C$9&lt;20/24)</formula>
    </cfRule>
    <cfRule type="expression" dxfId="6829" priority="257">
      <formula>AND(C$9&gt;=8/24,C$9&lt;14/24)</formula>
    </cfRule>
    <cfRule type="expression" dxfId="6828" priority="258">
      <formula>C$9&lt;8/24</formula>
    </cfRule>
  </conditionalFormatting>
  <conditionalFormatting sqref="C33">
    <cfRule type="expression" dxfId="6827" priority="251">
      <formula>C$9&gt;=20/24</formula>
    </cfRule>
    <cfRule type="expression" dxfId="6826" priority="252">
      <formula>AND(C$9&gt;=14/24,C$9&lt;20/24)</formula>
    </cfRule>
    <cfRule type="expression" dxfId="6825" priority="253">
      <formula>AND(C$9&gt;=8/24,C$9&lt;14/24)</formula>
    </cfRule>
    <cfRule type="expression" dxfId="6824" priority="254">
      <formula>C$9&lt;8/24</formula>
    </cfRule>
  </conditionalFormatting>
  <conditionalFormatting sqref="C33">
    <cfRule type="expression" dxfId="6823" priority="250">
      <formula>C33&gt;$AG33</formula>
    </cfRule>
  </conditionalFormatting>
  <conditionalFormatting sqref="C43">
    <cfRule type="expression" dxfId="6822" priority="249">
      <formula>C43&gt;$AG43</formula>
    </cfRule>
  </conditionalFormatting>
  <conditionalFormatting sqref="C44:C50">
    <cfRule type="expression" dxfId="6821" priority="248">
      <formula>C44&gt;$AG44</formula>
    </cfRule>
  </conditionalFormatting>
  <conditionalFormatting sqref="C45:C48">
    <cfRule type="expression" dxfId="6820" priority="244">
      <formula>C$9&gt;=20/24</formula>
    </cfRule>
    <cfRule type="expression" dxfId="6819" priority="245">
      <formula>AND(C$9&gt;=14/24,C$9&lt;20/24)</formula>
    </cfRule>
    <cfRule type="expression" dxfId="6818" priority="246">
      <formula>AND(C$9&gt;=8/24,C$9&lt;14/24)</formula>
    </cfRule>
    <cfRule type="expression" dxfId="6817" priority="247">
      <formula>C$9&lt;8/24</formula>
    </cfRule>
  </conditionalFormatting>
  <conditionalFormatting sqref="C49">
    <cfRule type="expression" dxfId="6816" priority="240">
      <formula>C$9&gt;=20/24</formula>
    </cfRule>
    <cfRule type="expression" dxfId="6815" priority="241">
      <formula>AND(C$9&gt;=14/24,C$9&lt;20/24)</formula>
    </cfRule>
    <cfRule type="expression" dxfId="6814" priority="242">
      <formula>AND(C$9&gt;=8/24,C$9&lt;14/24)</formula>
    </cfRule>
    <cfRule type="expression" dxfId="6813" priority="243">
      <formula>C$9&lt;8/24</formula>
    </cfRule>
  </conditionalFormatting>
  <conditionalFormatting sqref="C50">
    <cfRule type="expression" dxfId="6812" priority="236">
      <formula>C$9&gt;=20/24</formula>
    </cfRule>
    <cfRule type="expression" dxfId="6811" priority="237">
      <formula>AND(C$9&gt;=14/24,C$9&lt;20/24)</formula>
    </cfRule>
    <cfRule type="expression" dxfId="6810" priority="238">
      <formula>AND(C$9&gt;=8/24,C$9&lt;14/24)</formula>
    </cfRule>
    <cfRule type="expression" dxfId="6809" priority="239">
      <formula>C$9&lt;8/24</formula>
    </cfRule>
  </conditionalFormatting>
  <conditionalFormatting sqref="D17">
    <cfRule type="expression" dxfId="6808" priority="235">
      <formula>D17&gt;$AG17</formula>
    </cfRule>
  </conditionalFormatting>
  <conditionalFormatting sqref="D36">
    <cfRule type="expression" dxfId="6807" priority="231">
      <formula>D$9&gt;=20/24</formula>
    </cfRule>
    <cfRule type="expression" dxfId="6806" priority="232">
      <formula>AND(D$9&gt;=14/24,D$9&lt;20/24)</formula>
    </cfRule>
    <cfRule type="expression" dxfId="6805" priority="233">
      <formula>AND(D$9&gt;=8/24,D$9&lt;14/24)</formula>
    </cfRule>
    <cfRule type="expression" dxfId="6804" priority="234">
      <formula>D$9&lt;8/24</formula>
    </cfRule>
  </conditionalFormatting>
  <conditionalFormatting sqref="D36">
    <cfRule type="expression" dxfId="6803" priority="230">
      <formula>D36&gt;$AG36</formula>
    </cfRule>
  </conditionalFormatting>
  <conditionalFormatting sqref="D18:D30">
    <cfRule type="expression" dxfId="6802" priority="226">
      <formula>D$9&gt;=20/24</formula>
    </cfRule>
    <cfRule type="expression" dxfId="6801" priority="227">
      <formula>AND(D$9&gt;=14/24,D$9&lt;20/24)</formula>
    </cfRule>
    <cfRule type="expression" dxfId="6800" priority="228">
      <formula>AND(D$9&gt;=8/24,D$9&lt;14/24)</formula>
    </cfRule>
    <cfRule type="expression" dxfId="6799" priority="229">
      <formula>D$9&lt;8/24</formula>
    </cfRule>
  </conditionalFormatting>
  <conditionalFormatting sqref="D31:D32 D35">
    <cfRule type="expression" dxfId="6798" priority="222">
      <formula>D$9&gt;=20/24</formula>
    </cfRule>
    <cfRule type="expression" dxfId="6797" priority="223">
      <formula>AND(D$9&gt;=14/24,D$9&lt;20/24)</formula>
    </cfRule>
    <cfRule type="expression" dxfId="6796" priority="224">
      <formula>AND(D$9&gt;=8/24,D$9&lt;14/24)</formula>
    </cfRule>
    <cfRule type="expression" dxfId="6795" priority="225">
      <formula>D$9&lt;8/24</formula>
    </cfRule>
  </conditionalFormatting>
  <conditionalFormatting sqref="D18:D32 D34:D35">
    <cfRule type="expression" dxfId="6794" priority="221">
      <formula>D18&gt;$AG18</formula>
    </cfRule>
  </conditionalFormatting>
  <conditionalFormatting sqref="D34">
    <cfRule type="expression" dxfId="6793" priority="217">
      <formula>D$9&gt;=20/24</formula>
    </cfRule>
    <cfRule type="expression" dxfId="6792" priority="218">
      <formula>AND(D$9&gt;=14/24,D$9&lt;20/24)</formula>
    </cfRule>
    <cfRule type="expression" dxfId="6791" priority="219">
      <formula>AND(D$9&gt;=8/24,D$9&lt;14/24)</formula>
    </cfRule>
    <cfRule type="expression" dxfId="6790" priority="220">
      <formula>D$9&lt;8/24</formula>
    </cfRule>
  </conditionalFormatting>
  <conditionalFormatting sqref="D33">
    <cfRule type="expression" dxfId="6789" priority="213">
      <formula>D$9&gt;=20/24</formula>
    </cfRule>
    <cfRule type="expression" dxfId="6788" priority="214">
      <formula>AND(D$9&gt;=14/24,D$9&lt;20/24)</formula>
    </cfRule>
    <cfRule type="expression" dxfId="6787" priority="215">
      <formula>AND(D$9&gt;=8/24,D$9&lt;14/24)</formula>
    </cfRule>
    <cfRule type="expression" dxfId="6786" priority="216">
      <formula>D$9&lt;8/24</formula>
    </cfRule>
  </conditionalFormatting>
  <conditionalFormatting sqref="D33">
    <cfRule type="expression" dxfId="6785" priority="212">
      <formula>D33&gt;$AG33</formula>
    </cfRule>
  </conditionalFormatting>
  <conditionalFormatting sqref="D45:D50">
    <cfRule type="expression" dxfId="6784" priority="211">
      <formula>D45&gt;$AG45</formula>
    </cfRule>
  </conditionalFormatting>
  <conditionalFormatting sqref="D45:D48">
    <cfRule type="expression" dxfId="6783" priority="207">
      <formula>D$9&gt;=20/24</formula>
    </cfRule>
    <cfRule type="expression" dxfId="6782" priority="208">
      <formula>AND(D$9&gt;=14/24,D$9&lt;20/24)</formula>
    </cfRule>
    <cfRule type="expression" dxfId="6781" priority="209">
      <formula>AND(D$9&gt;=8/24,D$9&lt;14/24)</formula>
    </cfRule>
    <cfRule type="expression" dxfId="6780" priority="210">
      <formula>D$9&lt;8/24</formula>
    </cfRule>
  </conditionalFormatting>
  <conditionalFormatting sqref="D49">
    <cfRule type="expression" dxfId="6779" priority="203">
      <formula>D$9&gt;=20/24</formula>
    </cfRule>
    <cfRule type="expression" dxfId="6778" priority="204">
      <formula>AND(D$9&gt;=14/24,D$9&lt;20/24)</formula>
    </cfRule>
    <cfRule type="expression" dxfId="6777" priority="205">
      <formula>AND(D$9&gt;=8/24,D$9&lt;14/24)</formula>
    </cfRule>
    <cfRule type="expression" dxfId="6776" priority="206">
      <formula>D$9&lt;8/24</formula>
    </cfRule>
  </conditionalFormatting>
  <conditionalFormatting sqref="D50">
    <cfRule type="expression" dxfId="6775" priority="199">
      <formula>D$9&gt;=20/24</formula>
    </cfRule>
    <cfRule type="expression" dxfId="6774" priority="200">
      <formula>AND(D$9&gt;=14/24,D$9&lt;20/24)</formula>
    </cfRule>
    <cfRule type="expression" dxfId="6773" priority="201">
      <formula>AND(D$9&gt;=8/24,D$9&lt;14/24)</formula>
    </cfRule>
    <cfRule type="expression" dxfId="6772" priority="202">
      <formula>D$9&lt;8/24</formula>
    </cfRule>
  </conditionalFormatting>
  <conditionalFormatting sqref="E17:L17">
    <cfRule type="expression" dxfId="6771" priority="198">
      <formula>E17&gt;$AG17</formula>
    </cfRule>
  </conditionalFormatting>
  <conditionalFormatting sqref="E36">
    <cfRule type="expression" dxfId="6770" priority="194">
      <formula>E$9&gt;=20/24</formula>
    </cfRule>
    <cfRule type="expression" dxfId="6769" priority="195">
      <formula>AND(E$9&gt;=14/24,E$9&lt;20/24)</formula>
    </cfRule>
    <cfRule type="expression" dxfId="6768" priority="196">
      <formula>AND(E$9&gt;=8/24,E$9&lt;14/24)</formula>
    </cfRule>
    <cfRule type="expression" dxfId="6767" priority="197">
      <formula>E$9&lt;8/24</formula>
    </cfRule>
  </conditionalFormatting>
  <conditionalFormatting sqref="E36">
    <cfRule type="expression" dxfId="6766" priority="193">
      <formula>E36&gt;$AG36</formula>
    </cfRule>
  </conditionalFormatting>
  <conditionalFormatting sqref="E18:L30">
    <cfRule type="expression" dxfId="6765" priority="189">
      <formula>E$9&gt;=20/24</formula>
    </cfRule>
    <cfRule type="expression" dxfId="6764" priority="190">
      <formula>AND(E$9&gt;=14/24,E$9&lt;20/24)</formula>
    </cfRule>
    <cfRule type="expression" dxfId="6763" priority="191">
      <formula>AND(E$9&gt;=8/24,E$9&lt;14/24)</formula>
    </cfRule>
    <cfRule type="expression" dxfId="6762" priority="192">
      <formula>E$9&lt;8/24</formula>
    </cfRule>
  </conditionalFormatting>
  <conditionalFormatting sqref="E31:L32 E35:L35">
    <cfRule type="expression" dxfId="6761" priority="185">
      <formula>E$9&gt;=20/24</formula>
    </cfRule>
    <cfRule type="expression" dxfId="6760" priority="186">
      <formula>AND(E$9&gt;=14/24,E$9&lt;20/24)</formula>
    </cfRule>
    <cfRule type="expression" dxfId="6759" priority="187">
      <formula>AND(E$9&gt;=8/24,E$9&lt;14/24)</formula>
    </cfRule>
    <cfRule type="expression" dxfId="6758" priority="188">
      <formula>E$9&lt;8/24</formula>
    </cfRule>
  </conditionalFormatting>
  <conditionalFormatting sqref="E18:L32 E34:L35">
    <cfRule type="expression" dxfId="6757" priority="184">
      <formula>E18&gt;$AG18</formula>
    </cfRule>
  </conditionalFormatting>
  <conditionalFormatting sqref="E34:L34">
    <cfRule type="expression" dxfId="6756" priority="180">
      <formula>E$9&gt;=20/24</formula>
    </cfRule>
    <cfRule type="expression" dxfId="6755" priority="181">
      <formula>AND(E$9&gt;=14/24,E$9&lt;20/24)</formula>
    </cfRule>
    <cfRule type="expression" dxfId="6754" priority="182">
      <formula>AND(E$9&gt;=8/24,E$9&lt;14/24)</formula>
    </cfRule>
    <cfRule type="expression" dxfId="6753" priority="183">
      <formula>E$9&lt;8/24</formula>
    </cfRule>
  </conditionalFormatting>
  <conditionalFormatting sqref="E33:L33">
    <cfRule type="expression" dxfId="6752" priority="176">
      <formula>E$9&gt;=20/24</formula>
    </cfRule>
    <cfRule type="expression" dxfId="6751" priority="177">
      <formula>AND(E$9&gt;=14/24,E$9&lt;20/24)</formula>
    </cfRule>
    <cfRule type="expression" dxfId="6750" priority="178">
      <formula>AND(E$9&gt;=8/24,E$9&lt;14/24)</formula>
    </cfRule>
    <cfRule type="expression" dxfId="6749" priority="179">
      <formula>E$9&lt;8/24</formula>
    </cfRule>
  </conditionalFormatting>
  <conditionalFormatting sqref="E33:L33">
    <cfRule type="expression" dxfId="6748" priority="175">
      <formula>E33&gt;$AG33</formula>
    </cfRule>
  </conditionalFormatting>
  <conditionalFormatting sqref="E42:E44 F43:F44">
    <cfRule type="expression" dxfId="6747" priority="174">
      <formula>E42&gt;$AG42</formula>
    </cfRule>
  </conditionalFormatting>
  <conditionalFormatting sqref="E45:L50">
    <cfRule type="expression" dxfId="6746" priority="173">
      <formula>E45&gt;$AG45</formula>
    </cfRule>
  </conditionalFormatting>
  <conditionalFormatting sqref="E45:L48">
    <cfRule type="expression" dxfId="6745" priority="169">
      <formula>E$9&gt;=20/24</formula>
    </cfRule>
    <cfRule type="expression" dxfId="6744" priority="170">
      <formula>AND(E$9&gt;=14/24,E$9&lt;20/24)</formula>
    </cfRule>
    <cfRule type="expression" dxfId="6743" priority="171">
      <formula>AND(E$9&gt;=8/24,E$9&lt;14/24)</formula>
    </cfRule>
    <cfRule type="expression" dxfId="6742" priority="172">
      <formula>E$9&lt;8/24</formula>
    </cfRule>
  </conditionalFormatting>
  <conditionalFormatting sqref="E49:L49">
    <cfRule type="expression" dxfId="6741" priority="165">
      <formula>E$9&gt;=20/24</formula>
    </cfRule>
    <cfRule type="expression" dxfId="6740" priority="166">
      <formula>AND(E$9&gt;=14/24,E$9&lt;20/24)</formula>
    </cfRule>
    <cfRule type="expression" dxfId="6739" priority="167">
      <formula>AND(E$9&gt;=8/24,E$9&lt;14/24)</formula>
    </cfRule>
    <cfRule type="expression" dxfId="6738" priority="168">
      <formula>E$9&lt;8/24</formula>
    </cfRule>
  </conditionalFormatting>
  <conditionalFormatting sqref="E50:L50">
    <cfRule type="expression" dxfId="6737" priority="161">
      <formula>E$9&gt;=20/24</formula>
    </cfRule>
    <cfRule type="expression" dxfId="6736" priority="162">
      <formula>AND(E$9&gt;=14/24,E$9&lt;20/24)</formula>
    </cfRule>
    <cfRule type="expression" dxfId="6735" priority="163">
      <formula>AND(E$9&gt;=8/24,E$9&lt;14/24)</formula>
    </cfRule>
    <cfRule type="expression" dxfId="6734" priority="164">
      <formula>E$9&lt;8/24</formula>
    </cfRule>
  </conditionalFormatting>
  <conditionalFormatting sqref="M39:M42 M45:M48 M12:M14 M36:M37 M53:M56 M58:M83 M16:N32 N46:P48 Q47:Q48 N36:V36 O26:X32">
    <cfRule type="expression" dxfId="6733" priority="157">
      <formula>M$9&gt;=20/24</formula>
    </cfRule>
    <cfRule type="expression" dxfId="6732" priority="158">
      <formula>AND(M$9&gt;=14/24,M$9&lt;20/24)</formula>
    </cfRule>
    <cfRule type="expression" dxfId="6731" priority="159">
      <formula>AND(M$9&gt;=8/24,M$9&lt;14/24)</formula>
    </cfRule>
    <cfRule type="expression" dxfId="6730" priority="160">
      <formula>M$9&lt;8/24</formula>
    </cfRule>
  </conditionalFormatting>
  <conditionalFormatting sqref="M57">
    <cfRule type="expression" dxfId="6729" priority="153">
      <formula>M$9&gt;=20/24</formula>
    </cfRule>
    <cfRule type="expression" dxfId="6728" priority="154">
      <formula>AND(M$9&gt;=14/24,M$9&lt;20/24)</formula>
    </cfRule>
    <cfRule type="expression" dxfId="6727" priority="155">
      <formula>AND(M$9&gt;=8/24,M$9&lt;14/24)</formula>
    </cfRule>
    <cfRule type="expression" dxfId="6726" priority="156">
      <formula>M$9&lt;8/24</formula>
    </cfRule>
  </conditionalFormatting>
  <conditionalFormatting sqref="M43">
    <cfRule type="expression" dxfId="6725" priority="149">
      <formula>M$9&gt;=20/24</formula>
    </cfRule>
    <cfRule type="expression" dxfId="6724" priority="150">
      <formula>AND(M$9&gt;=14/24,M$9&lt;20/24)</formula>
    </cfRule>
    <cfRule type="expression" dxfId="6723" priority="151">
      <formula>AND(M$9&gt;=8/24,M$9&lt;14/24)</formula>
    </cfRule>
    <cfRule type="expression" dxfId="6722" priority="152">
      <formula>M$9&lt;8/24</formula>
    </cfRule>
  </conditionalFormatting>
  <conditionalFormatting sqref="M35:X35">
    <cfRule type="expression" dxfId="6721" priority="145">
      <formula>M$9&gt;=20/24</formula>
    </cfRule>
    <cfRule type="expression" dxfId="6720" priority="146">
      <formula>AND(M$9&gt;=14/24,M$9&lt;20/24)</formula>
    </cfRule>
    <cfRule type="expression" dxfId="6719" priority="147">
      <formula>AND(M$9&gt;=8/24,M$9&lt;14/24)</formula>
    </cfRule>
    <cfRule type="expression" dxfId="6718" priority="148">
      <formula>M$9&lt;8/24</formula>
    </cfRule>
  </conditionalFormatting>
  <conditionalFormatting sqref="M49:P49">
    <cfRule type="expression" dxfId="6717" priority="141">
      <formula>M$9&gt;=20/24</formula>
    </cfRule>
    <cfRule type="expression" dxfId="6716" priority="142">
      <formula>AND(M$9&gt;=14/24,M$9&lt;20/24)</formula>
    </cfRule>
    <cfRule type="expression" dxfId="6715" priority="143">
      <formula>AND(M$9&gt;=8/24,M$9&lt;14/24)</formula>
    </cfRule>
    <cfRule type="expression" dxfId="6714" priority="144">
      <formula>M$9&lt;8/24</formula>
    </cfRule>
  </conditionalFormatting>
  <conditionalFormatting sqref="M50:Q50">
    <cfRule type="expression" dxfId="6713" priority="137">
      <formula>M$9&gt;=20/24</formula>
    </cfRule>
    <cfRule type="expression" dxfId="6712" priority="138">
      <formula>AND(M$9&gt;=14/24,M$9&lt;20/24)</formula>
    </cfRule>
    <cfRule type="expression" dxfId="6711" priority="139">
      <formula>AND(M$9&gt;=8/24,M$9&lt;14/24)</formula>
    </cfRule>
    <cfRule type="expression" dxfId="6710" priority="140">
      <formula>M$9&lt;8/24</formula>
    </cfRule>
  </conditionalFormatting>
  <conditionalFormatting sqref="M45:M48 N46:P48 Q47:Q48">
    <cfRule type="expression" dxfId="6709" priority="133">
      <formula>M$9&gt;=20/24</formula>
    </cfRule>
    <cfRule type="expression" dxfId="6708" priority="134">
      <formula>AND(M$9&gt;=14/24,M$9&lt;20/24)</formula>
    </cfRule>
    <cfRule type="expression" dxfId="6707" priority="135">
      <formula>AND(M$9&gt;=8/24,M$9&lt;14/24)</formula>
    </cfRule>
    <cfRule type="expression" dxfId="6706" priority="136">
      <formula>M$9&lt;8/24</formula>
    </cfRule>
  </conditionalFormatting>
  <conditionalFormatting sqref="M12:M14 M34:M56 M16:N32 N46:P50 Q47:Q48 Q50 N34:V36 O26:X32 W34:X35">
    <cfRule type="expression" dxfId="6705" priority="132">
      <formula>M12&gt;$AG12</formula>
    </cfRule>
  </conditionalFormatting>
  <conditionalFormatting sqref="M34:X34">
    <cfRule type="expression" dxfId="6704" priority="128">
      <formula>M$9&gt;=20/24</formula>
    </cfRule>
    <cfRule type="expression" dxfId="6703" priority="129">
      <formula>AND(M$9&gt;=14/24,M$9&lt;20/24)</formula>
    </cfRule>
    <cfRule type="expression" dxfId="6702" priority="130">
      <formula>AND(M$9&gt;=8/24,M$9&lt;14/24)</formula>
    </cfRule>
    <cfRule type="expression" dxfId="6701" priority="131">
      <formula>M$9&lt;8/24</formula>
    </cfRule>
  </conditionalFormatting>
  <conditionalFormatting sqref="M15">
    <cfRule type="expression" dxfId="6700" priority="124">
      <formula>M$9&gt;=20/24</formula>
    </cfRule>
    <cfRule type="expression" dxfId="6699" priority="125">
      <formula>AND(M$9&gt;=14/24,M$9&lt;20/24)</formula>
    </cfRule>
    <cfRule type="expression" dxfId="6698" priority="126">
      <formula>AND(M$9&gt;=8/24,M$9&lt;14/24)</formula>
    </cfRule>
    <cfRule type="expression" dxfId="6697" priority="127">
      <formula>M$9&lt;8/24</formula>
    </cfRule>
  </conditionalFormatting>
  <conditionalFormatting sqref="M15">
    <cfRule type="expression" dxfId="6696" priority="123">
      <formula>M15&gt;$AG15</formula>
    </cfRule>
  </conditionalFormatting>
  <conditionalFormatting sqref="M44">
    <cfRule type="expression" dxfId="6695" priority="119">
      <formula>M$9&gt;=20/24</formula>
    </cfRule>
    <cfRule type="expression" dxfId="6694" priority="120">
      <formula>AND(M$9&gt;=14/24,M$9&lt;20/24)</formula>
    </cfRule>
    <cfRule type="expression" dxfId="6693" priority="121">
      <formula>AND(M$9&gt;=8/24,M$9&lt;14/24)</formula>
    </cfRule>
    <cfRule type="expression" dxfId="6692" priority="122">
      <formula>M$9&lt;8/24</formula>
    </cfRule>
  </conditionalFormatting>
  <conditionalFormatting sqref="M84:M91">
    <cfRule type="expression" dxfId="6691" priority="115">
      <formula>M$9&gt;=20/24</formula>
    </cfRule>
    <cfRule type="expression" dxfId="6690" priority="116">
      <formula>AND(M$9&gt;=14/24,M$9&lt;20/24)</formula>
    </cfRule>
    <cfRule type="expression" dxfId="6689" priority="117">
      <formula>AND(M$9&gt;=8/24,M$9&lt;14/24)</formula>
    </cfRule>
    <cfRule type="expression" dxfId="6688" priority="118">
      <formula>M$9&lt;8/24</formula>
    </cfRule>
  </conditionalFormatting>
  <conditionalFormatting sqref="M95:M97">
    <cfRule type="expression" dxfId="6687" priority="111">
      <formula>M$9&gt;=20/24</formula>
    </cfRule>
    <cfRule type="expression" dxfId="6686" priority="112">
      <formula>AND(M$9&gt;=14/24,M$9&lt;20/24)</formula>
    </cfRule>
    <cfRule type="expression" dxfId="6685" priority="113">
      <formula>AND(M$9&gt;=8/24,M$9&lt;14/24)</formula>
    </cfRule>
    <cfRule type="expression" dxfId="6684" priority="114">
      <formula>M$9&lt;8/24</formula>
    </cfRule>
  </conditionalFormatting>
  <conditionalFormatting sqref="M98">
    <cfRule type="expression" dxfId="6683" priority="107">
      <formula>M$9&gt;=20/24</formula>
    </cfRule>
    <cfRule type="expression" dxfId="6682" priority="108">
      <formula>AND(M$9&gt;=14/24,M$9&lt;20/24)</formula>
    </cfRule>
    <cfRule type="expression" dxfId="6681" priority="109">
      <formula>AND(M$9&gt;=8/24,M$9&lt;14/24)</formula>
    </cfRule>
    <cfRule type="expression" dxfId="6680" priority="110">
      <formula>M$9&lt;8/24</formula>
    </cfRule>
  </conditionalFormatting>
  <conditionalFormatting sqref="M94">
    <cfRule type="expression" dxfId="6679" priority="103">
      <formula>M$9&gt;=20/24</formula>
    </cfRule>
    <cfRule type="expression" dxfId="6678" priority="104">
      <formula>AND(M$9&gt;=14/24,M$9&lt;20/24)</formula>
    </cfRule>
    <cfRule type="expression" dxfId="6677" priority="105">
      <formula>AND(M$9&gt;=8/24,M$9&lt;14/24)</formula>
    </cfRule>
    <cfRule type="expression" dxfId="6676" priority="106">
      <formula>M$9&lt;8/24</formula>
    </cfRule>
  </conditionalFormatting>
  <conditionalFormatting sqref="M94">
    <cfRule type="expression" dxfId="6675" priority="99">
      <formula>M$9&gt;=20/24</formula>
    </cfRule>
    <cfRule type="expression" dxfId="6674" priority="100">
      <formula>AND(M$9&gt;=14/24,M$9&lt;20/24)</formula>
    </cfRule>
    <cfRule type="expression" dxfId="6673" priority="101">
      <formula>AND(M$9&gt;=8/24,M$9&lt;14/24)</formula>
    </cfRule>
    <cfRule type="expression" dxfId="6672" priority="102">
      <formula>M$9&lt;8/24</formula>
    </cfRule>
  </conditionalFormatting>
  <conditionalFormatting sqref="M99">
    <cfRule type="expression" dxfId="6671" priority="95">
      <formula>M$9&gt;=20/24</formula>
    </cfRule>
    <cfRule type="expression" dxfId="6670" priority="96">
      <formula>AND(M$9&gt;=14/24,M$9&lt;20/24)</formula>
    </cfRule>
    <cfRule type="expression" dxfId="6669" priority="97">
      <formula>AND(M$9&gt;=8/24,M$9&lt;14/24)</formula>
    </cfRule>
    <cfRule type="expression" dxfId="6668" priority="98">
      <formula>M$9&lt;8/24</formula>
    </cfRule>
  </conditionalFormatting>
  <conditionalFormatting sqref="M33:X33">
    <cfRule type="expression" dxfId="6667" priority="91">
      <formula>M$9&gt;=20/24</formula>
    </cfRule>
    <cfRule type="expression" dxfId="6666" priority="92">
      <formula>AND(M$9&gt;=14/24,M$9&lt;20/24)</formula>
    </cfRule>
    <cfRule type="expression" dxfId="6665" priority="93">
      <formula>AND(M$9&gt;=8/24,M$9&lt;14/24)</formula>
    </cfRule>
    <cfRule type="expression" dxfId="6664" priority="94">
      <formula>M$9&lt;8/24</formula>
    </cfRule>
  </conditionalFormatting>
  <conditionalFormatting sqref="M33:X33">
    <cfRule type="expression" dxfId="6663" priority="90">
      <formula>M33&gt;$AG33</formula>
    </cfRule>
  </conditionalFormatting>
  <conditionalFormatting sqref="Y69:Y72 Y53:Y55 Y40:Y42 Y11:Y14 Y85:Y90 Y74 Y36:Z36 Z12:AA14 Y16:AA25">
    <cfRule type="expression" dxfId="6662" priority="81">
      <formula>Y$9&gt;=20/24</formula>
    </cfRule>
    <cfRule type="expression" dxfId="6661" priority="82">
      <formula>AND(Y$9&gt;=14/24,Y$9&lt;20/24)</formula>
    </cfRule>
    <cfRule type="expression" dxfId="6660" priority="83">
      <formula>AND(Y$9&gt;=8/24,Y$9&lt;14/24)</formula>
    </cfRule>
    <cfRule type="expression" dxfId="6659" priority="84">
      <formula>Y$9&lt;8/24</formula>
    </cfRule>
  </conditionalFormatting>
  <conditionalFormatting sqref="Y39">
    <cfRule type="expression" dxfId="6658" priority="77">
      <formula>Y$9&gt;=20/24</formula>
    </cfRule>
    <cfRule type="expression" dxfId="6657" priority="78">
      <formula>AND(Y$9&gt;=14/24,Y$9&lt;20/24)</formula>
    </cfRule>
    <cfRule type="expression" dxfId="6656" priority="79">
      <formula>AND(Y$9&gt;=8/24,Y$9&lt;14/24)</formula>
    </cfRule>
    <cfRule type="expression" dxfId="6655" priority="80">
      <formula>Y$9&lt;8/24</formula>
    </cfRule>
  </conditionalFormatting>
  <conditionalFormatting sqref="Y57">
    <cfRule type="expression" dxfId="6654" priority="73">
      <formula>Y$9&gt;=20/24</formula>
    </cfRule>
    <cfRule type="expression" dxfId="6653" priority="74">
      <formula>AND(Y$9&gt;=14/24,Y$9&lt;20/24)</formula>
    </cfRule>
    <cfRule type="expression" dxfId="6652" priority="75">
      <formula>AND(Y$9&gt;=8/24,Y$9&lt;14/24)</formula>
    </cfRule>
    <cfRule type="expression" dxfId="6651" priority="76">
      <formula>Y$9&lt;8/24</formula>
    </cfRule>
  </conditionalFormatting>
  <conditionalFormatting sqref="Y81">
    <cfRule type="expression" dxfId="6650" priority="69">
      <formula>Y$9&gt;=20/24</formula>
    </cfRule>
    <cfRule type="expression" dxfId="6649" priority="70">
      <formula>AND(Y$9&gt;=14/24,Y$9&lt;20/24)</formula>
    </cfRule>
    <cfRule type="expression" dxfId="6648" priority="71">
      <formula>AND(Y$9&gt;=8/24,Y$9&lt;14/24)</formula>
    </cfRule>
    <cfRule type="expression" dxfId="6647" priority="72">
      <formula>Y$9&lt;8/24</formula>
    </cfRule>
  </conditionalFormatting>
  <conditionalFormatting sqref="Y84">
    <cfRule type="expression" dxfId="6646" priority="65">
      <formula>Y$9&gt;=20/24</formula>
    </cfRule>
    <cfRule type="expression" dxfId="6645" priority="66">
      <formula>AND(Y$9&gt;=14/24,Y$9&lt;20/24)</formula>
    </cfRule>
    <cfRule type="expression" dxfId="6644" priority="67">
      <formula>AND(Y$9&gt;=8/24,Y$9&lt;14/24)</formula>
    </cfRule>
    <cfRule type="expression" dxfId="6643" priority="68">
      <formula>Y$9&lt;8/24</formula>
    </cfRule>
  </conditionalFormatting>
  <conditionalFormatting sqref="Y37">
    <cfRule type="expression" dxfId="6642" priority="61">
      <formula>Y$9&gt;=20/24</formula>
    </cfRule>
    <cfRule type="expression" dxfId="6641" priority="62">
      <formula>AND(Y$9&gt;=14/24,Y$9&lt;20/24)</formula>
    </cfRule>
    <cfRule type="expression" dxfId="6640" priority="63">
      <formula>AND(Y$9&gt;=8/24,Y$9&lt;14/24)</formula>
    </cfRule>
    <cfRule type="expression" dxfId="6639" priority="64">
      <formula>Y$9&lt;8/24</formula>
    </cfRule>
  </conditionalFormatting>
  <conditionalFormatting sqref="Y43 Y45:Z45 Y47:Z48">
    <cfRule type="expression" dxfId="6638" priority="57">
      <formula>Y$9&gt;=20/24</formula>
    </cfRule>
    <cfRule type="expression" dxfId="6637" priority="58">
      <formula>AND(Y$9&gt;=14/24,Y$9&lt;20/24)</formula>
    </cfRule>
    <cfRule type="expression" dxfId="6636" priority="59">
      <formula>AND(Y$9&gt;=8/24,Y$9&lt;14/24)</formula>
    </cfRule>
    <cfRule type="expression" dxfId="6635" priority="60">
      <formula>Y$9&lt;8/24</formula>
    </cfRule>
  </conditionalFormatting>
  <conditionalFormatting sqref="Y49:Z49">
    <cfRule type="expression" dxfId="6634" priority="53">
      <formula>Y$9&gt;=20/24</formula>
    </cfRule>
    <cfRule type="expression" dxfId="6633" priority="54">
      <formula>AND(Y$9&gt;=14/24,Y$9&lt;20/24)</formula>
    </cfRule>
    <cfRule type="expression" dxfId="6632" priority="55">
      <formula>AND(Y$9&gt;=8/24,Y$9&lt;14/24)</formula>
    </cfRule>
    <cfRule type="expression" dxfId="6631" priority="56">
      <formula>Y$9&lt;8/24</formula>
    </cfRule>
  </conditionalFormatting>
  <conditionalFormatting sqref="Y50:Z50">
    <cfRule type="expression" dxfId="6630" priority="49">
      <formula>Y$9&gt;=20/24</formula>
    </cfRule>
    <cfRule type="expression" dxfId="6629" priority="50">
      <formula>AND(Y$9&gt;=14/24,Y$9&lt;20/24)</formula>
    </cfRule>
    <cfRule type="expression" dxfId="6628" priority="51">
      <formula>AND(Y$9&gt;=8/24,Y$9&lt;14/24)</formula>
    </cfRule>
    <cfRule type="expression" dxfId="6627" priority="52">
      <formula>Y$9&lt;8/24</formula>
    </cfRule>
  </conditionalFormatting>
  <conditionalFormatting sqref="Y60:Y61">
    <cfRule type="expression" dxfId="6626" priority="45">
      <formula>Y$9&gt;=20/24</formula>
    </cfRule>
    <cfRule type="expression" dxfId="6625" priority="46">
      <formula>AND(Y$9&gt;=14/24,Y$9&lt;20/24)</formula>
    </cfRule>
    <cfRule type="expression" dxfId="6624" priority="47">
      <formula>AND(Y$9&gt;=8/24,Y$9&lt;14/24)</formula>
    </cfRule>
    <cfRule type="expression" dxfId="6623" priority="48">
      <formula>Y$9&lt;8/24</formula>
    </cfRule>
  </conditionalFormatting>
  <conditionalFormatting sqref="Y11:Y14 Y36:Y37 Y39:Y45 Y53:Y55 Z36 Z44:Z45 Z12:AA14 Y16:AA25 Z47:Z50 Y47:Y51">
    <cfRule type="expression" dxfId="6622" priority="44">
      <formula>Y11&gt;$AG11</formula>
    </cfRule>
  </conditionalFormatting>
  <conditionalFormatting sqref="Y15:AA15">
    <cfRule type="expression" dxfId="6621" priority="40">
      <formula>Y$9&gt;=20/24</formula>
    </cfRule>
    <cfRule type="expression" dxfId="6620" priority="41">
      <formula>AND(Y$9&gt;=14/24,Y$9&lt;20/24)</formula>
    </cfRule>
    <cfRule type="expression" dxfId="6619" priority="42">
      <formula>AND(Y$9&gt;=8/24,Y$9&lt;14/24)</formula>
    </cfRule>
    <cfRule type="expression" dxfId="6618" priority="43">
      <formula>Y$9&lt;8/24</formula>
    </cfRule>
  </conditionalFormatting>
  <conditionalFormatting sqref="Y15:AA15">
    <cfRule type="expression" dxfId="6617" priority="39">
      <formula>Y15&gt;$AG15</formula>
    </cfRule>
  </conditionalFormatting>
  <conditionalFormatting sqref="Y44:Z44">
    <cfRule type="expression" dxfId="6616" priority="35">
      <formula>Y$9&gt;=20/24</formula>
    </cfRule>
    <cfRule type="expression" dxfId="6615" priority="36">
      <formula>AND(Y$9&gt;=14/24,Y$9&lt;20/24)</formula>
    </cfRule>
    <cfRule type="expression" dxfId="6614" priority="37">
      <formula>AND(Y$9&gt;=8/24,Y$9&lt;14/24)</formula>
    </cfRule>
    <cfRule type="expression" dxfId="6613" priority="38">
      <formula>Y$9&lt;8/24</formula>
    </cfRule>
  </conditionalFormatting>
  <conditionalFormatting sqref="Y62:Y67 Z64:AA67">
    <cfRule type="expression" dxfId="6612" priority="31">
      <formula>Y$9&gt;=20/24</formula>
    </cfRule>
    <cfRule type="expression" dxfId="6611" priority="32">
      <formula>AND(Y$9&gt;=14/24,Y$9&lt;20/24)</formula>
    </cfRule>
    <cfRule type="expression" dxfId="6610" priority="33">
      <formula>AND(Y$9&gt;=8/24,Y$9&lt;14/24)</formula>
    </cfRule>
    <cfRule type="expression" dxfId="6609" priority="34">
      <formula>Y$9&lt;8/24</formula>
    </cfRule>
  </conditionalFormatting>
  <conditionalFormatting sqref="Y26:AA32">
    <cfRule type="expression" dxfId="6608" priority="27">
      <formula>Y$9&gt;=20/24</formula>
    </cfRule>
    <cfRule type="expression" dxfId="6607" priority="28">
      <formula>AND(Y$9&gt;=14/24,Y$9&lt;20/24)</formula>
    </cfRule>
    <cfRule type="expression" dxfId="6606" priority="29">
      <formula>AND(Y$9&gt;=8/24,Y$9&lt;14/24)</formula>
    </cfRule>
    <cfRule type="expression" dxfId="6605" priority="30">
      <formula>Y$9&lt;8/24</formula>
    </cfRule>
  </conditionalFormatting>
  <conditionalFormatting sqref="Y35:AA35">
    <cfRule type="expression" dxfId="6604" priority="23">
      <formula>Y$9&gt;=20/24</formula>
    </cfRule>
    <cfRule type="expression" dxfId="6603" priority="24">
      <formula>AND(Y$9&gt;=14/24,Y$9&lt;20/24)</formula>
    </cfRule>
    <cfRule type="expression" dxfId="6602" priority="25">
      <formula>AND(Y$9&gt;=8/24,Y$9&lt;14/24)</formula>
    </cfRule>
    <cfRule type="expression" dxfId="6601" priority="26">
      <formula>Y$9&lt;8/24</formula>
    </cfRule>
  </conditionalFormatting>
  <conditionalFormatting sqref="Y26:AA32 Y34:AA35">
    <cfRule type="expression" dxfId="6600" priority="22">
      <formula>Y26&gt;$AG26</formula>
    </cfRule>
  </conditionalFormatting>
  <conditionalFormatting sqref="Y34:AA34">
    <cfRule type="expression" dxfId="6599" priority="18">
      <formula>Y$9&gt;=20/24</formula>
    </cfRule>
    <cfRule type="expression" dxfId="6598" priority="19">
      <formula>AND(Y$9&gt;=14/24,Y$9&lt;20/24)</formula>
    </cfRule>
    <cfRule type="expression" dxfId="6597" priority="20">
      <formula>AND(Y$9&gt;=8/24,Y$9&lt;14/24)</formula>
    </cfRule>
    <cfRule type="expression" dxfId="6596" priority="21">
      <formula>Y$9&lt;8/24</formula>
    </cfRule>
  </conditionalFormatting>
  <conditionalFormatting sqref="Y33:AA33">
    <cfRule type="expression" dxfId="6595" priority="14">
      <formula>Y$9&gt;=20/24</formula>
    </cfRule>
    <cfRule type="expression" dxfId="6594" priority="15">
      <formula>AND(Y$9&gt;=14/24,Y$9&lt;20/24)</formula>
    </cfRule>
    <cfRule type="expression" dxfId="6593" priority="16">
      <formula>AND(Y$9&gt;=8/24,Y$9&lt;14/24)</formula>
    </cfRule>
    <cfRule type="expression" dxfId="6592" priority="17">
      <formula>Y$9&lt;8/24</formula>
    </cfRule>
  </conditionalFormatting>
  <conditionalFormatting sqref="Y33:AA33">
    <cfRule type="expression" dxfId="6591" priority="13">
      <formula>Y33&gt;$AG33</formula>
    </cfRule>
  </conditionalFormatting>
  <conditionalFormatting sqref="Y94:Y97">
    <cfRule type="expression" dxfId="6590" priority="9">
      <formula>Y$9&gt;=20/24</formula>
    </cfRule>
    <cfRule type="expression" dxfId="6589" priority="10">
      <formula>AND(Y$9&gt;=14/24,Y$9&lt;20/24)</formula>
    </cfRule>
    <cfRule type="expression" dxfId="6588" priority="11">
      <formula>AND(Y$9&gt;=8/24,Y$9&lt;14/24)</formula>
    </cfRule>
    <cfRule type="expression" dxfId="6587" priority="12">
      <formula>Y$9&lt;8/24</formula>
    </cfRule>
  </conditionalFormatting>
  <conditionalFormatting sqref="Y98">
    <cfRule type="expression" dxfId="6586" priority="5">
      <formula>Y$9&gt;=20/24</formula>
    </cfRule>
    <cfRule type="expression" dxfId="6585" priority="6">
      <formula>AND(Y$9&gt;=14/24,Y$9&lt;20/24)</formula>
    </cfRule>
    <cfRule type="expression" dxfId="6584" priority="7">
      <formula>AND(Y$9&gt;=8/24,Y$9&lt;14/24)</formula>
    </cfRule>
    <cfRule type="expression" dxfId="6583" priority="8">
      <formula>Y$9&lt;8/24</formula>
    </cfRule>
  </conditionalFormatting>
  <conditionalFormatting sqref="Y99">
    <cfRule type="expression" dxfId="6582" priority="1">
      <formula>Y$9&gt;=20/24</formula>
    </cfRule>
    <cfRule type="expression" dxfId="6581" priority="2">
      <formula>AND(Y$9&gt;=14/24,Y$9&lt;20/24)</formula>
    </cfRule>
    <cfRule type="expression" dxfId="6580" priority="3">
      <formula>AND(Y$9&gt;=8/24,Y$9&lt;14/24)</formula>
    </cfRule>
    <cfRule type="expression" dxfId="6579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6" id="{5997569A-C035-4DD9-AE35-8C55323AEA0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F43" sqref="F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2078/10/16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339.7</v>
      </c>
      <c r="C5" s="32">
        <f t="shared" si="0"/>
        <v>307.7</v>
      </c>
      <c r="D5" s="32">
        <f t="shared" si="0"/>
        <v>324.5</v>
      </c>
      <c r="E5" s="32">
        <f t="shared" si="0"/>
        <v>290.10000000000002</v>
      </c>
      <c r="F5" s="32">
        <f t="shared" si="0"/>
        <v>363.1</v>
      </c>
      <c r="G5" s="32">
        <f t="shared" si="0"/>
        <v>398.40000000000003</v>
      </c>
      <c r="H5" s="32">
        <f t="shared" si="0"/>
        <v>433.6</v>
      </c>
      <c r="I5" s="32">
        <f t="shared" si="0"/>
        <v>528.69999999999993</v>
      </c>
      <c r="J5" s="32">
        <f t="shared" si="0"/>
        <v>534.9</v>
      </c>
      <c r="K5" s="32">
        <f t="shared" si="0"/>
        <v>528.20000000000005</v>
      </c>
      <c r="L5" s="32">
        <f t="shared" si="0"/>
        <v>301.89999999999998</v>
      </c>
      <c r="M5" s="32">
        <f t="shared" si="0"/>
        <v>314.69999999999993</v>
      </c>
      <c r="N5" s="32">
        <f t="shared" si="0"/>
        <v>607.20000000000005</v>
      </c>
      <c r="O5" s="32">
        <f t="shared" si="0"/>
        <v>615.20000000000005</v>
      </c>
      <c r="P5" s="32">
        <f t="shared" si="0"/>
        <v>603.5</v>
      </c>
      <c r="Q5" s="32">
        <f t="shared" si="0"/>
        <v>597.79999999999995</v>
      </c>
      <c r="R5" s="32">
        <f t="shared" si="0"/>
        <v>562.6</v>
      </c>
      <c r="S5" s="32">
        <f t="shared" si="0"/>
        <v>607.40000000000009</v>
      </c>
      <c r="T5" s="32">
        <f t="shared" si="0"/>
        <v>641.29999999999995</v>
      </c>
      <c r="U5" s="32">
        <f t="shared" si="0"/>
        <v>526</v>
      </c>
      <c r="V5" s="32">
        <f t="shared" si="0"/>
        <v>466</v>
      </c>
      <c r="W5" s="32">
        <f t="shared" si="0"/>
        <v>378.49999999999994</v>
      </c>
      <c r="X5" s="32">
        <f t="shared" si="0"/>
        <v>429.5</v>
      </c>
      <c r="Y5" s="32">
        <f t="shared" si="0"/>
        <v>319.70000000000005</v>
      </c>
      <c r="Z5" s="32">
        <f t="shared" si="0"/>
        <v>320.5</v>
      </c>
      <c r="AA5" s="32">
        <f t="shared" si="0"/>
        <v>492</v>
      </c>
      <c r="AB5" s="32">
        <f t="shared" si="0"/>
        <v>470</v>
      </c>
      <c r="AC5" s="32">
        <f t="shared" si="0"/>
        <v>517.6</v>
      </c>
      <c r="AD5" s="32">
        <f t="shared" si="0"/>
        <v>508.2</v>
      </c>
      <c r="AE5" s="32">
        <f t="shared" si="0"/>
        <v>448</v>
      </c>
      <c r="AF5" s="32">
        <f>B68</f>
        <v>373.8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1588MW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Load=877</v>
      </c>
      <c r="B7" s="37">
        <f>B75</f>
        <v>942.94</v>
      </c>
      <c r="C7" s="37">
        <f t="shared" ref="C7:AF7" si="1">C75</f>
        <v>909.33999999999992</v>
      </c>
      <c r="D7" s="37">
        <f t="shared" si="1"/>
        <v>877.44</v>
      </c>
      <c r="E7" s="37">
        <f t="shared" si="1"/>
        <v>890.24</v>
      </c>
      <c r="F7" s="37">
        <f t="shared" si="1"/>
        <v>879.83999999999992</v>
      </c>
      <c r="G7" s="37">
        <f t="shared" si="1"/>
        <v>928.93999999999994</v>
      </c>
      <c r="H7" s="37">
        <f t="shared" si="1"/>
        <v>985.6400000000001</v>
      </c>
      <c r="I7" s="37">
        <f t="shared" si="1"/>
        <v>1052.04</v>
      </c>
      <c r="J7" s="37">
        <f t="shared" si="1"/>
        <v>1181.54</v>
      </c>
      <c r="K7" s="37">
        <f t="shared" si="1"/>
        <v>1312.34</v>
      </c>
      <c r="L7" s="37">
        <f t="shared" si="1"/>
        <v>1466.2400000000002</v>
      </c>
      <c r="M7" s="37">
        <f t="shared" si="1"/>
        <v>1568.44</v>
      </c>
      <c r="N7" s="37">
        <f t="shared" si="1"/>
        <v>1587.64</v>
      </c>
      <c r="O7" s="37">
        <f t="shared" si="1"/>
        <v>1522.24</v>
      </c>
      <c r="P7" s="37">
        <f t="shared" si="1"/>
        <v>1484.74</v>
      </c>
      <c r="Q7" s="37">
        <f t="shared" si="1"/>
        <v>1410.1399999999999</v>
      </c>
      <c r="R7" s="37">
        <f t="shared" si="1"/>
        <v>1369.24</v>
      </c>
      <c r="S7" s="37">
        <f t="shared" si="1"/>
        <v>1411.64</v>
      </c>
      <c r="T7" s="37">
        <f t="shared" si="1"/>
        <v>1355.14</v>
      </c>
      <c r="U7" s="37">
        <f t="shared" si="1"/>
        <v>1394.94</v>
      </c>
      <c r="V7" s="37">
        <f t="shared" si="1"/>
        <v>1348.24</v>
      </c>
      <c r="W7" s="37">
        <f t="shared" si="1"/>
        <v>1518.44</v>
      </c>
      <c r="X7" s="37">
        <f t="shared" si="1"/>
        <v>1647.54</v>
      </c>
      <c r="Y7" s="37">
        <f t="shared" si="1"/>
        <v>1715.04</v>
      </c>
      <c r="Z7" s="37">
        <f t="shared" si="1"/>
        <v>1653.54</v>
      </c>
      <c r="AA7" s="37">
        <f t="shared" si="1"/>
        <v>1630.1399999999999</v>
      </c>
      <c r="AB7" s="37">
        <f t="shared" si="1"/>
        <v>1580.54</v>
      </c>
      <c r="AC7" s="37">
        <f t="shared" si="1"/>
        <v>1519.54</v>
      </c>
      <c r="AD7" s="37">
        <f t="shared" si="1"/>
        <v>1491.64</v>
      </c>
      <c r="AE7" s="37">
        <f t="shared" si="1"/>
        <v>1147.6399999999999</v>
      </c>
      <c r="AF7" s="37">
        <f t="shared" si="1"/>
        <v>1070.44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10</v>
      </c>
      <c r="D11" s="49">
        <v>10</v>
      </c>
      <c r="E11" s="49">
        <v>30</v>
      </c>
      <c r="F11" s="49">
        <v>30</v>
      </c>
      <c r="G11" s="49">
        <v>10</v>
      </c>
      <c r="H11" s="49">
        <v>10</v>
      </c>
      <c r="I11" s="49">
        <v>10</v>
      </c>
      <c r="J11" s="49">
        <v>10</v>
      </c>
      <c r="K11" s="49">
        <v>65</v>
      </c>
      <c r="L11" s="49">
        <v>105</v>
      </c>
      <c r="M11" s="50">
        <v>400</v>
      </c>
      <c r="N11" s="50">
        <v>390</v>
      </c>
      <c r="O11" s="50">
        <v>60</v>
      </c>
      <c r="P11" s="50">
        <v>40</v>
      </c>
      <c r="Q11" s="50">
        <v>30</v>
      </c>
      <c r="R11" s="177">
        <v>30</v>
      </c>
      <c r="S11" s="50">
        <v>50</v>
      </c>
      <c r="T11" s="50">
        <v>15</v>
      </c>
      <c r="U11" s="50">
        <v>20</v>
      </c>
      <c r="V11" s="50">
        <v>50</v>
      </c>
      <c r="W11" s="50">
        <v>200</v>
      </c>
      <c r="X11" s="50">
        <v>350</v>
      </c>
      <c r="Y11" s="50">
        <v>355</v>
      </c>
      <c r="Z11" s="51">
        <v>405</v>
      </c>
      <c r="AA11" s="50">
        <v>405</v>
      </c>
      <c r="AB11" s="50">
        <v>200</v>
      </c>
      <c r="AC11" s="50">
        <v>170</v>
      </c>
      <c r="AD11" s="50">
        <v>170</v>
      </c>
      <c r="AE11" s="50">
        <v>15</v>
      </c>
      <c r="AF11" s="49">
        <v>60</v>
      </c>
      <c r="AG11" s="52">
        <v>456</v>
      </c>
      <c r="AH11" s="53">
        <f>MAX(B11:AF11)</f>
        <v>405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49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0">
        <v>36</v>
      </c>
      <c r="AA12" s="50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21.1</v>
      </c>
      <c r="C13" s="49">
        <v>21.1</v>
      </c>
      <c r="D13" s="49">
        <v>21.1</v>
      </c>
      <c r="E13" s="49">
        <v>20.5</v>
      </c>
      <c r="F13" s="49">
        <v>20.5</v>
      </c>
      <c r="G13" s="49">
        <v>20.5</v>
      </c>
      <c r="H13" s="49">
        <v>20.5</v>
      </c>
      <c r="I13" s="49">
        <v>20.5</v>
      </c>
      <c r="J13" s="49">
        <v>20.2</v>
      </c>
      <c r="K13" s="49">
        <v>20.2</v>
      </c>
      <c r="L13" s="49">
        <v>20.2</v>
      </c>
      <c r="M13" s="49">
        <v>20.2</v>
      </c>
      <c r="N13" s="49">
        <v>20.2</v>
      </c>
      <c r="O13" s="49">
        <v>20.2</v>
      </c>
      <c r="P13" s="49">
        <v>20.2</v>
      </c>
      <c r="Q13" s="49">
        <v>20.2</v>
      </c>
      <c r="R13" s="49">
        <v>20.2</v>
      </c>
      <c r="S13" s="49">
        <v>20.2</v>
      </c>
      <c r="T13" s="57">
        <v>18.100000000000001</v>
      </c>
      <c r="U13" s="57">
        <v>18.100000000000001</v>
      </c>
      <c r="V13" s="57">
        <v>19.3</v>
      </c>
      <c r="W13" s="57">
        <v>20.3</v>
      </c>
      <c r="X13" s="57">
        <v>21.5</v>
      </c>
      <c r="Y13" s="57">
        <v>21.5</v>
      </c>
      <c r="Z13" s="50">
        <v>21.5</v>
      </c>
      <c r="AA13" s="50">
        <v>21</v>
      </c>
      <c r="AB13" s="50">
        <v>21</v>
      </c>
      <c r="AC13" s="50">
        <v>21</v>
      </c>
      <c r="AD13" s="50">
        <v>21</v>
      </c>
      <c r="AE13" s="50">
        <v>21</v>
      </c>
      <c r="AF13" s="50">
        <v>21</v>
      </c>
      <c r="AG13" s="58">
        <v>52.4</v>
      </c>
      <c r="AH13" s="53">
        <f t="shared" si="2"/>
        <v>21.5</v>
      </c>
      <c r="AI13" s="54">
        <f t="shared" si="3"/>
        <v>18.100000000000001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39</v>
      </c>
      <c r="C14" s="49">
        <v>38.9</v>
      </c>
      <c r="D14" s="49">
        <v>39</v>
      </c>
      <c r="E14" s="49">
        <v>39</v>
      </c>
      <c r="F14" s="49">
        <v>39</v>
      </c>
      <c r="G14" s="49">
        <v>39</v>
      </c>
      <c r="H14" s="49">
        <v>39</v>
      </c>
      <c r="I14" s="49">
        <v>39</v>
      </c>
      <c r="J14" s="49">
        <v>38.799999999999997</v>
      </c>
      <c r="K14" s="49">
        <v>38.799999999999997</v>
      </c>
      <c r="L14" s="49">
        <v>38.799999999999997</v>
      </c>
      <c r="M14" s="50">
        <v>38.799999999999997</v>
      </c>
      <c r="N14" s="50">
        <v>38.799999999999997</v>
      </c>
      <c r="O14" s="50">
        <v>38.799999999999997</v>
      </c>
      <c r="P14" s="50">
        <v>38.799999999999997</v>
      </c>
      <c r="Q14" s="50">
        <v>38.799999999999997</v>
      </c>
      <c r="R14" s="50">
        <v>38.799999999999997</v>
      </c>
      <c r="S14" s="50">
        <v>38.799999999999997</v>
      </c>
      <c r="T14" s="59">
        <v>38.4</v>
      </c>
      <c r="U14" s="59">
        <v>38.4</v>
      </c>
      <c r="V14" s="59">
        <v>38.4</v>
      </c>
      <c r="W14" s="59">
        <v>38.799999999999997</v>
      </c>
      <c r="X14" s="59">
        <v>38.200000000000003</v>
      </c>
      <c r="Y14" s="59">
        <v>38.6</v>
      </c>
      <c r="Z14" s="50">
        <v>38.4</v>
      </c>
      <c r="AA14" s="50">
        <v>37.9</v>
      </c>
      <c r="AB14" s="50">
        <v>37.9</v>
      </c>
      <c r="AC14" s="50">
        <v>37.9</v>
      </c>
      <c r="AD14" s="50">
        <v>37.9</v>
      </c>
      <c r="AE14" s="50">
        <v>37.9</v>
      </c>
      <c r="AF14" s="50">
        <v>37.9</v>
      </c>
      <c r="AG14" s="58">
        <v>50</v>
      </c>
      <c r="AH14" s="53">
        <f t="shared" si="2"/>
        <v>39</v>
      </c>
      <c r="AI14" s="54">
        <f t="shared" si="3"/>
        <v>37.9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22.6</v>
      </c>
      <c r="C15" s="60">
        <v>22.5</v>
      </c>
      <c r="D15" s="60">
        <v>22.6</v>
      </c>
      <c r="E15" s="60">
        <v>21.9</v>
      </c>
      <c r="F15" s="60">
        <v>21.9</v>
      </c>
      <c r="G15" s="60">
        <v>22.2</v>
      </c>
      <c r="H15" s="60">
        <v>22.2</v>
      </c>
      <c r="I15" s="60">
        <v>22.2</v>
      </c>
      <c r="J15" s="60">
        <v>21</v>
      </c>
      <c r="K15" s="60">
        <v>21</v>
      </c>
      <c r="L15" s="60">
        <v>21</v>
      </c>
      <c r="M15" s="50">
        <v>21</v>
      </c>
      <c r="N15" s="50">
        <v>21</v>
      </c>
      <c r="O15" s="50">
        <v>21</v>
      </c>
      <c r="P15" s="50">
        <v>21</v>
      </c>
      <c r="Q15" s="50">
        <v>21</v>
      </c>
      <c r="R15" s="50">
        <v>21</v>
      </c>
      <c r="S15" s="50">
        <v>21</v>
      </c>
      <c r="T15" s="59">
        <v>22.1</v>
      </c>
      <c r="U15" s="59">
        <v>22.1</v>
      </c>
      <c r="V15" s="59">
        <v>22.1</v>
      </c>
      <c r="W15" s="59">
        <v>22.3</v>
      </c>
      <c r="X15" s="59">
        <v>22.3</v>
      </c>
      <c r="Y15" s="59">
        <v>22.3</v>
      </c>
      <c r="Z15" s="50">
        <v>22.8</v>
      </c>
      <c r="AA15" s="50">
        <v>23.3</v>
      </c>
      <c r="AB15" s="50">
        <v>23.3</v>
      </c>
      <c r="AC15" s="50">
        <v>23.3</v>
      </c>
      <c r="AD15" s="50">
        <v>23.3</v>
      </c>
      <c r="AE15" s="50">
        <v>23.3</v>
      </c>
      <c r="AF15" s="50">
        <v>23.3</v>
      </c>
      <c r="AG15" s="61">
        <v>45</v>
      </c>
      <c r="AH15" s="53">
        <f t="shared" si="2"/>
        <v>23.3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9.6999999999999993</v>
      </c>
      <c r="C19" s="49">
        <v>9.6999999999999993</v>
      </c>
      <c r="D19" s="49">
        <v>9.6999999999999993</v>
      </c>
      <c r="E19" s="49">
        <v>9.6</v>
      </c>
      <c r="F19" s="49">
        <v>9.6</v>
      </c>
      <c r="G19" s="49">
        <v>9.5</v>
      </c>
      <c r="H19" s="49">
        <v>9.5</v>
      </c>
      <c r="I19" s="49">
        <v>9.5</v>
      </c>
      <c r="J19" s="49">
        <v>7.5</v>
      </c>
      <c r="K19" s="49">
        <v>9.5</v>
      </c>
      <c r="L19" s="49">
        <v>9.5</v>
      </c>
      <c r="M19" s="50">
        <v>9.5</v>
      </c>
      <c r="N19" s="50">
        <v>9.5</v>
      </c>
      <c r="O19" s="50">
        <v>9.5</v>
      </c>
      <c r="P19" s="50">
        <v>9.5</v>
      </c>
      <c r="Q19" s="50">
        <v>9.5</v>
      </c>
      <c r="R19" s="50">
        <v>9.5</v>
      </c>
      <c r="S19" s="50">
        <v>9.5</v>
      </c>
      <c r="T19" s="50">
        <v>9.5</v>
      </c>
      <c r="U19" s="50">
        <v>9.5</v>
      </c>
      <c r="V19" s="50">
        <v>9.5</v>
      </c>
      <c r="W19" s="50">
        <v>9.5</v>
      </c>
      <c r="X19" s="50">
        <v>9.5</v>
      </c>
      <c r="Y19" s="50">
        <v>9.5</v>
      </c>
      <c r="Z19" s="50">
        <v>9.5</v>
      </c>
      <c r="AA19" s="50">
        <v>9.5</v>
      </c>
      <c r="AB19" s="50">
        <v>9.5</v>
      </c>
      <c r="AC19" s="50">
        <v>9.5</v>
      </c>
      <c r="AD19" s="50">
        <v>9.5</v>
      </c>
      <c r="AE19" s="50">
        <v>9.5</v>
      </c>
      <c r="AF19" s="50">
        <v>9.5</v>
      </c>
      <c r="AG19" s="58">
        <v>30</v>
      </c>
      <c r="AH19" s="53">
        <f t="shared" si="2"/>
        <v>9.6999999999999993</v>
      </c>
      <c r="AI19" s="54">
        <f t="shared" si="3"/>
        <v>7.5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11.3</v>
      </c>
      <c r="C22" s="49">
        <v>11.4</v>
      </c>
      <c r="D22" s="49">
        <v>11.3</v>
      </c>
      <c r="E22" s="49">
        <v>11.3</v>
      </c>
      <c r="F22" s="49">
        <v>11.3</v>
      </c>
      <c r="G22" s="49">
        <v>11.4</v>
      </c>
      <c r="H22" s="49">
        <v>11.4</v>
      </c>
      <c r="I22" s="49">
        <v>11.4</v>
      </c>
      <c r="J22" s="49">
        <v>11</v>
      </c>
      <c r="K22" s="49">
        <v>11</v>
      </c>
      <c r="L22" s="49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10</v>
      </c>
      <c r="Y22" s="50">
        <v>19.3</v>
      </c>
      <c r="Z22" s="50">
        <v>19.3</v>
      </c>
      <c r="AA22" s="50">
        <v>19.3</v>
      </c>
      <c r="AB22" s="50">
        <v>19.3</v>
      </c>
      <c r="AC22" s="50">
        <v>19.3</v>
      </c>
      <c r="AD22" s="50">
        <v>19.3</v>
      </c>
      <c r="AE22" s="50">
        <v>19.3</v>
      </c>
      <c r="AF22" s="50">
        <v>19.3</v>
      </c>
      <c r="AG22" s="58">
        <v>25</v>
      </c>
      <c r="AH22" s="53">
        <f t="shared" si="2"/>
        <v>19.3</v>
      </c>
      <c r="AI22" s="54">
        <f t="shared" si="3"/>
        <v>10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10</v>
      </c>
      <c r="C24" s="49">
        <v>10</v>
      </c>
      <c r="D24" s="49">
        <v>10</v>
      </c>
      <c r="E24" s="49">
        <v>12.9</v>
      </c>
      <c r="F24" s="49">
        <v>12.9</v>
      </c>
      <c r="G24" s="49">
        <v>12.2</v>
      </c>
      <c r="H24" s="49">
        <v>12.1</v>
      </c>
      <c r="I24" s="49">
        <v>12.1</v>
      </c>
      <c r="J24" s="49">
        <v>12.1</v>
      </c>
      <c r="K24" s="49">
        <v>12.1</v>
      </c>
      <c r="L24" s="49">
        <v>12.1</v>
      </c>
      <c r="M24" s="50">
        <v>12.1</v>
      </c>
      <c r="N24" s="50">
        <v>12.1</v>
      </c>
      <c r="O24" s="50">
        <v>12.1</v>
      </c>
      <c r="P24" s="50">
        <v>12.1</v>
      </c>
      <c r="Q24" s="50">
        <v>12.1</v>
      </c>
      <c r="R24" s="50">
        <v>12.1</v>
      </c>
      <c r="S24" s="50">
        <v>12.1</v>
      </c>
      <c r="T24" s="50">
        <v>12.1</v>
      </c>
      <c r="U24" s="50">
        <v>12.1</v>
      </c>
      <c r="V24" s="50">
        <v>12.1</v>
      </c>
      <c r="W24" s="50">
        <v>12.1</v>
      </c>
      <c r="X24" s="50">
        <v>12.1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8">
        <v>25</v>
      </c>
      <c r="AH24" s="53">
        <f t="shared" si="2"/>
        <v>12.9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16.1+30</f>
        <v>46.1</v>
      </c>
      <c r="C37" s="60">
        <f>16.2+30.2</f>
        <v>46.4</v>
      </c>
      <c r="D37" s="60">
        <f>16.2+30.2</f>
        <v>46.4</v>
      </c>
      <c r="E37" s="60">
        <f>16.2+30.2</f>
        <v>46.4</v>
      </c>
      <c r="F37" s="60">
        <f>17.4+32</f>
        <v>49.4</v>
      </c>
      <c r="G37" s="60">
        <f>17.3+31.5</f>
        <v>48.8</v>
      </c>
      <c r="H37" s="60">
        <f>17.3+31.5</f>
        <v>48.8</v>
      </c>
      <c r="I37" s="60">
        <f>17.1+31</f>
        <v>48.1</v>
      </c>
      <c r="J37" s="60">
        <f>16.7+30.2</f>
        <v>46.9</v>
      </c>
      <c r="K37" s="60">
        <f>16.4+29.7</f>
        <v>46.099999999999994</v>
      </c>
      <c r="L37" s="60">
        <f>16+29.3</f>
        <v>45.3</v>
      </c>
      <c r="M37" s="69">
        <f>15.8+29.7</f>
        <v>45.5</v>
      </c>
      <c r="N37" s="69">
        <v>45.4</v>
      </c>
      <c r="O37" s="69">
        <v>45.1</v>
      </c>
      <c r="P37" s="69">
        <v>45.3</v>
      </c>
      <c r="Q37" s="69">
        <v>44.4</v>
      </c>
      <c r="R37" s="69">
        <v>38.200000000000003</v>
      </c>
      <c r="S37" s="69">
        <v>1.6</v>
      </c>
      <c r="T37" s="69">
        <f>29.5+15.7</f>
        <v>45.2</v>
      </c>
      <c r="U37" s="69">
        <f>29.2+15.8</f>
        <v>45</v>
      </c>
      <c r="V37" s="69">
        <f>28+15.5</f>
        <v>43.5</v>
      </c>
      <c r="W37" s="69">
        <f>26.8+14.9</f>
        <v>41.7</v>
      </c>
      <c r="X37" s="69">
        <f>26.4+14.5</f>
        <v>40.9</v>
      </c>
      <c r="Y37" s="69">
        <v>42.8</v>
      </c>
      <c r="Z37" s="69">
        <f>28.1+15.2</f>
        <v>43.3</v>
      </c>
      <c r="AA37" s="69">
        <f t="shared" ref="AA37:AF37" si="4">26.9+15</f>
        <v>41.9</v>
      </c>
      <c r="AB37" s="69">
        <f t="shared" si="4"/>
        <v>41.9</v>
      </c>
      <c r="AC37" s="69">
        <f t="shared" si="4"/>
        <v>41.9</v>
      </c>
      <c r="AD37" s="69">
        <f t="shared" si="4"/>
        <v>41.9</v>
      </c>
      <c r="AE37" s="69">
        <f t="shared" si="4"/>
        <v>41.9</v>
      </c>
      <c r="AF37" s="69">
        <f t="shared" si="4"/>
        <v>41.9</v>
      </c>
      <c r="AG37" s="66">
        <v>240</v>
      </c>
      <c r="AH37" s="53">
        <f t="shared" si="2"/>
        <v>49.4</v>
      </c>
      <c r="AI37" s="54">
        <f t="shared" si="3"/>
        <v>1.6</v>
      </c>
      <c r="AK37" s="55"/>
    </row>
    <row r="38" spans="1:88" ht="15.75" thickBot="1" x14ac:dyDescent="0.3">
      <c r="A38" s="70" t="s">
        <v>46</v>
      </c>
      <c r="B38" s="71">
        <f>SUM(B11:B36)</f>
        <v>419.7</v>
      </c>
      <c r="C38" s="71">
        <f t="shared" ref="C38:AF38" si="5">SUM(C11:C36)</f>
        <v>419.59999999999997</v>
      </c>
      <c r="D38" s="71">
        <f t="shared" si="5"/>
        <v>419.7</v>
      </c>
      <c r="E38" s="71">
        <f t="shared" si="5"/>
        <v>441.2</v>
      </c>
      <c r="F38" s="71">
        <f t="shared" si="5"/>
        <v>441.2</v>
      </c>
      <c r="G38" s="71">
        <f t="shared" si="5"/>
        <v>420.79999999999995</v>
      </c>
      <c r="H38" s="71">
        <f t="shared" si="5"/>
        <v>420.7</v>
      </c>
      <c r="I38" s="71">
        <f t="shared" si="5"/>
        <v>420.7</v>
      </c>
      <c r="J38" s="71">
        <f t="shared" si="5"/>
        <v>416.59999999999997</v>
      </c>
      <c r="K38" s="71">
        <f t="shared" si="5"/>
        <v>473.59999999999997</v>
      </c>
      <c r="L38" s="71">
        <f t="shared" si="5"/>
        <v>513.6</v>
      </c>
      <c r="M38" s="71">
        <f t="shared" si="5"/>
        <v>808.60000000000014</v>
      </c>
      <c r="N38" s="71">
        <f t="shared" si="5"/>
        <v>798.60000000000014</v>
      </c>
      <c r="O38" s="71">
        <f t="shared" si="5"/>
        <v>468.59999999999997</v>
      </c>
      <c r="P38" s="71">
        <f t="shared" si="5"/>
        <v>448.59999999999997</v>
      </c>
      <c r="Q38" s="71">
        <f t="shared" si="5"/>
        <v>438.59999999999997</v>
      </c>
      <c r="R38" s="71">
        <f t="shared" si="5"/>
        <v>438.59999999999997</v>
      </c>
      <c r="S38" s="71">
        <f t="shared" si="5"/>
        <v>458.59999999999997</v>
      </c>
      <c r="T38" s="71">
        <f t="shared" si="5"/>
        <v>422.2</v>
      </c>
      <c r="U38" s="71">
        <f t="shared" si="5"/>
        <v>427.2</v>
      </c>
      <c r="V38" s="71">
        <f t="shared" si="5"/>
        <v>458.39999999999992</v>
      </c>
      <c r="W38" s="71">
        <f t="shared" si="5"/>
        <v>610</v>
      </c>
      <c r="X38" s="71">
        <f t="shared" si="5"/>
        <v>759.6</v>
      </c>
      <c r="Y38" s="71">
        <f t="shared" si="5"/>
        <v>769.2</v>
      </c>
      <c r="Z38" s="71">
        <f t="shared" si="5"/>
        <v>819.5</v>
      </c>
      <c r="AA38" s="71">
        <f t="shared" si="5"/>
        <v>819</v>
      </c>
      <c r="AB38" s="71">
        <f t="shared" si="5"/>
        <v>614</v>
      </c>
      <c r="AC38" s="71">
        <f t="shared" si="5"/>
        <v>584</v>
      </c>
      <c r="AD38" s="71">
        <f t="shared" si="5"/>
        <v>584</v>
      </c>
      <c r="AE38" s="71">
        <f t="shared" si="5"/>
        <v>429</v>
      </c>
      <c r="AF38" s="71">
        <f t="shared" si="5"/>
        <v>474</v>
      </c>
      <c r="AG38" s="66">
        <f>SUM(AG11:AG37)</f>
        <v>1492.8299999999997</v>
      </c>
      <c r="AH38" s="53">
        <f t="shared" si="2"/>
        <v>819.5</v>
      </c>
      <c r="AI38" s="54">
        <f t="shared" si="3"/>
        <v>416.59999999999997</v>
      </c>
      <c r="AK38" s="55"/>
    </row>
    <row r="39" spans="1:88" x14ac:dyDescent="0.25">
      <c r="A39" s="56" t="s">
        <v>47</v>
      </c>
      <c r="B39" s="49">
        <v>30.3</v>
      </c>
      <c r="C39" s="60">
        <v>30.5</v>
      </c>
      <c r="D39" s="60">
        <v>30.5</v>
      </c>
      <c r="E39" s="60">
        <v>0</v>
      </c>
      <c r="F39" s="60">
        <v>0</v>
      </c>
      <c r="G39" s="60">
        <v>0</v>
      </c>
      <c r="H39" s="60">
        <v>0</v>
      </c>
      <c r="I39" s="60">
        <v>30.7</v>
      </c>
      <c r="J39" s="60">
        <v>40.799999999999997</v>
      </c>
      <c r="K39" s="60">
        <v>85</v>
      </c>
      <c r="L39" s="60">
        <v>143.5</v>
      </c>
      <c r="M39" s="50">
        <v>146</v>
      </c>
      <c r="N39" s="50">
        <v>145.80000000000001</v>
      </c>
      <c r="O39" s="50">
        <v>134</v>
      </c>
      <c r="P39" s="50">
        <v>123.1</v>
      </c>
      <c r="Q39" s="50">
        <v>101.7</v>
      </c>
      <c r="R39" s="50">
        <v>71.5</v>
      </c>
      <c r="S39" s="50">
        <v>91.2</v>
      </c>
      <c r="T39" s="50">
        <v>70.400000000000006</v>
      </c>
      <c r="U39" s="50">
        <v>81.2</v>
      </c>
      <c r="V39" s="50">
        <v>97</v>
      </c>
      <c r="W39" s="50">
        <v>111.1</v>
      </c>
      <c r="X39" s="50">
        <v>145</v>
      </c>
      <c r="Y39" s="50">
        <v>144.69999999999999</v>
      </c>
      <c r="Z39" s="50">
        <v>144.80000000000001</v>
      </c>
      <c r="AA39" s="50">
        <v>144.30000000000001</v>
      </c>
      <c r="AB39" s="50">
        <v>143</v>
      </c>
      <c r="AC39" s="50">
        <v>143.5</v>
      </c>
      <c r="AD39" s="50">
        <v>111</v>
      </c>
      <c r="AE39" s="50">
        <v>30</v>
      </c>
      <c r="AF39" s="49">
        <v>0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21.5</v>
      </c>
      <c r="I40" s="60">
        <v>22.3</v>
      </c>
      <c r="J40" s="60">
        <v>45.5</v>
      </c>
      <c r="K40" s="60">
        <v>60.4</v>
      </c>
      <c r="L40" s="60">
        <v>59.8</v>
      </c>
      <c r="M40" s="72">
        <v>70</v>
      </c>
      <c r="N40" s="72">
        <v>69.400000000000006</v>
      </c>
      <c r="O40" s="72">
        <v>59.7</v>
      </c>
      <c r="P40" s="72">
        <v>59.2</v>
      </c>
      <c r="Q40" s="72">
        <v>46.8</v>
      </c>
      <c r="R40" s="72">
        <v>44.1</v>
      </c>
      <c r="S40" s="72">
        <v>49.7</v>
      </c>
      <c r="T40" s="72">
        <v>45.1</v>
      </c>
      <c r="U40" s="72">
        <v>29.5</v>
      </c>
      <c r="V40" s="72">
        <v>24.8</v>
      </c>
      <c r="W40" s="72">
        <v>69.099999999999994</v>
      </c>
      <c r="X40" s="72">
        <v>70.7</v>
      </c>
      <c r="Y40" s="72">
        <v>70.400000000000006</v>
      </c>
      <c r="Z40" s="72">
        <v>69.599999999999994</v>
      </c>
      <c r="AA40" s="72">
        <v>49.3</v>
      </c>
      <c r="AB40" s="72">
        <v>50</v>
      </c>
      <c r="AC40" s="72">
        <v>50</v>
      </c>
      <c r="AD40" s="72">
        <v>35</v>
      </c>
      <c r="AE40" s="72">
        <v>23</v>
      </c>
      <c r="AF40" s="60">
        <v>0</v>
      </c>
      <c r="AG40" s="66">
        <v>70</v>
      </c>
      <c r="AH40" s="53">
        <f t="shared" si="2"/>
        <v>70.7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17.100000000000001</v>
      </c>
      <c r="C41" s="60">
        <v>17.5</v>
      </c>
      <c r="D41" s="60">
        <v>17.5</v>
      </c>
      <c r="E41" s="60">
        <v>22.5</v>
      </c>
      <c r="F41" s="60">
        <v>36.5</v>
      </c>
      <c r="G41" s="60">
        <v>33</v>
      </c>
      <c r="H41" s="60">
        <v>33</v>
      </c>
      <c r="I41" s="60">
        <v>32.700000000000003</v>
      </c>
      <c r="J41" s="60">
        <v>32.9</v>
      </c>
      <c r="K41" s="60">
        <v>46.4</v>
      </c>
      <c r="L41" s="60">
        <v>55</v>
      </c>
      <c r="M41" s="72">
        <v>55.1</v>
      </c>
      <c r="N41" s="72">
        <v>66.400000000000006</v>
      </c>
      <c r="O41" s="72">
        <v>63.3</v>
      </c>
      <c r="P41" s="72">
        <v>48.5</v>
      </c>
      <c r="Q41" s="72">
        <v>32.9</v>
      </c>
      <c r="R41" s="72">
        <v>39.700000000000003</v>
      </c>
      <c r="S41" s="72">
        <v>45.3</v>
      </c>
      <c r="T41" s="72">
        <v>22</v>
      </c>
      <c r="U41" s="72">
        <v>22.6</v>
      </c>
      <c r="V41" s="72">
        <v>57.9</v>
      </c>
      <c r="W41" s="72">
        <v>67.3</v>
      </c>
      <c r="X41" s="72">
        <v>66.8</v>
      </c>
      <c r="Y41" s="72">
        <v>66.5</v>
      </c>
      <c r="Z41" s="72">
        <v>66.3</v>
      </c>
      <c r="AA41" s="72">
        <v>66.2</v>
      </c>
      <c r="AB41" s="72">
        <v>61</v>
      </c>
      <c r="AC41" s="72">
        <v>61</v>
      </c>
      <c r="AD41" s="72">
        <v>61</v>
      </c>
      <c r="AE41" s="72">
        <v>54</v>
      </c>
      <c r="AF41" s="60">
        <v>45</v>
      </c>
      <c r="AG41" s="66">
        <v>69</v>
      </c>
      <c r="AH41" s="53">
        <f t="shared" si="2"/>
        <v>67.3</v>
      </c>
      <c r="AI41" s="54">
        <f t="shared" si="3"/>
        <v>17.100000000000001</v>
      </c>
      <c r="AK41" s="55"/>
    </row>
    <row r="42" spans="1:88" x14ac:dyDescent="0.25">
      <c r="A42" s="65" t="s">
        <v>50</v>
      </c>
      <c r="B42" s="60">
        <v>50</v>
      </c>
      <c r="C42" s="60">
        <v>50</v>
      </c>
      <c r="D42" s="60">
        <v>50</v>
      </c>
      <c r="E42" s="60">
        <v>50</v>
      </c>
      <c r="F42" s="60">
        <v>50</v>
      </c>
      <c r="G42" s="60">
        <v>50</v>
      </c>
      <c r="H42" s="60">
        <v>50</v>
      </c>
      <c r="I42" s="60">
        <v>50</v>
      </c>
      <c r="J42" s="60">
        <v>50</v>
      </c>
      <c r="K42" s="60">
        <v>50</v>
      </c>
      <c r="L42" s="60">
        <v>50</v>
      </c>
      <c r="M42" s="72">
        <v>52</v>
      </c>
      <c r="N42" s="72">
        <v>52</v>
      </c>
      <c r="O42" s="72">
        <v>52</v>
      </c>
      <c r="P42" s="72">
        <v>52</v>
      </c>
      <c r="Q42" s="72">
        <v>52</v>
      </c>
      <c r="R42" s="72">
        <v>52</v>
      </c>
      <c r="S42" s="72">
        <v>52</v>
      </c>
      <c r="T42" s="72">
        <v>52</v>
      </c>
      <c r="U42" s="72">
        <v>48</v>
      </c>
      <c r="V42" s="72">
        <v>50</v>
      </c>
      <c r="W42" s="72">
        <v>51</v>
      </c>
      <c r="X42" s="72">
        <v>53</v>
      </c>
      <c r="Y42" s="72">
        <v>52.4</v>
      </c>
      <c r="Z42" s="72">
        <v>52.1</v>
      </c>
      <c r="AA42" s="72">
        <v>51.4</v>
      </c>
      <c r="AB42" s="72">
        <v>51.4</v>
      </c>
      <c r="AC42" s="72">
        <v>51.4</v>
      </c>
      <c r="AD42" s="72">
        <v>51.4</v>
      </c>
      <c r="AE42" s="72">
        <v>51.4</v>
      </c>
      <c r="AF42" s="72">
        <v>51.4</v>
      </c>
      <c r="AG42" s="66">
        <v>60</v>
      </c>
      <c r="AH42" s="53">
        <f t="shared" si="2"/>
        <v>53</v>
      </c>
      <c r="AI42" s="54">
        <f t="shared" si="3"/>
        <v>48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10</v>
      </c>
      <c r="G43" s="60">
        <v>10</v>
      </c>
      <c r="H43" s="60">
        <v>10</v>
      </c>
      <c r="I43" s="60">
        <v>10</v>
      </c>
      <c r="J43" s="60">
        <v>15</v>
      </c>
      <c r="K43" s="60">
        <v>10</v>
      </c>
      <c r="L43" s="60">
        <v>15</v>
      </c>
      <c r="M43" s="50">
        <v>21.6</v>
      </c>
      <c r="N43" s="50">
        <v>24.1</v>
      </c>
      <c r="O43" s="50">
        <v>22.4</v>
      </c>
      <c r="P43" s="50">
        <v>21.6</v>
      </c>
      <c r="Q43" s="50">
        <v>12.7</v>
      </c>
      <c r="R43" s="50">
        <v>10.4</v>
      </c>
      <c r="S43" s="50">
        <v>0</v>
      </c>
      <c r="T43" s="50">
        <v>0</v>
      </c>
      <c r="U43" s="50">
        <v>0</v>
      </c>
      <c r="V43" s="50">
        <v>0</v>
      </c>
      <c r="W43" s="50">
        <v>10</v>
      </c>
      <c r="X43" s="50">
        <v>22</v>
      </c>
      <c r="Y43" s="50">
        <v>30</v>
      </c>
      <c r="Z43" s="72">
        <v>30</v>
      </c>
      <c r="AA43" s="72">
        <v>28</v>
      </c>
      <c r="AB43" s="72">
        <v>22</v>
      </c>
      <c r="AC43" s="72">
        <v>22</v>
      </c>
      <c r="AD43" s="72">
        <v>15</v>
      </c>
      <c r="AE43" s="72">
        <v>0</v>
      </c>
      <c r="AF43" s="72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6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50">
        <v>4.5</v>
      </c>
      <c r="N46" s="50">
        <v>4.5</v>
      </c>
      <c r="O46" s="50">
        <v>4.5</v>
      </c>
      <c r="P46" s="50">
        <v>4.5</v>
      </c>
      <c r="Q46" s="50">
        <v>4.5</v>
      </c>
      <c r="R46" s="50">
        <v>4.5</v>
      </c>
      <c r="S46" s="50">
        <v>4.5</v>
      </c>
      <c r="T46" s="50">
        <v>4.5</v>
      </c>
      <c r="U46" s="50">
        <v>4.5</v>
      </c>
      <c r="V46" s="50">
        <v>4.5</v>
      </c>
      <c r="W46" s="50">
        <v>4.5</v>
      </c>
      <c r="X46" s="50">
        <v>4.5</v>
      </c>
      <c r="Y46" s="50">
        <v>4.5</v>
      </c>
      <c r="Z46" s="50">
        <v>4.5</v>
      </c>
      <c r="AA46" s="50">
        <v>4.5</v>
      </c>
      <c r="AB46" s="50">
        <v>4.5</v>
      </c>
      <c r="AC46" s="50">
        <v>4.5</v>
      </c>
      <c r="AD46" s="50">
        <v>4.5</v>
      </c>
      <c r="AE46" s="50">
        <v>4.5</v>
      </c>
      <c r="AF46" s="50">
        <v>4.5</v>
      </c>
      <c r="AG46" s="66">
        <v>15</v>
      </c>
      <c r="AH46" s="53">
        <f t="shared" si="2"/>
        <v>4.5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60">
        <v>5</v>
      </c>
      <c r="E48" s="60">
        <v>5</v>
      </c>
      <c r="F48" s="60">
        <v>5</v>
      </c>
      <c r="G48" s="60">
        <v>5</v>
      </c>
      <c r="H48" s="60">
        <v>5</v>
      </c>
      <c r="I48" s="60">
        <v>5</v>
      </c>
      <c r="J48" s="60">
        <v>5</v>
      </c>
      <c r="K48" s="60">
        <v>5</v>
      </c>
      <c r="L48" s="6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149.44</v>
      </c>
      <c r="C52" s="71">
        <f t="shared" ref="C52:AF52" si="7">SUM(C39:C51)</f>
        <v>150.04</v>
      </c>
      <c r="D52" s="71">
        <f t="shared" si="7"/>
        <v>150.04</v>
      </c>
      <c r="E52" s="71">
        <f t="shared" si="7"/>
        <v>124.54</v>
      </c>
      <c r="F52" s="71">
        <f t="shared" si="7"/>
        <v>148.54</v>
      </c>
      <c r="G52" s="71">
        <f t="shared" si="7"/>
        <v>145.04</v>
      </c>
      <c r="H52" s="71">
        <f t="shared" si="7"/>
        <v>166.54</v>
      </c>
      <c r="I52" s="71">
        <f t="shared" si="7"/>
        <v>197.73999999999998</v>
      </c>
      <c r="J52" s="71">
        <f t="shared" si="7"/>
        <v>236.23999999999998</v>
      </c>
      <c r="K52" s="71">
        <f t="shared" si="7"/>
        <v>303.84000000000003</v>
      </c>
      <c r="L52" s="71">
        <f t="shared" si="7"/>
        <v>375.34000000000003</v>
      </c>
      <c r="M52" s="71">
        <f t="shared" si="7"/>
        <v>396.74000000000007</v>
      </c>
      <c r="N52" s="71">
        <f t="shared" si="7"/>
        <v>409.74000000000007</v>
      </c>
      <c r="O52" s="71">
        <f t="shared" si="7"/>
        <v>383.44</v>
      </c>
      <c r="P52" s="71">
        <f t="shared" si="7"/>
        <v>356.44000000000005</v>
      </c>
      <c r="Q52" s="71">
        <f t="shared" si="7"/>
        <v>298.14000000000004</v>
      </c>
      <c r="R52" s="71">
        <f t="shared" si="7"/>
        <v>269.74000000000007</v>
      </c>
      <c r="S52" s="71">
        <f t="shared" si="7"/>
        <v>290.24</v>
      </c>
      <c r="T52" s="71">
        <f t="shared" si="7"/>
        <v>241.54</v>
      </c>
      <c r="U52" s="71">
        <f t="shared" si="7"/>
        <v>233.34</v>
      </c>
      <c r="V52" s="71">
        <f t="shared" si="7"/>
        <v>281.74</v>
      </c>
      <c r="W52" s="71">
        <f t="shared" si="7"/>
        <v>360.54</v>
      </c>
      <c r="X52" s="71">
        <f t="shared" si="7"/>
        <v>409.54</v>
      </c>
      <c r="Y52" s="71">
        <f t="shared" si="7"/>
        <v>416.04</v>
      </c>
      <c r="Z52" s="71">
        <f t="shared" si="7"/>
        <v>414.84000000000003</v>
      </c>
      <c r="AA52" s="71">
        <f t="shared" si="7"/>
        <v>391.24</v>
      </c>
      <c r="AB52" s="71">
        <f t="shared" si="7"/>
        <v>379.44</v>
      </c>
      <c r="AC52" s="71">
        <f t="shared" si="7"/>
        <v>379.94</v>
      </c>
      <c r="AD52" s="71">
        <f t="shared" si="7"/>
        <v>325.44</v>
      </c>
      <c r="AE52" s="71">
        <f t="shared" si="7"/>
        <v>210.44</v>
      </c>
      <c r="AF52" s="71">
        <f t="shared" si="7"/>
        <v>148.44</v>
      </c>
      <c r="AG52" s="76">
        <f>SUM(AG39:AG51)</f>
        <v>489.91</v>
      </c>
      <c r="AH52" s="53">
        <f t="shared" si="2"/>
        <v>416.04</v>
      </c>
      <c r="AI52" s="54">
        <f t="shared" si="3"/>
        <v>124.54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30.1</v>
      </c>
      <c r="M53" s="77">
        <v>40.6</v>
      </c>
      <c r="N53" s="77">
        <v>40.200000000000003</v>
      </c>
      <c r="O53" s="77">
        <v>40.299999999999997</v>
      </c>
      <c r="P53" s="77">
        <v>40.299999999999997</v>
      </c>
      <c r="Q53" s="50">
        <v>44</v>
      </c>
      <c r="R53" s="50">
        <v>39.9</v>
      </c>
      <c r="S53" s="50">
        <v>59.7</v>
      </c>
      <c r="T53" s="50">
        <v>54.6</v>
      </c>
      <c r="U53" s="50">
        <v>59.9</v>
      </c>
      <c r="V53" s="50">
        <v>59.9</v>
      </c>
      <c r="W53" s="50">
        <v>60</v>
      </c>
      <c r="X53" s="50">
        <v>60</v>
      </c>
      <c r="Y53" s="50">
        <v>60.2</v>
      </c>
      <c r="Z53" s="50">
        <v>60.1</v>
      </c>
      <c r="AA53" s="50">
        <v>59.4</v>
      </c>
      <c r="AB53" s="50">
        <v>54.5</v>
      </c>
      <c r="AC53" s="50">
        <v>50</v>
      </c>
      <c r="AD53" s="50">
        <v>40</v>
      </c>
      <c r="AE53" s="50">
        <v>0</v>
      </c>
      <c r="AF53" s="50">
        <v>0</v>
      </c>
      <c r="AG53" s="61">
        <v>60</v>
      </c>
      <c r="AH53" s="53">
        <f t="shared" si="2"/>
        <v>60.2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13.9</v>
      </c>
      <c r="M54" s="77">
        <v>15.1</v>
      </c>
      <c r="N54" s="77">
        <v>17.899999999999999</v>
      </c>
      <c r="O54" s="77">
        <v>16.600000000000001</v>
      </c>
      <c r="P54" s="77">
        <v>17.7</v>
      </c>
      <c r="Q54" s="72">
        <v>19.100000000000001</v>
      </c>
      <c r="R54" s="72">
        <v>17</v>
      </c>
      <c r="S54" s="50">
        <v>29.7</v>
      </c>
      <c r="T54" s="50">
        <v>21.5</v>
      </c>
      <c r="U54" s="50">
        <v>24.3</v>
      </c>
      <c r="V54" s="72">
        <v>16.3</v>
      </c>
      <c r="W54" s="72">
        <v>16</v>
      </c>
      <c r="X54" s="72">
        <v>29.2</v>
      </c>
      <c r="Y54" s="72">
        <v>29.4</v>
      </c>
      <c r="Z54" s="72">
        <v>28.9</v>
      </c>
      <c r="AA54" s="72">
        <v>29.3</v>
      </c>
      <c r="AB54" s="72">
        <v>30</v>
      </c>
      <c r="AC54" s="72">
        <v>26</v>
      </c>
      <c r="AD54" s="72">
        <v>18</v>
      </c>
      <c r="AE54" s="72">
        <v>0</v>
      </c>
      <c r="AF54" s="72">
        <v>0</v>
      </c>
      <c r="AG54" s="66">
        <v>32</v>
      </c>
      <c r="AH54" s="53">
        <f t="shared" si="2"/>
        <v>30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5.0999999999999996</v>
      </c>
      <c r="M55" s="80">
        <v>5.5</v>
      </c>
      <c r="N55" s="80">
        <v>6.5</v>
      </c>
      <c r="O55" s="80">
        <v>6.1</v>
      </c>
      <c r="P55" s="80">
        <v>6.5</v>
      </c>
      <c r="Q55" s="78">
        <v>6.8</v>
      </c>
      <c r="R55" s="78">
        <v>6.2</v>
      </c>
      <c r="S55" s="50">
        <v>10.8</v>
      </c>
      <c r="T55" s="50">
        <v>7.9</v>
      </c>
      <c r="U55" s="50">
        <v>8.9</v>
      </c>
      <c r="V55" s="78">
        <v>5.9</v>
      </c>
      <c r="W55" s="78">
        <v>5.9</v>
      </c>
      <c r="X55" s="78">
        <v>10.7</v>
      </c>
      <c r="Y55" s="78">
        <v>10.7</v>
      </c>
      <c r="Z55" s="78">
        <v>10.5</v>
      </c>
      <c r="AA55" s="78">
        <v>10.7</v>
      </c>
      <c r="AB55" s="78">
        <v>10.6</v>
      </c>
      <c r="AC55" s="78">
        <v>9.6</v>
      </c>
      <c r="AD55" s="78">
        <v>6.6</v>
      </c>
      <c r="AE55" s="78">
        <v>0</v>
      </c>
      <c r="AF55" s="78">
        <v>0</v>
      </c>
      <c r="AG55" s="81">
        <v>14</v>
      </c>
      <c r="AH55" s="53">
        <f t="shared" si="2"/>
        <v>10.8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0</v>
      </c>
      <c r="L56" s="71">
        <f t="shared" si="8"/>
        <v>49.1</v>
      </c>
      <c r="M56" s="71">
        <f t="shared" si="8"/>
        <v>61.2</v>
      </c>
      <c r="N56" s="71">
        <f t="shared" si="8"/>
        <v>64.599999999999994</v>
      </c>
      <c r="O56" s="71">
        <f t="shared" si="8"/>
        <v>63</v>
      </c>
      <c r="P56" s="71">
        <f t="shared" si="8"/>
        <v>64.5</v>
      </c>
      <c r="Q56" s="71">
        <f t="shared" si="8"/>
        <v>69.900000000000006</v>
      </c>
      <c r="R56" s="71">
        <f t="shared" si="8"/>
        <v>63.1</v>
      </c>
      <c r="S56" s="71">
        <f t="shared" si="8"/>
        <v>100.2</v>
      </c>
      <c r="T56" s="71">
        <f t="shared" si="8"/>
        <v>84</v>
      </c>
      <c r="U56" s="71">
        <f t="shared" si="8"/>
        <v>93.100000000000009</v>
      </c>
      <c r="V56" s="71">
        <f t="shared" si="8"/>
        <v>82.100000000000009</v>
      </c>
      <c r="W56" s="71">
        <f t="shared" si="8"/>
        <v>81.900000000000006</v>
      </c>
      <c r="X56" s="71">
        <f t="shared" si="8"/>
        <v>99.9</v>
      </c>
      <c r="Y56" s="71">
        <f t="shared" si="8"/>
        <v>100.3</v>
      </c>
      <c r="Z56" s="71">
        <f t="shared" si="8"/>
        <v>99.5</v>
      </c>
      <c r="AA56" s="71">
        <f t="shared" si="8"/>
        <v>99.4</v>
      </c>
      <c r="AB56" s="71">
        <f t="shared" si="8"/>
        <v>95.1</v>
      </c>
      <c r="AC56" s="71">
        <f t="shared" si="8"/>
        <v>85.6</v>
      </c>
      <c r="AD56" s="71">
        <f t="shared" si="8"/>
        <v>64.599999999999994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100.3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76.7</v>
      </c>
      <c r="C57" s="50">
        <v>72.7</v>
      </c>
      <c r="D57" s="50">
        <v>72.7</v>
      </c>
      <c r="E57" s="50">
        <v>76.5</v>
      </c>
      <c r="F57" s="50">
        <v>67.099999999999994</v>
      </c>
      <c r="G57" s="50">
        <v>67.5</v>
      </c>
      <c r="H57" s="50">
        <v>68.2</v>
      </c>
      <c r="I57" s="50">
        <v>75.599999999999994</v>
      </c>
      <c r="J57" s="50">
        <v>74.2</v>
      </c>
      <c r="K57" s="50">
        <v>68.2</v>
      </c>
      <c r="L57" s="50">
        <v>71</v>
      </c>
      <c r="M57" s="50">
        <v>68.099999999999994</v>
      </c>
      <c r="N57" s="50">
        <v>73.3</v>
      </c>
      <c r="O57" s="50">
        <v>71.2</v>
      </c>
      <c r="P57" s="50">
        <v>70.400000000000006</v>
      </c>
      <c r="Q57" s="50">
        <v>74.3</v>
      </c>
      <c r="R57" s="50">
        <v>66.2</v>
      </c>
      <c r="S57" s="50">
        <v>78.099999999999994</v>
      </c>
      <c r="T57" s="50">
        <v>74.900000000000006</v>
      </c>
      <c r="U57" s="50">
        <v>81.7</v>
      </c>
      <c r="V57" s="50">
        <v>73.3</v>
      </c>
      <c r="W57" s="50">
        <v>73.5</v>
      </c>
      <c r="X57" s="50">
        <v>68.599999999999994</v>
      </c>
      <c r="Y57" s="50">
        <v>79.3</v>
      </c>
      <c r="Z57" s="50">
        <v>77.900000000000006</v>
      </c>
      <c r="AA57" s="50">
        <v>77</v>
      </c>
      <c r="AB57" s="50">
        <v>74</v>
      </c>
      <c r="AC57" s="50">
        <v>70</v>
      </c>
      <c r="AD57" s="50">
        <v>69</v>
      </c>
      <c r="AE57" s="50">
        <v>69.2</v>
      </c>
      <c r="AF57" s="50">
        <v>71</v>
      </c>
      <c r="AG57" s="61"/>
      <c r="AH57" s="53">
        <f t="shared" si="2"/>
        <v>81.7</v>
      </c>
      <c r="AI57" s="54">
        <f t="shared" si="3"/>
        <v>66.2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87.3</v>
      </c>
      <c r="N58" s="50">
        <v>89.6</v>
      </c>
      <c r="O58" s="50">
        <v>62.1</v>
      </c>
      <c r="P58" s="50">
        <v>56.8</v>
      </c>
      <c r="Q58" s="50">
        <v>52.1</v>
      </c>
      <c r="R58" s="50">
        <v>49.4</v>
      </c>
      <c r="S58" s="50">
        <v>0</v>
      </c>
      <c r="T58" s="50">
        <v>49.1</v>
      </c>
      <c r="U58" s="50">
        <v>82.6</v>
      </c>
      <c r="V58" s="50">
        <v>78.8</v>
      </c>
      <c r="W58" s="50">
        <v>79.3</v>
      </c>
      <c r="X58" s="82">
        <v>93.8</v>
      </c>
      <c r="Y58" s="82">
        <v>121</v>
      </c>
      <c r="Z58" s="82">
        <v>88.2</v>
      </c>
      <c r="AA58" s="82">
        <v>88.7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121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297.10000000000002</v>
      </c>
      <c r="C59" s="72">
        <v>267</v>
      </c>
      <c r="D59" s="72">
        <v>235</v>
      </c>
      <c r="E59" s="72">
        <v>248</v>
      </c>
      <c r="F59" s="72">
        <v>223</v>
      </c>
      <c r="G59" s="72">
        <v>248.1</v>
      </c>
      <c r="H59" s="50">
        <v>282.10000000000002</v>
      </c>
      <c r="I59" s="50">
        <v>310</v>
      </c>
      <c r="J59" s="50">
        <v>330.2</v>
      </c>
      <c r="K59" s="50">
        <v>348</v>
      </c>
      <c r="L59" s="50">
        <v>326</v>
      </c>
      <c r="M59" s="72">
        <v>15</v>
      </c>
      <c r="N59" s="72">
        <v>7.2</v>
      </c>
      <c r="O59" s="72">
        <v>330.8</v>
      </c>
      <c r="P59" s="72">
        <v>338.1</v>
      </c>
      <c r="Q59" s="72">
        <v>328.1</v>
      </c>
      <c r="R59" s="72">
        <v>335.2</v>
      </c>
      <c r="S59" s="72">
        <v>342</v>
      </c>
      <c r="T59" s="72">
        <v>330.6</v>
      </c>
      <c r="U59" s="72">
        <v>335</v>
      </c>
      <c r="V59" s="72">
        <v>218</v>
      </c>
      <c r="W59" s="72">
        <v>161</v>
      </c>
      <c r="X59" s="83">
        <v>60.3</v>
      </c>
      <c r="Y59" s="83">
        <v>71.3</v>
      </c>
      <c r="Z59" s="83">
        <v>0</v>
      </c>
      <c r="AA59" s="83">
        <v>0</v>
      </c>
      <c r="AB59" s="72">
        <v>260</v>
      </c>
      <c r="AC59" s="72">
        <v>265</v>
      </c>
      <c r="AD59" s="72">
        <v>322</v>
      </c>
      <c r="AE59" s="72">
        <v>320</v>
      </c>
      <c r="AF59" s="72">
        <v>326</v>
      </c>
      <c r="AG59" s="84"/>
      <c r="AH59" s="53">
        <f t="shared" si="2"/>
        <v>348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47.5</v>
      </c>
      <c r="H60" s="57">
        <v>48.1</v>
      </c>
      <c r="I60" s="57">
        <v>48</v>
      </c>
      <c r="J60" s="57">
        <v>51.5</v>
      </c>
      <c r="K60" s="57">
        <v>45.2</v>
      </c>
      <c r="L60" s="57">
        <v>59.5</v>
      </c>
      <c r="M60" s="72">
        <v>63.4</v>
      </c>
      <c r="N60" s="72">
        <v>64.599999999999994</v>
      </c>
      <c r="O60" s="72">
        <v>58.1</v>
      </c>
      <c r="P60" s="72">
        <v>66.3</v>
      </c>
      <c r="Q60" s="72">
        <v>64.8</v>
      </c>
      <c r="R60" s="72">
        <v>66.900000000000006</v>
      </c>
      <c r="S60" s="72">
        <v>64.2</v>
      </c>
      <c r="T60" s="72">
        <v>65.2</v>
      </c>
      <c r="U60" s="72">
        <v>61.6</v>
      </c>
      <c r="V60" s="72">
        <v>64</v>
      </c>
      <c r="W60" s="72">
        <v>62.4</v>
      </c>
      <c r="X60" s="72">
        <v>69.099999999999994</v>
      </c>
      <c r="Y60" s="72">
        <v>68.7</v>
      </c>
      <c r="Z60" s="72">
        <v>64.400000000000006</v>
      </c>
      <c r="AA60" s="72">
        <v>63.9</v>
      </c>
      <c r="AB60" s="72">
        <v>66</v>
      </c>
      <c r="AC60" s="72">
        <v>45</v>
      </c>
      <c r="AD60" s="72">
        <v>44</v>
      </c>
      <c r="AE60" s="72">
        <v>51</v>
      </c>
      <c r="AF60" s="57">
        <v>51</v>
      </c>
      <c r="AG60" s="84"/>
      <c r="AH60" s="53">
        <f t="shared" si="2"/>
        <v>69.099999999999994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72.8</v>
      </c>
      <c r="K61" s="57">
        <v>73.5</v>
      </c>
      <c r="L61" s="57">
        <v>71.7</v>
      </c>
      <c r="M61" s="50">
        <v>68.099999999999994</v>
      </c>
      <c r="N61" s="50">
        <v>80</v>
      </c>
      <c r="O61" s="50">
        <v>85</v>
      </c>
      <c r="P61" s="50">
        <v>83.6</v>
      </c>
      <c r="Q61" s="50">
        <v>84.2</v>
      </c>
      <c r="R61" s="50">
        <v>80.099999999999994</v>
      </c>
      <c r="S61" s="50">
        <v>78.3</v>
      </c>
      <c r="T61" s="50">
        <v>81.599999999999994</v>
      </c>
      <c r="U61" s="50">
        <v>80.400000000000006</v>
      </c>
      <c r="V61" s="50">
        <v>85.9</v>
      </c>
      <c r="W61" s="50">
        <v>83.8</v>
      </c>
      <c r="X61" s="50">
        <v>80.7</v>
      </c>
      <c r="Y61" s="50">
        <v>82.2</v>
      </c>
      <c r="Z61" s="50">
        <v>82.2</v>
      </c>
      <c r="AA61" s="50">
        <v>83.9</v>
      </c>
      <c r="AB61" s="50">
        <v>85</v>
      </c>
      <c r="AC61" s="50">
        <v>83</v>
      </c>
      <c r="AD61" s="50">
        <v>75.599999999999994</v>
      </c>
      <c r="AE61" s="50">
        <v>68</v>
      </c>
      <c r="AF61" s="50">
        <v>0</v>
      </c>
      <c r="AG61" s="84"/>
      <c r="AH61" s="53">
        <f t="shared" si="2"/>
        <v>85.9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59">
        <v>0</v>
      </c>
      <c r="Q62" s="59">
        <v>0</v>
      </c>
      <c r="R62" s="59">
        <v>0</v>
      </c>
      <c r="S62" s="59">
        <v>0</v>
      </c>
      <c r="T62" s="59">
        <v>6</v>
      </c>
      <c r="U62" s="59">
        <v>0</v>
      </c>
      <c r="V62" s="59">
        <v>6</v>
      </c>
      <c r="W62" s="59">
        <v>6</v>
      </c>
      <c r="X62" s="59">
        <v>6</v>
      </c>
      <c r="Y62" s="59">
        <v>7</v>
      </c>
      <c r="Z62" s="59">
        <v>7</v>
      </c>
      <c r="AA62" s="59">
        <v>7</v>
      </c>
      <c r="AB62" s="59">
        <v>7</v>
      </c>
      <c r="AC62" s="59">
        <v>7</v>
      </c>
      <c r="AD62" s="59">
        <v>7</v>
      </c>
      <c r="AE62" s="59">
        <v>0</v>
      </c>
      <c r="AF62" s="59">
        <v>0</v>
      </c>
      <c r="AG62" s="84"/>
      <c r="AH62" s="53">
        <f t="shared" si="2"/>
        <v>7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9">
        <v>0</v>
      </c>
      <c r="U64" s="59">
        <v>0</v>
      </c>
      <c r="V64" s="59">
        <v>0</v>
      </c>
      <c r="W64" s="57">
        <v>0</v>
      </c>
      <c r="X64" s="59">
        <v>0</v>
      </c>
      <c r="Y64" s="57">
        <v>0</v>
      </c>
      <c r="Z64" s="57">
        <v>0</v>
      </c>
      <c r="AA64" s="59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9">
        <v>0</v>
      </c>
      <c r="U65" s="59">
        <v>0</v>
      </c>
      <c r="V65" s="59">
        <v>0</v>
      </c>
      <c r="W65" s="57">
        <v>0</v>
      </c>
      <c r="X65" s="59">
        <v>0</v>
      </c>
      <c r="Y65" s="57">
        <v>0</v>
      </c>
      <c r="Z65" s="57">
        <v>0</v>
      </c>
      <c r="AA65" s="59">
        <v>0</v>
      </c>
      <c r="AB65" s="59">
        <v>0</v>
      </c>
      <c r="AC65" s="59">
        <v>0</v>
      </c>
      <c r="AD65" s="59">
        <v>0</v>
      </c>
      <c r="AE65" s="59">
        <v>0</v>
      </c>
      <c r="AF65" s="59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62">
        <v>0</v>
      </c>
      <c r="Q66" s="62">
        <v>0</v>
      </c>
      <c r="R66" s="62">
        <v>0</v>
      </c>
      <c r="S66" s="62">
        <v>0</v>
      </c>
      <c r="T66" s="59">
        <v>0</v>
      </c>
      <c r="U66" s="59">
        <v>0</v>
      </c>
      <c r="V66" s="59">
        <v>0</v>
      </c>
      <c r="W66" s="62">
        <v>0</v>
      </c>
      <c r="X66" s="59">
        <v>0</v>
      </c>
      <c r="Y66" s="62">
        <v>0</v>
      </c>
      <c r="Z66" s="62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62">
        <v>0</v>
      </c>
      <c r="Q67" s="62">
        <v>0</v>
      </c>
      <c r="R67" s="62">
        <v>0</v>
      </c>
      <c r="S67" s="62">
        <v>0</v>
      </c>
      <c r="T67" s="59">
        <v>0</v>
      </c>
      <c r="U67" s="59">
        <v>0</v>
      </c>
      <c r="V67" s="59">
        <v>0</v>
      </c>
      <c r="W67" s="62">
        <v>0</v>
      </c>
      <c r="X67" s="62">
        <v>0</v>
      </c>
      <c r="Y67" s="62">
        <v>0</v>
      </c>
      <c r="Z67" s="62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373.8</v>
      </c>
      <c r="C68" s="71">
        <f>SUM(C57:C67)</f>
        <v>339.7</v>
      </c>
      <c r="D68" s="71">
        <f t="shared" ref="D68:AF68" si="9">SUM(D57:D67)</f>
        <v>307.7</v>
      </c>
      <c r="E68" s="71">
        <f t="shared" si="9"/>
        <v>324.5</v>
      </c>
      <c r="F68" s="71">
        <f t="shared" si="9"/>
        <v>290.10000000000002</v>
      </c>
      <c r="G68" s="71">
        <f t="shared" si="9"/>
        <v>363.1</v>
      </c>
      <c r="H68" s="71">
        <f t="shared" si="9"/>
        <v>398.40000000000003</v>
      </c>
      <c r="I68" s="71">
        <f t="shared" si="9"/>
        <v>433.6</v>
      </c>
      <c r="J68" s="71">
        <f t="shared" si="9"/>
        <v>528.69999999999993</v>
      </c>
      <c r="K68" s="71">
        <f t="shared" si="9"/>
        <v>534.9</v>
      </c>
      <c r="L68" s="71">
        <f t="shared" si="9"/>
        <v>528.20000000000005</v>
      </c>
      <c r="M68" s="71">
        <f t="shared" si="9"/>
        <v>301.89999999999998</v>
      </c>
      <c r="N68" s="71">
        <f t="shared" si="9"/>
        <v>314.69999999999993</v>
      </c>
      <c r="O68" s="71">
        <f t="shared" si="9"/>
        <v>607.20000000000005</v>
      </c>
      <c r="P68" s="71">
        <f t="shared" si="9"/>
        <v>615.20000000000005</v>
      </c>
      <c r="Q68" s="71">
        <f t="shared" si="9"/>
        <v>603.5</v>
      </c>
      <c r="R68" s="71">
        <f t="shared" si="9"/>
        <v>597.79999999999995</v>
      </c>
      <c r="S68" s="71">
        <f t="shared" si="9"/>
        <v>562.6</v>
      </c>
      <c r="T68" s="71">
        <f t="shared" si="9"/>
        <v>607.40000000000009</v>
      </c>
      <c r="U68" s="71">
        <f t="shared" si="9"/>
        <v>641.29999999999995</v>
      </c>
      <c r="V68" s="71">
        <f t="shared" si="9"/>
        <v>526</v>
      </c>
      <c r="W68" s="71">
        <f t="shared" si="9"/>
        <v>466</v>
      </c>
      <c r="X68" s="71">
        <f t="shared" si="9"/>
        <v>378.49999999999994</v>
      </c>
      <c r="Y68" s="71">
        <f t="shared" si="9"/>
        <v>429.5</v>
      </c>
      <c r="Z68" s="71">
        <f t="shared" si="9"/>
        <v>319.70000000000005</v>
      </c>
      <c r="AA68" s="71">
        <f t="shared" si="9"/>
        <v>320.5</v>
      </c>
      <c r="AB68" s="71">
        <f t="shared" si="9"/>
        <v>492</v>
      </c>
      <c r="AC68" s="71">
        <f t="shared" si="9"/>
        <v>470</v>
      </c>
      <c r="AD68" s="71">
        <f t="shared" si="9"/>
        <v>517.6</v>
      </c>
      <c r="AE68" s="71">
        <f t="shared" si="9"/>
        <v>508.2</v>
      </c>
      <c r="AF68" s="71">
        <f t="shared" si="9"/>
        <v>448</v>
      </c>
      <c r="AG68" s="76">
        <f>SUM(AG57:AG67)</f>
        <v>0</v>
      </c>
      <c r="AH68" s="53">
        <f t="shared" si="2"/>
        <v>641.29999999999995</v>
      </c>
      <c r="AI68" s="54">
        <f t="shared" si="3"/>
        <v>290.10000000000002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942.94</v>
      </c>
      <c r="C73" s="88">
        <f>C68+C56+C52+C38+C72</f>
        <v>909.33999999999992</v>
      </c>
      <c r="D73" s="88">
        <f t="shared" ref="D73:AG73" si="11">D68+D56+D52+D38+D72</f>
        <v>877.44</v>
      </c>
      <c r="E73" s="88">
        <f t="shared" si="11"/>
        <v>890.24</v>
      </c>
      <c r="F73" s="88">
        <f t="shared" si="11"/>
        <v>879.83999999999992</v>
      </c>
      <c r="G73" s="88">
        <f t="shared" si="11"/>
        <v>928.93999999999994</v>
      </c>
      <c r="H73" s="88">
        <f t="shared" si="11"/>
        <v>985.6400000000001</v>
      </c>
      <c r="I73" s="88">
        <f t="shared" si="11"/>
        <v>1052.04</v>
      </c>
      <c r="J73" s="88">
        <f t="shared" si="11"/>
        <v>1181.54</v>
      </c>
      <c r="K73" s="88">
        <f t="shared" si="11"/>
        <v>1312.34</v>
      </c>
      <c r="L73" s="88">
        <f t="shared" si="11"/>
        <v>1466.2400000000002</v>
      </c>
      <c r="M73" s="88">
        <f t="shared" si="11"/>
        <v>1568.44</v>
      </c>
      <c r="N73" s="88">
        <f t="shared" si="11"/>
        <v>1587.64</v>
      </c>
      <c r="O73" s="88">
        <f t="shared" si="11"/>
        <v>1522.24</v>
      </c>
      <c r="P73" s="88">
        <f t="shared" si="11"/>
        <v>1484.74</v>
      </c>
      <c r="Q73" s="88">
        <f t="shared" si="11"/>
        <v>1410.1399999999999</v>
      </c>
      <c r="R73" s="88">
        <f t="shared" si="11"/>
        <v>1369.24</v>
      </c>
      <c r="S73" s="88">
        <f t="shared" si="11"/>
        <v>1411.64</v>
      </c>
      <c r="T73" s="88">
        <f t="shared" si="11"/>
        <v>1355.14</v>
      </c>
      <c r="U73" s="88">
        <f t="shared" si="11"/>
        <v>1394.94</v>
      </c>
      <c r="V73" s="88">
        <f t="shared" si="11"/>
        <v>1348.24</v>
      </c>
      <c r="W73" s="88">
        <f t="shared" si="11"/>
        <v>1518.44</v>
      </c>
      <c r="X73" s="88">
        <f t="shared" si="11"/>
        <v>1647.54</v>
      </c>
      <c r="Y73" s="88">
        <f t="shared" si="11"/>
        <v>1715.04</v>
      </c>
      <c r="Z73" s="88">
        <f t="shared" si="11"/>
        <v>1653.54</v>
      </c>
      <c r="AA73" s="88">
        <f t="shared" si="11"/>
        <v>1630.1399999999999</v>
      </c>
      <c r="AB73" s="88">
        <f t="shared" si="11"/>
        <v>1580.54</v>
      </c>
      <c r="AC73" s="88">
        <f t="shared" si="11"/>
        <v>1519.54</v>
      </c>
      <c r="AD73" s="88">
        <f t="shared" si="11"/>
        <v>1491.64</v>
      </c>
      <c r="AE73" s="88">
        <f t="shared" si="11"/>
        <v>1147.6399999999999</v>
      </c>
      <c r="AF73" s="88">
        <f t="shared" si="11"/>
        <v>1070.44</v>
      </c>
      <c r="AG73" s="88">
        <f t="shared" si="11"/>
        <v>2144.14</v>
      </c>
      <c r="AH73" s="53">
        <f t="shared" si="2"/>
        <v>1715.04</v>
      </c>
      <c r="AI73" s="54">
        <f t="shared" si="3"/>
        <v>877.44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942.94</v>
      </c>
      <c r="C75" s="88">
        <f>C73+C74</f>
        <v>909.33999999999992</v>
      </c>
      <c r="D75" s="88">
        <f t="shared" ref="D75:AF75" si="12">D72+D68+D56+D52+D38+D74</f>
        <v>877.44</v>
      </c>
      <c r="E75" s="88">
        <f t="shared" si="12"/>
        <v>890.24</v>
      </c>
      <c r="F75" s="88">
        <f t="shared" si="12"/>
        <v>879.83999999999992</v>
      </c>
      <c r="G75" s="88">
        <f t="shared" si="12"/>
        <v>928.93999999999994</v>
      </c>
      <c r="H75" s="88">
        <f t="shared" si="12"/>
        <v>985.6400000000001</v>
      </c>
      <c r="I75" s="88">
        <f t="shared" si="12"/>
        <v>1052.04</v>
      </c>
      <c r="J75" s="88">
        <f t="shared" si="12"/>
        <v>1181.54</v>
      </c>
      <c r="K75" s="88">
        <f t="shared" si="12"/>
        <v>1312.34</v>
      </c>
      <c r="L75" s="88">
        <f t="shared" si="12"/>
        <v>1466.2400000000002</v>
      </c>
      <c r="M75" s="88">
        <f t="shared" si="12"/>
        <v>1568.44</v>
      </c>
      <c r="N75" s="88">
        <f t="shared" si="12"/>
        <v>1587.64</v>
      </c>
      <c r="O75" s="88">
        <f t="shared" si="12"/>
        <v>1522.24</v>
      </c>
      <c r="P75" s="88">
        <f t="shared" si="12"/>
        <v>1484.74</v>
      </c>
      <c r="Q75" s="88">
        <f t="shared" si="12"/>
        <v>1410.1399999999999</v>
      </c>
      <c r="R75" s="88">
        <f t="shared" si="12"/>
        <v>1369.24</v>
      </c>
      <c r="S75" s="88">
        <f t="shared" si="12"/>
        <v>1411.64</v>
      </c>
      <c r="T75" s="88">
        <f t="shared" si="12"/>
        <v>1355.14</v>
      </c>
      <c r="U75" s="88">
        <f t="shared" si="12"/>
        <v>1394.94</v>
      </c>
      <c r="V75" s="88">
        <f t="shared" si="12"/>
        <v>1348.24</v>
      </c>
      <c r="W75" s="88">
        <f t="shared" si="12"/>
        <v>1518.44</v>
      </c>
      <c r="X75" s="88">
        <f t="shared" si="12"/>
        <v>1647.54</v>
      </c>
      <c r="Y75" s="88">
        <f t="shared" si="12"/>
        <v>1715.04</v>
      </c>
      <c r="Z75" s="88">
        <f t="shared" si="12"/>
        <v>1653.54</v>
      </c>
      <c r="AA75" s="88">
        <f t="shared" si="12"/>
        <v>1630.1399999999999</v>
      </c>
      <c r="AB75" s="88">
        <f t="shared" si="12"/>
        <v>1580.54</v>
      </c>
      <c r="AC75" s="88">
        <f t="shared" si="12"/>
        <v>1519.54</v>
      </c>
      <c r="AD75" s="88">
        <f t="shared" si="12"/>
        <v>1491.64</v>
      </c>
      <c r="AE75" s="88">
        <f t="shared" si="12"/>
        <v>1147.6399999999999</v>
      </c>
      <c r="AF75" s="88">
        <f t="shared" si="12"/>
        <v>1070.44</v>
      </c>
      <c r="AG75" s="76">
        <f>AG72+AG68+AG56+AG52+AG38+AG74</f>
        <v>2144.14</v>
      </c>
      <c r="AH75" s="53">
        <f t="shared" si="2"/>
        <v>1715.04</v>
      </c>
      <c r="AI75" s="54">
        <f t="shared" si="3"/>
        <v>877.44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1885.88</v>
      </c>
      <c r="C83" s="71">
        <f t="shared" ref="C83:AG83" si="21">SUM(C70:C82)</f>
        <v>1818.6799999999998</v>
      </c>
      <c r="D83" s="71">
        <f t="shared" si="21"/>
        <v>1754.88</v>
      </c>
      <c r="E83" s="71">
        <f t="shared" si="21"/>
        <v>1780.48</v>
      </c>
      <c r="F83" s="71">
        <f t="shared" si="21"/>
        <v>1759.6799999999998</v>
      </c>
      <c r="G83" s="71">
        <f t="shared" si="21"/>
        <v>1857.8799999999999</v>
      </c>
      <c r="H83" s="71">
        <f t="shared" si="21"/>
        <v>1971.2800000000002</v>
      </c>
      <c r="I83" s="71">
        <f t="shared" si="21"/>
        <v>2104.08</v>
      </c>
      <c r="J83" s="71">
        <f t="shared" si="21"/>
        <v>2363.08</v>
      </c>
      <c r="K83" s="71">
        <f t="shared" si="21"/>
        <v>2624.68</v>
      </c>
      <c r="L83" s="71">
        <f t="shared" si="21"/>
        <v>2932.4800000000005</v>
      </c>
      <c r="M83" s="71">
        <f t="shared" si="21"/>
        <v>3136.88</v>
      </c>
      <c r="N83" s="71">
        <f t="shared" si="21"/>
        <v>3175.28</v>
      </c>
      <c r="O83" s="71">
        <f t="shared" si="21"/>
        <v>3044.48</v>
      </c>
      <c r="P83" s="71">
        <f t="shared" si="21"/>
        <v>2969.48</v>
      </c>
      <c r="Q83" s="71">
        <f t="shared" si="21"/>
        <v>2820.2799999999997</v>
      </c>
      <c r="R83" s="71">
        <f t="shared" si="21"/>
        <v>2738.48</v>
      </c>
      <c r="S83" s="71">
        <f t="shared" si="21"/>
        <v>2823.28</v>
      </c>
      <c r="T83" s="71">
        <f t="shared" si="21"/>
        <v>2710.28</v>
      </c>
      <c r="U83" s="71">
        <f t="shared" si="21"/>
        <v>2789.88</v>
      </c>
      <c r="V83" s="71">
        <f t="shared" si="21"/>
        <v>2696.48</v>
      </c>
      <c r="W83" s="71">
        <f t="shared" si="21"/>
        <v>3036.88</v>
      </c>
      <c r="X83" s="71">
        <f t="shared" si="21"/>
        <v>3295.08</v>
      </c>
      <c r="Y83" s="71">
        <f t="shared" si="21"/>
        <v>3430.08</v>
      </c>
      <c r="Z83" s="71">
        <f t="shared" si="21"/>
        <v>3307.08</v>
      </c>
      <c r="AA83" s="71">
        <f t="shared" si="21"/>
        <v>3260.2799999999997</v>
      </c>
      <c r="AB83" s="71">
        <f t="shared" si="21"/>
        <v>3161.08</v>
      </c>
      <c r="AC83" s="71">
        <f t="shared" si="21"/>
        <v>3039.08</v>
      </c>
      <c r="AD83" s="71">
        <f t="shared" si="21"/>
        <v>2983.28</v>
      </c>
      <c r="AE83" s="71">
        <f t="shared" si="21"/>
        <v>2295.2799999999997</v>
      </c>
      <c r="AF83" s="71">
        <f t="shared" si="21"/>
        <v>2140.88</v>
      </c>
      <c r="AG83" s="76">
        <f t="shared" si="21"/>
        <v>4360.08</v>
      </c>
      <c r="AH83" s="53">
        <f t="shared" si="14"/>
        <v>3430.08</v>
      </c>
      <c r="AI83" s="54">
        <f t="shared" si="15"/>
        <v>1754.88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50.026000000000003</v>
      </c>
      <c r="C84" s="95">
        <v>50.039000000000001</v>
      </c>
      <c r="D84" s="95">
        <v>49.912999999999997</v>
      </c>
      <c r="E84" s="95">
        <v>49.98</v>
      </c>
      <c r="F84" s="95">
        <v>50.037999999999997</v>
      </c>
      <c r="G84" s="95">
        <v>49.984000000000002</v>
      </c>
      <c r="H84" s="95">
        <v>49.966000000000001</v>
      </c>
      <c r="I84" s="95">
        <v>50.036999999999999</v>
      </c>
      <c r="J84" s="95">
        <v>50.042000000000002</v>
      </c>
      <c r="K84" s="95">
        <v>50.042000000000002</v>
      </c>
      <c r="L84" s="95">
        <v>50.030999999999999</v>
      </c>
      <c r="M84" s="95">
        <v>50.027000000000001</v>
      </c>
      <c r="N84" s="95">
        <v>50.036999999999999</v>
      </c>
      <c r="O84" s="95">
        <v>50.042999999999999</v>
      </c>
      <c r="P84" s="95">
        <v>50.03</v>
      </c>
      <c r="Q84" s="95">
        <v>49.948999999999998</v>
      </c>
      <c r="R84" s="95">
        <v>50.036999999999999</v>
      </c>
      <c r="S84" s="95">
        <v>50.048000000000002</v>
      </c>
      <c r="T84" s="95">
        <v>49.966000000000001</v>
      </c>
      <c r="U84" s="95">
        <v>50.031999999999996</v>
      </c>
      <c r="V84" s="95">
        <v>50.009</v>
      </c>
      <c r="W84" s="95">
        <v>50.094000000000001</v>
      </c>
      <c r="X84" s="95">
        <v>50.036999999999999</v>
      </c>
      <c r="Y84" s="95">
        <v>50.033999999999999</v>
      </c>
      <c r="Z84" s="95">
        <v>49.911999999999999</v>
      </c>
      <c r="AA84" s="95">
        <v>49.959000000000003</v>
      </c>
      <c r="AB84" s="95">
        <v>50.05</v>
      </c>
      <c r="AC84" s="95">
        <v>49.994999999999997</v>
      </c>
      <c r="AD84" s="95">
        <v>49.9</v>
      </c>
      <c r="AE84" s="95">
        <v>50</v>
      </c>
      <c r="AF84" s="95">
        <v>49.97</v>
      </c>
      <c r="AG84" s="96"/>
      <c r="AH84" s="53">
        <f t="shared" si="14"/>
        <v>50.094000000000001</v>
      </c>
      <c r="AI84" s="54">
        <f t="shared" si="15"/>
        <v>49.9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126.1</v>
      </c>
      <c r="C85" s="72">
        <v>127.2</v>
      </c>
      <c r="D85" s="72">
        <v>127.8</v>
      </c>
      <c r="E85" s="72">
        <v>127</v>
      </c>
      <c r="F85" s="72">
        <v>128.5</v>
      </c>
      <c r="G85" s="72">
        <v>128.1</v>
      </c>
      <c r="H85" s="72">
        <v>126.4</v>
      </c>
      <c r="I85" s="72">
        <v>125.5</v>
      </c>
      <c r="J85" s="72">
        <v>128</v>
      </c>
      <c r="K85" s="72">
        <v>126.1</v>
      </c>
      <c r="L85" s="72">
        <v>125.3</v>
      </c>
      <c r="M85" s="72">
        <v>125.3</v>
      </c>
      <c r="N85" s="72">
        <v>122.9</v>
      </c>
      <c r="O85" s="72">
        <v>123.9</v>
      </c>
      <c r="P85" s="72">
        <v>123.5</v>
      </c>
      <c r="Q85" s="72">
        <v>124.9</v>
      </c>
      <c r="R85" s="72">
        <v>124.9</v>
      </c>
      <c r="S85" s="72">
        <v>124.4</v>
      </c>
      <c r="T85" s="72">
        <v>123.4</v>
      </c>
      <c r="U85" s="99">
        <v>124.9</v>
      </c>
      <c r="V85" s="99">
        <v>124.3</v>
      </c>
      <c r="W85" s="99">
        <v>123.9</v>
      </c>
      <c r="X85" s="99">
        <v>123</v>
      </c>
      <c r="Y85" s="99">
        <v>121.9</v>
      </c>
      <c r="Z85" s="99">
        <v>123.5</v>
      </c>
      <c r="AA85" s="99">
        <v>123.4</v>
      </c>
      <c r="AB85" s="72">
        <v>125</v>
      </c>
      <c r="AC85" s="72">
        <v>126</v>
      </c>
      <c r="AD85" s="72">
        <v>126.8</v>
      </c>
      <c r="AE85" s="72">
        <v>127.6</v>
      </c>
      <c r="AF85" s="72">
        <v>123.5</v>
      </c>
      <c r="AG85" s="100"/>
      <c r="AH85" s="53">
        <f t="shared" si="14"/>
        <v>128.5</v>
      </c>
      <c r="AI85" s="54">
        <f t="shared" si="15"/>
        <v>121.9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130.30000000000001</v>
      </c>
      <c r="C86" s="72">
        <v>131.4</v>
      </c>
      <c r="D86" s="72">
        <v>131.5</v>
      </c>
      <c r="E86" s="72">
        <v>131.4</v>
      </c>
      <c r="F86" s="72">
        <v>132.30000000000001</v>
      </c>
      <c r="G86" s="72">
        <v>131.9</v>
      </c>
      <c r="H86" s="72">
        <v>130.30000000000001</v>
      </c>
      <c r="I86" s="72">
        <v>129.6</v>
      </c>
      <c r="J86" s="72">
        <v>130.80000000000001</v>
      </c>
      <c r="K86" s="72">
        <v>128.5</v>
      </c>
      <c r="L86" s="72">
        <v>127.3</v>
      </c>
      <c r="M86" s="72">
        <v>127.3</v>
      </c>
      <c r="N86" s="72">
        <v>125.2</v>
      </c>
      <c r="O86" s="72">
        <v>125.9</v>
      </c>
      <c r="P86" s="72">
        <v>125.7</v>
      </c>
      <c r="Q86" s="72">
        <v>127.6</v>
      </c>
      <c r="R86" s="72">
        <v>127.7</v>
      </c>
      <c r="S86" s="72">
        <v>130.9</v>
      </c>
      <c r="T86" s="72">
        <v>130.6</v>
      </c>
      <c r="U86" s="99">
        <v>128.1</v>
      </c>
      <c r="V86" s="99">
        <v>127</v>
      </c>
      <c r="W86" s="99">
        <v>126.1</v>
      </c>
      <c r="X86" s="99">
        <v>124.7</v>
      </c>
      <c r="Y86" s="99">
        <v>123.9</v>
      </c>
      <c r="Z86" s="99">
        <v>125.2</v>
      </c>
      <c r="AA86" s="99">
        <v>125.4</v>
      </c>
      <c r="AB86" s="72">
        <v>127</v>
      </c>
      <c r="AC86" s="72">
        <v>128</v>
      </c>
      <c r="AD86" s="72">
        <v>129</v>
      </c>
      <c r="AE86" s="72">
        <v>130.69999999999999</v>
      </c>
      <c r="AF86" s="72">
        <v>128</v>
      </c>
      <c r="AG86" s="100"/>
      <c r="AH86" s="53">
        <f t="shared" si="14"/>
        <v>132.30000000000001</v>
      </c>
      <c r="AI86" s="54">
        <f t="shared" si="15"/>
        <v>123.9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128.69999999999999</v>
      </c>
      <c r="C87" s="72">
        <v>129.4</v>
      </c>
      <c r="D87" s="72">
        <v>129.30000000000001</v>
      </c>
      <c r="E87" s="72">
        <v>129.19999999999999</v>
      </c>
      <c r="F87" s="72">
        <v>130.4</v>
      </c>
      <c r="G87" s="72">
        <v>128.80000000000001</v>
      </c>
      <c r="H87" s="72">
        <v>129.30000000000001</v>
      </c>
      <c r="I87" s="72">
        <v>129.5</v>
      </c>
      <c r="J87" s="72">
        <v>127.7</v>
      </c>
      <c r="K87" s="72">
        <v>129</v>
      </c>
      <c r="L87" s="72">
        <v>128.5</v>
      </c>
      <c r="M87" s="72">
        <v>128.5</v>
      </c>
      <c r="N87" s="72">
        <v>128.30000000000001</v>
      </c>
      <c r="O87" s="72">
        <v>129</v>
      </c>
      <c r="P87" s="72">
        <v>130.80000000000001</v>
      </c>
      <c r="Q87" s="72">
        <v>131.69999999999999</v>
      </c>
      <c r="R87" s="72">
        <v>130.30000000000001</v>
      </c>
      <c r="S87" s="72">
        <v>123.4</v>
      </c>
      <c r="T87" s="72">
        <v>129.80000000000001</v>
      </c>
      <c r="U87" s="72">
        <v>129</v>
      </c>
      <c r="V87" s="72">
        <v>131</v>
      </c>
      <c r="W87" s="72">
        <v>130.69999999999999</v>
      </c>
      <c r="X87" s="99">
        <v>128.30000000000001</v>
      </c>
      <c r="Y87" s="99">
        <v>129.5</v>
      </c>
      <c r="Z87" s="99">
        <v>128.5</v>
      </c>
      <c r="AA87" s="99">
        <v>129.4</v>
      </c>
      <c r="AB87" s="72">
        <v>128</v>
      </c>
      <c r="AC87" s="72">
        <v>130</v>
      </c>
      <c r="AD87" s="72">
        <v>129</v>
      </c>
      <c r="AE87" s="72">
        <v>129</v>
      </c>
      <c r="AF87" s="72">
        <v>129</v>
      </c>
      <c r="AG87" s="100"/>
      <c r="AH87" s="53">
        <f t="shared" si="14"/>
        <v>131.69999999999999</v>
      </c>
      <c r="AI87" s="54">
        <f t="shared" si="15"/>
        <v>123.4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132.4</v>
      </c>
      <c r="C88" s="72">
        <v>133</v>
      </c>
      <c r="D88" s="72">
        <v>132.19999999999999</v>
      </c>
      <c r="E88" s="72">
        <v>132.30000000000001</v>
      </c>
      <c r="F88" s="72">
        <v>133.1</v>
      </c>
      <c r="G88" s="72">
        <v>132</v>
      </c>
      <c r="H88" s="72">
        <v>132.19999999999999</v>
      </c>
      <c r="I88" s="72">
        <v>131.9</v>
      </c>
      <c r="J88" s="72">
        <v>133</v>
      </c>
      <c r="K88" s="72">
        <v>133.19999999999999</v>
      </c>
      <c r="L88" s="72">
        <v>132</v>
      </c>
      <c r="M88" s="72">
        <v>132</v>
      </c>
      <c r="N88" s="72">
        <v>132.30000000000001</v>
      </c>
      <c r="O88" s="72">
        <v>132.6</v>
      </c>
      <c r="P88" s="72">
        <v>133.4</v>
      </c>
      <c r="Q88" s="72">
        <v>133</v>
      </c>
      <c r="R88" s="72">
        <v>132.9</v>
      </c>
      <c r="S88" s="72">
        <v>126.6</v>
      </c>
      <c r="T88" s="72">
        <v>132.9</v>
      </c>
      <c r="U88" s="72">
        <v>131</v>
      </c>
      <c r="V88" s="72">
        <v>132.4</v>
      </c>
      <c r="W88" s="72">
        <v>132.30000000000001</v>
      </c>
      <c r="X88" s="99">
        <v>131.6</v>
      </c>
      <c r="Y88" s="99">
        <v>131.5</v>
      </c>
      <c r="Z88" s="99">
        <v>130.9</v>
      </c>
      <c r="AA88" s="99">
        <v>131.9</v>
      </c>
      <c r="AB88" s="72">
        <v>132</v>
      </c>
      <c r="AC88" s="72">
        <v>134</v>
      </c>
      <c r="AD88" s="72">
        <v>133.6</v>
      </c>
      <c r="AE88" s="72">
        <v>132.6</v>
      </c>
      <c r="AF88" s="72">
        <v>132</v>
      </c>
      <c r="AG88" s="100"/>
      <c r="AH88" s="53">
        <f t="shared" si="14"/>
        <v>134</v>
      </c>
      <c r="AI88" s="54">
        <f t="shared" si="15"/>
        <v>126.6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132.1</v>
      </c>
      <c r="C89" s="103">
        <v>132.1</v>
      </c>
      <c r="D89" s="103">
        <v>128</v>
      </c>
      <c r="E89" s="103">
        <v>128.1</v>
      </c>
      <c r="F89" s="103">
        <v>129.6</v>
      </c>
      <c r="G89" s="103">
        <v>132.4</v>
      </c>
      <c r="H89" s="103">
        <v>130.30000000000001</v>
      </c>
      <c r="I89" s="103">
        <v>133.19999999999999</v>
      </c>
      <c r="J89" s="103">
        <v>131.6</v>
      </c>
      <c r="K89" s="103">
        <v>132.80000000000001</v>
      </c>
      <c r="L89" s="103">
        <v>133.9</v>
      </c>
      <c r="M89" s="103">
        <v>133.9</v>
      </c>
      <c r="N89" s="103">
        <v>131.6</v>
      </c>
      <c r="O89" s="103">
        <v>133.4</v>
      </c>
      <c r="P89" s="103">
        <v>132.6</v>
      </c>
      <c r="Q89" s="103">
        <v>133.5</v>
      </c>
      <c r="R89" s="103">
        <v>131.30000000000001</v>
      </c>
      <c r="S89" s="103">
        <v>134</v>
      </c>
      <c r="T89" s="103">
        <v>134</v>
      </c>
      <c r="U89" s="103">
        <v>135.6</v>
      </c>
      <c r="V89" s="103">
        <v>134.19999999999999</v>
      </c>
      <c r="W89" s="103">
        <v>135.19999999999999</v>
      </c>
      <c r="X89" s="99">
        <v>132.30000000000001</v>
      </c>
      <c r="Y89" s="99">
        <v>132.80000000000001</v>
      </c>
      <c r="Z89" s="99">
        <v>134.19999999999999</v>
      </c>
      <c r="AA89" s="99">
        <v>134.30000000000001</v>
      </c>
      <c r="AB89" s="103">
        <v>134.5</v>
      </c>
      <c r="AC89" s="103">
        <v>136</v>
      </c>
      <c r="AD89" s="103">
        <v>136.9</v>
      </c>
      <c r="AE89" s="103">
        <v>129</v>
      </c>
      <c r="AF89" s="103">
        <v>128</v>
      </c>
      <c r="AG89" s="104"/>
      <c r="AH89" s="53">
        <f t="shared" si="14"/>
        <v>136.9</v>
      </c>
      <c r="AI89" s="54">
        <f t="shared" si="15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134.4</v>
      </c>
      <c r="C90" s="72">
        <v>136.19999999999999</v>
      </c>
      <c r="D90" s="72">
        <v>137.80000000000001</v>
      </c>
      <c r="E90" s="72">
        <v>137</v>
      </c>
      <c r="F90" s="72">
        <v>135</v>
      </c>
      <c r="G90" s="72">
        <v>131.9</v>
      </c>
      <c r="H90" s="72">
        <v>132.80000000000001</v>
      </c>
      <c r="I90" s="72">
        <v>125.8</v>
      </c>
      <c r="J90" s="72">
        <v>126.4</v>
      </c>
      <c r="K90" s="72">
        <v>132.19999999999999</v>
      </c>
      <c r="L90" s="72">
        <v>128.19999999999999</v>
      </c>
      <c r="M90" s="72">
        <v>128.19999999999999</v>
      </c>
      <c r="N90" s="72">
        <v>127.8</v>
      </c>
      <c r="O90" s="72">
        <v>127.1</v>
      </c>
      <c r="P90" s="72">
        <v>134.1</v>
      </c>
      <c r="Q90" s="72">
        <v>134</v>
      </c>
      <c r="R90" s="72">
        <v>133.69999999999999</v>
      </c>
      <c r="S90" s="72">
        <v>133.30000000000001</v>
      </c>
      <c r="T90" s="72">
        <v>132.69999999999999</v>
      </c>
      <c r="U90" s="72">
        <v>129.1</v>
      </c>
      <c r="V90" s="72">
        <v>132.9</v>
      </c>
      <c r="W90" s="72">
        <v>131.1</v>
      </c>
      <c r="X90" s="99">
        <v>131.9</v>
      </c>
      <c r="Y90" s="99">
        <v>132.30000000000001</v>
      </c>
      <c r="Z90" s="99">
        <v>132.69999999999999</v>
      </c>
      <c r="AA90" s="99">
        <v>133.6</v>
      </c>
      <c r="AB90" s="72">
        <v>132</v>
      </c>
      <c r="AC90" s="72">
        <v>132</v>
      </c>
      <c r="AD90" s="72">
        <v>135</v>
      </c>
      <c r="AE90" s="72">
        <v>134</v>
      </c>
      <c r="AF90" s="72">
        <v>137</v>
      </c>
      <c r="AG90" s="100"/>
      <c r="AH90" s="53">
        <f t="shared" si="14"/>
        <v>137.80000000000001</v>
      </c>
      <c r="AI90" s="54">
        <f t="shared" si="15"/>
        <v>125.8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66</v>
      </c>
      <c r="C91" s="106">
        <v>66.5</v>
      </c>
      <c r="D91" s="106">
        <v>66.099999999999994</v>
      </c>
      <c r="E91" s="106">
        <v>66.3</v>
      </c>
      <c r="F91" s="106">
        <v>66.8</v>
      </c>
      <c r="G91" s="106">
        <v>66.3</v>
      </c>
      <c r="H91" s="106">
        <v>65.7</v>
      </c>
      <c r="I91" s="106">
        <v>65.3</v>
      </c>
      <c r="J91" s="106">
        <v>65.8</v>
      </c>
      <c r="K91" s="106">
        <v>65.099999999999994</v>
      </c>
      <c r="L91" s="106">
        <v>64.2</v>
      </c>
      <c r="M91" s="106">
        <v>63.7</v>
      </c>
      <c r="N91" s="106">
        <v>63.1</v>
      </c>
      <c r="O91" s="106">
        <v>63.4</v>
      </c>
      <c r="P91" s="106">
        <v>63.1</v>
      </c>
      <c r="Q91" s="106">
        <v>64.099999999999994</v>
      </c>
      <c r="R91" s="106">
        <v>64.2</v>
      </c>
      <c r="S91" s="106">
        <v>65.3</v>
      </c>
      <c r="T91" s="106">
        <v>64.900000000000006</v>
      </c>
      <c r="U91" s="106">
        <v>63.8</v>
      </c>
      <c r="V91" s="106">
        <v>63.9</v>
      </c>
      <c r="W91" s="106">
        <v>63.2</v>
      </c>
      <c r="X91" s="106">
        <v>62.7</v>
      </c>
      <c r="Y91" s="106">
        <v>62.2</v>
      </c>
      <c r="Z91" s="106">
        <v>63.1</v>
      </c>
      <c r="AA91" s="106">
        <v>63.2</v>
      </c>
      <c r="AB91" s="106">
        <v>64</v>
      </c>
      <c r="AC91" s="106">
        <v>64.400000000000006</v>
      </c>
      <c r="AD91" s="106">
        <v>65</v>
      </c>
      <c r="AE91" s="106">
        <v>65.900000000000006</v>
      </c>
      <c r="AF91" s="106">
        <v>65</v>
      </c>
      <c r="AG91" s="107"/>
      <c r="AH91" s="53">
        <f t="shared" si="14"/>
        <v>66.8</v>
      </c>
      <c r="AI91" s="54">
        <f t="shared" si="15"/>
        <v>62.2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206.53999999999996</v>
      </c>
      <c r="C93" s="113">
        <f>SUM(C15,C18,C21:C22,C42,C44:C45,C47,C49,C94:C97,C102,C108,C114,C123,C125,C137,C144,C147:C148,C155,C157,C159,C163:C165,C167:C169,C174,C180:C181,C183:C185,C193,C198)</f>
        <v>189.73999999999995</v>
      </c>
      <c r="D93" s="113">
        <f t="shared" ref="D93:AF93" si="22">SUM(D15,D18,D21:D22,D42,D44:D45,D47,D49,D94:D97,D102,D108,D114,D123,D125,D137,D144,D147:D148,D155,D157,D159,D163:D165,D167:D169,D174,D180:D181,D183:D185,D193,D198)</f>
        <v>183.53999999999996</v>
      </c>
      <c r="E93" s="113">
        <f t="shared" si="22"/>
        <v>181.44</v>
      </c>
      <c r="F93" s="113">
        <f t="shared" si="22"/>
        <v>180.44</v>
      </c>
      <c r="G93" s="112">
        <f t="shared" si="22"/>
        <v>196.43999999999994</v>
      </c>
      <c r="H93" s="112">
        <f t="shared" si="22"/>
        <v>219.53999999999996</v>
      </c>
      <c r="I93" s="112">
        <f t="shared" si="22"/>
        <v>251.83999999999997</v>
      </c>
      <c r="J93" s="112">
        <f t="shared" si="22"/>
        <v>292.24</v>
      </c>
      <c r="K93" s="112">
        <f t="shared" si="22"/>
        <v>363.44000000000005</v>
      </c>
      <c r="L93" s="112">
        <f t="shared" si="22"/>
        <v>419.24</v>
      </c>
      <c r="M93" s="112">
        <f t="shared" si="22"/>
        <v>449.34000000000003</v>
      </c>
      <c r="N93" s="112">
        <f t="shared" si="22"/>
        <v>449.24</v>
      </c>
      <c r="O93" s="112">
        <f t="shared" si="22"/>
        <v>450.14000000000004</v>
      </c>
      <c r="P93" s="112">
        <f t="shared" si="22"/>
        <v>424.44000000000005</v>
      </c>
      <c r="Q93" s="112">
        <f t="shared" si="22"/>
        <v>409.44</v>
      </c>
      <c r="R93" s="112">
        <f t="shared" si="22"/>
        <v>394.14000000000004</v>
      </c>
      <c r="S93" s="112">
        <f t="shared" si="22"/>
        <v>393.94000000000005</v>
      </c>
      <c r="T93" s="112">
        <f t="shared" si="22"/>
        <v>391.24</v>
      </c>
      <c r="U93" s="112">
        <f t="shared" si="22"/>
        <v>410.54</v>
      </c>
      <c r="V93" s="112">
        <f t="shared" si="22"/>
        <v>439.34000000000003</v>
      </c>
      <c r="W93" s="112">
        <f t="shared" si="22"/>
        <v>469.54000000000008</v>
      </c>
      <c r="X93" s="112">
        <f t="shared" si="22"/>
        <v>508.24</v>
      </c>
      <c r="Y93" s="112">
        <f t="shared" si="22"/>
        <v>532.74</v>
      </c>
      <c r="Z93" s="112">
        <f t="shared" si="22"/>
        <v>522.04</v>
      </c>
      <c r="AA93" s="112">
        <f t="shared" si="22"/>
        <v>504.84000000000003</v>
      </c>
      <c r="AB93" s="112">
        <f t="shared" si="22"/>
        <v>495.94000000000005</v>
      </c>
      <c r="AC93" s="112">
        <f t="shared" si="22"/>
        <v>478.44000000000005</v>
      </c>
      <c r="AD93" s="112">
        <f t="shared" si="22"/>
        <v>434.44000000000005</v>
      </c>
      <c r="AE93" s="112">
        <f t="shared" si="22"/>
        <v>309.44000000000005</v>
      </c>
      <c r="AF93" s="112">
        <f t="shared" si="22"/>
        <v>257.14</v>
      </c>
      <c r="AG93" s="114"/>
      <c r="AH93" s="53">
        <f>MAX(C93:AF93)</f>
        <v>532.74</v>
      </c>
      <c r="AI93" s="54">
        <f>MIN(C93:AF93)</f>
        <v>180.44</v>
      </c>
    </row>
    <row r="94" spans="1:88" x14ac:dyDescent="0.25">
      <c r="A94" s="115" t="s">
        <v>98</v>
      </c>
      <c r="B94" s="116">
        <v>-15.5</v>
      </c>
      <c r="C94" s="57">
        <v>-15.8</v>
      </c>
      <c r="D94" s="57">
        <v>-22.8</v>
      </c>
      <c r="E94" s="57">
        <v>-18.100000000000001</v>
      </c>
      <c r="F94" s="57">
        <v>-12.3</v>
      </c>
      <c r="G94" s="117">
        <v>0</v>
      </c>
      <c r="H94" s="117">
        <v>5</v>
      </c>
      <c r="I94" s="117">
        <v>12.4</v>
      </c>
      <c r="J94" s="117">
        <v>13.2</v>
      </c>
      <c r="K94" s="117">
        <v>24.8</v>
      </c>
      <c r="L94" s="117">
        <v>41.3</v>
      </c>
      <c r="M94" s="118">
        <v>47.1</v>
      </c>
      <c r="N94" s="117">
        <v>51.1</v>
      </c>
      <c r="O94" s="117">
        <v>50</v>
      </c>
      <c r="P94" s="117">
        <v>45</v>
      </c>
      <c r="Q94" s="117">
        <v>30.5</v>
      </c>
      <c r="R94" s="117">
        <v>22.2</v>
      </c>
      <c r="S94" s="117">
        <v>39.5</v>
      </c>
      <c r="T94" s="117">
        <v>26.6</v>
      </c>
      <c r="U94" s="118">
        <v>7.4</v>
      </c>
      <c r="V94" s="118">
        <v>31.6</v>
      </c>
      <c r="W94" s="118">
        <v>58.3</v>
      </c>
      <c r="X94" s="117">
        <v>60.2</v>
      </c>
      <c r="Y94" s="117">
        <v>53.5</v>
      </c>
      <c r="Z94" s="117">
        <v>62.7</v>
      </c>
      <c r="AA94" s="117">
        <v>58.3</v>
      </c>
      <c r="AB94" s="118">
        <v>56</v>
      </c>
      <c r="AC94" s="118">
        <v>56</v>
      </c>
      <c r="AD94" s="118">
        <v>47</v>
      </c>
      <c r="AE94" s="118">
        <v>14</v>
      </c>
      <c r="AF94" s="118">
        <v>-6.3</v>
      </c>
      <c r="AG94" s="119">
        <v>75</v>
      </c>
      <c r="AH94" s="53">
        <f t="shared" ref="AH94:AH99" si="23">IF(ABS(MAX(C94:AF94))&gt;ABS(MIN(C94:AF94)),MAX(C94:AF94),MIN(C94:AF94))</f>
        <v>62.7</v>
      </c>
      <c r="AI94" s="120">
        <f t="shared" ref="AI94:AI99" si="24">INDEX($C$9:$AF$9,1,MATCH(AH94,C94:AF94,0))</f>
        <v>0.79166666666666663</v>
      </c>
    </row>
    <row r="95" spans="1:88" x14ac:dyDescent="0.25">
      <c r="A95" s="121" t="s">
        <v>99</v>
      </c>
      <c r="B95" s="122">
        <v>-29</v>
      </c>
      <c r="C95" s="59">
        <v>-37</v>
      </c>
      <c r="D95" s="59">
        <v>-38</v>
      </c>
      <c r="E95" s="59">
        <v>-40</v>
      </c>
      <c r="F95" s="59">
        <v>-43</v>
      </c>
      <c r="G95" s="59">
        <v>-35</v>
      </c>
      <c r="H95" s="59">
        <v>-30</v>
      </c>
      <c r="I95" s="59">
        <v>-20</v>
      </c>
      <c r="J95" s="59">
        <v>8.6</v>
      </c>
      <c r="K95" s="59">
        <v>32</v>
      </c>
      <c r="L95" s="59">
        <v>56</v>
      </c>
      <c r="M95" s="59">
        <v>65.5</v>
      </c>
      <c r="N95" s="59">
        <v>66</v>
      </c>
      <c r="O95" s="59">
        <v>66</v>
      </c>
      <c r="P95" s="59">
        <v>65</v>
      </c>
      <c r="Q95" s="59">
        <v>54.1</v>
      </c>
      <c r="R95" s="59">
        <v>57</v>
      </c>
      <c r="S95" s="59">
        <v>27.6</v>
      </c>
      <c r="T95" s="59">
        <v>18.3</v>
      </c>
      <c r="U95" s="59">
        <v>56.2</v>
      </c>
      <c r="V95" s="59">
        <v>60</v>
      </c>
      <c r="W95" s="59">
        <v>86.4</v>
      </c>
      <c r="X95" s="59">
        <v>99.4</v>
      </c>
      <c r="Y95" s="59">
        <v>110.7</v>
      </c>
      <c r="Z95" s="59">
        <v>98.7</v>
      </c>
      <c r="AA95" s="59">
        <v>98.6</v>
      </c>
      <c r="AB95" s="72">
        <v>100</v>
      </c>
      <c r="AC95" s="72">
        <v>92</v>
      </c>
      <c r="AD95" s="72">
        <v>54</v>
      </c>
      <c r="AE95" s="72">
        <v>11</v>
      </c>
      <c r="AF95" s="72">
        <v>-20</v>
      </c>
      <c r="AG95" s="119">
        <v>240</v>
      </c>
      <c r="AH95" s="53">
        <f t="shared" si="23"/>
        <v>110.7</v>
      </c>
      <c r="AI95" s="120">
        <f t="shared" si="24"/>
        <v>0.77083333333333337</v>
      </c>
    </row>
    <row r="96" spans="1:88" x14ac:dyDescent="0.25">
      <c r="A96" s="121" t="s">
        <v>100</v>
      </c>
      <c r="B96" s="122">
        <v>-2.2999999999999998</v>
      </c>
      <c r="C96" s="59">
        <v>-1.9</v>
      </c>
      <c r="D96" s="59">
        <v>-4.9000000000000004</v>
      </c>
      <c r="E96" s="59">
        <v>-4.5</v>
      </c>
      <c r="F96" s="59">
        <v>1.2</v>
      </c>
      <c r="G96" s="59">
        <v>-3.2</v>
      </c>
      <c r="H96" s="59">
        <v>-1.9</v>
      </c>
      <c r="I96" s="59">
        <v>2.7</v>
      </c>
      <c r="J96" s="59">
        <v>7.1</v>
      </c>
      <c r="K96" s="59">
        <v>29</v>
      </c>
      <c r="L96" s="59">
        <v>43.1</v>
      </c>
      <c r="M96" s="59">
        <v>45.1</v>
      </c>
      <c r="N96" s="59">
        <v>45.7</v>
      </c>
      <c r="O96" s="59">
        <v>53.2</v>
      </c>
      <c r="P96" s="59">
        <v>44</v>
      </c>
      <c r="Q96" s="59">
        <v>45.4</v>
      </c>
      <c r="R96" s="59">
        <v>42.2</v>
      </c>
      <c r="S96" s="59">
        <v>56.3</v>
      </c>
      <c r="T96" s="59">
        <v>66.599999999999994</v>
      </c>
      <c r="U96" s="59">
        <v>58.6</v>
      </c>
      <c r="V96" s="59">
        <v>56.3</v>
      </c>
      <c r="W96" s="59">
        <v>62.1</v>
      </c>
      <c r="X96" s="59">
        <v>67.2</v>
      </c>
      <c r="Y96" s="59">
        <v>66.900000000000006</v>
      </c>
      <c r="Z96" s="59">
        <v>66</v>
      </c>
      <c r="AA96" s="59">
        <v>63.3</v>
      </c>
      <c r="AB96" s="72">
        <v>62.5</v>
      </c>
      <c r="AC96" s="72">
        <v>57</v>
      </c>
      <c r="AD96" s="72">
        <v>46</v>
      </c>
      <c r="AE96" s="72">
        <v>12</v>
      </c>
      <c r="AF96" s="72">
        <v>0</v>
      </c>
      <c r="AG96" s="119">
        <v>60</v>
      </c>
      <c r="AH96" s="53">
        <f t="shared" si="23"/>
        <v>67.2</v>
      </c>
      <c r="AI96" s="120">
        <f t="shared" si="24"/>
        <v>0.75</v>
      </c>
    </row>
    <row r="97" spans="1:37" x14ac:dyDescent="0.25">
      <c r="A97" s="123" t="s">
        <v>101</v>
      </c>
      <c r="B97" s="124">
        <v>83</v>
      </c>
      <c r="C97" s="62">
        <v>74.099999999999994</v>
      </c>
      <c r="D97" s="62">
        <v>78.900000000000006</v>
      </c>
      <c r="E97" s="62">
        <v>74.400000000000006</v>
      </c>
      <c r="F97" s="62">
        <v>64.900000000000006</v>
      </c>
      <c r="G97" s="62">
        <v>64.599999999999994</v>
      </c>
      <c r="H97" s="62">
        <v>76.400000000000006</v>
      </c>
      <c r="I97" s="62">
        <v>86.7</v>
      </c>
      <c r="J97" s="62">
        <v>94.9</v>
      </c>
      <c r="K97" s="62">
        <v>109.2</v>
      </c>
      <c r="L97" s="62">
        <v>110.4</v>
      </c>
      <c r="M97" s="62">
        <v>121.2</v>
      </c>
      <c r="N97" s="62">
        <v>116</v>
      </c>
      <c r="O97" s="62">
        <v>110.5</v>
      </c>
      <c r="P97" s="62">
        <v>100</v>
      </c>
      <c r="Q97" s="62">
        <v>109</v>
      </c>
      <c r="R97" s="62">
        <v>102.3</v>
      </c>
      <c r="S97" s="62">
        <v>100.1</v>
      </c>
      <c r="T97" s="62">
        <v>108.2</v>
      </c>
      <c r="U97" s="62">
        <v>120.8</v>
      </c>
      <c r="V97" s="62">
        <v>121.9</v>
      </c>
      <c r="W97" s="62">
        <v>92</v>
      </c>
      <c r="X97" s="62">
        <v>109.7</v>
      </c>
      <c r="Y97" s="62">
        <v>121.2</v>
      </c>
      <c r="Z97" s="62">
        <v>114</v>
      </c>
      <c r="AA97" s="62">
        <v>104.2</v>
      </c>
      <c r="AB97" s="125">
        <v>97</v>
      </c>
      <c r="AC97" s="125">
        <v>93</v>
      </c>
      <c r="AD97" s="125">
        <v>107</v>
      </c>
      <c r="AE97" s="125">
        <v>92</v>
      </c>
      <c r="AF97" s="125">
        <v>103</v>
      </c>
      <c r="AG97" s="126">
        <v>120</v>
      </c>
      <c r="AH97" s="53">
        <f t="shared" si="23"/>
        <v>121.9</v>
      </c>
      <c r="AI97" s="120">
        <f t="shared" si="24"/>
        <v>0.70833333333333304</v>
      </c>
    </row>
    <row r="98" spans="1:37" x14ac:dyDescent="0.25">
      <c r="A98" s="123" t="s">
        <v>102</v>
      </c>
      <c r="B98" s="124">
        <v>84.1</v>
      </c>
      <c r="C98" s="62">
        <v>78.3</v>
      </c>
      <c r="D98" s="62">
        <v>73</v>
      </c>
      <c r="E98" s="62">
        <v>79.3</v>
      </c>
      <c r="F98" s="62">
        <v>69</v>
      </c>
      <c r="G98" s="62">
        <v>67.400000000000006</v>
      </c>
      <c r="H98" s="62">
        <v>77.900000000000006</v>
      </c>
      <c r="I98" s="62">
        <v>85</v>
      </c>
      <c r="J98" s="62">
        <v>79</v>
      </c>
      <c r="K98" s="62">
        <v>83</v>
      </c>
      <c r="L98" s="62">
        <v>92.2</v>
      </c>
      <c r="M98" s="62">
        <v>102.8</v>
      </c>
      <c r="N98" s="62">
        <v>99.4</v>
      </c>
      <c r="O98" s="62">
        <v>94.2</v>
      </c>
      <c r="P98" s="62">
        <v>100</v>
      </c>
      <c r="Q98" s="62">
        <v>88</v>
      </c>
      <c r="R98" s="62">
        <v>97.4</v>
      </c>
      <c r="S98" s="62">
        <v>66.599999999999994</v>
      </c>
      <c r="T98" s="62">
        <v>98.2</v>
      </c>
      <c r="U98" s="62">
        <v>109.3</v>
      </c>
      <c r="V98" s="62">
        <v>94.8</v>
      </c>
      <c r="W98" s="62">
        <v>101.9</v>
      </c>
      <c r="X98" s="62">
        <v>105.8</v>
      </c>
      <c r="Y98" s="62">
        <v>120.6</v>
      </c>
      <c r="Z98" s="62">
        <v>101.5</v>
      </c>
      <c r="AA98" s="62">
        <v>103</v>
      </c>
      <c r="AB98" s="125">
        <v>100</v>
      </c>
      <c r="AC98" s="125">
        <v>97</v>
      </c>
      <c r="AD98" s="125">
        <v>78</v>
      </c>
      <c r="AE98" s="125">
        <v>77</v>
      </c>
      <c r="AF98" s="125">
        <v>101</v>
      </c>
      <c r="AG98" s="126"/>
      <c r="AH98" s="53">
        <f t="shared" si="23"/>
        <v>120.6</v>
      </c>
      <c r="AI98" s="120">
        <f t="shared" si="24"/>
        <v>0.77083333333333337</v>
      </c>
    </row>
    <row r="99" spans="1:37" ht="15.75" thickBot="1" x14ac:dyDescent="0.3">
      <c r="A99" s="123" t="s">
        <v>103</v>
      </c>
      <c r="B99" s="124">
        <v>59.3</v>
      </c>
      <c r="C99" s="62">
        <v>58.5</v>
      </c>
      <c r="D99" s="62">
        <v>49</v>
      </c>
      <c r="E99" s="62">
        <v>61.6</v>
      </c>
      <c r="F99" s="62">
        <v>62.3</v>
      </c>
      <c r="G99" s="62">
        <v>38.1</v>
      </c>
      <c r="H99" s="62">
        <v>43.2</v>
      </c>
      <c r="I99" s="62">
        <v>33.299999999999997</v>
      </c>
      <c r="J99" s="62">
        <v>43.8</v>
      </c>
      <c r="K99" s="62">
        <v>45.4</v>
      </c>
      <c r="L99" s="62">
        <v>33</v>
      </c>
      <c r="M99" s="62">
        <v>29.4</v>
      </c>
      <c r="N99" s="62">
        <v>32.700000000000003</v>
      </c>
      <c r="O99" s="62">
        <v>30</v>
      </c>
      <c r="P99" s="62">
        <v>31.5</v>
      </c>
      <c r="Q99" s="62">
        <v>36.4</v>
      </c>
      <c r="R99" s="62">
        <v>47.2</v>
      </c>
      <c r="S99" s="62">
        <v>38.6</v>
      </c>
      <c r="T99" s="62">
        <v>49.4</v>
      </c>
      <c r="U99" s="62">
        <v>46.7</v>
      </c>
      <c r="V99" s="62">
        <v>30.8</v>
      </c>
      <c r="W99" s="62">
        <v>27.3</v>
      </c>
      <c r="X99" s="62">
        <v>22.3</v>
      </c>
      <c r="Y99" s="62">
        <v>25.7</v>
      </c>
      <c r="Z99" s="62">
        <v>21</v>
      </c>
      <c r="AA99" s="62">
        <v>18.2</v>
      </c>
      <c r="AB99" s="125">
        <v>18</v>
      </c>
      <c r="AC99" s="125">
        <v>13.5</v>
      </c>
      <c r="AD99" s="125">
        <v>22.9</v>
      </c>
      <c r="AE99" s="125">
        <v>49</v>
      </c>
      <c r="AF99" s="125">
        <v>54</v>
      </c>
      <c r="AG99" s="127"/>
      <c r="AH99" s="53">
        <f t="shared" si="23"/>
        <v>62.3</v>
      </c>
      <c r="AI99" s="120">
        <f t="shared" si="24"/>
        <v>0.16666666666666699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1587.64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2078/10/16)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942.94</v>
      </c>
      <c r="U213" s="173">
        <f t="shared" si="61"/>
        <v>909.33999999999992</v>
      </c>
      <c r="V213" s="173">
        <f t="shared" si="61"/>
        <v>877.44</v>
      </c>
      <c r="W213" s="173">
        <f t="shared" si="61"/>
        <v>890.24</v>
      </c>
      <c r="X213" s="173">
        <f t="shared" si="61"/>
        <v>879.83999999999992</v>
      </c>
      <c r="Y213" s="173">
        <f t="shared" si="61"/>
        <v>928.93999999999994</v>
      </c>
      <c r="Z213" s="173">
        <f t="shared" si="61"/>
        <v>985.6400000000001</v>
      </c>
      <c r="AA213" s="173">
        <f t="shared" si="61"/>
        <v>1052.04</v>
      </c>
      <c r="AB213" s="173">
        <f t="shared" si="61"/>
        <v>1181.54</v>
      </c>
      <c r="AC213" s="173">
        <f t="shared" si="61"/>
        <v>1312.34</v>
      </c>
      <c r="AD213" s="173">
        <f t="shared" si="61"/>
        <v>1466.2400000000002</v>
      </c>
      <c r="AE213" s="173">
        <f t="shared" si="61"/>
        <v>1568.44</v>
      </c>
      <c r="AF213" s="173">
        <f t="shared" si="61"/>
        <v>1587.64</v>
      </c>
      <c r="AG213" s="173">
        <f t="shared" si="61"/>
        <v>1522.24</v>
      </c>
      <c r="AH213" s="173">
        <f t="shared" si="61"/>
        <v>1484.74</v>
      </c>
      <c r="AI213" s="173">
        <f t="shared" si="61"/>
        <v>1410.1399999999999</v>
      </c>
      <c r="AJ213" s="173">
        <f t="shared" si="61"/>
        <v>1369.24</v>
      </c>
      <c r="AK213" s="173">
        <f t="shared" si="61"/>
        <v>1411.64</v>
      </c>
      <c r="AL213" s="173">
        <f t="shared" si="61"/>
        <v>1355.14</v>
      </c>
      <c r="AM213" s="173">
        <f t="shared" si="61"/>
        <v>1394.94</v>
      </c>
      <c r="AN213" s="173">
        <f t="shared" si="61"/>
        <v>1348.24</v>
      </c>
      <c r="AO213" s="173">
        <f t="shared" si="61"/>
        <v>1518.44</v>
      </c>
      <c r="AP213" s="173">
        <f t="shared" si="61"/>
        <v>1647.54</v>
      </c>
      <c r="AQ213" s="173">
        <f t="shared" si="61"/>
        <v>1715.04</v>
      </c>
      <c r="AR213" s="173">
        <f t="shared" si="61"/>
        <v>1653.54</v>
      </c>
      <c r="AS213" s="173">
        <f t="shared" si="61"/>
        <v>1630.1399999999999</v>
      </c>
      <c r="AT213" s="173">
        <f t="shared" si="61"/>
        <v>1580.54</v>
      </c>
      <c r="AU213" s="173">
        <f t="shared" si="61"/>
        <v>1519.54</v>
      </c>
      <c r="AV213" s="173">
        <f t="shared" si="61"/>
        <v>1491.64</v>
      </c>
      <c r="AW213" s="173">
        <f t="shared" si="61"/>
        <v>1147.6399999999999</v>
      </c>
      <c r="AX213" s="173">
        <f t="shared" si="61"/>
        <v>1070.44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01">
      <iconSet iconSet="3TrafficLights2" reverse="1">
        <cfvo type="percent" val="0"/>
        <cfvo type="num" val="1"/>
        <cfvo type="num" val="1"/>
      </iconSet>
    </cfRule>
  </conditionalFormatting>
  <conditionalFormatting sqref="M37:R37 P39:R39 M39:O42 P40:Q42 R42 P60:R67 R40:T41 M58:W59 U40:Y42 X85:AA91 AB81:AF81 B81:R81 C56:AF56 B82:AF83 D193:AF199 B193:B199 C68:AF72 AB84:AF91 B84:B91 B73:AF80 B9:AF10 B191:AF191 AF57:AF62 B53:B72 AG73 AB94:AF99 B94:B99 U212:AF212 E57:L59 C57:D61 E60:O61 C63:H67 Y18:Y30 M12:S14 M16:S32 B36:S36 N45:S48 Y36 M11:AE11 Z40:AE43 Z12:AF14 AF42:AF43 M53:AF55">
    <cfRule type="expression" dxfId="6577" priority="497">
      <formula>B$9&gt;=20/24</formula>
    </cfRule>
    <cfRule type="expression" dxfId="6576" priority="498">
      <formula>AND(B$9&gt;=14/24,B$9&lt;20/24)</formula>
    </cfRule>
    <cfRule type="expression" dxfId="6575" priority="499">
      <formula>AND(B$9&gt;=8/24,B$9&lt;14/24)</formula>
    </cfRule>
    <cfRule type="expression" dxfId="6574" priority="500">
      <formula>B$9&lt;8/24</formula>
    </cfRule>
  </conditionalFormatting>
  <conditionalFormatting sqref="AL4:AL6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573" priority="492">
      <formula>M$9&gt;=20/24</formula>
    </cfRule>
    <cfRule type="expression" dxfId="6572" priority="493">
      <formula>AND(M$9&gt;=14/24,M$9&lt;20/24)</formula>
    </cfRule>
    <cfRule type="expression" dxfId="6571" priority="494">
      <formula>AND(M$9&gt;=8/24,M$9&lt;14/24)</formula>
    </cfRule>
    <cfRule type="expression" dxfId="6570" priority="495">
      <formula>M$9&lt;8/24</formula>
    </cfRule>
  </conditionalFormatting>
  <conditionalFormatting sqref="M43:R43">
    <cfRule type="expression" dxfId="6569" priority="488">
      <formula>M$9&gt;=20/24</formula>
    </cfRule>
    <cfRule type="expression" dxfId="6568" priority="489">
      <formula>AND(M$9&gt;=14/24,M$9&lt;20/24)</formula>
    </cfRule>
    <cfRule type="expression" dxfId="6567" priority="490">
      <formula>AND(M$9&gt;=8/24,M$9&lt;14/24)</formula>
    </cfRule>
    <cfRule type="expression" dxfId="6566" priority="491">
      <formula>M$9&lt;8/24</formula>
    </cfRule>
  </conditionalFormatting>
  <conditionalFormatting sqref="S39:AE39">
    <cfRule type="expression" dxfId="6565" priority="480">
      <formula>S$9&gt;=20/24</formula>
    </cfRule>
    <cfRule type="expression" dxfId="6564" priority="481">
      <formula>AND(S$9&gt;=14/24,S$9&lt;20/24)</formula>
    </cfRule>
    <cfRule type="expression" dxfId="6563" priority="482">
      <formula>AND(S$9&gt;=8/24,S$9&lt;14/24)</formula>
    </cfRule>
    <cfRule type="expression" dxfId="6562" priority="483">
      <formula>S$9&lt;8/24</formula>
    </cfRule>
  </conditionalFormatting>
  <conditionalFormatting sqref="S57:AE57">
    <cfRule type="expression" dxfId="6561" priority="476">
      <formula>S$9&gt;=20/24</formula>
    </cfRule>
    <cfRule type="expression" dxfId="6560" priority="477">
      <formula>AND(S$9&gt;=14/24,S$9&lt;20/24)</formula>
    </cfRule>
    <cfRule type="expression" dxfId="6559" priority="478">
      <formula>AND(S$9&gt;=8/24,S$9&lt;14/24)</formula>
    </cfRule>
    <cfRule type="expression" dxfId="6558" priority="479">
      <formula>S$9&lt;8/24</formula>
    </cfRule>
  </conditionalFormatting>
  <conditionalFormatting sqref="S81:AA81">
    <cfRule type="expression" dxfId="6557" priority="472">
      <formula>S$9&gt;=20/24</formula>
    </cfRule>
    <cfRule type="expression" dxfId="6556" priority="473">
      <formula>AND(S$9&gt;=14/24,S$9&lt;20/24)</formula>
    </cfRule>
    <cfRule type="expression" dxfId="6555" priority="474">
      <formula>AND(S$9&gt;=8/24,S$9&lt;14/24)</formula>
    </cfRule>
    <cfRule type="expression" dxfId="6554" priority="475">
      <formula>S$9&lt;8/24</formula>
    </cfRule>
  </conditionalFormatting>
  <conditionalFormatting sqref="U84:AA84">
    <cfRule type="expression" dxfId="6553" priority="468">
      <formula>U$9&gt;=20/24</formula>
    </cfRule>
    <cfRule type="expression" dxfId="6552" priority="469">
      <formula>AND(U$9&gt;=14/24,U$9&lt;20/24)</formula>
    </cfRule>
    <cfRule type="expression" dxfId="6551" priority="470">
      <formula>AND(U$9&gt;=8/24,U$9&lt;14/24)</formula>
    </cfRule>
    <cfRule type="expression" dxfId="6550" priority="471">
      <formula>U$9&lt;8/24</formula>
    </cfRule>
  </conditionalFormatting>
  <conditionalFormatting sqref="M35:S35">
    <cfRule type="expression" dxfId="6549" priority="464">
      <formula>M$9&gt;=20/24</formula>
    </cfRule>
    <cfRule type="expression" dxfId="6548" priority="465">
      <formula>AND(M$9&gt;=14/24,M$9&lt;20/24)</formula>
    </cfRule>
    <cfRule type="expression" dxfId="6547" priority="466">
      <formula>AND(M$9&gt;=8/24,M$9&lt;14/24)</formula>
    </cfRule>
    <cfRule type="expression" dxfId="6546" priority="467">
      <formula>M$9&lt;8/24</formula>
    </cfRule>
  </conditionalFormatting>
  <conditionalFormatting sqref="M49:T49">
    <cfRule type="expression" dxfId="6545" priority="460">
      <formula>M$9&gt;=20/24</formula>
    </cfRule>
    <cfRule type="expression" dxfId="6544" priority="461">
      <formula>AND(M$9&gt;=14/24,M$9&lt;20/24)</formula>
    </cfRule>
    <cfRule type="expression" dxfId="6543" priority="462">
      <formula>AND(M$9&gt;=8/24,M$9&lt;14/24)</formula>
    </cfRule>
    <cfRule type="expression" dxfId="6542" priority="463">
      <formula>M$9&lt;8/24</formula>
    </cfRule>
  </conditionalFormatting>
  <conditionalFormatting sqref="M50:S50">
    <cfRule type="expression" dxfId="6541" priority="456">
      <formula>M$9&gt;=20/24</formula>
    </cfRule>
    <cfRule type="expression" dxfId="6540" priority="457">
      <formula>AND(M$9&gt;=14/24,M$9&lt;20/24)</formula>
    </cfRule>
    <cfRule type="expression" dxfId="6539" priority="458">
      <formula>AND(M$9&gt;=8/24,M$9&lt;14/24)</formula>
    </cfRule>
    <cfRule type="expression" dxfId="6538" priority="459">
      <formula>M$9&lt;8/24</formula>
    </cfRule>
  </conditionalFormatting>
  <conditionalFormatting sqref="M45:S48">
    <cfRule type="expression" dxfId="6537" priority="452">
      <formula>M$9&gt;=20/24</formula>
    </cfRule>
    <cfRule type="expression" dxfId="6536" priority="453">
      <formula>AND(M$9&gt;=14/24,M$9&lt;20/24)</formula>
    </cfRule>
    <cfRule type="expression" dxfId="6535" priority="454">
      <formula>AND(M$9&gt;=8/24,M$9&lt;14/24)</formula>
    </cfRule>
    <cfRule type="expression" dxfId="6534" priority="455">
      <formula>M$9&lt;8/24</formula>
    </cfRule>
  </conditionalFormatting>
  <conditionalFormatting sqref="S37:AF37">
    <cfRule type="expression" dxfId="6533" priority="448">
      <formula>S$9&gt;=20/24</formula>
    </cfRule>
    <cfRule type="expression" dxfId="6532" priority="449">
      <formula>AND(S$9&gt;=14/24,S$9&lt;20/24)</formula>
    </cfRule>
    <cfRule type="expression" dxfId="6531" priority="450">
      <formula>AND(S$9&gt;=8/24,S$9&lt;14/24)</formula>
    </cfRule>
    <cfRule type="expression" dxfId="6530" priority="451">
      <formula>S$9&lt;8/24</formula>
    </cfRule>
  </conditionalFormatting>
  <conditionalFormatting sqref="Y31:Y32 Y35">
    <cfRule type="expression" dxfId="6529" priority="444">
      <formula>Y$9&gt;=20/24</formula>
    </cfRule>
    <cfRule type="expression" dxfId="6528" priority="445">
      <formula>AND(Y$9&gt;=14/24,Y$9&lt;20/24)</formula>
    </cfRule>
    <cfRule type="expression" dxfId="6527" priority="446">
      <formula>AND(Y$9&gt;=8/24,Y$9&lt;14/24)</formula>
    </cfRule>
    <cfRule type="expression" dxfId="6526" priority="447">
      <formula>Y$9&lt;8/24</formula>
    </cfRule>
  </conditionalFormatting>
  <conditionalFormatting sqref="U43:Y43 S42:T43 S45:AF48">
    <cfRule type="expression" dxfId="6525" priority="440">
      <formula>S$9&gt;=20/24</formula>
    </cfRule>
    <cfRule type="expression" dxfId="6524" priority="441">
      <formula>AND(S$9&gt;=14/24,S$9&lt;20/24)</formula>
    </cfRule>
    <cfRule type="expression" dxfId="6523" priority="442">
      <formula>AND(S$9&gt;=8/24,S$9&lt;14/24)</formula>
    </cfRule>
    <cfRule type="expression" dxfId="6522" priority="443">
      <formula>S$9&lt;8/24</formula>
    </cfRule>
  </conditionalFormatting>
  <conditionalFormatting sqref="S49:AF49">
    <cfRule type="expression" dxfId="6521" priority="436">
      <formula>S$9&gt;=20/24</formula>
    </cfRule>
    <cfRule type="expression" dxfId="6520" priority="437">
      <formula>AND(S$9&gt;=14/24,S$9&lt;20/24)</formula>
    </cfRule>
    <cfRule type="expression" dxfId="6519" priority="438">
      <formula>AND(S$9&gt;=8/24,S$9&lt;14/24)</formula>
    </cfRule>
    <cfRule type="expression" dxfId="6518" priority="439">
      <formula>S$9&lt;8/24</formula>
    </cfRule>
  </conditionalFormatting>
  <conditionalFormatting sqref="S50:AF50">
    <cfRule type="expression" dxfId="6517" priority="432">
      <formula>S$9&gt;=20/24</formula>
    </cfRule>
    <cfRule type="expression" dxfId="6516" priority="433">
      <formula>AND(S$9&gt;=14/24,S$9&lt;20/24)</formula>
    </cfRule>
    <cfRule type="expression" dxfId="6515" priority="434">
      <formula>AND(S$9&gt;=8/24,S$9&lt;14/24)</formula>
    </cfRule>
    <cfRule type="expression" dxfId="6514" priority="435">
      <formula>S$9&lt;8/24</formula>
    </cfRule>
  </conditionalFormatting>
  <conditionalFormatting sqref="S60:T67 X60:AE62 X63:AF67">
    <cfRule type="expression" dxfId="6513" priority="428">
      <formula>S$9&gt;=20/24</formula>
    </cfRule>
    <cfRule type="expression" dxfId="6512" priority="429">
      <formula>AND(S$9&gt;=14/24,S$9&lt;20/24)</formula>
    </cfRule>
    <cfRule type="expression" dxfId="6511" priority="430">
      <formula>AND(S$9&gt;=8/24,S$9&lt;14/24)</formula>
    </cfRule>
    <cfRule type="expression" dxfId="6510" priority="431">
      <formula>S$9&lt;8/24</formula>
    </cfRule>
  </conditionalFormatting>
  <conditionalFormatting sqref="C62:H62 I62:L67">
    <cfRule type="expression" dxfId="6509" priority="424">
      <formula>C$9&gt;=20/24</formula>
    </cfRule>
    <cfRule type="expression" dxfId="6508" priority="425">
      <formula>AND(C$9&gt;=14/24,C$9&lt;20/24)</formula>
    </cfRule>
    <cfRule type="expression" dxfId="6507" priority="426">
      <formula>AND(C$9&gt;=8/24,C$9&lt;14/24)</formula>
    </cfRule>
    <cfRule type="expression" dxfId="6506" priority="427">
      <formula>C$9&lt;8/24</formula>
    </cfRule>
  </conditionalFormatting>
  <conditionalFormatting sqref="U94:AA97">
    <cfRule type="expression" dxfId="6505" priority="420">
      <formula>U$9&gt;=20/24</formula>
    </cfRule>
    <cfRule type="expression" dxfId="6504" priority="421">
      <formula>AND(U$9&gt;=14/24,U$9&lt;20/24)</formula>
    </cfRule>
    <cfRule type="expression" dxfId="6503" priority="422">
      <formula>AND(U$9&gt;=8/24,U$9&lt;14/24)</formula>
    </cfRule>
    <cfRule type="expression" dxfId="6502" priority="423">
      <formula>U$9&lt;8/24</formula>
    </cfRule>
  </conditionalFormatting>
  <conditionalFormatting sqref="AG51 K11:AF11 B11:J32 K12:L32 Y18:Y32 M12:S14 M16:S32 B34:S36 Y34:Y36 Z12:AF15 B37:AF56">
    <cfRule type="expression" dxfId="6501" priority="419">
      <formula>B11&gt;$AG11</formula>
    </cfRule>
  </conditionalFormatting>
  <conditionalFormatting sqref="A100:A156 A84:A97 A11:A14 A16:A32 A45:A72 A80:A82 A74:A78 A35:A43 A169:A199">
    <cfRule type="expression" dxfId="6500" priority="418">
      <formula>$AH11=0</formula>
    </cfRule>
  </conditionalFormatting>
  <conditionalFormatting sqref="U98:AA98">
    <cfRule type="expression" dxfId="6499" priority="414">
      <formula>U$9&gt;=20/24</formula>
    </cfRule>
    <cfRule type="expression" dxfId="6498" priority="415">
      <formula>AND(U$9&gt;=14/24,U$9&lt;20/24)</formula>
    </cfRule>
    <cfRule type="expression" dxfId="6497" priority="416">
      <formula>AND(U$9&gt;=8/24,U$9&lt;14/24)</formula>
    </cfRule>
    <cfRule type="expression" dxfId="6496" priority="417">
      <formula>U$9&lt;8/24</formula>
    </cfRule>
  </conditionalFormatting>
  <conditionalFormatting sqref="A98">
    <cfRule type="expression" dxfId="6495" priority="413">
      <formula>$AH98=0</formula>
    </cfRule>
  </conditionalFormatting>
  <conditionalFormatting sqref="M62:O67">
    <cfRule type="expression" dxfId="6494" priority="401">
      <formula>M$9&gt;=20/24</formula>
    </cfRule>
    <cfRule type="expression" dxfId="6493" priority="402">
      <formula>AND(M$9&gt;=14/24,M$9&lt;20/24)</formula>
    </cfRule>
    <cfRule type="expression" dxfId="6492" priority="403">
      <formula>AND(M$9&gt;=8/24,M$9&lt;14/24)</formula>
    </cfRule>
    <cfRule type="expression" dxfId="6491" priority="404">
      <formula>M$9&lt;8/24</formula>
    </cfRule>
  </conditionalFormatting>
  <conditionalFormatting sqref="AL32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M34:S34">
    <cfRule type="expression" dxfId="6490" priority="392">
      <formula>M$9&gt;=20/24</formula>
    </cfRule>
    <cfRule type="expression" dxfId="6489" priority="393">
      <formula>AND(M$9&gt;=14/24,M$9&lt;20/24)</formula>
    </cfRule>
    <cfRule type="expression" dxfId="6488" priority="394">
      <formula>AND(M$9&gt;=8/24,M$9&lt;14/24)</formula>
    </cfRule>
    <cfRule type="expression" dxfId="6487" priority="395">
      <formula>M$9&lt;8/24</formula>
    </cfRule>
  </conditionalFormatting>
  <conditionalFormatting sqref="Y34">
    <cfRule type="expression" dxfId="6486" priority="388">
      <formula>Y$9&gt;=20/24</formula>
    </cfRule>
    <cfRule type="expression" dxfId="6485" priority="389">
      <formula>AND(Y$9&gt;=14/24,Y$9&lt;20/24)</formula>
    </cfRule>
    <cfRule type="expression" dxfId="6484" priority="390">
      <formula>AND(Y$9&gt;=8/24,Y$9&lt;14/24)</formula>
    </cfRule>
    <cfRule type="expression" dxfId="6483" priority="391">
      <formula>Y$9&lt;8/24</formula>
    </cfRule>
  </conditionalFormatting>
  <conditionalFormatting sqref="A34">
    <cfRule type="expression" dxfId="6482" priority="387">
      <formula>$AH34=0</formula>
    </cfRule>
  </conditionalFormatting>
  <conditionalFormatting sqref="A83">
    <cfRule type="expression" dxfId="6481" priority="386">
      <formula>$AH83=0</formula>
    </cfRule>
  </conditionalFormatting>
  <conditionalFormatting sqref="Z15:AF15">
    <cfRule type="expression" dxfId="6480" priority="382">
      <formula>Z$9&gt;=20/24</formula>
    </cfRule>
    <cfRule type="expression" dxfId="6479" priority="383">
      <formula>AND(Z$9&gt;=14/24,Z$9&lt;20/24)</formula>
    </cfRule>
    <cfRule type="expression" dxfId="6478" priority="384">
      <formula>AND(Z$9&gt;=8/24,Z$9&lt;14/24)</formula>
    </cfRule>
    <cfRule type="expression" dxfId="6477" priority="385">
      <formula>Z$9&lt;8/24</formula>
    </cfRule>
  </conditionalFormatting>
  <conditionalFormatting sqref="M15:S15">
    <cfRule type="expression" dxfId="6476" priority="378">
      <formula>M$9&gt;=20/24</formula>
    </cfRule>
    <cfRule type="expression" dxfId="6475" priority="379">
      <formula>AND(M$9&gt;=14/24,M$9&lt;20/24)</formula>
    </cfRule>
    <cfRule type="expression" dxfId="6474" priority="380">
      <formula>AND(M$9&gt;=8/24,M$9&lt;14/24)</formula>
    </cfRule>
    <cfRule type="expression" dxfId="6473" priority="381">
      <formula>M$9&lt;8/24</formula>
    </cfRule>
  </conditionalFormatting>
  <conditionalFormatting sqref="M15:S15">
    <cfRule type="expression" dxfId="6472" priority="377">
      <formula>M15&gt;$AG15</formula>
    </cfRule>
  </conditionalFormatting>
  <conditionalFormatting sqref="A15">
    <cfRule type="expression" dxfId="6471" priority="376">
      <formula>$AH15=0</formula>
    </cfRule>
  </conditionalFormatting>
  <conditionalFormatting sqref="A163:A168">
    <cfRule type="expression" dxfId="6470" priority="375">
      <formula>$AH163=0</formula>
    </cfRule>
  </conditionalFormatting>
  <conditionalFormatting sqref="A157:A162">
    <cfRule type="expression" dxfId="6469" priority="374">
      <formula>$AH157=0</formula>
    </cfRule>
  </conditionalFormatting>
  <conditionalFormatting sqref="Z44:AF44">
    <cfRule type="expression" dxfId="6468" priority="370">
      <formula>Z$9&gt;=20/24</formula>
    </cfRule>
    <cfRule type="expression" dxfId="6467" priority="371">
      <formula>AND(Z$9&gt;=14/24,Z$9&lt;20/24)</formula>
    </cfRule>
    <cfRule type="expression" dxfId="6466" priority="372">
      <formula>AND(Z$9&gt;=8/24,Z$9&lt;14/24)</formula>
    </cfRule>
    <cfRule type="expression" dxfId="6465" priority="373">
      <formula>Z$9&lt;8/24</formula>
    </cfRule>
  </conditionalFormatting>
  <conditionalFormatting sqref="M44:S44">
    <cfRule type="expression" dxfId="6464" priority="366">
      <formula>M$9&gt;=20/24</formula>
    </cfRule>
    <cfRule type="expression" dxfId="6463" priority="367">
      <formula>AND(M$9&gt;=14/24,M$9&lt;20/24)</formula>
    </cfRule>
    <cfRule type="expression" dxfId="6462" priority="368">
      <formula>AND(M$9&gt;=8/24,M$9&lt;14/24)</formula>
    </cfRule>
    <cfRule type="expression" dxfId="6461" priority="369">
      <formula>M$9&lt;8/24</formula>
    </cfRule>
  </conditionalFormatting>
  <conditionalFormatting sqref="S44:Y44">
    <cfRule type="expression" dxfId="6460" priority="362">
      <formula>S$9&gt;=20/24</formula>
    </cfRule>
    <cfRule type="expression" dxfId="6459" priority="363">
      <formula>AND(S$9&gt;=14/24,S$9&lt;20/24)</formula>
    </cfRule>
    <cfRule type="expression" dxfId="6458" priority="364">
      <formula>AND(S$9&gt;=8/24,S$9&lt;14/24)</formula>
    </cfRule>
    <cfRule type="expression" dxfId="6457" priority="365">
      <formula>S$9&lt;8/24</formula>
    </cfRule>
  </conditionalFormatting>
  <conditionalFormatting sqref="A44">
    <cfRule type="expression" dxfId="6456" priority="361">
      <formula>$AH44=0</formula>
    </cfRule>
  </conditionalFormatting>
  <conditionalFormatting sqref="A79">
    <cfRule type="expression" dxfId="6455" priority="360">
      <formula>$AH79=0</formula>
    </cfRule>
  </conditionalFormatting>
  <conditionalFormatting sqref="A73">
    <cfRule type="expression" dxfId="6454" priority="359">
      <formula>$AH73=0</formula>
    </cfRule>
  </conditionalFormatting>
  <conditionalFormatting sqref="AL34:AL35 AL7:AL31">
    <cfRule type="iconSet" priority="503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6453" priority="355">
      <formula>U$9&gt;=20/24</formula>
    </cfRule>
    <cfRule type="expression" dxfId="6452" priority="356">
      <formula>AND(U$9&gt;=14/24,U$9&lt;20/24)</formula>
    </cfRule>
    <cfRule type="expression" dxfId="6451" priority="357">
      <formula>AND(U$9&gt;=8/24,U$9&lt;14/24)</formula>
    </cfRule>
    <cfRule type="expression" dxfId="6450" priority="358">
      <formula>U$9&lt;8/24</formula>
    </cfRule>
  </conditionalFormatting>
  <conditionalFormatting sqref="U85:W91">
    <cfRule type="expression" dxfId="6449" priority="351">
      <formula>U$9&gt;=20/24</formula>
    </cfRule>
    <cfRule type="expression" dxfId="6448" priority="352">
      <formula>AND(U$9&gt;=14/24,U$9&lt;20/24)</formula>
    </cfRule>
    <cfRule type="expression" dxfId="6447" priority="353">
      <formula>AND(U$9&gt;=8/24,U$9&lt;14/24)</formula>
    </cfRule>
    <cfRule type="expression" dxfId="6446" priority="354">
      <formula>U$9&lt;8/24</formula>
    </cfRule>
  </conditionalFormatting>
  <conditionalFormatting sqref="C84:R91 S85:T91">
    <cfRule type="expression" dxfId="6445" priority="347">
      <formula>C$9&gt;=20/24</formula>
    </cfRule>
    <cfRule type="expression" dxfId="6444" priority="348">
      <formula>AND(C$9&gt;=14/24,C$9&lt;20/24)</formula>
    </cfRule>
    <cfRule type="expression" dxfId="6443" priority="349">
      <formula>AND(C$9&gt;=8/24,C$9&lt;14/24)</formula>
    </cfRule>
    <cfRule type="expression" dxfId="6442" priority="350">
      <formula>C$9&lt;8/24</formula>
    </cfRule>
  </conditionalFormatting>
  <conditionalFormatting sqref="S84:T84">
    <cfRule type="expression" dxfId="6441" priority="343">
      <formula>S$9&gt;=20/24</formula>
    </cfRule>
    <cfRule type="expression" dxfId="6440" priority="344">
      <formula>AND(S$9&gt;=14/24,S$9&lt;20/24)</formula>
    </cfRule>
    <cfRule type="expression" dxfId="6439" priority="345">
      <formula>AND(S$9&gt;=8/24,S$9&lt;14/24)</formula>
    </cfRule>
    <cfRule type="expression" dxfId="6438" priority="346">
      <formula>S$9&lt;8/24</formula>
    </cfRule>
  </conditionalFormatting>
  <conditionalFormatting sqref="C95:M97 C94:F94">
    <cfRule type="expression" dxfId="6437" priority="339">
      <formula>C$9&gt;=20/24</formula>
    </cfRule>
    <cfRule type="expression" dxfId="6436" priority="340">
      <formula>AND(C$9&gt;=14/24,C$9&lt;20/24)</formula>
    </cfRule>
    <cfRule type="expression" dxfId="6435" priority="341">
      <formula>AND(C$9&gt;=8/24,C$9&lt;14/24)</formula>
    </cfRule>
    <cfRule type="expression" dxfId="6434" priority="342">
      <formula>C$9&lt;8/24</formula>
    </cfRule>
  </conditionalFormatting>
  <conditionalFormatting sqref="N95:R97 O94:R94">
    <cfRule type="expression" dxfId="6433" priority="335">
      <formula>N$9&gt;=20/24</formula>
    </cfRule>
    <cfRule type="expression" dxfId="6432" priority="336">
      <formula>AND(N$9&gt;=14/24,N$9&lt;20/24)</formula>
    </cfRule>
    <cfRule type="expression" dxfId="6431" priority="337">
      <formula>AND(N$9&gt;=8/24,N$9&lt;14/24)</formula>
    </cfRule>
    <cfRule type="expression" dxfId="6430" priority="338">
      <formula>N$9&lt;8/24</formula>
    </cfRule>
  </conditionalFormatting>
  <conditionalFormatting sqref="S94:T97">
    <cfRule type="expression" dxfId="6429" priority="331">
      <formula>S$9&gt;=20/24</formula>
    </cfRule>
    <cfRule type="expression" dxfId="6428" priority="332">
      <formula>AND(S$9&gt;=14/24,S$9&lt;20/24)</formula>
    </cfRule>
    <cfRule type="expression" dxfId="6427" priority="333">
      <formula>AND(S$9&gt;=8/24,S$9&lt;14/24)</formula>
    </cfRule>
    <cfRule type="expression" dxfId="6426" priority="334">
      <formula>S$9&lt;8/24</formula>
    </cfRule>
  </conditionalFormatting>
  <conditionalFormatting sqref="C98:M98">
    <cfRule type="expression" dxfId="6425" priority="327">
      <formula>C$9&gt;=20/24</formula>
    </cfRule>
    <cfRule type="expression" dxfId="6424" priority="328">
      <formula>AND(C$9&gt;=14/24,C$9&lt;20/24)</formula>
    </cfRule>
    <cfRule type="expression" dxfId="6423" priority="329">
      <formula>AND(C$9&gt;=8/24,C$9&lt;14/24)</formula>
    </cfRule>
    <cfRule type="expression" dxfId="6422" priority="330">
      <formula>C$9&lt;8/24</formula>
    </cfRule>
  </conditionalFormatting>
  <conditionalFormatting sqref="N98:R98">
    <cfRule type="expression" dxfId="6421" priority="323">
      <formula>N$9&gt;=20/24</formula>
    </cfRule>
    <cfRule type="expression" dxfId="6420" priority="324">
      <formula>AND(N$9&gt;=14/24,N$9&lt;20/24)</formula>
    </cfRule>
    <cfRule type="expression" dxfId="6419" priority="325">
      <formula>AND(N$9&gt;=8/24,N$9&lt;14/24)</formula>
    </cfRule>
    <cfRule type="expression" dxfId="6418" priority="326">
      <formula>N$9&lt;8/24</formula>
    </cfRule>
  </conditionalFormatting>
  <conditionalFormatting sqref="S98:T98">
    <cfRule type="expression" dxfId="6417" priority="319">
      <formula>S$9&gt;=20/24</formula>
    </cfRule>
    <cfRule type="expression" dxfId="6416" priority="320">
      <formula>AND(S$9&gt;=14/24,S$9&lt;20/24)</formula>
    </cfRule>
    <cfRule type="expression" dxfId="6415" priority="321">
      <formula>AND(S$9&gt;=8/24,S$9&lt;14/24)</formula>
    </cfRule>
    <cfRule type="expression" dxfId="6414" priority="322">
      <formula>S$9&lt;8/24</formula>
    </cfRule>
  </conditionalFormatting>
  <conditionalFormatting sqref="M94:N94">
    <cfRule type="expression" dxfId="6413" priority="315">
      <formula>M$9&gt;=20/24</formula>
    </cfRule>
    <cfRule type="expression" dxfId="6412" priority="316">
      <formula>AND(M$9&gt;=14/24,M$9&lt;20/24)</formula>
    </cfRule>
    <cfRule type="expression" dxfId="6411" priority="317">
      <formula>AND(M$9&gt;=8/24,M$9&lt;14/24)</formula>
    </cfRule>
    <cfRule type="expression" dxfId="6410" priority="318">
      <formula>M$9&lt;8/24</formula>
    </cfRule>
  </conditionalFormatting>
  <conditionalFormatting sqref="G94:L94">
    <cfRule type="expression" dxfId="6409" priority="311">
      <formula>G$9&gt;=20/24</formula>
    </cfRule>
    <cfRule type="expression" dxfId="6408" priority="312">
      <formula>AND(G$9&gt;=14/24,G$9&lt;20/24)</formula>
    </cfRule>
    <cfRule type="expression" dxfId="6407" priority="313">
      <formula>AND(G$9&gt;=8/24,G$9&lt;14/24)</formula>
    </cfRule>
    <cfRule type="expression" dxfId="6406" priority="314">
      <formula>G$9&lt;8/24</formula>
    </cfRule>
  </conditionalFormatting>
  <conditionalFormatting sqref="U94:W94">
    <cfRule type="expression" dxfId="6405" priority="307">
      <formula>U$9&gt;=20/24</formula>
    </cfRule>
    <cfRule type="expression" dxfId="6404" priority="308">
      <formula>AND(U$9&gt;=14/24,U$9&lt;20/24)</formula>
    </cfRule>
    <cfRule type="expression" dxfId="6403" priority="309">
      <formula>AND(U$9&gt;=8/24,U$9&lt;14/24)</formula>
    </cfRule>
    <cfRule type="expression" dxfId="6402" priority="310">
      <formula>U$9&lt;8/24</formula>
    </cfRule>
  </conditionalFormatting>
  <conditionalFormatting sqref="N94:T94">
    <cfRule type="expression" dxfId="6401" priority="303">
      <formula>N$9&gt;=20/24</formula>
    </cfRule>
    <cfRule type="expression" dxfId="6400" priority="304">
      <formula>AND(N$9&gt;=14/24,N$9&lt;20/24)</formula>
    </cfRule>
    <cfRule type="expression" dxfId="6399" priority="305">
      <formula>AND(N$9&gt;=8/24,N$9&lt;14/24)</formula>
    </cfRule>
    <cfRule type="expression" dxfId="6398" priority="306">
      <formula>N$9&lt;8/24</formula>
    </cfRule>
  </conditionalFormatting>
  <conditionalFormatting sqref="U99:AA99">
    <cfRule type="expression" dxfId="6397" priority="299">
      <formula>U$9&gt;=20/24</formula>
    </cfRule>
    <cfRule type="expression" dxfId="6396" priority="300">
      <formula>AND(U$9&gt;=14/24,U$9&lt;20/24)</formula>
    </cfRule>
    <cfRule type="expression" dxfId="6395" priority="301">
      <formula>AND(U$9&gt;=8/24,U$9&lt;14/24)</formula>
    </cfRule>
    <cfRule type="expression" dxfId="6394" priority="302">
      <formula>U$9&lt;8/24</formula>
    </cfRule>
  </conditionalFormatting>
  <conditionalFormatting sqref="C99:M99">
    <cfRule type="expression" dxfId="6393" priority="295">
      <formula>C$9&gt;=20/24</formula>
    </cfRule>
    <cfRule type="expression" dxfId="6392" priority="296">
      <formula>AND(C$9&gt;=14/24,C$9&lt;20/24)</formula>
    </cfRule>
    <cfRule type="expression" dxfId="6391" priority="297">
      <formula>AND(C$9&gt;=8/24,C$9&lt;14/24)</formula>
    </cfRule>
    <cfRule type="expression" dxfId="6390" priority="298">
      <formula>C$9&lt;8/24</formula>
    </cfRule>
  </conditionalFormatting>
  <conditionalFormatting sqref="N99:R99">
    <cfRule type="expression" dxfId="6389" priority="291">
      <formula>N$9&gt;=20/24</formula>
    </cfRule>
    <cfRule type="expression" dxfId="6388" priority="292">
      <formula>AND(N$9&gt;=14/24,N$9&lt;20/24)</formula>
    </cfRule>
    <cfRule type="expression" dxfId="6387" priority="293">
      <formula>AND(N$9&gt;=8/24,N$9&lt;14/24)</formula>
    </cfRule>
    <cfRule type="expression" dxfId="6386" priority="294">
      <formula>N$9&lt;8/24</formula>
    </cfRule>
  </conditionalFormatting>
  <conditionalFormatting sqref="S99:T99">
    <cfRule type="expression" dxfId="6385" priority="287">
      <formula>S$9&gt;=20/24</formula>
    </cfRule>
    <cfRule type="expression" dxfId="6384" priority="288">
      <formula>AND(S$9&gt;=14/24,S$9&lt;20/24)</formula>
    </cfRule>
    <cfRule type="expression" dxfId="6383" priority="289">
      <formula>AND(S$9&gt;=8/24,S$9&lt;14/24)</formula>
    </cfRule>
    <cfRule type="expression" dxfId="6382" priority="290">
      <formula>S$9&lt;8/24</formula>
    </cfRule>
  </conditionalFormatting>
  <conditionalFormatting sqref="T12:Y12 T13:T15 V13:Y13 W14:Y15 W16 Y16">
    <cfRule type="expression" dxfId="6381" priority="283">
      <formula>T$9&gt;=20/24</formula>
    </cfRule>
    <cfRule type="expression" dxfId="6380" priority="284">
      <formula>AND(T$9&gt;=14/24,T$9&lt;20/24)</formula>
    </cfRule>
    <cfRule type="expression" dxfId="6379" priority="285">
      <formula>AND(T$9&gt;=8/24,T$9&lt;14/24)</formula>
    </cfRule>
    <cfRule type="expression" dxfId="6378" priority="286">
      <formula>T$9&lt;8/24</formula>
    </cfRule>
  </conditionalFormatting>
  <conditionalFormatting sqref="W17 Y17">
    <cfRule type="expression" dxfId="6377" priority="279">
      <formula>W$9&gt;=20/24</formula>
    </cfRule>
    <cfRule type="expression" dxfId="6376" priority="280">
      <formula>AND(W$9&gt;=14/24,W$9&lt;20/24)</formula>
    </cfRule>
    <cfRule type="expression" dxfId="6375" priority="281">
      <formula>AND(W$9&gt;=8/24,W$9&lt;14/24)</formula>
    </cfRule>
    <cfRule type="expression" dxfId="6374" priority="282">
      <formula>W$9&lt;8/24</formula>
    </cfRule>
  </conditionalFormatting>
  <conditionalFormatting sqref="T12:Y12 T13 V13:Y13">
    <cfRule type="expression" dxfId="6373" priority="275">
      <formula>T$9&gt;=20/24</formula>
    </cfRule>
    <cfRule type="expression" dxfId="6372" priority="276">
      <formula>AND(T$9&gt;=14/24,T$9&lt;20/24)</formula>
    </cfRule>
    <cfRule type="expression" dxfId="6371" priority="277">
      <formula>AND(T$9&gt;=8/24,T$9&lt;14/24)</formula>
    </cfRule>
    <cfRule type="expression" dxfId="6370" priority="278">
      <formula>T$9&lt;8/24</formula>
    </cfRule>
  </conditionalFormatting>
  <conditionalFormatting sqref="AB58:AE59">
    <cfRule type="expression" dxfId="6369" priority="271">
      <formula>AB$9&gt;=20/24</formula>
    </cfRule>
    <cfRule type="expression" dxfId="6368" priority="272">
      <formula>AND(AB$9&gt;=14/24,AB$9&lt;20/24)</formula>
    </cfRule>
    <cfRule type="expression" dxfId="6367" priority="273">
      <formula>AND(AB$9&gt;=8/24,AB$9&lt;14/24)</formula>
    </cfRule>
    <cfRule type="expression" dxfId="6366" priority="274">
      <formula>AB$9&lt;8/24</formula>
    </cfRule>
  </conditionalFormatting>
  <conditionalFormatting sqref="AL3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65" priority="504">
      <formula>C$9&gt;=20/24</formula>
    </cfRule>
    <cfRule type="expression" dxfId="6364" priority="505">
      <formula>AND(C$9&gt;=14/24,C$9&lt;20/24)</formula>
    </cfRule>
    <cfRule type="expression" dxfId="6363" priority="506">
      <formula>AND(C$9&gt;=8/24,C$9&lt;14/24)</formula>
    </cfRule>
    <cfRule type="expression" dxfId="6362" priority="507">
      <formula>C$9&lt;8/24</formula>
    </cfRule>
  </conditionalFormatting>
  <conditionalFormatting sqref="A200">
    <cfRule type="expression" dxfId="6361" priority="508">
      <formula>$AH200=0</formula>
    </cfRule>
  </conditionalFormatting>
  <conditionalFormatting sqref="AG212">
    <cfRule type="expression" dxfId="6360" priority="509">
      <formula>B$9&gt;=20/24</formula>
    </cfRule>
    <cfRule type="expression" dxfId="6359" priority="510">
      <formula>AND(B$9&gt;=14/24,B$9&lt;20/24)</formula>
    </cfRule>
    <cfRule type="expression" dxfId="6358" priority="511">
      <formula>AND(B$9&gt;=8/24,B$9&lt;14/24)</formula>
    </cfRule>
    <cfRule type="expression" dxfId="6357" priority="512">
      <formula>B$9&lt;8/24</formula>
    </cfRule>
  </conditionalFormatting>
  <conditionalFormatting sqref="S8">
    <cfRule type="expression" dxfId="6356" priority="265">
      <formula>U$9&gt;=20/24</formula>
    </cfRule>
    <cfRule type="expression" dxfId="6355" priority="266">
      <formula>AND(U$9&gt;=14/24,U$9&lt;20/24)</formula>
    </cfRule>
    <cfRule type="expression" dxfId="6354" priority="267">
      <formula>AND(U$9&gt;=8/24,U$9&lt;14/24)</formula>
    </cfRule>
    <cfRule type="expression" dxfId="6353" priority="268">
      <formula>U$9&lt;8/24</formula>
    </cfRule>
  </conditionalFormatting>
  <conditionalFormatting sqref="AB8">
    <cfRule type="expression" dxfId="6352" priority="261">
      <formula>AD$9&gt;=20/24</formula>
    </cfRule>
    <cfRule type="expression" dxfId="6351" priority="262">
      <formula>AND(AD$9&gt;=14/24,AD$9&lt;20/24)</formula>
    </cfRule>
    <cfRule type="expression" dxfId="6350" priority="263">
      <formula>AND(AD$9&gt;=8/24,AD$9&lt;14/24)</formula>
    </cfRule>
    <cfRule type="expression" dxfId="6349" priority="264">
      <formula>AD$9&lt;8/24</formula>
    </cfRule>
  </conditionalFormatting>
  <conditionalFormatting sqref="AH212:AX212">
    <cfRule type="expression" dxfId="6348" priority="513">
      <formula>AG$9&gt;=20/24</formula>
    </cfRule>
    <cfRule type="expression" dxfId="6347" priority="514">
      <formula>AND(AG$9&gt;=14/24,AG$9&lt;20/24)</formula>
    </cfRule>
    <cfRule type="expression" dxfId="6346" priority="515">
      <formula>AND(AG$9&gt;=8/24,AG$9&lt;14/24)</formula>
    </cfRule>
    <cfRule type="expression" dxfId="6345" priority="516">
      <formula>AG$9&lt;8/24</formula>
    </cfRule>
  </conditionalFormatting>
  <conditionalFormatting sqref="T212">
    <cfRule type="expression" dxfId="6344" priority="517">
      <formula>AX$9&gt;=20/24</formula>
    </cfRule>
    <cfRule type="expression" dxfId="6343" priority="518">
      <formula>AND(AX$9&gt;=14/24,AX$9&lt;20/24)</formula>
    </cfRule>
    <cfRule type="expression" dxfId="6342" priority="519">
      <formula>AND(AX$9&gt;=8/24,AX$9&lt;14/24)</formula>
    </cfRule>
    <cfRule type="expression" dxfId="6341" priority="520">
      <formula>AX$9&lt;8/24</formula>
    </cfRule>
  </conditionalFormatting>
  <conditionalFormatting sqref="A99">
    <cfRule type="expression" dxfId="6340" priority="260">
      <formula>$AH99=0</formula>
    </cfRule>
  </conditionalFormatting>
  <conditionalFormatting sqref="M33:S33">
    <cfRule type="expression" dxfId="6339" priority="256">
      <formula>M$9&gt;=20/24</formula>
    </cfRule>
    <cfRule type="expression" dxfId="6338" priority="257">
      <formula>AND(M$9&gt;=14/24,M$9&lt;20/24)</formula>
    </cfRule>
    <cfRule type="expression" dxfId="6337" priority="258">
      <formula>AND(M$9&gt;=8/24,M$9&lt;14/24)</formula>
    </cfRule>
    <cfRule type="expression" dxfId="6336" priority="259">
      <formula>M$9&lt;8/24</formula>
    </cfRule>
  </conditionalFormatting>
  <conditionalFormatting sqref="Y33">
    <cfRule type="expression" dxfId="6335" priority="248">
      <formula>Y$9&gt;=20/24</formula>
    </cfRule>
    <cfRule type="expression" dxfId="6334" priority="249">
      <formula>AND(Y$9&gt;=14/24,Y$9&lt;20/24)</formula>
    </cfRule>
    <cfRule type="expression" dxfId="6333" priority="250">
      <formula>AND(Y$9&gt;=8/24,Y$9&lt;14/24)</formula>
    </cfRule>
    <cfRule type="expression" dxfId="6332" priority="251">
      <formula>Y$9&lt;8/24</formula>
    </cfRule>
  </conditionalFormatting>
  <conditionalFormatting sqref="B33:S33 Y33">
    <cfRule type="expression" dxfId="6331" priority="247">
      <formula>B33&gt;$AG33</formula>
    </cfRule>
  </conditionalFormatting>
  <conditionalFormatting sqref="T16:T32 T36">
    <cfRule type="expression" dxfId="6330" priority="243">
      <formula>T$9&gt;=20/24</formula>
    </cfRule>
    <cfRule type="expression" dxfId="6329" priority="244">
      <formula>AND(T$9&gt;=14/24,T$9&lt;20/24)</formula>
    </cfRule>
    <cfRule type="expression" dxfId="6328" priority="245">
      <formula>AND(T$9&gt;=8/24,T$9&lt;14/24)</formula>
    </cfRule>
    <cfRule type="expression" dxfId="6327" priority="246">
      <formula>T$9&lt;8/24</formula>
    </cfRule>
  </conditionalFormatting>
  <conditionalFormatting sqref="T35">
    <cfRule type="expression" dxfId="6326" priority="239">
      <formula>T$9&gt;=20/24</formula>
    </cfRule>
    <cfRule type="expression" dxfId="6325" priority="240">
      <formula>AND(T$9&gt;=14/24,T$9&lt;20/24)</formula>
    </cfRule>
    <cfRule type="expression" dxfId="6324" priority="241">
      <formula>AND(T$9&gt;=8/24,T$9&lt;14/24)</formula>
    </cfRule>
    <cfRule type="expression" dxfId="6323" priority="242">
      <formula>T$9&lt;8/24</formula>
    </cfRule>
  </conditionalFormatting>
  <conditionalFormatting sqref="T16:T32 T34:T36">
    <cfRule type="expression" dxfId="6322" priority="238">
      <formula>T16&gt;$AG16</formula>
    </cfRule>
  </conditionalFormatting>
  <conditionalFormatting sqref="T34">
    <cfRule type="expression" dxfId="6321" priority="234">
      <formula>T$9&gt;=20/24</formula>
    </cfRule>
    <cfRule type="expression" dxfId="6320" priority="235">
      <formula>AND(T$9&gt;=14/24,T$9&lt;20/24)</formula>
    </cfRule>
    <cfRule type="expression" dxfId="6319" priority="236">
      <formula>AND(T$9&gt;=8/24,T$9&lt;14/24)</formula>
    </cfRule>
    <cfRule type="expression" dxfId="6318" priority="237">
      <formula>T$9&lt;8/24</formula>
    </cfRule>
  </conditionalFormatting>
  <conditionalFormatting sqref="T33">
    <cfRule type="expression" dxfId="6317" priority="230">
      <formula>T$9&gt;=20/24</formula>
    </cfRule>
    <cfRule type="expression" dxfId="6316" priority="231">
      <formula>AND(T$9&gt;=14/24,T$9&lt;20/24)</formula>
    </cfRule>
    <cfRule type="expression" dxfId="6315" priority="232">
      <formula>AND(T$9&gt;=8/24,T$9&lt;14/24)</formula>
    </cfRule>
    <cfRule type="expression" dxfId="6314" priority="233">
      <formula>T$9&lt;8/24</formula>
    </cfRule>
  </conditionalFormatting>
  <conditionalFormatting sqref="T33">
    <cfRule type="expression" dxfId="6313" priority="229">
      <formula>T33&gt;$AG33</formula>
    </cfRule>
  </conditionalFormatting>
  <conditionalFormatting sqref="T45:T48">
    <cfRule type="expression" dxfId="6312" priority="225">
      <formula>T$9&gt;=20/24</formula>
    </cfRule>
    <cfRule type="expression" dxfId="6311" priority="226">
      <formula>AND(T$9&gt;=14/24,T$9&lt;20/24)</formula>
    </cfRule>
    <cfRule type="expression" dxfId="6310" priority="227">
      <formula>AND(T$9&gt;=8/24,T$9&lt;14/24)</formula>
    </cfRule>
    <cfRule type="expression" dxfId="6309" priority="228">
      <formula>T$9&lt;8/24</formula>
    </cfRule>
  </conditionalFormatting>
  <conditionalFormatting sqref="T50">
    <cfRule type="expression" dxfId="6308" priority="221">
      <formula>T$9&gt;=20/24</formula>
    </cfRule>
    <cfRule type="expression" dxfId="6307" priority="222">
      <formula>AND(T$9&gt;=14/24,T$9&lt;20/24)</formula>
    </cfRule>
    <cfRule type="expression" dxfId="6306" priority="223">
      <formula>AND(T$9&gt;=8/24,T$9&lt;14/24)</formula>
    </cfRule>
    <cfRule type="expression" dxfId="6305" priority="224">
      <formula>T$9&lt;8/24</formula>
    </cfRule>
  </conditionalFormatting>
  <conditionalFormatting sqref="T45:T48">
    <cfRule type="expression" dxfId="6304" priority="217">
      <formula>T$9&gt;=20/24</formula>
    </cfRule>
    <cfRule type="expression" dxfId="6303" priority="218">
      <formula>AND(T$9&gt;=14/24,T$9&lt;20/24)</formula>
    </cfRule>
    <cfRule type="expression" dxfId="6302" priority="219">
      <formula>AND(T$9&gt;=8/24,T$9&lt;14/24)</formula>
    </cfRule>
    <cfRule type="expression" dxfId="6301" priority="220">
      <formula>T$9&lt;8/24</formula>
    </cfRule>
  </conditionalFormatting>
  <conditionalFormatting sqref="T44">
    <cfRule type="expression" dxfId="6300" priority="213">
      <formula>T$9&gt;=20/24</formula>
    </cfRule>
    <cfRule type="expression" dxfId="6299" priority="214">
      <formula>AND(T$9&gt;=14/24,T$9&lt;20/24)</formula>
    </cfRule>
    <cfRule type="expression" dxfId="6298" priority="215">
      <formula>AND(T$9&gt;=8/24,T$9&lt;14/24)</formula>
    </cfRule>
    <cfRule type="expression" dxfId="6297" priority="216">
      <formula>T$9&lt;8/24</formula>
    </cfRule>
  </conditionalFormatting>
  <conditionalFormatting sqref="U13:U15">
    <cfRule type="expression" dxfId="6296" priority="209">
      <formula>U$9&gt;=20/24</formula>
    </cfRule>
    <cfRule type="expression" dxfId="6295" priority="210">
      <formula>AND(U$9&gt;=14/24,U$9&lt;20/24)</formula>
    </cfRule>
    <cfRule type="expression" dxfId="6294" priority="211">
      <formula>AND(U$9&gt;=8/24,U$9&lt;14/24)</formula>
    </cfRule>
    <cfRule type="expression" dxfId="6293" priority="212">
      <formula>U$9&lt;8/24</formula>
    </cfRule>
  </conditionalFormatting>
  <conditionalFormatting sqref="U13">
    <cfRule type="expression" dxfId="6292" priority="205">
      <formula>U$9&gt;=20/24</formula>
    </cfRule>
    <cfRule type="expression" dxfId="6291" priority="206">
      <formula>AND(U$9&gt;=14/24,U$9&lt;20/24)</formula>
    </cfRule>
    <cfRule type="expression" dxfId="6290" priority="207">
      <formula>AND(U$9&gt;=8/24,U$9&lt;14/24)</formula>
    </cfRule>
    <cfRule type="expression" dxfId="6289" priority="208">
      <formula>U$9&lt;8/24</formula>
    </cfRule>
  </conditionalFormatting>
  <conditionalFormatting sqref="U16:U32 U36">
    <cfRule type="expression" dxfId="6288" priority="201">
      <formula>U$9&gt;=20/24</formula>
    </cfRule>
    <cfRule type="expression" dxfId="6287" priority="202">
      <formula>AND(U$9&gt;=14/24,U$9&lt;20/24)</formula>
    </cfRule>
    <cfRule type="expression" dxfId="6286" priority="203">
      <formula>AND(U$9&gt;=8/24,U$9&lt;14/24)</formula>
    </cfRule>
    <cfRule type="expression" dxfId="6285" priority="204">
      <formula>U$9&lt;8/24</formula>
    </cfRule>
  </conditionalFormatting>
  <conditionalFormatting sqref="U35">
    <cfRule type="expression" dxfId="6284" priority="197">
      <formula>U$9&gt;=20/24</formula>
    </cfRule>
    <cfRule type="expression" dxfId="6283" priority="198">
      <formula>AND(U$9&gt;=14/24,U$9&lt;20/24)</formula>
    </cfRule>
    <cfRule type="expression" dxfId="6282" priority="199">
      <formula>AND(U$9&gt;=8/24,U$9&lt;14/24)</formula>
    </cfRule>
    <cfRule type="expression" dxfId="6281" priority="200">
      <formula>U$9&lt;8/24</formula>
    </cfRule>
  </conditionalFormatting>
  <conditionalFormatting sqref="U16:U32 U34:U36">
    <cfRule type="expression" dxfId="6280" priority="196">
      <formula>U16&gt;$AG16</formula>
    </cfRule>
  </conditionalFormatting>
  <conditionalFormatting sqref="U34">
    <cfRule type="expression" dxfId="6279" priority="192">
      <formula>U$9&gt;=20/24</formula>
    </cfRule>
    <cfRule type="expression" dxfId="6278" priority="193">
      <formula>AND(U$9&gt;=14/24,U$9&lt;20/24)</formula>
    </cfRule>
    <cfRule type="expression" dxfId="6277" priority="194">
      <formula>AND(U$9&gt;=8/24,U$9&lt;14/24)</formula>
    </cfRule>
    <cfRule type="expression" dxfId="6276" priority="195">
      <formula>U$9&lt;8/24</formula>
    </cfRule>
  </conditionalFormatting>
  <conditionalFormatting sqref="U33">
    <cfRule type="expression" dxfId="6275" priority="188">
      <formula>U$9&gt;=20/24</formula>
    </cfRule>
    <cfRule type="expression" dxfId="6274" priority="189">
      <formula>AND(U$9&gt;=14/24,U$9&lt;20/24)</formula>
    </cfRule>
    <cfRule type="expression" dxfId="6273" priority="190">
      <formula>AND(U$9&gt;=8/24,U$9&lt;14/24)</formula>
    </cfRule>
    <cfRule type="expression" dxfId="6272" priority="191">
      <formula>U$9&lt;8/24</formula>
    </cfRule>
  </conditionalFormatting>
  <conditionalFormatting sqref="U33">
    <cfRule type="expression" dxfId="6271" priority="187">
      <formula>U33&gt;$AG33</formula>
    </cfRule>
  </conditionalFormatting>
  <conditionalFormatting sqref="U49">
    <cfRule type="expression" dxfId="6270" priority="183">
      <formula>U$9&gt;=20/24</formula>
    </cfRule>
    <cfRule type="expression" dxfId="6269" priority="184">
      <formula>AND(U$9&gt;=14/24,U$9&lt;20/24)</formula>
    </cfRule>
    <cfRule type="expression" dxfId="6268" priority="185">
      <formula>AND(U$9&gt;=8/24,U$9&lt;14/24)</formula>
    </cfRule>
    <cfRule type="expression" dxfId="6267" priority="186">
      <formula>U$9&lt;8/24</formula>
    </cfRule>
  </conditionalFormatting>
  <conditionalFormatting sqref="U45:U48">
    <cfRule type="expression" dxfId="6266" priority="179">
      <formula>U$9&gt;=20/24</formula>
    </cfRule>
    <cfRule type="expression" dxfId="6265" priority="180">
      <formula>AND(U$9&gt;=14/24,U$9&lt;20/24)</formula>
    </cfRule>
    <cfRule type="expression" dxfId="6264" priority="181">
      <formula>AND(U$9&gt;=8/24,U$9&lt;14/24)</formula>
    </cfRule>
    <cfRule type="expression" dxfId="6263" priority="182">
      <formula>U$9&lt;8/24</formula>
    </cfRule>
  </conditionalFormatting>
  <conditionalFormatting sqref="U50">
    <cfRule type="expression" dxfId="6262" priority="175">
      <formula>U$9&gt;=20/24</formula>
    </cfRule>
    <cfRule type="expression" dxfId="6261" priority="176">
      <formula>AND(U$9&gt;=14/24,U$9&lt;20/24)</formula>
    </cfRule>
    <cfRule type="expression" dxfId="6260" priority="177">
      <formula>AND(U$9&gt;=8/24,U$9&lt;14/24)</formula>
    </cfRule>
    <cfRule type="expression" dxfId="6259" priority="178">
      <formula>U$9&lt;8/24</formula>
    </cfRule>
  </conditionalFormatting>
  <conditionalFormatting sqref="U45:U48">
    <cfRule type="expression" dxfId="6258" priority="171">
      <formula>U$9&gt;=20/24</formula>
    </cfRule>
    <cfRule type="expression" dxfId="6257" priority="172">
      <formula>AND(U$9&gt;=14/24,U$9&lt;20/24)</formula>
    </cfRule>
    <cfRule type="expression" dxfId="6256" priority="173">
      <formula>AND(U$9&gt;=8/24,U$9&lt;14/24)</formula>
    </cfRule>
    <cfRule type="expression" dxfId="6255" priority="174">
      <formula>U$9&lt;8/24</formula>
    </cfRule>
  </conditionalFormatting>
  <conditionalFormatting sqref="V14:V15">
    <cfRule type="expression" dxfId="6254" priority="167">
      <formula>V$9&gt;=20/24</formula>
    </cfRule>
    <cfRule type="expression" dxfId="6253" priority="168">
      <formula>AND(V$9&gt;=14/24,V$9&lt;20/24)</formula>
    </cfRule>
    <cfRule type="expression" dxfId="6252" priority="169">
      <formula>AND(V$9&gt;=8/24,V$9&lt;14/24)</formula>
    </cfRule>
    <cfRule type="expression" dxfId="6251" priority="170">
      <formula>V$9&lt;8/24</formula>
    </cfRule>
  </conditionalFormatting>
  <conditionalFormatting sqref="V16:V32 V36">
    <cfRule type="expression" dxfId="6250" priority="163">
      <formula>V$9&gt;=20/24</formula>
    </cfRule>
    <cfRule type="expression" dxfId="6249" priority="164">
      <formula>AND(V$9&gt;=14/24,V$9&lt;20/24)</formula>
    </cfRule>
    <cfRule type="expression" dxfId="6248" priority="165">
      <formula>AND(V$9&gt;=8/24,V$9&lt;14/24)</formula>
    </cfRule>
    <cfRule type="expression" dxfId="6247" priority="166">
      <formula>V$9&lt;8/24</formula>
    </cfRule>
  </conditionalFormatting>
  <conditionalFormatting sqref="V35">
    <cfRule type="expression" dxfId="6246" priority="159">
      <formula>V$9&gt;=20/24</formula>
    </cfRule>
    <cfRule type="expression" dxfId="6245" priority="160">
      <formula>AND(V$9&gt;=14/24,V$9&lt;20/24)</formula>
    </cfRule>
    <cfRule type="expression" dxfId="6244" priority="161">
      <formula>AND(V$9&gt;=8/24,V$9&lt;14/24)</formula>
    </cfRule>
    <cfRule type="expression" dxfId="6243" priority="162">
      <formula>V$9&lt;8/24</formula>
    </cfRule>
  </conditionalFormatting>
  <conditionalFormatting sqref="V16:V32 V34:V36">
    <cfRule type="expression" dxfId="6242" priority="158">
      <formula>V16&gt;$AG16</formula>
    </cfRule>
  </conditionalFormatting>
  <conditionalFormatting sqref="V34">
    <cfRule type="expression" dxfId="6241" priority="154">
      <formula>V$9&gt;=20/24</formula>
    </cfRule>
    <cfRule type="expression" dxfId="6240" priority="155">
      <formula>AND(V$9&gt;=14/24,V$9&lt;20/24)</formula>
    </cfRule>
    <cfRule type="expression" dxfId="6239" priority="156">
      <formula>AND(V$9&gt;=8/24,V$9&lt;14/24)</formula>
    </cfRule>
    <cfRule type="expression" dxfId="6238" priority="157">
      <formula>V$9&lt;8/24</formula>
    </cfRule>
  </conditionalFormatting>
  <conditionalFormatting sqref="V33">
    <cfRule type="expression" dxfId="6237" priority="150">
      <formula>V$9&gt;=20/24</formula>
    </cfRule>
    <cfRule type="expression" dxfId="6236" priority="151">
      <formula>AND(V$9&gt;=14/24,V$9&lt;20/24)</formula>
    </cfRule>
    <cfRule type="expression" dxfId="6235" priority="152">
      <formula>AND(V$9&gt;=8/24,V$9&lt;14/24)</formula>
    </cfRule>
    <cfRule type="expression" dxfId="6234" priority="153">
      <formula>V$9&lt;8/24</formula>
    </cfRule>
  </conditionalFormatting>
  <conditionalFormatting sqref="V33">
    <cfRule type="expression" dxfId="6233" priority="149">
      <formula>V33&gt;$AG33</formula>
    </cfRule>
  </conditionalFormatting>
  <conditionalFormatting sqref="V49">
    <cfRule type="expression" dxfId="6232" priority="145">
      <formula>V$9&gt;=20/24</formula>
    </cfRule>
    <cfRule type="expression" dxfId="6231" priority="146">
      <formula>AND(V$9&gt;=14/24,V$9&lt;20/24)</formula>
    </cfRule>
    <cfRule type="expression" dxfId="6230" priority="147">
      <formula>AND(V$9&gt;=8/24,V$9&lt;14/24)</formula>
    </cfRule>
    <cfRule type="expression" dxfId="6229" priority="148">
      <formula>V$9&lt;8/24</formula>
    </cfRule>
  </conditionalFormatting>
  <conditionalFormatting sqref="V46:V48">
    <cfRule type="expression" dxfId="6228" priority="141">
      <formula>V$9&gt;=20/24</formula>
    </cfRule>
    <cfRule type="expression" dxfId="6227" priority="142">
      <formula>AND(V$9&gt;=14/24,V$9&lt;20/24)</formula>
    </cfRule>
    <cfRule type="expression" dxfId="6226" priority="143">
      <formula>AND(V$9&gt;=8/24,V$9&lt;14/24)</formula>
    </cfRule>
    <cfRule type="expression" dxfId="6225" priority="144">
      <formula>V$9&lt;8/24</formula>
    </cfRule>
  </conditionalFormatting>
  <conditionalFormatting sqref="V50">
    <cfRule type="expression" dxfId="6224" priority="137">
      <formula>V$9&gt;=20/24</formula>
    </cfRule>
    <cfRule type="expression" dxfId="6223" priority="138">
      <formula>AND(V$9&gt;=14/24,V$9&lt;20/24)</formula>
    </cfRule>
    <cfRule type="expression" dxfId="6222" priority="139">
      <formula>AND(V$9&gt;=8/24,V$9&lt;14/24)</formula>
    </cfRule>
    <cfRule type="expression" dxfId="6221" priority="140">
      <formula>V$9&lt;8/24</formula>
    </cfRule>
  </conditionalFormatting>
  <conditionalFormatting sqref="V46:V48">
    <cfRule type="expression" dxfId="6220" priority="133">
      <formula>V$9&gt;=20/24</formula>
    </cfRule>
    <cfRule type="expression" dxfId="6219" priority="134">
      <formula>AND(V$9&gt;=14/24,V$9&lt;20/24)</formula>
    </cfRule>
    <cfRule type="expression" dxfId="6218" priority="135">
      <formula>AND(V$9&gt;=8/24,V$9&lt;14/24)</formula>
    </cfRule>
    <cfRule type="expression" dxfId="6217" priority="136">
      <formula>V$9&lt;8/24</formula>
    </cfRule>
  </conditionalFormatting>
  <conditionalFormatting sqref="W18:W32 W36">
    <cfRule type="expression" dxfId="6216" priority="129">
      <formula>W$9&gt;=20/24</formula>
    </cfRule>
    <cfRule type="expression" dxfId="6215" priority="130">
      <formula>AND(W$9&gt;=14/24,W$9&lt;20/24)</formula>
    </cfRule>
    <cfRule type="expression" dxfId="6214" priority="131">
      <formula>AND(W$9&gt;=8/24,W$9&lt;14/24)</formula>
    </cfRule>
    <cfRule type="expression" dxfId="6213" priority="132">
      <formula>W$9&lt;8/24</formula>
    </cfRule>
  </conditionalFormatting>
  <conditionalFormatting sqref="W35">
    <cfRule type="expression" dxfId="6212" priority="125">
      <formula>W$9&gt;=20/24</formula>
    </cfRule>
    <cfRule type="expression" dxfId="6211" priority="126">
      <formula>AND(W$9&gt;=14/24,W$9&lt;20/24)</formula>
    </cfRule>
    <cfRule type="expression" dxfId="6210" priority="127">
      <formula>AND(W$9&gt;=8/24,W$9&lt;14/24)</formula>
    </cfRule>
    <cfRule type="expression" dxfId="6209" priority="128">
      <formula>W$9&lt;8/24</formula>
    </cfRule>
  </conditionalFormatting>
  <conditionalFormatting sqref="W18:W32 W34:W36">
    <cfRule type="expression" dxfId="6208" priority="124">
      <formula>W18&gt;$AG18</formula>
    </cfRule>
  </conditionalFormatting>
  <conditionalFormatting sqref="W34">
    <cfRule type="expression" dxfId="6207" priority="120">
      <formula>W$9&gt;=20/24</formula>
    </cfRule>
    <cfRule type="expression" dxfId="6206" priority="121">
      <formula>AND(W$9&gt;=14/24,W$9&lt;20/24)</formula>
    </cfRule>
    <cfRule type="expression" dxfId="6205" priority="122">
      <formula>AND(W$9&gt;=8/24,W$9&lt;14/24)</formula>
    </cfRule>
    <cfRule type="expression" dxfId="6204" priority="123">
      <formula>W$9&lt;8/24</formula>
    </cfRule>
  </conditionalFormatting>
  <conditionalFormatting sqref="W33">
    <cfRule type="expression" dxfId="6203" priority="116">
      <formula>W$9&gt;=20/24</formula>
    </cfRule>
    <cfRule type="expression" dxfId="6202" priority="117">
      <formula>AND(W$9&gt;=14/24,W$9&lt;20/24)</formula>
    </cfRule>
    <cfRule type="expression" dxfId="6201" priority="118">
      <formula>AND(W$9&gt;=8/24,W$9&lt;14/24)</formula>
    </cfRule>
    <cfRule type="expression" dxfId="6200" priority="119">
      <formula>W$9&lt;8/24</formula>
    </cfRule>
  </conditionalFormatting>
  <conditionalFormatting sqref="W33">
    <cfRule type="expression" dxfId="6199" priority="115">
      <formula>W33&gt;$AG33</formula>
    </cfRule>
  </conditionalFormatting>
  <conditionalFormatting sqref="W49">
    <cfRule type="expression" dxfId="6198" priority="111">
      <formula>W$9&gt;=20/24</formula>
    </cfRule>
    <cfRule type="expression" dxfId="6197" priority="112">
      <formula>AND(W$9&gt;=14/24,W$9&lt;20/24)</formula>
    </cfRule>
    <cfRule type="expression" dxfId="6196" priority="113">
      <formula>AND(W$9&gt;=8/24,W$9&lt;14/24)</formula>
    </cfRule>
    <cfRule type="expression" dxfId="6195" priority="114">
      <formula>W$9&lt;8/24</formula>
    </cfRule>
  </conditionalFormatting>
  <conditionalFormatting sqref="W46:W48">
    <cfRule type="expression" dxfId="6194" priority="107">
      <formula>W$9&gt;=20/24</formula>
    </cfRule>
    <cfRule type="expression" dxfId="6193" priority="108">
      <formula>AND(W$9&gt;=14/24,W$9&lt;20/24)</formula>
    </cfRule>
    <cfRule type="expression" dxfId="6192" priority="109">
      <formula>AND(W$9&gt;=8/24,W$9&lt;14/24)</formula>
    </cfRule>
    <cfRule type="expression" dxfId="6191" priority="110">
      <formula>W$9&lt;8/24</formula>
    </cfRule>
  </conditionalFormatting>
  <conditionalFormatting sqref="W50">
    <cfRule type="expression" dxfId="6190" priority="103">
      <formula>W$9&gt;=20/24</formula>
    </cfRule>
    <cfRule type="expression" dxfId="6189" priority="104">
      <formula>AND(W$9&gt;=14/24,W$9&lt;20/24)</formula>
    </cfRule>
    <cfRule type="expression" dxfId="6188" priority="105">
      <formula>AND(W$9&gt;=8/24,W$9&lt;14/24)</formula>
    </cfRule>
    <cfRule type="expression" dxfId="6187" priority="106">
      <formula>W$9&lt;8/24</formula>
    </cfRule>
  </conditionalFormatting>
  <conditionalFormatting sqref="W46:W48">
    <cfRule type="expression" dxfId="6186" priority="99">
      <formula>W$9&gt;=20/24</formula>
    </cfRule>
    <cfRule type="expression" dxfId="6185" priority="100">
      <formula>AND(W$9&gt;=14/24,W$9&lt;20/24)</formula>
    </cfRule>
    <cfRule type="expression" dxfId="6184" priority="101">
      <formula>AND(W$9&gt;=8/24,W$9&lt;14/24)</formula>
    </cfRule>
    <cfRule type="expression" dxfId="6183" priority="102">
      <formula>W$9&lt;8/24</formula>
    </cfRule>
  </conditionalFormatting>
  <conditionalFormatting sqref="X16">
    <cfRule type="expression" dxfId="6182" priority="95">
      <formula>X$9&gt;=20/24</formula>
    </cfRule>
    <cfRule type="expression" dxfId="6181" priority="96">
      <formula>AND(X$9&gt;=14/24,X$9&lt;20/24)</formula>
    </cfRule>
    <cfRule type="expression" dxfId="6180" priority="97">
      <formula>AND(X$9&gt;=8/24,X$9&lt;14/24)</formula>
    </cfRule>
    <cfRule type="expression" dxfId="6179" priority="98">
      <formula>X$9&lt;8/24</formula>
    </cfRule>
  </conditionalFormatting>
  <conditionalFormatting sqref="X17">
    <cfRule type="expression" dxfId="6178" priority="91">
      <formula>X$9&gt;=20/24</formula>
    </cfRule>
    <cfRule type="expression" dxfId="6177" priority="92">
      <formula>AND(X$9&gt;=14/24,X$9&lt;20/24)</formula>
    </cfRule>
    <cfRule type="expression" dxfId="6176" priority="93">
      <formula>AND(X$9&gt;=8/24,X$9&lt;14/24)</formula>
    </cfRule>
    <cfRule type="expression" dxfId="6175" priority="94">
      <formula>X$9&lt;8/24</formula>
    </cfRule>
  </conditionalFormatting>
  <conditionalFormatting sqref="X18:X32 X36">
    <cfRule type="expression" dxfId="6174" priority="87">
      <formula>X$9&gt;=20/24</formula>
    </cfRule>
    <cfRule type="expression" dxfId="6173" priority="88">
      <formula>AND(X$9&gt;=14/24,X$9&lt;20/24)</formula>
    </cfRule>
    <cfRule type="expression" dxfId="6172" priority="89">
      <formula>AND(X$9&gt;=8/24,X$9&lt;14/24)</formula>
    </cfRule>
    <cfRule type="expression" dxfId="6171" priority="90">
      <formula>X$9&lt;8/24</formula>
    </cfRule>
  </conditionalFormatting>
  <conditionalFormatting sqref="X35">
    <cfRule type="expression" dxfId="6170" priority="83">
      <formula>X$9&gt;=20/24</formula>
    </cfRule>
    <cfRule type="expression" dxfId="6169" priority="84">
      <formula>AND(X$9&gt;=14/24,X$9&lt;20/24)</formula>
    </cfRule>
    <cfRule type="expression" dxfId="6168" priority="85">
      <formula>AND(X$9&gt;=8/24,X$9&lt;14/24)</formula>
    </cfRule>
    <cfRule type="expression" dxfId="6167" priority="86">
      <formula>X$9&lt;8/24</formula>
    </cfRule>
  </conditionalFormatting>
  <conditionalFormatting sqref="X18:X32 X34:X36">
    <cfRule type="expression" dxfId="6166" priority="82">
      <formula>X18&gt;$AG18</formula>
    </cfRule>
  </conditionalFormatting>
  <conditionalFormatting sqref="X34">
    <cfRule type="expression" dxfId="6165" priority="78">
      <formula>X$9&gt;=20/24</formula>
    </cfRule>
    <cfRule type="expression" dxfId="6164" priority="79">
      <formula>AND(X$9&gt;=14/24,X$9&lt;20/24)</formula>
    </cfRule>
    <cfRule type="expression" dxfId="6163" priority="80">
      <formula>AND(X$9&gt;=8/24,X$9&lt;14/24)</formula>
    </cfRule>
    <cfRule type="expression" dxfId="6162" priority="81">
      <formula>X$9&lt;8/24</formula>
    </cfRule>
  </conditionalFormatting>
  <conditionalFormatting sqref="X33">
    <cfRule type="expression" dxfId="6161" priority="74">
      <formula>X$9&gt;=20/24</formula>
    </cfRule>
    <cfRule type="expression" dxfId="6160" priority="75">
      <formula>AND(X$9&gt;=14/24,X$9&lt;20/24)</formula>
    </cfRule>
    <cfRule type="expression" dxfId="6159" priority="76">
      <formula>AND(X$9&gt;=8/24,X$9&lt;14/24)</formula>
    </cfRule>
    <cfRule type="expression" dxfId="6158" priority="77">
      <formula>X$9&lt;8/24</formula>
    </cfRule>
  </conditionalFormatting>
  <conditionalFormatting sqref="X33">
    <cfRule type="expression" dxfId="6157" priority="73">
      <formula>X33&gt;$AG33</formula>
    </cfRule>
  </conditionalFormatting>
  <conditionalFormatting sqref="X49">
    <cfRule type="expression" dxfId="6156" priority="69">
      <formula>X$9&gt;=20/24</formula>
    </cfRule>
    <cfRule type="expression" dxfId="6155" priority="70">
      <formula>AND(X$9&gt;=14/24,X$9&lt;20/24)</formula>
    </cfRule>
    <cfRule type="expression" dxfId="6154" priority="71">
      <formula>AND(X$9&gt;=8/24,X$9&lt;14/24)</formula>
    </cfRule>
    <cfRule type="expression" dxfId="6153" priority="72">
      <formula>X$9&lt;8/24</formula>
    </cfRule>
  </conditionalFormatting>
  <conditionalFormatting sqref="X46:X48">
    <cfRule type="expression" dxfId="6152" priority="65">
      <formula>X$9&gt;=20/24</formula>
    </cfRule>
    <cfRule type="expression" dxfId="6151" priority="66">
      <formula>AND(X$9&gt;=14/24,X$9&lt;20/24)</formula>
    </cfRule>
    <cfRule type="expression" dxfId="6150" priority="67">
      <formula>AND(X$9&gt;=8/24,X$9&lt;14/24)</formula>
    </cfRule>
    <cfRule type="expression" dxfId="6149" priority="68">
      <formula>X$9&lt;8/24</formula>
    </cfRule>
  </conditionalFormatting>
  <conditionalFormatting sqref="X50">
    <cfRule type="expression" dxfId="6148" priority="61">
      <formula>X$9&gt;=20/24</formula>
    </cfRule>
    <cfRule type="expression" dxfId="6147" priority="62">
      <formula>AND(X$9&gt;=14/24,X$9&lt;20/24)</formula>
    </cfRule>
    <cfRule type="expression" dxfId="6146" priority="63">
      <formula>AND(X$9&gt;=8/24,X$9&lt;14/24)</formula>
    </cfRule>
    <cfRule type="expression" dxfId="6145" priority="64">
      <formula>X$9&lt;8/24</formula>
    </cfRule>
  </conditionalFormatting>
  <conditionalFormatting sqref="X46:X48">
    <cfRule type="expression" dxfId="6144" priority="57">
      <formula>X$9&gt;=20/24</formula>
    </cfRule>
    <cfRule type="expression" dxfId="6143" priority="58">
      <formula>AND(X$9&gt;=14/24,X$9&lt;20/24)</formula>
    </cfRule>
    <cfRule type="expression" dxfId="6142" priority="59">
      <formula>AND(X$9&gt;=8/24,X$9&lt;14/24)</formula>
    </cfRule>
    <cfRule type="expression" dxfId="6141" priority="60">
      <formula>X$9&lt;8/24</formula>
    </cfRule>
  </conditionalFormatting>
  <conditionalFormatting sqref="Z18:Z30 Z36">
    <cfRule type="expression" dxfId="6140" priority="53">
      <formula>Z$9&gt;=20/24</formula>
    </cfRule>
    <cfRule type="expression" dxfId="6139" priority="54">
      <formula>AND(Z$9&gt;=14/24,Z$9&lt;20/24)</formula>
    </cfRule>
    <cfRule type="expression" dxfId="6138" priority="55">
      <formula>AND(Z$9&gt;=8/24,Z$9&lt;14/24)</formula>
    </cfRule>
    <cfRule type="expression" dxfId="6137" priority="56">
      <formula>Z$9&lt;8/24</formula>
    </cfRule>
  </conditionalFormatting>
  <conditionalFormatting sqref="Z31:Z32 Z35">
    <cfRule type="expression" dxfId="6136" priority="49">
      <formula>Z$9&gt;=20/24</formula>
    </cfRule>
    <cfRule type="expression" dxfId="6135" priority="50">
      <formula>AND(Z$9&gt;=14/24,Z$9&lt;20/24)</formula>
    </cfRule>
    <cfRule type="expression" dxfId="6134" priority="51">
      <formula>AND(Z$9&gt;=8/24,Z$9&lt;14/24)</formula>
    </cfRule>
    <cfRule type="expression" dxfId="6133" priority="52">
      <formula>Z$9&lt;8/24</formula>
    </cfRule>
  </conditionalFormatting>
  <conditionalFormatting sqref="Z18:Z32 Z34:Z36">
    <cfRule type="expression" dxfId="6132" priority="48">
      <formula>Z18&gt;$AG18</formula>
    </cfRule>
  </conditionalFormatting>
  <conditionalFormatting sqref="Z34">
    <cfRule type="expression" dxfId="6131" priority="44">
      <formula>Z$9&gt;=20/24</formula>
    </cfRule>
    <cfRule type="expression" dxfId="6130" priority="45">
      <formula>AND(Z$9&gt;=14/24,Z$9&lt;20/24)</formula>
    </cfRule>
    <cfRule type="expression" dxfId="6129" priority="46">
      <formula>AND(Z$9&gt;=8/24,Z$9&lt;14/24)</formula>
    </cfRule>
    <cfRule type="expression" dxfId="6128" priority="47">
      <formula>Z$9&lt;8/24</formula>
    </cfRule>
  </conditionalFormatting>
  <conditionalFormatting sqref="Z16">
    <cfRule type="expression" dxfId="6127" priority="40">
      <formula>Z$9&gt;=20/24</formula>
    </cfRule>
    <cfRule type="expression" dxfId="6126" priority="41">
      <formula>AND(Z$9&gt;=14/24,Z$9&lt;20/24)</formula>
    </cfRule>
    <cfRule type="expression" dxfId="6125" priority="42">
      <formula>AND(Z$9&gt;=8/24,Z$9&lt;14/24)</formula>
    </cfRule>
    <cfRule type="expression" dxfId="6124" priority="43">
      <formula>Z$9&lt;8/24</formula>
    </cfRule>
  </conditionalFormatting>
  <conditionalFormatting sqref="Z17">
    <cfRule type="expression" dxfId="6123" priority="36">
      <formula>Z$9&gt;=20/24</formula>
    </cfRule>
    <cfRule type="expression" dxfId="6122" priority="37">
      <formula>AND(Z$9&gt;=14/24,Z$9&lt;20/24)</formula>
    </cfRule>
    <cfRule type="expression" dxfId="6121" priority="38">
      <formula>AND(Z$9&gt;=8/24,Z$9&lt;14/24)</formula>
    </cfRule>
    <cfRule type="expression" dxfId="6120" priority="39">
      <formula>Z$9&lt;8/24</formula>
    </cfRule>
  </conditionalFormatting>
  <conditionalFormatting sqref="Z33">
    <cfRule type="expression" dxfId="6119" priority="32">
      <formula>Z$9&gt;=20/24</formula>
    </cfRule>
    <cfRule type="expression" dxfId="6118" priority="33">
      <formula>AND(Z$9&gt;=14/24,Z$9&lt;20/24)</formula>
    </cfRule>
    <cfRule type="expression" dxfId="6117" priority="34">
      <formula>AND(Z$9&gt;=8/24,Z$9&lt;14/24)</formula>
    </cfRule>
    <cfRule type="expression" dxfId="6116" priority="35">
      <formula>Z$9&lt;8/24</formula>
    </cfRule>
  </conditionalFormatting>
  <conditionalFormatting sqref="Z33">
    <cfRule type="expression" dxfId="6115" priority="31">
      <formula>Z33&gt;$AG33</formula>
    </cfRule>
  </conditionalFormatting>
  <conditionalFormatting sqref="Z44">
    <cfRule type="expression" dxfId="6114" priority="27">
      <formula>Z$9&gt;=20/24</formula>
    </cfRule>
    <cfRule type="expression" dxfId="6113" priority="28">
      <formula>AND(Z$9&gt;=14/24,Z$9&lt;20/24)</formula>
    </cfRule>
    <cfRule type="expression" dxfId="6112" priority="29">
      <formula>AND(Z$9&gt;=8/24,Z$9&lt;14/24)</formula>
    </cfRule>
    <cfRule type="expression" dxfId="6111" priority="30">
      <formula>Z$9&lt;8/24</formula>
    </cfRule>
  </conditionalFormatting>
  <conditionalFormatting sqref="AA18:AF30 AA36:AF36">
    <cfRule type="expression" dxfId="6110" priority="23">
      <formula>AA$9&gt;=20/24</formula>
    </cfRule>
    <cfRule type="expression" dxfId="6109" priority="24">
      <formula>AND(AA$9&gt;=14/24,AA$9&lt;20/24)</formula>
    </cfRule>
    <cfRule type="expression" dxfId="6108" priority="25">
      <formula>AND(AA$9&gt;=8/24,AA$9&lt;14/24)</formula>
    </cfRule>
    <cfRule type="expression" dxfId="6107" priority="26">
      <formula>AA$9&lt;8/24</formula>
    </cfRule>
  </conditionalFormatting>
  <conditionalFormatting sqref="AA31:AF32 AA35:AF35">
    <cfRule type="expression" dxfId="6106" priority="19">
      <formula>AA$9&gt;=20/24</formula>
    </cfRule>
    <cfRule type="expression" dxfId="6105" priority="20">
      <formula>AND(AA$9&gt;=14/24,AA$9&lt;20/24)</formula>
    </cfRule>
    <cfRule type="expression" dxfId="6104" priority="21">
      <formula>AND(AA$9&gt;=8/24,AA$9&lt;14/24)</formula>
    </cfRule>
    <cfRule type="expression" dxfId="6103" priority="22">
      <formula>AA$9&lt;8/24</formula>
    </cfRule>
  </conditionalFormatting>
  <conditionalFormatting sqref="AA18:AF32 AA34:AF36">
    <cfRule type="expression" dxfId="6102" priority="18">
      <formula>AA18&gt;$AG18</formula>
    </cfRule>
  </conditionalFormatting>
  <conditionalFormatting sqref="AA34:AF34">
    <cfRule type="expression" dxfId="6101" priority="14">
      <formula>AA$9&gt;=20/24</formula>
    </cfRule>
    <cfRule type="expression" dxfId="6100" priority="15">
      <formula>AND(AA$9&gt;=14/24,AA$9&lt;20/24)</formula>
    </cfRule>
    <cfRule type="expression" dxfId="6099" priority="16">
      <formula>AND(AA$9&gt;=8/24,AA$9&lt;14/24)</formula>
    </cfRule>
    <cfRule type="expression" dxfId="6098" priority="17">
      <formula>AA$9&lt;8/24</formula>
    </cfRule>
  </conditionalFormatting>
  <conditionalFormatting sqref="AA16:AF16">
    <cfRule type="expression" dxfId="6097" priority="10">
      <formula>AA$9&gt;=20/24</formula>
    </cfRule>
    <cfRule type="expression" dxfId="6096" priority="11">
      <formula>AND(AA$9&gt;=14/24,AA$9&lt;20/24)</formula>
    </cfRule>
    <cfRule type="expression" dxfId="6095" priority="12">
      <formula>AND(AA$9&gt;=8/24,AA$9&lt;14/24)</formula>
    </cfRule>
    <cfRule type="expression" dxfId="6094" priority="13">
      <formula>AA$9&lt;8/24</formula>
    </cfRule>
  </conditionalFormatting>
  <conditionalFormatting sqref="AA17:AF17">
    <cfRule type="expression" dxfId="6093" priority="6">
      <formula>AA$9&gt;=20/24</formula>
    </cfRule>
    <cfRule type="expression" dxfId="6092" priority="7">
      <formula>AND(AA$9&gt;=14/24,AA$9&lt;20/24)</formula>
    </cfRule>
    <cfRule type="expression" dxfId="6091" priority="8">
      <formula>AND(AA$9&gt;=8/24,AA$9&lt;14/24)</formula>
    </cfRule>
    <cfRule type="expression" dxfId="6090" priority="9">
      <formula>AA$9&lt;8/24</formula>
    </cfRule>
  </conditionalFormatting>
  <conditionalFormatting sqref="AA33:AF33">
    <cfRule type="expression" dxfId="6089" priority="2">
      <formula>AA$9&gt;=20/24</formula>
    </cfRule>
    <cfRule type="expression" dxfId="6088" priority="3">
      <formula>AND(AA$9&gt;=14/24,AA$9&lt;20/24)</formula>
    </cfRule>
    <cfRule type="expression" dxfId="6087" priority="4">
      <formula>AND(AA$9&gt;=8/24,AA$9&lt;14/24)</formula>
    </cfRule>
    <cfRule type="expression" dxfId="6086" priority="5">
      <formula>AA$9&lt;8/24</formula>
    </cfRule>
  </conditionalFormatting>
  <conditionalFormatting sqref="AA33:AF33">
    <cfRule type="expression" dxfId="6085" priority="1">
      <formula>AA33&gt;$AG33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0" id="{6C83EDBD-7A66-4575-8DC3-A92AA88711C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94" sqref="M9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7.1406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2078/10/17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414</v>
      </c>
      <c r="C5" s="32">
        <f t="shared" si="0"/>
        <v>403</v>
      </c>
      <c r="D5" s="32">
        <f t="shared" si="0"/>
        <v>404.3</v>
      </c>
      <c r="E5" s="32">
        <f t="shared" si="0"/>
        <v>431</v>
      </c>
      <c r="F5" s="32">
        <f t="shared" si="0"/>
        <v>417</v>
      </c>
      <c r="G5" s="32">
        <f t="shared" si="0"/>
        <v>457</v>
      </c>
      <c r="H5" s="32">
        <f t="shared" si="0"/>
        <v>505</v>
      </c>
      <c r="I5" s="32">
        <f t="shared" si="0"/>
        <v>563</v>
      </c>
      <c r="J5" s="32">
        <f t="shared" si="0"/>
        <v>544</v>
      </c>
      <c r="K5" s="32">
        <f t="shared" si="0"/>
        <v>298</v>
      </c>
      <c r="L5" s="32">
        <f t="shared" si="0"/>
        <v>332.9</v>
      </c>
      <c r="M5" s="32">
        <f t="shared" si="0"/>
        <v>354</v>
      </c>
      <c r="N5" s="32">
        <f t="shared" si="0"/>
        <v>367.5</v>
      </c>
      <c r="O5" s="32">
        <f t="shared" si="0"/>
        <v>410.9</v>
      </c>
      <c r="P5" s="32">
        <f t="shared" si="0"/>
        <v>595.1</v>
      </c>
      <c r="Q5" s="32">
        <f t="shared" si="0"/>
        <v>578.79999999999995</v>
      </c>
      <c r="R5" s="32">
        <f t="shared" si="0"/>
        <v>578.59999999999991</v>
      </c>
      <c r="S5" s="32">
        <f t="shared" si="0"/>
        <v>599.29999999999995</v>
      </c>
      <c r="T5" s="32">
        <f t="shared" si="0"/>
        <v>620.69999999999993</v>
      </c>
      <c r="U5" s="32">
        <f t="shared" si="0"/>
        <v>551.29999999999995</v>
      </c>
      <c r="V5" s="32">
        <f t="shared" si="0"/>
        <v>467.79999999999995</v>
      </c>
      <c r="W5" s="32">
        <f t="shared" si="0"/>
        <v>341</v>
      </c>
      <c r="X5" s="32">
        <f t="shared" si="0"/>
        <v>359.3</v>
      </c>
      <c r="Y5" s="32">
        <f t="shared" si="0"/>
        <v>333.4</v>
      </c>
      <c r="Z5" s="32">
        <f t="shared" si="0"/>
        <v>404.1</v>
      </c>
      <c r="AA5" s="32">
        <f t="shared" si="0"/>
        <v>445.9</v>
      </c>
      <c r="AB5" s="32">
        <f t="shared" si="0"/>
        <v>604.9</v>
      </c>
      <c r="AC5" s="32">
        <f t="shared" si="0"/>
        <v>604.6</v>
      </c>
      <c r="AD5" s="32">
        <f t="shared" si="0"/>
        <v>506</v>
      </c>
      <c r="AE5" s="32">
        <f t="shared" si="0"/>
        <v>435.90000000000003</v>
      </c>
      <c r="AF5" s="32">
        <f>B68</f>
        <v>446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1591MW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Load=956</v>
      </c>
      <c r="B7" s="37">
        <f>B75</f>
        <v>1039.44</v>
      </c>
      <c r="C7" s="37">
        <f t="shared" ref="C7:AF7" si="1">C75</f>
        <v>977.44</v>
      </c>
      <c r="D7" s="37">
        <f t="shared" si="1"/>
        <v>956.44</v>
      </c>
      <c r="E7" s="37">
        <f t="shared" si="1"/>
        <v>957.74</v>
      </c>
      <c r="F7" s="37">
        <f t="shared" si="1"/>
        <v>984.44</v>
      </c>
      <c r="G7" s="37">
        <f t="shared" si="1"/>
        <v>1002.24</v>
      </c>
      <c r="H7" s="37">
        <f t="shared" si="1"/>
        <v>1065.94</v>
      </c>
      <c r="I7" s="37">
        <f t="shared" si="1"/>
        <v>1139.44</v>
      </c>
      <c r="J7" s="37">
        <f t="shared" si="1"/>
        <v>1246.94</v>
      </c>
      <c r="K7" s="37">
        <f t="shared" si="1"/>
        <v>1375.44</v>
      </c>
      <c r="L7" s="37">
        <f t="shared" si="1"/>
        <v>1506.24</v>
      </c>
      <c r="M7" s="37">
        <f t="shared" si="1"/>
        <v>1590.54</v>
      </c>
      <c r="N7" s="37">
        <f t="shared" si="1"/>
        <v>1540.64</v>
      </c>
      <c r="O7" s="37">
        <f t="shared" si="1"/>
        <v>1457.44</v>
      </c>
      <c r="P7" s="37">
        <f t="shared" si="1"/>
        <v>1374.8400000000001</v>
      </c>
      <c r="Q7" s="37">
        <f t="shared" si="1"/>
        <v>1344.54</v>
      </c>
      <c r="R7" s="37">
        <f t="shared" si="1"/>
        <v>1229.54</v>
      </c>
      <c r="S7" s="37">
        <f t="shared" si="1"/>
        <v>1264.54</v>
      </c>
      <c r="T7" s="37">
        <f t="shared" si="1"/>
        <v>1266.44</v>
      </c>
      <c r="U7" s="37">
        <f t="shared" si="1"/>
        <v>1309.04</v>
      </c>
      <c r="V7" s="37">
        <f t="shared" si="1"/>
        <v>1347.24</v>
      </c>
      <c r="W7" s="37">
        <f t="shared" si="1"/>
        <v>1418.04</v>
      </c>
      <c r="X7" s="37">
        <f t="shared" si="1"/>
        <v>1546.3400000000001</v>
      </c>
      <c r="Y7" s="37">
        <f t="shared" si="1"/>
        <v>1652.44</v>
      </c>
      <c r="Z7" s="37">
        <f t="shared" si="1"/>
        <v>1626.5400000000002</v>
      </c>
      <c r="AA7" s="37">
        <f t="shared" si="1"/>
        <v>1530.24</v>
      </c>
      <c r="AB7" s="37">
        <f t="shared" si="1"/>
        <v>1503.1399999999999</v>
      </c>
      <c r="AC7" s="37">
        <f t="shared" si="1"/>
        <v>1448.74</v>
      </c>
      <c r="AD7" s="37">
        <f t="shared" si="1"/>
        <v>1402.94</v>
      </c>
      <c r="AE7" s="37">
        <f t="shared" si="1"/>
        <v>1176.44</v>
      </c>
      <c r="AF7" s="37">
        <f t="shared" si="1"/>
        <v>1044.04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</v>
      </c>
      <c r="C11" s="49">
        <v>25</v>
      </c>
      <c r="D11" s="49">
        <v>15</v>
      </c>
      <c r="E11" s="49">
        <v>15</v>
      </c>
      <c r="F11" s="49">
        <v>15</v>
      </c>
      <c r="G11" s="49">
        <v>15</v>
      </c>
      <c r="H11" s="49">
        <v>15</v>
      </c>
      <c r="I11" s="49">
        <v>15</v>
      </c>
      <c r="J11" s="49">
        <v>15</v>
      </c>
      <c r="K11" s="49">
        <v>45</v>
      </c>
      <c r="L11" s="49">
        <v>365</v>
      </c>
      <c r="M11" s="50">
        <v>395</v>
      </c>
      <c r="N11" s="50">
        <v>350</v>
      </c>
      <c r="O11" s="50">
        <v>280</v>
      </c>
      <c r="P11" s="50">
        <v>150</v>
      </c>
      <c r="Q11" s="50">
        <v>10</v>
      </c>
      <c r="R11" s="177">
        <v>10</v>
      </c>
      <c r="S11" s="177">
        <v>10.199999999999999</v>
      </c>
      <c r="T11" s="177">
        <v>9.9</v>
      </c>
      <c r="U11" s="177">
        <v>10</v>
      </c>
      <c r="V11" s="50">
        <v>75</v>
      </c>
      <c r="W11" s="50">
        <v>70</v>
      </c>
      <c r="X11" s="50">
        <v>305</v>
      </c>
      <c r="Y11" s="50">
        <v>380</v>
      </c>
      <c r="Z11" s="50">
        <v>380</v>
      </c>
      <c r="AA11" s="50">
        <v>215</v>
      </c>
      <c r="AB11" s="50">
        <v>150</v>
      </c>
      <c r="AC11" s="50">
        <v>15</v>
      </c>
      <c r="AD11" s="50">
        <v>15</v>
      </c>
      <c r="AE11" s="50">
        <v>15</v>
      </c>
      <c r="AF11" s="50">
        <v>15</v>
      </c>
      <c r="AG11" s="52">
        <v>456</v>
      </c>
      <c r="AH11" s="53">
        <f>MAX(B11:AF11)</f>
        <v>395</v>
      </c>
      <c r="AI11" s="54">
        <f>MIN(B11:AF11)</f>
        <v>9.9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49">
        <v>36</v>
      </c>
      <c r="T12" s="49">
        <v>36</v>
      </c>
      <c r="U12" s="49">
        <v>36</v>
      </c>
      <c r="V12" s="49">
        <v>36</v>
      </c>
      <c r="W12" s="49">
        <v>36</v>
      </c>
      <c r="X12" s="49">
        <v>36</v>
      </c>
      <c r="Y12" s="49">
        <v>36</v>
      </c>
      <c r="Z12" s="50">
        <v>36</v>
      </c>
      <c r="AA12" s="50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21</v>
      </c>
      <c r="C13" s="49">
        <v>21</v>
      </c>
      <c r="D13" s="49">
        <v>21</v>
      </c>
      <c r="E13" s="49">
        <v>21</v>
      </c>
      <c r="F13" s="49">
        <v>21</v>
      </c>
      <c r="G13" s="49">
        <v>21</v>
      </c>
      <c r="H13" s="49">
        <v>21</v>
      </c>
      <c r="I13" s="49">
        <v>21</v>
      </c>
      <c r="J13" s="49">
        <v>21</v>
      </c>
      <c r="K13" s="49">
        <v>21</v>
      </c>
      <c r="L13" s="49">
        <v>21</v>
      </c>
      <c r="M13" s="49">
        <v>21</v>
      </c>
      <c r="N13" s="49">
        <v>20</v>
      </c>
      <c r="O13" s="49">
        <v>20</v>
      </c>
      <c r="P13" s="49">
        <v>20.2</v>
      </c>
      <c r="Q13" s="49">
        <v>21.5</v>
      </c>
      <c r="R13" s="49">
        <v>21.5</v>
      </c>
      <c r="S13" s="49">
        <v>20</v>
      </c>
      <c r="T13" s="49">
        <v>20</v>
      </c>
      <c r="U13" s="49">
        <v>19</v>
      </c>
      <c r="V13" s="49">
        <v>19</v>
      </c>
      <c r="W13" s="49">
        <v>19</v>
      </c>
      <c r="X13" s="49">
        <v>19</v>
      </c>
      <c r="Y13" s="49">
        <v>19</v>
      </c>
      <c r="Z13" s="50">
        <v>19</v>
      </c>
      <c r="AA13" s="50">
        <v>19</v>
      </c>
      <c r="AB13" s="50">
        <v>19</v>
      </c>
      <c r="AC13" s="50">
        <v>19</v>
      </c>
      <c r="AD13" s="50">
        <v>19</v>
      </c>
      <c r="AE13" s="50">
        <v>19</v>
      </c>
      <c r="AF13" s="50">
        <v>19</v>
      </c>
      <c r="AG13" s="58">
        <v>52.4</v>
      </c>
      <c r="AH13" s="53">
        <f t="shared" si="2"/>
        <v>21.5</v>
      </c>
      <c r="AI13" s="54">
        <f t="shared" si="3"/>
        <v>19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37.9</v>
      </c>
      <c r="C14" s="49">
        <v>37.9</v>
      </c>
      <c r="D14" s="49">
        <v>37.9</v>
      </c>
      <c r="E14" s="49">
        <v>37.9</v>
      </c>
      <c r="F14" s="49">
        <v>37.9</v>
      </c>
      <c r="G14" s="49">
        <v>37.9</v>
      </c>
      <c r="H14" s="49">
        <v>37.9</v>
      </c>
      <c r="I14" s="49">
        <v>37.9</v>
      </c>
      <c r="J14" s="49">
        <v>37.9</v>
      </c>
      <c r="K14" s="49">
        <v>37.9</v>
      </c>
      <c r="L14" s="49">
        <v>37.9</v>
      </c>
      <c r="M14" s="50">
        <v>38.4</v>
      </c>
      <c r="N14" s="50">
        <v>38.200000000000003</v>
      </c>
      <c r="O14" s="50">
        <v>38.200000000000003</v>
      </c>
      <c r="P14" s="50">
        <v>37.4</v>
      </c>
      <c r="Q14" s="50">
        <v>36.9</v>
      </c>
      <c r="R14" s="50">
        <v>36.9</v>
      </c>
      <c r="S14" s="50">
        <v>37.4</v>
      </c>
      <c r="T14" s="50">
        <v>36.6</v>
      </c>
      <c r="U14" s="50">
        <v>36.799999999999997</v>
      </c>
      <c r="V14" s="50">
        <v>36.799999999999997</v>
      </c>
      <c r="W14" s="50">
        <v>36.799999999999997</v>
      </c>
      <c r="X14" s="50">
        <v>36.799999999999997</v>
      </c>
      <c r="Y14" s="50">
        <v>36.799999999999997</v>
      </c>
      <c r="Z14" s="50">
        <v>36.799999999999997</v>
      </c>
      <c r="AA14" s="50">
        <v>36.799999999999997</v>
      </c>
      <c r="AB14" s="50">
        <v>36.799999999999997</v>
      </c>
      <c r="AC14" s="50">
        <v>36.799999999999997</v>
      </c>
      <c r="AD14" s="50">
        <v>36.799999999999997</v>
      </c>
      <c r="AE14" s="50">
        <v>36.799999999999997</v>
      </c>
      <c r="AF14" s="50">
        <v>36.799999999999997</v>
      </c>
      <c r="AG14" s="58">
        <v>50</v>
      </c>
      <c r="AH14" s="53">
        <f t="shared" si="2"/>
        <v>38.4</v>
      </c>
      <c r="AI14" s="54">
        <f t="shared" si="3"/>
        <v>36.6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23.3</v>
      </c>
      <c r="C15" s="60">
        <v>23.3</v>
      </c>
      <c r="D15" s="60">
        <v>23.3</v>
      </c>
      <c r="E15" s="60">
        <v>23.3</v>
      </c>
      <c r="F15" s="60">
        <v>23.3</v>
      </c>
      <c r="G15" s="60">
        <v>23.3</v>
      </c>
      <c r="H15" s="60">
        <v>23.3</v>
      </c>
      <c r="I15" s="60">
        <v>23.3</v>
      </c>
      <c r="J15" s="60">
        <v>23.3</v>
      </c>
      <c r="K15" s="60">
        <v>23.3</v>
      </c>
      <c r="L15" s="60">
        <v>23.3</v>
      </c>
      <c r="M15" s="50">
        <v>21.6</v>
      </c>
      <c r="N15" s="50">
        <v>21</v>
      </c>
      <c r="O15" s="50">
        <v>21</v>
      </c>
      <c r="P15" s="50">
        <v>21</v>
      </c>
      <c r="Q15" s="50">
        <v>21.4</v>
      </c>
      <c r="R15" s="50">
        <v>21.4</v>
      </c>
      <c r="S15" s="50">
        <v>21.4</v>
      </c>
      <c r="T15" s="50">
        <v>22.3</v>
      </c>
      <c r="U15" s="50">
        <v>22.2</v>
      </c>
      <c r="V15" s="50">
        <v>22.2</v>
      </c>
      <c r="W15" s="50">
        <v>22.2</v>
      </c>
      <c r="X15" s="50">
        <v>22.2</v>
      </c>
      <c r="Y15" s="50">
        <v>22.2</v>
      </c>
      <c r="Z15" s="50">
        <v>22.2</v>
      </c>
      <c r="AA15" s="50">
        <v>22.2</v>
      </c>
      <c r="AB15" s="50">
        <v>22.2</v>
      </c>
      <c r="AC15" s="50">
        <v>22.2</v>
      </c>
      <c r="AD15" s="50">
        <v>22.2</v>
      </c>
      <c r="AE15" s="50">
        <v>22.2</v>
      </c>
      <c r="AF15" s="50">
        <v>22.2</v>
      </c>
      <c r="AG15" s="61">
        <v>45</v>
      </c>
      <c r="AH15" s="53">
        <f t="shared" si="2"/>
        <v>23.3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49">
        <v>10</v>
      </c>
      <c r="N16" s="49">
        <v>10</v>
      </c>
      <c r="O16" s="49">
        <v>10</v>
      </c>
      <c r="P16" s="49">
        <v>10</v>
      </c>
      <c r="Q16" s="49">
        <v>10</v>
      </c>
      <c r="R16" s="49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49">
        <v>9</v>
      </c>
      <c r="N17" s="49">
        <v>9</v>
      </c>
      <c r="O17" s="49">
        <v>9</v>
      </c>
      <c r="P17" s="49">
        <v>9</v>
      </c>
      <c r="Q17" s="49">
        <v>9</v>
      </c>
      <c r="R17" s="4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49">
        <v>8.1</v>
      </c>
      <c r="N18" s="49">
        <v>8.1</v>
      </c>
      <c r="O18" s="49">
        <v>8.1</v>
      </c>
      <c r="P18" s="49">
        <v>8.1</v>
      </c>
      <c r="Q18" s="49">
        <v>8.1</v>
      </c>
      <c r="R18" s="49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9.5</v>
      </c>
      <c r="C19" s="49">
        <v>9.5</v>
      </c>
      <c r="D19" s="49">
        <v>9.5</v>
      </c>
      <c r="E19" s="49">
        <v>9.5</v>
      </c>
      <c r="F19" s="49">
        <v>9.5</v>
      </c>
      <c r="G19" s="49">
        <v>9.5</v>
      </c>
      <c r="H19" s="49">
        <v>9.5</v>
      </c>
      <c r="I19" s="49">
        <v>9.5</v>
      </c>
      <c r="J19" s="49">
        <v>9.5</v>
      </c>
      <c r="K19" s="49">
        <v>9.5</v>
      </c>
      <c r="L19" s="49">
        <v>9.5</v>
      </c>
      <c r="M19" s="49">
        <v>9.5</v>
      </c>
      <c r="N19" s="49">
        <v>9.5</v>
      </c>
      <c r="O19" s="49">
        <v>9.5</v>
      </c>
      <c r="P19" s="49">
        <v>9.5</v>
      </c>
      <c r="Q19" s="49">
        <v>9.5</v>
      </c>
      <c r="R19" s="49">
        <v>9.5</v>
      </c>
      <c r="S19" s="50">
        <v>9.5</v>
      </c>
      <c r="T19" s="50">
        <v>9.5</v>
      </c>
      <c r="U19" s="50">
        <v>9.5</v>
      </c>
      <c r="V19" s="50">
        <v>9.5</v>
      </c>
      <c r="W19" s="50">
        <v>9.5</v>
      </c>
      <c r="X19" s="50">
        <v>9.5</v>
      </c>
      <c r="Y19" s="50">
        <v>9.5</v>
      </c>
      <c r="Z19" s="50">
        <v>9.5</v>
      </c>
      <c r="AA19" s="50">
        <v>9.5</v>
      </c>
      <c r="AB19" s="50">
        <v>9.5</v>
      </c>
      <c r="AC19" s="50">
        <v>9.5</v>
      </c>
      <c r="AD19" s="50">
        <v>9.5</v>
      </c>
      <c r="AE19" s="50">
        <v>9.5</v>
      </c>
      <c r="AF19" s="50">
        <v>9.5</v>
      </c>
      <c r="AG19" s="58">
        <v>30</v>
      </c>
      <c r="AH19" s="53">
        <f t="shared" si="2"/>
        <v>9.5</v>
      </c>
      <c r="AI19" s="54">
        <f t="shared" si="3"/>
        <v>9.5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19.3</v>
      </c>
      <c r="C22" s="49">
        <v>19.3</v>
      </c>
      <c r="D22" s="49">
        <v>19.3</v>
      </c>
      <c r="E22" s="49">
        <v>19.3</v>
      </c>
      <c r="F22" s="49">
        <v>19.3</v>
      </c>
      <c r="G22" s="49">
        <v>19.3</v>
      </c>
      <c r="H22" s="49">
        <v>19.3</v>
      </c>
      <c r="I22" s="49">
        <v>19.3</v>
      </c>
      <c r="J22" s="49">
        <v>19.3</v>
      </c>
      <c r="K22" s="49">
        <v>19.3</v>
      </c>
      <c r="L22" s="49">
        <v>19.3</v>
      </c>
      <c r="M22" s="49">
        <v>19.3</v>
      </c>
      <c r="N22" s="49">
        <v>11.8</v>
      </c>
      <c r="O22" s="49">
        <v>11.8</v>
      </c>
      <c r="P22" s="49">
        <v>11.8</v>
      </c>
      <c r="Q22" s="49">
        <v>12.2</v>
      </c>
      <c r="R22" s="49">
        <v>12.2</v>
      </c>
      <c r="S22" s="50">
        <v>12.2</v>
      </c>
      <c r="T22" s="50">
        <v>12.2</v>
      </c>
      <c r="U22" s="50">
        <v>12.2</v>
      </c>
      <c r="V22" s="50">
        <v>12.2</v>
      </c>
      <c r="W22" s="50">
        <v>12.2</v>
      </c>
      <c r="X22" s="50">
        <v>12.2</v>
      </c>
      <c r="Y22" s="50">
        <v>12.2</v>
      </c>
      <c r="Z22" s="50">
        <v>12.2</v>
      </c>
      <c r="AA22" s="50">
        <v>12.2</v>
      </c>
      <c r="AB22" s="50">
        <v>12.2</v>
      </c>
      <c r="AC22" s="50">
        <v>12.2</v>
      </c>
      <c r="AD22" s="50">
        <v>12.2</v>
      </c>
      <c r="AE22" s="50">
        <v>12.2</v>
      </c>
      <c r="AF22" s="50">
        <v>12.2</v>
      </c>
      <c r="AG22" s="58">
        <v>25</v>
      </c>
      <c r="AH22" s="53">
        <f t="shared" si="2"/>
        <v>19.3</v>
      </c>
      <c r="AI22" s="54">
        <f t="shared" si="3"/>
        <v>11.8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49">
        <v>8</v>
      </c>
      <c r="N23" s="49">
        <v>8</v>
      </c>
      <c r="O23" s="49">
        <v>8</v>
      </c>
      <c r="P23" s="49">
        <v>8</v>
      </c>
      <c r="Q23" s="49">
        <v>8</v>
      </c>
      <c r="R23" s="49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7</v>
      </c>
      <c r="C24" s="49">
        <v>7</v>
      </c>
      <c r="D24" s="49">
        <v>7</v>
      </c>
      <c r="E24" s="49">
        <v>7</v>
      </c>
      <c r="F24" s="49">
        <v>7</v>
      </c>
      <c r="G24" s="49">
        <v>7</v>
      </c>
      <c r="H24" s="49">
        <v>7</v>
      </c>
      <c r="I24" s="49">
        <v>7</v>
      </c>
      <c r="J24" s="49">
        <v>7</v>
      </c>
      <c r="K24" s="49">
        <v>7</v>
      </c>
      <c r="L24" s="49">
        <v>7</v>
      </c>
      <c r="M24" s="49">
        <v>7</v>
      </c>
      <c r="N24" s="49">
        <v>7</v>
      </c>
      <c r="O24" s="49">
        <v>7</v>
      </c>
      <c r="P24" s="49">
        <v>7</v>
      </c>
      <c r="Q24" s="49">
        <v>7</v>
      </c>
      <c r="R24" s="49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8">
        <v>25</v>
      </c>
      <c r="AH24" s="53">
        <f t="shared" si="2"/>
        <v>7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6.5</v>
      </c>
      <c r="E26" s="49">
        <v>6.5</v>
      </c>
      <c r="F26" s="49">
        <v>6.5</v>
      </c>
      <c r="G26" s="49">
        <v>6.5</v>
      </c>
      <c r="H26" s="49">
        <v>6.5</v>
      </c>
      <c r="I26" s="49">
        <v>6.5</v>
      </c>
      <c r="J26" s="49">
        <v>6.5</v>
      </c>
      <c r="K26" s="49">
        <v>6.5</v>
      </c>
      <c r="L26" s="49">
        <v>6.5</v>
      </c>
      <c r="M26" s="49">
        <v>6.5</v>
      </c>
      <c r="N26" s="49">
        <v>6.5</v>
      </c>
      <c r="O26" s="49">
        <v>6.5</v>
      </c>
      <c r="P26" s="49">
        <v>6.5</v>
      </c>
      <c r="Q26" s="49">
        <v>6.5</v>
      </c>
      <c r="R26" s="49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49">
        <v>4</v>
      </c>
      <c r="N29" s="49">
        <v>4</v>
      </c>
      <c r="O29" s="49">
        <v>4</v>
      </c>
      <c r="P29" s="49">
        <v>4</v>
      </c>
      <c r="Q29" s="49">
        <v>4</v>
      </c>
      <c r="R29" s="49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60">
        <v>6</v>
      </c>
      <c r="N31" s="60">
        <v>6</v>
      </c>
      <c r="O31" s="60">
        <v>6</v>
      </c>
      <c r="P31" s="60">
        <v>6</v>
      </c>
      <c r="Q31" s="60">
        <v>6</v>
      </c>
      <c r="R31" s="6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60">
        <v>5</v>
      </c>
      <c r="N33" s="60">
        <v>5</v>
      </c>
      <c r="O33" s="60">
        <v>5</v>
      </c>
      <c r="P33" s="60">
        <v>5</v>
      </c>
      <c r="Q33" s="60">
        <v>5</v>
      </c>
      <c r="R33" s="6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60">
        <v>4.2</v>
      </c>
      <c r="N34" s="60">
        <v>4.2</v>
      </c>
      <c r="O34" s="60">
        <v>4.2</v>
      </c>
      <c r="P34" s="60">
        <v>4.2</v>
      </c>
      <c r="Q34" s="60">
        <v>4.2</v>
      </c>
      <c r="R34" s="6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50">
        <v>160</v>
      </c>
      <c r="AA36" s="5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49</v>
      </c>
      <c r="C37" s="60">
        <v>49</v>
      </c>
      <c r="D37" s="60">
        <v>49</v>
      </c>
      <c r="E37" s="60">
        <v>47.5</v>
      </c>
      <c r="F37" s="60">
        <v>46.3</v>
      </c>
      <c r="G37" s="60">
        <v>46.3</v>
      </c>
      <c r="H37" s="60">
        <v>46</v>
      </c>
      <c r="I37" s="60">
        <v>45.7</v>
      </c>
      <c r="J37" s="60">
        <v>44.7</v>
      </c>
      <c r="K37" s="60">
        <v>44.9</v>
      </c>
      <c r="L37" s="60">
        <v>44.1</v>
      </c>
      <c r="M37" s="69">
        <f>28.3+15.1</f>
        <v>43.4</v>
      </c>
      <c r="N37" s="69">
        <f>28.6+15.2</f>
        <v>43.8</v>
      </c>
      <c r="O37" s="69">
        <f>29.4+15.5</f>
        <v>44.9</v>
      </c>
      <c r="P37" s="69">
        <f>29.8+15.9</f>
        <v>45.7</v>
      </c>
      <c r="Q37" s="69">
        <f>30.4+16.2</f>
        <v>46.599999999999994</v>
      </c>
      <c r="R37" s="69">
        <f>30.1+16</f>
        <v>46.1</v>
      </c>
      <c r="S37" s="69">
        <f>15.1+29.2</f>
        <v>44.3</v>
      </c>
      <c r="T37" s="69">
        <f>14.7+28.6</f>
        <v>43.3</v>
      </c>
      <c r="U37" s="69">
        <f>15.7+29.4</f>
        <v>45.099999999999994</v>
      </c>
      <c r="V37" s="69">
        <v>44</v>
      </c>
      <c r="W37" s="69">
        <f>14.9+27.6</f>
        <v>42.5</v>
      </c>
      <c r="X37" s="69">
        <f>14.5+26.6</f>
        <v>41.1</v>
      </c>
      <c r="Y37" s="69">
        <f>17.2+31.6</f>
        <v>48.8</v>
      </c>
      <c r="Z37" s="50">
        <f>17.2+31.6</f>
        <v>48.8</v>
      </c>
      <c r="AA37" s="50">
        <f>17.2+31.6</f>
        <v>48.8</v>
      </c>
      <c r="AB37" s="69">
        <v>42</v>
      </c>
      <c r="AC37" s="69">
        <v>34.1</v>
      </c>
      <c r="AD37" s="69">
        <v>42.8</v>
      </c>
      <c r="AE37" s="69">
        <v>44</v>
      </c>
      <c r="AF37" s="69">
        <v>46</v>
      </c>
      <c r="AG37" s="66">
        <v>240</v>
      </c>
      <c r="AH37" s="53">
        <f t="shared" si="2"/>
        <v>49</v>
      </c>
      <c r="AI37" s="54">
        <f t="shared" si="3"/>
        <v>34.1</v>
      </c>
      <c r="AK37" s="55"/>
    </row>
    <row r="38" spans="1:88" ht="15.75" thickBot="1" x14ac:dyDescent="0.3">
      <c r="A38" s="70" t="s">
        <v>46</v>
      </c>
      <c r="B38" s="71">
        <f>SUM(B11:B36)</f>
        <v>454</v>
      </c>
      <c r="C38" s="71">
        <f t="shared" ref="C38:AF38" si="4">SUM(C11:C36)</f>
        <v>439</v>
      </c>
      <c r="D38" s="71">
        <f t="shared" si="4"/>
        <v>429</v>
      </c>
      <c r="E38" s="71">
        <f t="shared" si="4"/>
        <v>429</v>
      </c>
      <c r="F38" s="71">
        <f t="shared" si="4"/>
        <v>429</v>
      </c>
      <c r="G38" s="71">
        <f t="shared" si="4"/>
        <v>429</v>
      </c>
      <c r="H38" s="71">
        <f t="shared" si="4"/>
        <v>429</v>
      </c>
      <c r="I38" s="71">
        <f t="shared" si="4"/>
        <v>429</v>
      </c>
      <c r="J38" s="71">
        <f t="shared" si="4"/>
        <v>429</v>
      </c>
      <c r="K38" s="71">
        <f t="shared" si="4"/>
        <v>459</v>
      </c>
      <c r="L38" s="71">
        <f t="shared" si="4"/>
        <v>779</v>
      </c>
      <c r="M38" s="71">
        <f t="shared" si="4"/>
        <v>807.80000000000007</v>
      </c>
      <c r="N38" s="71">
        <f t="shared" si="4"/>
        <v>753.5</v>
      </c>
      <c r="O38" s="71">
        <f t="shared" si="4"/>
        <v>683.5</v>
      </c>
      <c r="P38" s="71">
        <f t="shared" si="4"/>
        <v>552.90000000000009</v>
      </c>
      <c r="Q38" s="71">
        <f t="shared" si="4"/>
        <v>414.5</v>
      </c>
      <c r="R38" s="71">
        <f t="shared" si="4"/>
        <v>414.5</v>
      </c>
      <c r="S38" s="71">
        <f t="shared" si="4"/>
        <v>413.69999999999993</v>
      </c>
      <c r="T38" s="71">
        <f t="shared" si="4"/>
        <v>413.5</v>
      </c>
      <c r="U38" s="71">
        <f t="shared" si="4"/>
        <v>412.69999999999993</v>
      </c>
      <c r="V38" s="71">
        <f t="shared" si="4"/>
        <v>477.7</v>
      </c>
      <c r="W38" s="71">
        <f t="shared" si="4"/>
        <v>472.7</v>
      </c>
      <c r="X38" s="71">
        <f t="shared" si="4"/>
        <v>707.7</v>
      </c>
      <c r="Y38" s="71">
        <f t="shared" si="4"/>
        <v>782.70000000000016</v>
      </c>
      <c r="Z38" s="71">
        <f t="shared" si="4"/>
        <v>782.70000000000016</v>
      </c>
      <c r="AA38" s="71">
        <f t="shared" si="4"/>
        <v>617.70000000000005</v>
      </c>
      <c r="AB38" s="71">
        <f t="shared" si="4"/>
        <v>552.70000000000005</v>
      </c>
      <c r="AC38" s="71">
        <f t="shared" si="4"/>
        <v>417.7</v>
      </c>
      <c r="AD38" s="71">
        <f t="shared" si="4"/>
        <v>417.7</v>
      </c>
      <c r="AE38" s="71">
        <f t="shared" si="4"/>
        <v>417.7</v>
      </c>
      <c r="AF38" s="71">
        <f t="shared" si="4"/>
        <v>417.7</v>
      </c>
      <c r="AG38" s="66">
        <f>SUM(AG11:AG37)</f>
        <v>1492.8299999999997</v>
      </c>
      <c r="AH38" s="53">
        <f t="shared" si="2"/>
        <v>807.80000000000007</v>
      </c>
      <c r="AI38" s="54">
        <f t="shared" si="3"/>
        <v>412.69999999999993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</v>
      </c>
      <c r="I39" s="60">
        <v>30</v>
      </c>
      <c r="J39" s="60">
        <v>70</v>
      </c>
      <c r="K39" s="60">
        <v>120</v>
      </c>
      <c r="L39" s="60">
        <v>146</v>
      </c>
      <c r="M39" s="50">
        <v>146</v>
      </c>
      <c r="N39" s="50">
        <v>102.6</v>
      </c>
      <c r="O39" s="50">
        <v>97.3</v>
      </c>
      <c r="P39" s="50">
        <v>97.3</v>
      </c>
      <c r="Q39" s="50">
        <v>66</v>
      </c>
      <c r="R39" s="50">
        <v>60.1</v>
      </c>
      <c r="S39" s="50">
        <v>76.099999999999994</v>
      </c>
      <c r="T39" s="50">
        <v>83.7</v>
      </c>
      <c r="U39" s="50">
        <v>83.1</v>
      </c>
      <c r="V39" s="50">
        <v>94.4</v>
      </c>
      <c r="W39" s="50">
        <v>145.80000000000001</v>
      </c>
      <c r="X39" s="50">
        <v>145.30000000000001</v>
      </c>
      <c r="Y39" s="50">
        <v>145.5</v>
      </c>
      <c r="Z39" s="50">
        <v>145.5</v>
      </c>
      <c r="AA39" s="50">
        <v>144.80000000000001</v>
      </c>
      <c r="AB39" s="50">
        <v>144.19999999999999</v>
      </c>
      <c r="AC39" s="50">
        <v>131.69999999999999</v>
      </c>
      <c r="AD39" s="50">
        <v>100</v>
      </c>
      <c r="AE39" s="50">
        <v>61.3</v>
      </c>
      <c r="AF39" s="49">
        <v>30.3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19.5</v>
      </c>
      <c r="H40" s="60">
        <v>19.5</v>
      </c>
      <c r="I40" s="60">
        <v>40</v>
      </c>
      <c r="J40" s="60">
        <v>40</v>
      </c>
      <c r="K40" s="60">
        <v>60</v>
      </c>
      <c r="L40" s="60">
        <v>70.5</v>
      </c>
      <c r="M40" s="72">
        <v>69.8</v>
      </c>
      <c r="N40" s="72">
        <v>59.7</v>
      </c>
      <c r="O40" s="72">
        <v>49.3</v>
      </c>
      <c r="P40" s="72">
        <v>49.9</v>
      </c>
      <c r="Q40" s="72">
        <v>30.5</v>
      </c>
      <c r="R40" s="72">
        <v>34.799999999999997</v>
      </c>
      <c r="S40" s="72">
        <v>34.799999999999997</v>
      </c>
      <c r="T40" s="72">
        <v>34.799999999999997</v>
      </c>
      <c r="U40" s="72">
        <v>51.7</v>
      </c>
      <c r="V40" s="72">
        <v>60</v>
      </c>
      <c r="W40" s="72">
        <v>69.7</v>
      </c>
      <c r="X40" s="72">
        <v>70</v>
      </c>
      <c r="Y40" s="72">
        <v>71</v>
      </c>
      <c r="Z40" s="50">
        <v>71</v>
      </c>
      <c r="AA40" s="50">
        <v>70.5</v>
      </c>
      <c r="AB40" s="72">
        <v>69.7</v>
      </c>
      <c r="AC40" s="72">
        <v>60</v>
      </c>
      <c r="AD40" s="72">
        <v>49.2</v>
      </c>
      <c r="AE40" s="72">
        <v>21.8</v>
      </c>
      <c r="AF40" s="60">
        <v>21.9</v>
      </c>
      <c r="AG40" s="66">
        <v>70</v>
      </c>
      <c r="AH40" s="53">
        <f t="shared" si="2"/>
        <v>71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36</v>
      </c>
      <c r="C41" s="60">
        <v>21</v>
      </c>
      <c r="D41" s="60">
        <v>21</v>
      </c>
      <c r="E41" s="60">
        <v>21</v>
      </c>
      <c r="F41" s="60">
        <v>21</v>
      </c>
      <c r="G41" s="60">
        <v>23.3</v>
      </c>
      <c r="H41" s="60">
        <v>17</v>
      </c>
      <c r="I41" s="60">
        <v>17</v>
      </c>
      <c r="J41" s="60">
        <v>16.5</v>
      </c>
      <c r="K41" s="60">
        <v>59</v>
      </c>
      <c r="L41" s="60">
        <v>67</v>
      </c>
      <c r="M41" s="72">
        <v>66.599999999999994</v>
      </c>
      <c r="N41" s="72">
        <v>54.8</v>
      </c>
      <c r="O41" s="72">
        <v>45.5</v>
      </c>
      <c r="P41" s="72">
        <v>32.1</v>
      </c>
      <c r="Q41" s="72">
        <v>32.4</v>
      </c>
      <c r="R41" s="72">
        <v>22.6</v>
      </c>
      <c r="S41" s="72">
        <v>22.8</v>
      </c>
      <c r="T41" s="72">
        <v>36.799999999999997</v>
      </c>
      <c r="U41" s="72">
        <v>42.5</v>
      </c>
      <c r="V41" s="72">
        <v>55.5</v>
      </c>
      <c r="W41" s="72">
        <v>56.9</v>
      </c>
      <c r="X41" s="72">
        <v>69.400000000000006</v>
      </c>
      <c r="Y41" s="72">
        <v>67.599999999999994</v>
      </c>
      <c r="Z41" s="50">
        <v>67.599999999999994</v>
      </c>
      <c r="AA41" s="50">
        <v>66.599999999999994</v>
      </c>
      <c r="AB41" s="72">
        <v>66.8</v>
      </c>
      <c r="AC41" s="72">
        <v>49.4</v>
      </c>
      <c r="AD41" s="72">
        <v>55.4</v>
      </c>
      <c r="AE41" s="72">
        <v>40.5</v>
      </c>
      <c r="AF41" s="60">
        <v>35.9</v>
      </c>
      <c r="AG41" s="66">
        <v>69</v>
      </c>
      <c r="AH41" s="53">
        <f t="shared" si="2"/>
        <v>69.400000000000006</v>
      </c>
      <c r="AI41" s="54">
        <f t="shared" si="3"/>
        <v>16.5</v>
      </c>
      <c r="AK41" s="55"/>
    </row>
    <row r="42" spans="1:88" x14ac:dyDescent="0.25">
      <c r="A42" s="65" t="s">
        <v>50</v>
      </c>
      <c r="B42" s="60">
        <v>51.4</v>
      </c>
      <c r="C42" s="60">
        <v>51.4</v>
      </c>
      <c r="D42" s="60">
        <v>51.4</v>
      </c>
      <c r="E42" s="60">
        <v>51.4</v>
      </c>
      <c r="F42" s="60">
        <v>51.4</v>
      </c>
      <c r="G42" s="60">
        <v>51.4</v>
      </c>
      <c r="H42" s="60">
        <v>51.4</v>
      </c>
      <c r="I42" s="60">
        <v>51.4</v>
      </c>
      <c r="J42" s="60">
        <v>51.4</v>
      </c>
      <c r="K42" s="60">
        <v>51.4</v>
      </c>
      <c r="L42" s="60">
        <v>51.4</v>
      </c>
      <c r="M42" s="72">
        <v>53.4</v>
      </c>
      <c r="N42" s="72">
        <v>53.4</v>
      </c>
      <c r="O42" s="72">
        <v>51.4</v>
      </c>
      <c r="P42" s="72">
        <v>51.5</v>
      </c>
      <c r="Q42" s="72">
        <v>51.7</v>
      </c>
      <c r="R42" s="72">
        <v>20.6</v>
      </c>
      <c r="S42" s="72">
        <v>50</v>
      </c>
      <c r="T42" s="72">
        <v>50</v>
      </c>
      <c r="U42" s="72">
        <v>50</v>
      </c>
      <c r="V42" s="72">
        <v>50</v>
      </c>
      <c r="W42" s="72">
        <v>50</v>
      </c>
      <c r="X42" s="72">
        <v>50</v>
      </c>
      <c r="Y42" s="72">
        <v>50</v>
      </c>
      <c r="Z42" s="50">
        <v>50</v>
      </c>
      <c r="AA42" s="50">
        <v>50</v>
      </c>
      <c r="AB42" s="72">
        <v>50</v>
      </c>
      <c r="AC42" s="72">
        <v>50</v>
      </c>
      <c r="AD42" s="72">
        <v>50</v>
      </c>
      <c r="AE42" s="72">
        <v>54</v>
      </c>
      <c r="AF42" s="60">
        <v>54</v>
      </c>
      <c r="AG42" s="66">
        <v>60</v>
      </c>
      <c r="AH42" s="53">
        <f t="shared" si="2"/>
        <v>54</v>
      </c>
      <c r="AI42" s="54">
        <f t="shared" si="3"/>
        <v>20.6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10</v>
      </c>
      <c r="H43" s="60">
        <v>10</v>
      </c>
      <c r="I43" s="60">
        <v>15</v>
      </c>
      <c r="J43" s="60">
        <v>25</v>
      </c>
      <c r="K43" s="60">
        <v>30</v>
      </c>
      <c r="L43" s="60">
        <v>23</v>
      </c>
      <c r="M43" s="50">
        <v>28.1</v>
      </c>
      <c r="N43" s="50">
        <v>24</v>
      </c>
      <c r="O43" s="50">
        <v>23</v>
      </c>
      <c r="P43" s="50">
        <v>10.6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22.3</v>
      </c>
      <c r="X43" s="50">
        <v>22.8</v>
      </c>
      <c r="Y43" s="50">
        <v>28.8</v>
      </c>
      <c r="Z43" s="50">
        <v>28.8</v>
      </c>
      <c r="AA43" s="50">
        <v>28.8</v>
      </c>
      <c r="AB43" s="72">
        <v>28.2</v>
      </c>
      <c r="AC43" s="72">
        <v>23.2</v>
      </c>
      <c r="AD43" s="72">
        <v>14.7</v>
      </c>
      <c r="AE43" s="72">
        <v>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60">
        <v>16</v>
      </c>
      <c r="F45" s="60">
        <v>16</v>
      </c>
      <c r="G45" s="60">
        <v>16</v>
      </c>
      <c r="H45" s="60">
        <v>16</v>
      </c>
      <c r="I45" s="60">
        <v>16</v>
      </c>
      <c r="J45" s="60">
        <v>16</v>
      </c>
      <c r="K45" s="60">
        <v>16</v>
      </c>
      <c r="L45" s="60">
        <v>16</v>
      </c>
      <c r="M45" s="60">
        <v>16</v>
      </c>
      <c r="N45" s="60">
        <v>16</v>
      </c>
      <c r="O45" s="50">
        <v>16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60">
        <v>12</v>
      </c>
      <c r="AG45" s="66">
        <v>24</v>
      </c>
      <c r="AH45" s="53">
        <f t="shared" si="2"/>
        <v>16</v>
      </c>
      <c r="AI45" s="54">
        <f t="shared" si="3"/>
        <v>12</v>
      </c>
      <c r="AK45" s="55"/>
    </row>
    <row r="46" spans="1:88" x14ac:dyDescent="0.25">
      <c r="A46" s="65" t="s">
        <v>54</v>
      </c>
      <c r="B46" s="60">
        <v>4.5</v>
      </c>
      <c r="C46" s="60">
        <v>4.5</v>
      </c>
      <c r="D46" s="60">
        <v>4.5</v>
      </c>
      <c r="E46" s="60">
        <v>4.5</v>
      </c>
      <c r="F46" s="60">
        <v>4.5</v>
      </c>
      <c r="G46" s="60">
        <v>4.5</v>
      </c>
      <c r="H46" s="60">
        <v>4.5</v>
      </c>
      <c r="I46" s="60">
        <v>4.5</v>
      </c>
      <c r="J46" s="60">
        <v>4.5</v>
      </c>
      <c r="K46" s="60">
        <v>4.5</v>
      </c>
      <c r="L46" s="60">
        <v>4.5</v>
      </c>
      <c r="M46" s="60">
        <v>4.5</v>
      </c>
      <c r="N46" s="60">
        <v>4.5</v>
      </c>
      <c r="O46" s="60">
        <v>4.5</v>
      </c>
      <c r="P46" s="60">
        <v>4.5</v>
      </c>
      <c r="Q46" s="60">
        <v>4.5</v>
      </c>
      <c r="R46" s="60">
        <v>4.5</v>
      </c>
      <c r="S46" s="50">
        <v>4.8</v>
      </c>
      <c r="T46" s="50">
        <v>4.8</v>
      </c>
      <c r="U46" s="50">
        <v>4.8</v>
      </c>
      <c r="V46" s="50">
        <v>4.8</v>
      </c>
      <c r="W46" s="50">
        <v>4.8</v>
      </c>
      <c r="X46" s="50">
        <v>4.8</v>
      </c>
      <c r="Y46" s="50">
        <v>4.8</v>
      </c>
      <c r="Z46" s="50">
        <v>4.8</v>
      </c>
      <c r="AA46" s="50">
        <v>4.8</v>
      </c>
      <c r="AB46" s="50">
        <v>4.8</v>
      </c>
      <c r="AC46" s="50">
        <v>4.8</v>
      </c>
      <c r="AD46" s="50">
        <v>4.8</v>
      </c>
      <c r="AE46" s="50">
        <v>4.8</v>
      </c>
      <c r="AF46" s="50">
        <v>4.8</v>
      </c>
      <c r="AG46" s="66">
        <v>15</v>
      </c>
      <c r="AH46" s="53">
        <f t="shared" si="2"/>
        <v>4.8</v>
      </c>
      <c r="AI46" s="54">
        <f t="shared" si="3"/>
        <v>4.5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6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60">
        <v>5</v>
      </c>
      <c r="E48" s="60">
        <v>5</v>
      </c>
      <c r="F48" s="60">
        <v>5</v>
      </c>
      <c r="G48" s="60">
        <v>5</v>
      </c>
      <c r="H48" s="60">
        <v>5</v>
      </c>
      <c r="I48" s="60">
        <v>5</v>
      </c>
      <c r="J48" s="60">
        <v>5</v>
      </c>
      <c r="K48" s="60">
        <v>5</v>
      </c>
      <c r="L48" s="60">
        <v>5</v>
      </c>
      <c r="M48" s="60">
        <v>5</v>
      </c>
      <c r="N48" s="60">
        <v>5</v>
      </c>
      <c r="O48" s="60">
        <v>5</v>
      </c>
      <c r="P48" s="60">
        <v>5</v>
      </c>
      <c r="Q48" s="60">
        <v>5</v>
      </c>
      <c r="R48" s="6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60">
        <v>6</v>
      </c>
      <c r="N49" s="60">
        <v>6</v>
      </c>
      <c r="O49" s="60">
        <v>6</v>
      </c>
      <c r="P49" s="60">
        <v>6</v>
      </c>
      <c r="Q49" s="60">
        <v>6</v>
      </c>
      <c r="R49" s="6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139.44</v>
      </c>
      <c r="C52" s="71">
        <f t="shared" ref="C52:AF52" si="6">SUM(C39:C51)</f>
        <v>124.44000000000001</v>
      </c>
      <c r="D52" s="71">
        <f t="shared" si="6"/>
        <v>124.44000000000001</v>
      </c>
      <c r="E52" s="71">
        <f t="shared" si="6"/>
        <v>124.44000000000001</v>
      </c>
      <c r="F52" s="71">
        <f t="shared" si="6"/>
        <v>124.44000000000001</v>
      </c>
      <c r="G52" s="71">
        <f t="shared" si="6"/>
        <v>156.23999999999998</v>
      </c>
      <c r="H52" s="71">
        <f t="shared" si="6"/>
        <v>179.94</v>
      </c>
      <c r="I52" s="71">
        <f t="shared" si="6"/>
        <v>205.44</v>
      </c>
      <c r="J52" s="71">
        <f t="shared" si="6"/>
        <v>254.94</v>
      </c>
      <c r="K52" s="71">
        <f t="shared" si="6"/>
        <v>372.44</v>
      </c>
      <c r="L52" s="71">
        <f t="shared" si="6"/>
        <v>409.94</v>
      </c>
      <c r="M52" s="71">
        <f t="shared" si="6"/>
        <v>415.94</v>
      </c>
      <c r="N52" s="71">
        <f t="shared" si="6"/>
        <v>346.54</v>
      </c>
      <c r="O52" s="71">
        <f t="shared" si="6"/>
        <v>318.54000000000002</v>
      </c>
      <c r="P52" s="71">
        <f t="shared" si="6"/>
        <v>289.44</v>
      </c>
      <c r="Q52" s="71">
        <f t="shared" si="6"/>
        <v>238.64000000000001</v>
      </c>
      <c r="R52" s="71">
        <f t="shared" si="6"/>
        <v>186.14</v>
      </c>
      <c r="S52" s="71">
        <f t="shared" si="6"/>
        <v>232.04</v>
      </c>
      <c r="T52" s="71">
        <f t="shared" si="6"/>
        <v>253.64000000000001</v>
      </c>
      <c r="U52" s="71">
        <f t="shared" si="6"/>
        <v>275.64000000000004</v>
      </c>
      <c r="V52" s="71">
        <f t="shared" si="6"/>
        <v>318.24</v>
      </c>
      <c r="W52" s="71">
        <f t="shared" si="6"/>
        <v>393.04</v>
      </c>
      <c r="X52" s="71">
        <f t="shared" si="6"/>
        <v>405.84000000000009</v>
      </c>
      <c r="Y52" s="71">
        <f t="shared" si="6"/>
        <v>411.24000000000007</v>
      </c>
      <c r="Z52" s="71">
        <f t="shared" si="6"/>
        <v>411.24000000000007</v>
      </c>
      <c r="AA52" s="71">
        <f t="shared" si="6"/>
        <v>409.04</v>
      </c>
      <c r="AB52" s="71">
        <f t="shared" si="6"/>
        <v>407.24</v>
      </c>
      <c r="AC52" s="71">
        <f t="shared" si="6"/>
        <v>362.64000000000004</v>
      </c>
      <c r="AD52" s="71">
        <f t="shared" si="6"/>
        <v>317.64000000000004</v>
      </c>
      <c r="AE52" s="71">
        <f t="shared" si="6"/>
        <v>225.94</v>
      </c>
      <c r="AF52" s="71">
        <f t="shared" si="6"/>
        <v>190.44</v>
      </c>
      <c r="AG52" s="76">
        <f>SUM(AG39:AG51)</f>
        <v>489.91</v>
      </c>
      <c r="AH52" s="53">
        <f t="shared" si="2"/>
        <v>415.94</v>
      </c>
      <c r="AI52" s="54">
        <f t="shared" si="3"/>
        <v>124.44000000000001</v>
      </c>
      <c r="AK52" s="55"/>
    </row>
    <row r="53" spans="1:37" ht="15.75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10</v>
      </c>
      <c r="M53" s="77">
        <v>20.100000000000001</v>
      </c>
      <c r="N53" s="77">
        <v>53.7</v>
      </c>
      <c r="O53" s="77">
        <v>53.9</v>
      </c>
      <c r="P53" s="77">
        <v>57.6</v>
      </c>
      <c r="Q53" s="50">
        <v>57.7</v>
      </c>
      <c r="R53" s="50">
        <v>29.5</v>
      </c>
      <c r="S53" s="50">
        <v>28.7</v>
      </c>
      <c r="T53" s="50">
        <v>0</v>
      </c>
      <c r="U53" s="50">
        <v>0</v>
      </c>
      <c r="V53" s="50">
        <v>0</v>
      </c>
      <c r="W53" s="50">
        <v>55.1</v>
      </c>
      <c r="X53" s="181">
        <v>56</v>
      </c>
      <c r="Y53" s="181">
        <v>59.8</v>
      </c>
      <c r="Z53" s="50">
        <v>59.8</v>
      </c>
      <c r="AA53" s="181">
        <v>59.8</v>
      </c>
      <c r="AB53" s="50">
        <v>59.2</v>
      </c>
      <c r="AC53" s="50">
        <v>39.299999999999997</v>
      </c>
      <c r="AD53" s="50">
        <v>39.700000000000003</v>
      </c>
      <c r="AE53" s="50">
        <v>13.4</v>
      </c>
      <c r="AF53" s="50">
        <v>0</v>
      </c>
      <c r="AG53" s="61">
        <v>60</v>
      </c>
      <c r="AH53" s="53">
        <f t="shared" si="2"/>
        <v>59.8</v>
      </c>
      <c r="AI53" s="54">
        <f t="shared" si="3"/>
        <v>0</v>
      </c>
      <c r="AK53" s="55"/>
    </row>
    <row r="54" spans="1:37" ht="15.75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6.3</v>
      </c>
      <c r="M54" s="77">
        <v>10.1</v>
      </c>
      <c r="N54" s="77">
        <v>24.1</v>
      </c>
      <c r="O54" s="77">
        <v>24.9</v>
      </c>
      <c r="P54" s="77">
        <v>28.6</v>
      </c>
      <c r="Q54" s="72">
        <v>28.3</v>
      </c>
      <c r="R54" s="72">
        <v>15.1</v>
      </c>
      <c r="S54" s="50">
        <v>8.3000000000000007</v>
      </c>
      <c r="T54" s="50">
        <v>0</v>
      </c>
      <c r="U54" s="50">
        <v>0</v>
      </c>
      <c r="V54" s="72">
        <v>0</v>
      </c>
      <c r="W54" s="72">
        <v>21.4</v>
      </c>
      <c r="X54" s="181">
        <v>26.2</v>
      </c>
      <c r="Y54" s="181">
        <v>29.1</v>
      </c>
      <c r="Z54" s="50">
        <v>29.1</v>
      </c>
      <c r="AA54" s="181">
        <v>29</v>
      </c>
      <c r="AB54" s="72">
        <v>27.9</v>
      </c>
      <c r="AC54" s="72">
        <v>17.7</v>
      </c>
      <c r="AD54" s="72">
        <v>17.100000000000001</v>
      </c>
      <c r="AE54" s="72">
        <v>9.8000000000000007</v>
      </c>
      <c r="AF54" s="72">
        <v>0</v>
      </c>
      <c r="AG54" s="66">
        <v>32</v>
      </c>
      <c r="AH54" s="53">
        <f t="shared" si="2"/>
        <v>29.1</v>
      </c>
      <c r="AI54" s="54">
        <f t="shared" si="3"/>
        <v>0</v>
      </c>
      <c r="AK54" s="55"/>
    </row>
    <row r="55" spans="1:37" ht="16.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3</v>
      </c>
      <c r="M55" s="80">
        <v>3.7</v>
      </c>
      <c r="N55" s="80">
        <v>8.8000000000000007</v>
      </c>
      <c r="O55" s="80">
        <v>9.1</v>
      </c>
      <c r="P55" s="80">
        <v>10.4</v>
      </c>
      <c r="Q55" s="78">
        <v>10.3</v>
      </c>
      <c r="R55" s="78">
        <v>5.5</v>
      </c>
      <c r="S55" s="50">
        <v>3.2</v>
      </c>
      <c r="T55" s="50">
        <v>0</v>
      </c>
      <c r="U55" s="50">
        <v>0</v>
      </c>
      <c r="V55" s="78">
        <v>0</v>
      </c>
      <c r="W55" s="78">
        <v>8</v>
      </c>
      <c r="X55" s="181">
        <v>9.6</v>
      </c>
      <c r="Y55" s="181">
        <v>10.3</v>
      </c>
      <c r="Z55" s="50">
        <v>10.3</v>
      </c>
      <c r="AA55" s="181">
        <v>10.6</v>
      </c>
      <c r="AB55" s="78">
        <v>10.199999999999999</v>
      </c>
      <c r="AC55" s="78">
        <v>6.5</v>
      </c>
      <c r="AD55" s="78">
        <v>6.2</v>
      </c>
      <c r="AE55" s="78">
        <v>3.6</v>
      </c>
      <c r="AF55" s="78">
        <v>0</v>
      </c>
      <c r="AG55" s="81">
        <v>14</v>
      </c>
      <c r="AH55" s="53">
        <f t="shared" si="2"/>
        <v>10.6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19.3</v>
      </c>
      <c r="M56" s="71">
        <f t="shared" si="7"/>
        <v>33.900000000000006</v>
      </c>
      <c r="N56" s="71">
        <f t="shared" si="7"/>
        <v>86.600000000000009</v>
      </c>
      <c r="O56" s="71">
        <f t="shared" si="7"/>
        <v>87.899999999999991</v>
      </c>
      <c r="P56" s="71">
        <f t="shared" si="7"/>
        <v>96.600000000000009</v>
      </c>
      <c r="Q56" s="71">
        <f t="shared" si="7"/>
        <v>96.3</v>
      </c>
      <c r="R56" s="71">
        <f t="shared" si="7"/>
        <v>50.1</v>
      </c>
      <c r="S56" s="71">
        <f t="shared" si="7"/>
        <v>40.200000000000003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84.5</v>
      </c>
      <c r="X56" s="71">
        <f t="shared" si="7"/>
        <v>91.8</v>
      </c>
      <c r="Y56" s="71">
        <f t="shared" si="7"/>
        <v>99.2</v>
      </c>
      <c r="Z56" s="71">
        <f t="shared" si="7"/>
        <v>99.2</v>
      </c>
      <c r="AA56" s="71">
        <f t="shared" si="7"/>
        <v>99.399999999999991</v>
      </c>
      <c r="AB56" s="71">
        <f t="shared" si="7"/>
        <v>97.3</v>
      </c>
      <c r="AC56" s="71">
        <f t="shared" si="7"/>
        <v>63.5</v>
      </c>
      <c r="AD56" s="71">
        <f t="shared" si="7"/>
        <v>63.000000000000007</v>
      </c>
      <c r="AE56" s="71">
        <f t="shared" si="7"/>
        <v>26.800000000000004</v>
      </c>
      <c r="AF56" s="71">
        <f t="shared" si="7"/>
        <v>0</v>
      </c>
      <c r="AG56" s="76">
        <f>SUM(AG53:AG55)</f>
        <v>106</v>
      </c>
      <c r="AH56" s="53">
        <f t="shared" si="2"/>
        <v>99.399999999999991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66</v>
      </c>
      <c r="C57" s="50">
        <v>70</v>
      </c>
      <c r="D57" s="50">
        <v>68</v>
      </c>
      <c r="E57" s="50">
        <v>75.3</v>
      </c>
      <c r="F57" s="50">
        <v>76</v>
      </c>
      <c r="G57" s="50">
        <v>67</v>
      </c>
      <c r="H57" s="50">
        <v>70</v>
      </c>
      <c r="I57" s="50">
        <v>72</v>
      </c>
      <c r="J57" s="50">
        <v>68</v>
      </c>
      <c r="K57" s="50">
        <v>71</v>
      </c>
      <c r="L57" s="50">
        <v>72</v>
      </c>
      <c r="M57" s="50">
        <v>70.900000000000006</v>
      </c>
      <c r="N57" s="50">
        <v>76.3</v>
      </c>
      <c r="O57" s="50">
        <v>64</v>
      </c>
      <c r="P57" s="50">
        <v>75.400000000000006</v>
      </c>
      <c r="Q57" s="50">
        <v>71</v>
      </c>
      <c r="R57" s="50">
        <v>66.400000000000006</v>
      </c>
      <c r="S57" s="50">
        <v>72.900000000000006</v>
      </c>
      <c r="T57" s="50">
        <v>70.8</v>
      </c>
      <c r="U57" s="50">
        <v>73.099999999999994</v>
      </c>
      <c r="V57" s="50">
        <v>69</v>
      </c>
      <c r="W57" s="50">
        <v>66.7</v>
      </c>
      <c r="X57" s="50">
        <v>67.900000000000006</v>
      </c>
      <c r="Y57" s="50">
        <v>79.7</v>
      </c>
      <c r="Z57" s="72">
        <v>79</v>
      </c>
      <c r="AA57" s="72">
        <v>77.400000000000006</v>
      </c>
      <c r="AB57" s="50">
        <v>74.8</v>
      </c>
      <c r="AC57" s="50">
        <v>69.8</v>
      </c>
      <c r="AD57" s="50">
        <v>74.599999999999994</v>
      </c>
      <c r="AE57" s="50">
        <v>68.2</v>
      </c>
      <c r="AF57" s="50">
        <v>66.099999999999994</v>
      </c>
      <c r="AG57" s="61"/>
      <c r="AH57" s="53">
        <f t="shared" si="2"/>
        <v>79.7</v>
      </c>
      <c r="AI57" s="54">
        <f t="shared" si="3"/>
        <v>64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90</v>
      </c>
      <c r="M58" s="50">
        <v>115</v>
      </c>
      <c r="N58" s="50">
        <v>126</v>
      </c>
      <c r="O58" s="50">
        <v>126</v>
      </c>
      <c r="P58" s="50">
        <v>164</v>
      </c>
      <c r="Q58" s="50">
        <v>164</v>
      </c>
      <c r="R58" s="50">
        <v>51.9</v>
      </c>
      <c r="S58" s="50">
        <v>50</v>
      </c>
      <c r="T58" s="50">
        <v>80</v>
      </c>
      <c r="U58" s="50">
        <v>100</v>
      </c>
      <c r="V58" s="50">
        <v>120</v>
      </c>
      <c r="W58" s="50">
        <v>120</v>
      </c>
      <c r="X58" s="50">
        <v>125</v>
      </c>
      <c r="Y58" s="50">
        <v>130</v>
      </c>
      <c r="Z58" s="72">
        <v>125</v>
      </c>
      <c r="AA58" s="72">
        <v>160</v>
      </c>
      <c r="AB58" s="72">
        <v>160</v>
      </c>
      <c r="AC58" s="72">
        <v>155</v>
      </c>
      <c r="AD58" s="72">
        <v>144</v>
      </c>
      <c r="AE58" s="72">
        <v>0</v>
      </c>
      <c r="AF58" s="72">
        <v>0</v>
      </c>
      <c r="AG58" s="66"/>
      <c r="AH58" s="53">
        <f t="shared" si="2"/>
        <v>164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330</v>
      </c>
      <c r="C59" s="72">
        <v>339</v>
      </c>
      <c r="D59" s="72">
        <v>331</v>
      </c>
      <c r="E59" s="72">
        <v>325</v>
      </c>
      <c r="F59" s="72">
        <v>302</v>
      </c>
      <c r="G59" s="72">
        <v>300</v>
      </c>
      <c r="H59" s="72">
        <v>337</v>
      </c>
      <c r="I59" s="50">
        <v>313</v>
      </c>
      <c r="J59" s="50">
        <v>366</v>
      </c>
      <c r="K59" s="50">
        <v>340</v>
      </c>
      <c r="L59" s="50">
        <v>0</v>
      </c>
      <c r="M59" s="72">
        <v>10.6</v>
      </c>
      <c r="N59" s="72">
        <v>15.4</v>
      </c>
      <c r="O59" s="72">
        <v>30</v>
      </c>
      <c r="P59" s="72">
        <v>40</v>
      </c>
      <c r="Q59" s="72">
        <v>230</v>
      </c>
      <c r="R59" s="72">
        <v>335</v>
      </c>
      <c r="S59" s="72">
        <v>338.5</v>
      </c>
      <c r="T59" s="72">
        <v>339.7</v>
      </c>
      <c r="U59" s="72">
        <v>331.3</v>
      </c>
      <c r="V59" s="72">
        <v>250</v>
      </c>
      <c r="W59" s="72">
        <v>156</v>
      </c>
      <c r="X59" s="72">
        <v>20.3</v>
      </c>
      <c r="Y59" s="72">
        <v>9.4</v>
      </c>
      <c r="Z59" s="72">
        <v>-8.6999999999999993</v>
      </c>
      <c r="AA59" s="72">
        <v>42.2</v>
      </c>
      <c r="AB59" s="72">
        <v>91.2</v>
      </c>
      <c r="AC59" s="72">
        <v>254.6</v>
      </c>
      <c r="AD59" s="72">
        <v>253</v>
      </c>
      <c r="AE59" s="72">
        <v>326</v>
      </c>
      <c r="AF59" s="72">
        <v>320</v>
      </c>
      <c r="AG59" s="84"/>
      <c r="AH59" s="53">
        <f t="shared" si="2"/>
        <v>366</v>
      </c>
      <c r="AI59" s="54">
        <f t="shared" si="3"/>
        <v>-8.6999999999999993</v>
      </c>
      <c r="AK59" s="55"/>
    </row>
    <row r="60" spans="1:37" x14ac:dyDescent="0.25">
      <c r="A60" s="65" t="s">
        <v>68</v>
      </c>
      <c r="B60" s="57">
        <v>50</v>
      </c>
      <c r="C60" s="57">
        <v>5</v>
      </c>
      <c r="D60" s="57">
        <v>4</v>
      </c>
      <c r="E60" s="57">
        <v>4</v>
      </c>
      <c r="F60" s="57">
        <v>53</v>
      </c>
      <c r="G60" s="57">
        <v>50</v>
      </c>
      <c r="H60" s="57">
        <v>50</v>
      </c>
      <c r="I60" s="57">
        <v>52</v>
      </c>
      <c r="J60" s="57">
        <v>55</v>
      </c>
      <c r="K60" s="57">
        <v>55</v>
      </c>
      <c r="L60" s="57">
        <v>54</v>
      </c>
      <c r="M60" s="72">
        <v>61.9</v>
      </c>
      <c r="N60" s="72">
        <v>57.1</v>
      </c>
      <c r="O60" s="72">
        <v>63.5</v>
      </c>
      <c r="P60" s="72">
        <v>62.5</v>
      </c>
      <c r="Q60" s="72">
        <v>56.1</v>
      </c>
      <c r="R60" s="72">
        <v>54.5</v>
      </c>
      <c r="S60" s="72">
        <v>42.2</v>
      </c>
      <c r="T60" s="72">
        <v>33.9</v>
      </c>
      <c r="U60" s="72">
        <v>36.4</v>
      </c>
      <c r="V60" s="72">
        <v>44.2</v>
      </c>
      <c r="W60" s="72">
        <v>44.5</v>
      </c>
      <c r="X60" s="72">
        <v>47.9</v>
      </c>
      <c r="Y60" s="72">
        <v>56</v>
      </c>
      <c r="Z60" s="72">
        <v>53</v>
      </c>
      <c r="AA60" s="72">
        <v>55.3</v>
      </c>
      <c r="AB60" s="72">
        <v>45.5</v>
      </c>
      <c r="AC60" s="72">
        <v>47.2</v>
      </c>
      <c r="AD60" s="72">
        <v>54.4</v>
      </c>
      <c r="AE60" s="72">
        <v>35.5</v>
      </c>
      <c r="AF60" s="57">
        <v>49.8</v>
      </c>
      <c r="AG60" s="84"/>
      <c r="AH60" s="53">
        <f t="shared" si="2"/>
        <v>63.5</v>
      </c>
      <c r="AI60" s="54">
        <f t="shared" si="3"/>
        <v>4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68</v>
      </c>
      <c r="J61" s="57">
        <v>74</v>
      </c>
      <c r="K61" s="57">
        <v>78</v>
      </c>
      <c r="L61" s="57">
        <v>82</v>
      </c>
      <c r="M61" s="50">
        <v>74.5</v>
      </c>
      <c r="N61" s="50">
        <v>79.2</v>
      </c>
      <c r="O61" s="50">
        <v>84</v>
      </c>
      <c r="P61" s="50">
        <v>69</v>
      </c>
      <c r="Q61" s="50">
        <v>74</v>
      </c>
      <c r="R61" s="50">
        <v>71</v>
      </c>
      <c r="S61" s="50">
        <v>75</v>
      </c>
      <c r="T61" s="50">
        <v>74.900000000000006</v>
      </c>
      <c r="U61" s="50">
        <v>79.900000000000006</v>
      </c>
      <c r="V61" s="50">
        <v>68.099999999999994</v>
      </c>
      <c r="W61" s="50">
        <v>80.599999999999994</v>
      </c>
      <c r="X61" s="50">
        <v>79.900000000000006</v>
      </c>
      <c r="Y61" s="50">
        <v>84.2</v>
      </c>
      <c r="Z61" s="72">
        <v>85.1</v>
      </c>
      <c r="AA61" s="72">
        <v>69.2</v>
      </c>
      <c r="AB61" s="50">
        <v>74.400000000000006</v>
      </c>
      <c r="AC61" s="50">
        <v>78.3</v>
      </c>
      <c r="AD61" s="50">
        <v>78.599999999999994</v>
      </c>
      <c r="AE61" s="50">
        <v>76.3</v>
      </c>
      <c r="AF61" s="50">
        <v>0</v>
      </c>
      <c r="AG61" s="84"/>
      <c r="AH61" s="53">
        <f t="shared" si="2"/>
        <v>85.1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72">
        <v>0</v>
      </c>
      <c r="AA62" s="72">
        <v>0</v>
      </c>
      <c r="AB62" s="72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72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72">
        <v>0</v>
      </c>
      <c r="AA63" s="72">
        <v>0</v>
      </c>
      <c r="AB63" s="72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0</v>
      </c>
      <c r="M64" s="72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9">
        <v>0</v>
      </c>
      <c r="Y64" s="59">
        <v>0</v>
      </c>
      <c r="Z64" s="72">
        <v>0</v>
      </c>
      <c r="AA64" s="72">
        <v>0</v>
      </c>
      <c r="AB64" s="72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72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9">
        <v>0</v>
      </c>
      <c r="Y65" s="59">
        <v>0</v>
      </c>
      <c r="Z65" s="72">
        <v>0</v>
      </c>
      <c r="AA65" s="72">
        <v>0</v>
      </c>
      <c r="AB65" s="72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72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72">
        <v>0</v>
      </c>
      <c r="AA66" s="72">
        <v>0</v>
      </c>
      <c r="AB66" s="7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72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72">
        <v>0</v>
      </c>
      <c r="AA67" s="72">
        <v>0</v>
      </c>
      <c r="AB67" s="7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446</v>
      </c>
      <c r="C68" s="71">
        <f>SUM(C57:C67)</f>
        <v>414</v>
      </c>
      <c r="D68" s="71">
        <f t="shared" ref="D68:AF68" si="8">SUM(D57:D67)</f>
        <v>403</v>
      </c>
      <c r="E68" s="71">
        <f t="shared" si="8"/>
        <v>404.3</v>
      </c>
      <c r="F68" s="71">
        <f t="shared" si="8"/>
        <v>431</v>
      </c>
      <c r="G68" s="71">
        <f t="shared" si="8"/>
        <v>417</v>
      </c>
      <c r="H68" s="71">
        <f t="shared" si="8"/>
        <v>457</v>
      </c>
      <c r="I68" s="71">
        <f t="shared" si="8"/>
        <v>505</v>
      </c>
      <c r="J68" s="71">
        <f t="shared" si="8"/>
        <v>563</v>
      </c>
      <c r="K68" s="71">
        <f t="shared" si="8"/>
        <v>544</v>
      </c>
      <c r="L68" s="71">
        <f t="shared" si="8"/>
        <v>298</v>
      </c>
      <c r="M68" s="71">
        <f t="shared" si="8"/>
        <v>332.9</v>
      </c>
      <c r="N68" s="71">
        <f t="shared" si="8"/>
        <v>354</v>
      </c>
      <c r="O68" s="71">
        <f t="shared" si="8"/>
        <v>367.5</v>
      </c>
      <c r="P68" s="71">
        <f t="shared" si="8"/>
        <v>410.9</v>
      </c>
      <c r="Q68" s="71">
        <f t="shared" si="8"/>
        <v>595.1</v>
      </c>
      <c r="R68" s="71">
        <f t="shared" si="8"/>
        <v>578.79999999999995</v>
      </c>
      <c r="S68" s="71">
        <f t="shared" si="8"/>
        <v>578.59999999999991</v>
      </c>
      <c r="T68" s="71">
        <f t="shared" si="8"/>
        <v>599.29999999999995</v>
      </c>
      <c r="U68" s="71">
        <f t="shared" si="8"/>
        <v>620.69999999999993</v>
      </c>
      <c r="V68" s="71">
        <f t="shared" si="8"/>
        <v>551.29999999999995</v>
      </c>
      <c r="W68" s="71">
        <f t="shared" si="8"/>
        <v>467.79999999999995</v>
      </c>
      <c r="X68" s="71">
        <f t="shared" si="8"/>
        <v>341</v>
      </c>
      <c r="Y68" s="71">
        <f t="shared" si="8"/>
        <v>359.3</v>
      </c>
      <c r="Z68" s="71">
        <f t="shared" si="8"/>
        <v>333.4</v>
      </c>
      <c r="AA68" s="71">
        <f t="shared" si="8"/>
        <v>404.1</v>
      </c>
      <c r="AB68" s="71">
        <f t="shared" si="8"/>
        <v>445.9</v>
      </c>
      <c r="AC68" s="71">
        <f t="shared" si="8"/>
        <v>604.9</v>
      </c>
      <c r="AD68" s="71">
        <f t="shared" si="8"/>
        <v>604.6</v>
      </c>
      <c r="AE68" s="71">
        <f t="shared" si="8"/>
        <v>506</v>
      </c>
      <c r="AF68" s="71">
        <f t="shared" si="8"/>
        <v>435.90000000000003</v>
      </c>
      <c r="AG68" s="76">
        <f>SUM(AG57:AG67)</f>
        <v>0</v>
      </c>
      <c r="AH68" s="53">
        <f t="shared" si="2"/>
        <v>620.69999999999993</v>
      </c>
      <c r="AI68" s="54">
        <f t="shared" si="3"/>
        <v>298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ref="Y72" si="10">SUM(Y69:Y71)</f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1039.44</v>
      </c>
      <c r="C73" s="88">
        <f>C68+C56+C52+C38+C72</f>
        <v>977.44</v>
      </c>
      <c r="D73" s="88">
        <f t="shared" ref="D73:AG73" si="11">D68+D56+D52+D38+D72</f>
        <v>956.44</v>
      </c>
      <c r="E73" s="88">
        <f t="shared" si="11"/>
        <v>957.74</v>
      </c>
      <c r="F73" s="88">
        <f t="shared" si="11"/>
        <v>984.44</v>
      </c>
      <c r="G73" s="88">
        <f t="shared" si="11"/>
        <v>1002.24</v>
      </c>
      <c r="H73" s="88">
        <f t="shared" si="11"/>
        <v>1065.94</v>
      </c>
      <c r="I73" s="88">
        <f t="shared" si="11"/>
        <v>1139.44</v>
      </c>
      <c r="J73" s="88">
        <f t="shared" si="11"/>
        <v>1246.94</v>
      </c>
      <c r="K73" s="88">
        <f t="shared" si="11"/>
        <v>1375.44</v>
      </c>
      <c r="L73" s="88">
        <f t="shared" si="11"/>
        <v>1506.24</v>
      </c>
      <c r="M73" s="88">
        <f t="shared" si="11"/>
        <v>1590.54</v>
      </c>
      <c r="N73" s="88">
        <f t="shared" si="11"/>
        <v>1540.64</v>
      </c>
      <c r="O73" s="88">
        <f t="shared" si="11"/>
        <v>1457.44</v>
      </c>
      <c r="P73" s="88">
        <f t="shared" si="11"/>
        <v>1349.8400000000001</v>
      </c>
      <c r="Q73" s="88">
        <f t="shared" si="11"/>
        <v>1344.54</v>
      </c>
      <c r="R73" s="88">
        <f t="shared" si="11"/>
        <v>1229.54</v>
      </c>
      <c r="S73" s="88">
        <f t="shared" si="11"/>
        <v>1264.54</v>
      </c>
      <c r="T73" s="88">
        <f t="shared" si="11"/>
        <v>1266.44</v>
      </c>
      <c r="U73" s="88">
        <f t="shared" si="11"/>
        <v>1309.04</v>
      </c>
      <c r="V73" s="88">
        <f t="shared" si="11"/>
        <v>1347.24</v>
      </c>
      <c r="W73" s="88">
        <f t="shared" si="11"/>
        <v>1418.04</v>
      </c>
      <c r="X73" s="88">
        <f t="shared" si="11"/>
        <v>1546.3400000000001</v>
      </c>
      <c r="Y73" s="88">
        <f t="shared" si="11"/>
        <v>1652.44</v>
      </c>
      <c r="Z73" s="88">
        <f t="shared" si="11"/>
        <v>1626.5400000000002</v>
      </c>
      <c r="AA73" s="88">
        <f t="shared" si="11"/>
        <v>1530.24</v>
      </c>
      <c r="AB73" s="88">
        <f t="shared" si="11"/>
        <v>1503.1399999999999</v>
      </c>
      <c r="AC73" s="88">
        <f t="shared" si="11"/>
        <v>1448.74</v>
      </c>
      <c r="AD73" s="88">
        <f t="shared" si="11"/>
        <v>1402.94</v>
      </c>
      <c r="AE73" s="88">
        <f t="shared" si="11"/>
        <v>1176.44</v>
      </c>
      <c r="AF73" s="88">
        <f t="shared" si="11"/>
        <v>1044.04</v>
      </c>
      <c r="AG73" s="88">
        <f t="shared" si="11"/>
        <v>2144.14</v>
      </c>
      <c r="AH73" s="53">
        <f t="shared" si="2"/>
        <v>1652.44</v>
      </c>
      <c r="AI73" s="54">
        <f t="shared" si="3"/>
        <v>956.44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>
        <v>25</v>
      </c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25</v>
      </c>
      <c r="AI74" s="54">
        <f t="shared" si="3"/>
        <v>25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1039.44</v>
      </c>
      <c r="C75" s="88">
        <f>C73+C74</f>
        <v>977.44</v>
      </c>
      <c r="D75" s="88">
        <f t="shared" ref="D75:AF75" si="12">D72+D68+D56+D52+D38+D74</f>
        <v>956.44</v>
      </c>
      <c r="E75" s="88">
        <f t="shared" si="12"/>
        <v>957.74</v>
      </c>
      <c r="F75" s="88">
        <f t="shared" si="12"/>
        <v>984.44</v>
      </c>
      <c r="G75" s="88">
        <f t="shared" si="12"/>
        <v>1002.24</v>
      </c>
      <c r="H75" s="88">
        <f t="shared" si="12"/>
        <v>1065.94</v>
      </c>
      <c r="I75" s="88">
        <f t="shared" si="12"/>
        <v>1139.44</v>
      </c>
      <c r="J75" s="88">
        <f t="shared" si="12"/>
        <v>1246.94</v>
      </c>
      <c r="K75" s="88">
        <f t="shared" si="12"/>
        <v>1375.44</v>
      </c>
      <c r="L75" s="88">
        <f t="shared" si="12"/>
        <v>1506.24</v>
      </c>
      <c r="M75" s="88">
        <f t="shared" si="12"/>
        <v>1590.54</v>
      </c>
      <c r="N75" s="88">
        <f t="shared" si="12"/>
        <v>1540.64</v>
      </c>
      <c r="O75" s="88">
        <f t="shared" si="12"/>
        <v>1457.44</v>
      </c>
      <c r="P75" s="88">
        <f t="shared" si="12"/>
        <v>1374.8400000000001</v>
      </c>
      <c r="Q75" s="88">
        <f t="shared" si="12"/>
        <v>1344.54</v>
      </c>
      <c r="R75" s="88">
        <f t="shared" si="12"/>
        <v>1229.54</v>
      </c>
      <c r="S75" s="88">
        <f t="shared" si="12"/>
        <v>1264.54</v>
      </c>
      <c r="T75" s="88">
        <f t="shared" si="12"/>
        <v>1266.44</v>
      </c>
      <c r="U75" s="88">
        <f t="shared" si="12"/>
        <v>1309.04</v>
      </c>
      <c r="V75" s="88">
        <f t="shared" si="12"/>
        <v>1347.24</v>
      </c>
      <c r="W75" s="88">
        <f t="shared" si="12"/>
        <v>1418.04</v>
      </c>
      <c r="X75" s="88">
        <f t="shared" si="12"/>
        <v>1546.3400000000001</v>
      </c>
      <c r="Y75" s="88">
        <f t="shared" si="12"/>
        <v>1652.44</v>
      </c>
      <c r="Z75" s="88">
        <f t="shared" si="12"/>
        <v>1626.5400000000002</v>
      </c>
      <c r="AA75" s="88">
        <f t="shared" si="12"/>
        <v>1530.24</v>
      </c>
      <c r="AB75" s="88">
        <f t="shared" si="12"/>
        <v>1503.1399999999999</v>
      </c>
      <c r="AC75" s="88">
        <f t="shared" si="12"/>
        <v>1448.74</v>
      </c>
      <c r="AD75" s="88">
        <f t="shared" si="12"/>
        <v>1402.94</v>
      </c>
      <c r="AE75" s="88">
        <f t="shared" si="12"/>
        <v>1176.44</v>
      </c>
      <c r="AF75" s="88">
        <f t="shared" si="12"/>
        <v>1044.04</v>
      </c>
      <c r="AG75" s="76">
        <f>AG72+AG68+AG56+AG52+AG38+AG74</f>
        <v>2144.14</v>
      </c>
      <c r="AH75" s="53">
        <f t="shared" si="2"/>
        <v>1652.44</v>
      </c>
      <c r="AI75" s="54">
        <f t="shared" si="3"/>
        <v>956.44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v>0</v>
      </c>
      <c r="Z79" s="57">
        <f t="shared" si="18"/>
        <v>8.6999999999999993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8.6999999999999993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8.6999999999999993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8.6999999999999993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2078.88</v>
      </c>
      <c r="C83" s="71">
        <f t="shared" ref="C83:AG83" si="21">SUM(C70:C82)</f>
        <v>1954.88</v>
      </c>
      <c r="D83" s="71">
        <f t="shared" si="21"/>
        <v>1912.88</v>
      </c>
      <c r="E83" s="71">
        <f t="shared" si="21"/>
        <v>1915.48</v>
      </c>
      <c r="F83" s="71">
        <f t="shared" si="21"/>
        <v>1968.88</v>
      </c>
      <c r="G83" s="71">
        <f t="shared" si="21"/>
        <v>2004.48</v>
      </c>
      <c r="H83" s="71">
        <f t="shared" si="21"/>
        <v>2131.88</v>
      </c>
      <c r="I83" s="71">
        <f t="shared" si="21"/>
        <v>2278.88</v>
      </c>
      <c r="J83" s="71">
        <f t="shared" si="21"/>
        <v>2493.88</v>
      </c>
      <c r="K83" s="71">
        <f t="shared" si="21"/>
        <v>2750.88</v>
      </c>
      <c r="L83" s="71">
        <f t="shared" si="21"/>
        <v>3012.48</v>
      </c>
      <c r="M83" s="71">
        <f t="shared" si="21"/>
        <v>3181.08</v>
      </c>
      <c r="N83" s="71">
        <f t="shared" si="21"/>
        <v>3081.28</v>
      </c>
      <c r="O83" s="71">
        <f t="shared" si="21"/>
        <v>2914.88</v>
      </c>
      <c r="P83" s="71">
        <f t="shared" si="21"/>
        <v>2749.6800000000003</v>
      </c>
      <c r="Q83" s="71">
        <f t="shared" si="21"/>
        <v>2689.08</v>
      </c>
      <c r="R83" s="71">
        <f t="shared" si="21"/>
        <v>2459.08</v>
      </c>
      <c r="S83" s="71">
        <f t="shared" si="21"/>
        <v>2529.08</v>
      </c>
      <c r="T83" s="71">
        <f t="shared" si="21"/>
        <v>2532.88</v>
      </c>
      <c r="U83" s="71">
        <f t="shared" si="21"/>
        <v>2618.08</v>
      </c>
      <c r="V83" s="71">
        <f t="shared" si="21"/>
        <v>2694.48</v>
      </c>
      <c r="W83" s="71">
        <f t="shared" si="21"/>
        <v>2836.08</v>
      </c>
      <c r="X83" s="71">
        <f t="shared" si="21"/>
        <v>3092.6800000000003</v>
      </c>
      <c r="Y83" s="71">
        <f t="shared" si="21"/>
        <v>3304.88</v>
      </c>
      <c r="Z83" s="71">
        <f t="shared" si="21"/>
        <v>3270.48</v>
      </c>
      <c r="AA83" s="71">
        <f t="shared" si="21"/>
        <v>3060.48</v>
      </c>
      <c r="AB83" s="71">
        <f t="shared" si="21"/>
        <v>3006.2799999999997</v>
      </c>
      <c r="AC83" s="71">
        <f t="shared" si="21"/>
        <v>2897.48</v>
      </c>
      <c r="AD83" s="71">
        <f t="shared" si="21"/>
        <v>2805.88</v>
      </c>
      <c r="AE83" s="71">
        <f t="shared" si="21"/>
        <v>2352.88</v>
      </c>
      <c r="AF83" s="71">
        <f t="shared" si="21"/>
        <v>2088.08</v>
      </c>
      <c r="AG83" s="76">
        <f t="shared" si="21"/>
        <v>4360.08</v>
      </c>
      <c r="AH83" s="53">
        <f t="shared" si="14"/>
        <v>3304.88</v>
      </c>
      <c r="AI83" s="54">
        <f t="shared" si="15"/>
        <v>1912.88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50.02</v>
      </c>
      <c r="C84" s="95">
        <v>50.03</v>
      </c>
      <c r="D84" s="95">
        <v>49.95</v>
      </c>
      <c r="E84" s="95">
        <v>49.942999999999998</v>
      </c>
      <c r="F84" s="95">
        <v>49.981000000000002</v>
      </c>
      <c r="G84" s="95">
        <v>50.048000000000002</v>
      </c>
      <c r="H84" s="95">
        <v>50.042000000000002</v>
      </c>
      <c r="I84" s="95">
        <v>49.926000000000002</v>
      </c>
      <c r="J84" s="95">
        <v>50.066000000000003</v>
      </c>
      <c r="K84" s="95">
        <v>50.161000000000001</v>
      </c>
      <c r="L84" s="95">
        <v>49.951000000000001</v>
      </c>
      <c r="M84" s="95">
        <v>50</v>
      </c>
      <c r="N84" s="95">
        <v>49.996000000000002</v>
      </c>
      <c r="O84" s="95">
        <v>50.033000000000001</v>
      </c>
      <c r="P84" s="95">
        <v>50.030999999999999</v>
      </c>
      <c r="Q84" s="95">
        <v>49.930999999999997</v>
      </c>
      <c r="R84" s="95">
        <v>50.034999999999997</v>
      </c>
      <c r="S84" s="95">
        <v>49</v>
      </c>
      <c r="T84" s="95">
        <v>49.91</v>
      </c>
      <c r="U84" s="95">
        <v>49.92</v>
      </c>
      <c r="V84" s="95">
        <v>50</v>
      </c>
      <c r="W84" s="95">
        <v>49.93</v>
      </c>
      <c r="X84" s="95">
        <v>49.93</v>
      </c>
      <c r="Y84" s="95">
        <v>49.97</v>
      </c>
      <c r="Z84" s="99">
        <v>50.01</v>
      </c>
      <c r="AA84" s="99">
        <v>40.04</v>
      </c>
      <c r="AB84" s="95">
        <v>49.984000000000002</v>
      </c>
      <c r="AC84" s="95">
        <v>50.015999999999998</v>
      </c>
      <c r="AD84" s="95">
        <v>49.89</v>
      </c>
      <c r="AE84" s="95">
        <v>50.034999999999997</v>
      </c>
      <c r="AF84" s="95">
        <v>49.991</v>
      </c>
      <c r="AG84" s="96"/>
      <c r="AH84" s="53">
        <f t="shared" si="14"/>
        <v>50.161000000000001</v>
      </c>
      <c r="AI84" s="54">
        <f t="shared" si="15"/>
        <v>40.04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</v>
      </c>
      <c r="C85" s="72">
        <v>125</v>
      </c>
      <c r="D85" s="72">
        <v>125</v>
      </c>
      <c r="E85" s="72">
        <v>126.1</v>
      </c>
      <c r="F85" s="72">
        <v>126.6</v>
      </c>
      <c r="G85" s="72">
        <v>126</v>
      </c>
      <c r="H85" s="72">
        <v>125.2</v>
      </c>
      <c r="I85" s="72">
        <v>126.3</v>
      </c>
      <c r="J85" s="72">
        <v>125.8</v>
      </c>
      <c r="K85" s="72">
        <v>125.4</v>
      </c>
      <c r="L85" s="72">
        <v>123.6</v>
      </c>
      <c r="M85" s="72">
        <v>121.5</v>
      </c>
      <c r="N85" s="72">
        <v>123.7</v>
      </c>
      <c r="O85" s="72">
        <v>124.5</v>
      </c>
      <c r="P85" s="72">
        <v>127.1</v>
      </c>
      <c r="Q85" s="72">
        <v>127.5</v>
      </c>
      <c r="R85" s="72">
        <v>124.9</v>
      </c>
      <c r="S85" s="72">
        <v>124.2</v>
      </c>
      <c r="T85" s="72">
        <v>124.1</v>
      </c>
      <c r="U85" s="72">
        <v>122.9</v>
      </c>
      <c r="V85" s="99">
        <v>126</v>
      </c>
      <c r="W85" s="99">
        <v>127.2</v>
      </c>
      <c r="X85" s="99">
        <v>127.2</v>
      </c>
      <c r="Y85" s="99">
        <v>123.9</v>
      </c>
      <c r="Z85" s="99">
        <v>126.8</v>
      </c>
      <c r="AA85" s="99">
        <v>127.8</v>
      </c>
      <c r="AB85" s="72">
        <v>127.2</v>
      </c>
      <c r="AC85" s="72">
        <v>126.3</v>
      </c>
      <c r="AD85" s="72">
        <v>127.3</v>
      </c>
      <c r="AE85" s="72">
        <v>128.1</v>
      </c>
      <c r="AF85" s="72">
        <v>125.4</v>
      </c>
      <c r="AG85" s="100"/>
      <c r="AH85" s="53">
        <f t="shared" si="14"/>
        <v>128.1</v>
      </c>
      <c r="AI85" s="54">
        <f t="shared" si="15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</v>
      </c>
      <c r="C86" s="72">
        <v>129</v>
      </c>
      <c r="D86" s="72">
        <v>130</v>
      </c>
      <c r="E86" s="72">
        <v>130.5</v>
      </c>
      <c r="F86" s="72">
        <v>130.9</v>
      </c>
      <c r="G86" s="72">
        <v>130.30000000000001</v>
      </c>
      <c r="H86" s="72">
        <v>129.6</v>
      </c>
      <c r="I86" s="72">
        <v>129.5</v>
      </c>
      <c r="J86" s="72">
        <v>128.69999999999999</v>
      </c>
      <c r="K86" s="72">
        <v>128</v>
      </c>
      <c r="L86" s="72">
        <v>126.1</v>
      </c>
      <c r="M86" s="72">
        <v>123.6</v>
      </c>
      <c r="N86" s="72">
        <v>125.3</v>
      </c>
      <c r="O86" s="72">
        <v>126.5</v>
      </c>
      <c r="P86" s="72">
        <v>128.69999999999999</v>
      </c>
      <c r="Q86" s="72">
        <v>128.69999999999999</v>
      </c>
      <c r="R86" s="72">
        <v>127</v>
      </c>
      <c r="S86" s="72">
        <v>127.7</v>
      </c>
      <c r="T86" s="72">
        <v>127.5</v>
      </c>
      <c r="U86" s="72">
        <v>125.3</v>
      </c>
      <c r="V86" s="99">
        <v>128</v>
      </c>
      <c r="W86" s="99">
        <v>128.9</v>
      </c>
      <c r="X86" s="99">
        <v>128.9</v>
      </c>
      <c r="Y86" s="99">
        <v>125.2</v>
      </c>
      <c r="Z86" s="99">
        <v>127.8</v>
      </c>
      <c r="AA86" s="99">
        <v>128.69999999999999</v>
      </c>
      <c r="AB86" s="72">
        <v>128.69999999999999</v>
      </c>
      <c r="AC86" s="72">
        <v>128.4</v>
      </c>
      <c r="AD86" s="72">
        <v>129.4</v>
      </c>
      <c r="AE86" s="72">
        <v>131.19999999999999</v>
      </c>
      <c r="AF86" s="72">
        <v>129.69999999999999</v>
      </c>
      <c r="AG86" s="100"/>
      <c r="AH86" s="53">
        <f t="shared" si="14"/>
        <v>131.19999999999999</v>
      </c>
      <c r="AI86" s="54">
        <f t="shared" si="15"/>
        <v>123.6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</v>
      </c>
      <c r="C87" s="72">
        <v>130</v>
      </c>
      <c r="D87" s="72">
        <v>130</v>
      </c>
      <c r="E87" s="72">
        <v>129.9</v>
      </c>
      <c r="F87" s="72">
        <v>129.80000000000001</v>
      </c>
      <c r="G87" s="72">
        <v>129.19999999999999</v>
      </c>
      <c r="H87" s="72">
        <v>127.8</v>
      </c>
      <c r="I87" s="72">
        <v>127</v>
      </c>
      <c r="J87" s="72">
        <v>126.8</v>
      </c>
      <c r="K87" s="72">
        <v>127.8</v>
      </c>
      <c r="L87" s="72">
        <v>129.9</v>
      </c>
      <c r="M87" s="72">
        <v>128.1</v>
      </c>
      <c r="N87" s="72">
        <v>129.9</v>
      </c>
      <c r="O87" s="72">
        <v>130.9</v>
      </c>
      <c r="P87" s="72">
        <v>130</v>
      </c>
      <c r="Q87" s="72">
        <v>131.69999999999999</v>
      </c>
      <c r="R87" s="72">
        <v>130.1</v>
      </c>
      <c r="S87" s="72">
        <v>128.30000000000001</v>
      </c>
      <c r="T87" s="72">
        <v>129</v>
      </c>
      <c r="U87" s="72">
        <v>129.6</v>
      </c>
      <c r="V87" s="72">
        <v>132</v>
      </c>
      <c r="W87" s="72">
        <v>131.80000000000001</v>
      </c>
      <c r="X87" s="72">
        <v>131.80000000000001</v>
      </c>
      <c r="Y87" s="72">
        <v>129.4</v>
      </c>
      <c r="Z87" s="99">
        <v>131.6</v>
      </c>
      <c r="AA87" s="99">
        <v>131.69999999999999</v>
      </c>
      <c r="AB87" s="72">
        <v>131.19999999999999</v>
      </c>
      <c r="AC87" s="72">
        <v>131.30000000000001</v>
      </c>
      <c r="AD87" s="72">
        <v>131.5</v>
      </c>
      <c r="AE87" s="72">
        <v>19.100000000000001</v>
      </c>
      <c r="AF87" s="72">
        <v>128.19999999999999</v>
      </c>
      <c r="AG87" s="100"/>
      <c r="AH87" s="53">
        <f t="shared" si="14"/>
        <v>132</v>
      </c>
      <c r="AI87" s="54">
        <f t="shared" si="15"/>
        <v>19.100000000000001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</v>
      </c>
      <c r="C88" s="72">
        <v>133</v>
      </c>
      <c r="D88" s="72">
        <v>132</v>
      </c>
      <c r="E88" s="72">
        <v>133.5</v>
      </c>
      <c r="F88" s="72">
        <v>133.30000000000001</v>
      </c>
      <c r="G88" s="72">
        <v>132.69999999999999</v>
      </c>
      <c r="H88" s="72">
        <v>131.1</v>
      </c>
      <c r="I88" s="72">
        <v>130</v>
      </c>
      <c r="J88" s="72">
        <v>128.6</v>
      </c>
      <c r="K88" s="72">
        <v>132</v>
      </c>
      <c r="L88" s="72">
        <v>134</v>
      </c>
      <c r="M88" s="72">
        <v>133.1</v>
      </c>
      <c r="N88" s="72">
        <v>132</v>
      </c>
      <c r="O88" s="72">
        <v>133.69999999999999</v>
      </c>
      <c r="P88" s="72">
        <v>133</v>
      </c>
      <c r="Q88" s="72">
        <v>135.19999999999999</v>
      </c>
      <c r="R88" s="72">
        <v>132.9</v>
      </c>
      <c r="S88" s="72">
        <v>130.6</v>
      </c>
      <c r="T88" s="72">
        <v>131.69999999999999</v>
      </c>
      <c r="U88" s="72">
        <v>131.4</v>
      </c>
      <c r="V88" s="72">
        <v>133</v>
      </c>
      <c r="W88" s="72">
        <v>133</v>
      </c>
      <c r="X88" s="72">
        <v>133</v>
      </c>
      <c r="Y88" s="72">
        <v>131.1</v>
      </c>
      <c r="Z88" s="99">
        <v>133.5</v>
      </c>
      <c r="AA88" s="99">
        <v>134.1</v>
      </c>
      <c r="AB88" s="72">
        <v>132.80000000000001</v>
      </c>
      <c r="AC88" s="72">
        <v>133.19999999999999</v>
      </c>
      <c r="AD88" s="72">
        <v>134</v>
      </c>
      <c r="AE88" s="72">
        <v>132.5</v>
      </c>
      <c r="AF88" s="72">
        <v>131.69999999999999</v>
      </c>
      <c r="AG88" s="100"/>
      <c r="AH88" s="53">
        <f t="shared" si="14"/>
        <v>135.19999999999999</v>
      </c>
      <c r="AI88" s="54">
        <f t="shared" si="15"/>
        <v>128.6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131</v>
      </c>
      <c r="C89" s="103">
        <v>130</v>
      </c>
      <c r="D89" s="103">
        <v>131</v>
      </c>
      <c r="E89" s="103">
        <v>131.9</v>
      </c>
      <c r="F89" s="103">
        <v>133.5</v>
      </c>
      <c r="G89" s="103">
        <v>130.5</v>
      </c>
      <c r="H89" s="103">
        <v>133.30000000000001</v>
      </c>
      <c r="I89" s="103">
        <v>130.30000000000001</v>
      </c>
      <c r="J89" s="103">
        <v>132.9</v>
      </c>
      <c r="K89" s="103">
        <v>133.19999999999999</v>
      </c>
      <c r="L89" s="103">
        <v>130.1</v>
      </c>
      <c r="M89" s="103">
        <v>146.19999999999999</v>
      </c>
      <c r="N89" s="103">
        <v>131.4</v>
      </c>
      <c r="O89" s="103">
        <v>136.19999999999999</v>
      </c>
      <c r="P89" s="103">
        <v>133.6</v>
      </c>
      <c r="Q89" s="103">
        <v>132</v>
      </c>
      <c r="R89" s="103">
        <v>134.1</v>
      </c>
      <c r="S89" s="103">
        <v>132</v>
      </c>
      <c r="T89" s="103">
        <v>136.5</v>
      </c>
      <c r="U89" s="103">
        <v>130.5</v>
      </c>
      <c r="V89" s="103">
        <v>133</v>
      </c>
      <c r="W89" s="103">
        <v>135.69999999999999</v>
      </c>
      <c r="X89" s="103">
        <v>135.69999999999999</v>
      </c>
      <c r="Y89" s="103">
        <v>133.4</v>
      </c>
      <c r="Z89" s="99">
        <v>135.4</v>
      </c>
      <c r="AA89" s="99">
        <v>134.9</v>
      </c>
      <c r="AB89" s="103">
        <v>134.9</v>
      </c>
      <c r="AC89" s="103">
        <v>135.5</v>
      </c>
      <c r="AD89" s="103">
        <v>135.5</v>
      </c>
      <c r="AE89" s="103">
        <v>134.19999999999999</v>
      </c>
      <c r="AF89" s="103">
        <v>131.6</v>
      </c>
      <c r="AG89" s="104"/>
      <c r="AH89" s="53">
        <f t="shared" si="14"/>
        <v>146.19999999999999</v>
      </c>
      <c r="AI89" s="54">
        <f t="shared" si="15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</v>
      </c>
      <c r="C90" s="72">
        <v>136</v>
      </c>
      <c r="D90" s="72">
        <v>137</v>
      </c>
      <c r="E90" s="72">
        <v>135.80000000000001</v>
      </c>
      <c r="F90" s="72">
        <v>135.80000000000001</v>
      </c>
      <c r="G90" s="72">
        <v>136.30000000000001</v>
      </c>
      <c r="H90" s="72">
        <v>136.5</v>
      </c>
      <c r="I90" s="72">
        <v>131.1</v>
      </c>
      <c r="J90" s="72">
        <v>133.30000000000001</v>
      </c>
      <c r="K90" s="72">
        <v>130.1</v>
      </c>
      <c r="L90" s="72">
        <v>129</v>
      </c>
      <c r="M90" s="72">
        <v>128.69999999999999</v>
      </c>
      <c r="N90" s="72">
        <v>126.5</v>
      </c>
      <c r="O90" s="72">
        <v>125.5</v>
      </c>
      <c r="P90" s="72">
        <v>131.69999999999999</v>
      </c>
      <c r="Q90" s="72">
        <v>134</v>
      </c>
      <c r="R90" s="72">
        <v>133.4</v>
      </c>
      <c r="S90" s="72">
        <v>131.69999999999999</v>
      </c>
      <c r="T90" s="72">
        <v>132.80000000000001</v>
      </c>
      <c r="U90" s="72">
        <v>132.6</v>
      </c>
      <c r="V90" s="72">
        <v>131</v>
      </c>
      <c r="W90" s="72">
        <v>128.6</v>
      </c>
      <c r="X90" s="72">
        <v>128.6</v>
      </c>
      <c r="Y90" s="72">
        <v>129.6</v>
      </c>
      <c r="Z90" s="99">
        <v>131.69999999999999</v>
      </c>
      <c r="AA90" s="99">
        <v>64.5</v>
      </c>
      <c r="AB90" s="72">
        <v>134.80000000000001</v>
      </c>
      <c r="AC90" s="72">
        <v>132</v>
      </c>
      <c r="AD90" s="72">
        <v>133.5</v>
      </c>
      <c r="AE90" s="72">
        <v>136.69999999999999</v>
      </c>
      <c r="AF90" s="72">
        <v>134.69999999999999</v>
      </c>
      <c r="AG90" s="100"/>
      <c r="AH90" s="53">
        <f t="shared" si="14"/>
        <v>137</v>
      </c>
      <c r="AI90" s="54">
        <f t="shared" si="15"/>
        <v>64.5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66</v>
      </c>
      <c r="C91" s="106">
        <v>65</v>
      </c>
      <c r="D91" s="106">
        <v>65.8</v>
      </c>
      <c r="E91" s="106">
        <v>65.900000000000006</v>
      </c>
      <c r="F91" s="106">
        <v>66</v>
      </c>
      <c r="G91" s="106">
        <v>65.400000000000006</v>
      </c>
      <c r="H91" s="106">
        <v>65.3</v>
      </c>
      <c r="I91" s="106">
        <v>65.2</v>
      </c>
      <c r="J91" s="106">
        <v>64.8</v>
      </c>
      <c r="K91" s="106">
        <v>64.599999999999994</v>
      </c>
      <c r="L91" s="106">
        <v>63.6</v>
      </c>
      <c r="M91" s="106">
        <v>62.1</v>
      </c>
      <c r="N91" s="106">
        <v>62.6</v>
      </c>
      <c r="O91" s="106">
        <v>63.4</v>
      </c>
      <c r="P91" s="106">
        <v>64.2</v>
      </c>
      <c r="Q91" s="106">
        <v>63.7</v>
      </c>
      <c r="R91" s="106">
        <v>63.6</v>
      </c>
      <c r="S91" s="106">
        <v>63.8</v>
      </c>
      <c r="T91" s="106">
        <v>63.8</v>
      </c>
      <c r="U91" s="106">
        <v>63</v>
      </c>
      <c r="V91" s="106">
        <v>64.5</v>
      </c>
      <c r="W91" s="106">
        <v>64.900000000000006</v>
      </c>
      <c r="X91" s="106">
        <v>64.900000000000006</v>
      </c>
      <c r="Y91" s="106">
        <v>62.9</v>
      </c>
      <c r="Z91" s="106">
        <v>64.2</v>
      </c>
      <c r="AA91" s="106">
        <v>64.2</v>
      </c>
      <c r="AB91" s="106">
        <v>64.900000000000006</v>
      </c>
      <c r="AC91" s="106">
        <v>64.7</v>
      </c>
      <c r="AD91" s="106">
        <v>65.3</v>
      </c>
      <c r="AE91" s="106">
        <v>66.3</v>
      </c>
      <c r="AF91" s="106">
        <v>65.7</v>
      </c>
      <c r="AG91" s="107"/>
      <c r="AH91" s="53">
        <f t="shared" si="14"/>
        <v>66.3</v>
      </c>
      <c r="AI91" s="54">
        <f t="shared" si="15"/>
        <v>62.1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6.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224.43999999999997</v>
      </c>
      <c r="C93" s="113">
        <f>SUM(C15,C18,C21:C22,C42,C44:C45,C47,C49,C94:C97,C102,C108,C114,C123,C125,C137,C144,C147:C148,C155,C157,C159,C163:C165,C167:C169,C174,C180:C181,C183:C185,C193,C198)</f>
        <v>208.43999999999997</v>
      </c>
      <c r="D93" s="113">
        <f t="shared" ref="D93:AF93" si="22">SUM(D15,D18,D21:D22,D42,D44:D45,D47,D49,D94:D97,D102,D108,D114,D123,D125,D137,D144,D147:D148,D155,D157,D159,D163:D165,D167:D169,D174,D180:D181,D183:D185,D193,D198)</f>
        <v>204.43999999999997</v>
      </c>
      <c r="E93" s="113">
        <f t="shared" si="22"/>
        <v>199.43999999999997</v>
      </c>
      <c r="F93" s="113">
        <f t="shared" si="22"/>
        <v>204.93999999999997</v>
      </c>
      <c r="G93" s="112">
        <f t="shared" si="22"/>
        <v>221.64</v>
      </c>
      <c r="H93" s="112">
        <f t="shared" si="22"/>
        <v>237.23999999999998</v>
      </c>
      <c r="I93" s="112">
        <f t="shared" si="22"/>
        <v>277.44</v>
      </c>
      <c r="J93" s="112">
        <f t="shared" si="22"/>
        <v>310.44000000000005</v>
      </c>
      <c r="K93" s="112">
        <f t="shared" si="22"/>
        <v>404.44000000000005</v>
      </c>
      <c r="L93" s="112">
        <f t="shared" si="22"/>
        <v>432.84000000000003</v>
      </c>
      <c r="M93" s="112">
        <f t="shared" si="22"/>
        <v>458.54</v>
      </c>
      <c r="N93" s="112">
        <f t="shared" si="22"/>
        <v>449.54</v>
      </c>
      <c r="O93" s="112">
        <f t="shared" si="22"/>
        <v>438.14</v>
      </c>
      <c r="P93" s="112">
        <f t="shared" si="22"/>
        <v>420.24</v>
      </c>
      <c r="Q93" s="112">
        <f t="shared" si="22"/>
        <v>397.24</v>
      </c>
      <c r="R93" s="112">
        <f t="shared" si="22"/>
        <v>382.34000000000003</v>
      </c>
      <c r="S93" s="112">
        <f t="shared" si="22"/>
        <v>371.14</v>
      </c>
      <c r="T93" s="112">
        <f t="shared" si="22"/>
        <v>376.84000000000003</v>
      </c>
      <c r="U93" s="112">
        <f t="shared" si="22"/>
        <v>387.84000000000003</v>
      </c>
      <c r="V93" s="112">
        <f t="shared" si="22"/>
        <v>418.64000000000004</v>
      </c>
      <c r="W93" s="112">
        <f t="shared" si="22"/>
        <v>440.14000000000004</v>
      </c>
      <c r="X93" s="112">
        <f t="shared" si="22"/>
        <v>484.94000000000005</v>
      </c>
      <c r="Y93" s="189">
        <f t="shared" ref="Y93" si="23">SUM(Y137,Y94:Y97,Y12,Y16,Y22,Y28,Y29,Y42,Y44:Y45,Y47,Y49)</f>
        <v>485.91999999999996</v>
      </c>
      <c r="Z93" s="112">
        <f t="shared" si="22"/>
        <v>501.64000000000004</v>
      </c>
      <c r="AA93" s="112">
        <f t="shared" si="22"/>
        <v>490.14000000000004</v>
      </c>
      <c r="AB93" s="112">
        <f t="shared" si="22"/>
        <v>487.24</v>
      </c>
      <c r="AC93" s="112">
        <f t="shared" si="22"/>
        <v>457.44000000000005</v>
      </c>
      <c r="AD93" s="112">
        <f t="shared" si="22"/>
        <v>423.04000000000008</v>
      </c>
      <c r="AE93" s="112">
        <f t="shared" si="22"/>
        <v>324.34000000000003</v>
      </c>
      <c r="AF93" s="112">
        <f t="shared" si="22"/>
        <v>242.53999999999996</v>
      </c>
      <c r="AG93" s="114"/>
      <c r="AH93" s="53">
        <f>MAX(C93:AF93)</f>
        <v>501.64000000000004</v>
      </c>
      <c r="AI93" s="54">
        <f>MIN(C93:AF93)</f>
        <v>199.43999999999997</v>
      </c>
    </row>
    <row r="94" spans="1:88" x14ac:dyDescent="0.25">
      <c r="A94" s="115" t="s">
        <v>98</v>
      </c>
      <c r="B94" s="116">
        <v>-13</v>
      </c>
      <c r="C94" s="57">
        <v>-33</v>
      </c>
      <c r="D94" s="57">
        <v>-32</v>
      </c>
      <c r="E94" s="57">
        <v>-29</v>
      </c>
      <c r="F94" s="57">
        <v>-14</v>
      </c>
      <c r="G94" s="117">
        <v>0</v>
      </c>
      <c r="H94" s="117">
        <v>0</v>
      </c>
      <c r="I94" s="117">
        <v>0</v>
      </c>
      <c r="J94" s="117">
        <v>11</v>
      </c>
      <c r="K94" s="117">
        <v>55</v>
      </c>
      <c r="L94" s="117">
        <v>61.4</v>
      </c>
      <c r="M94" s="118">
        <v>53.3</v>
      </c>
      <c r="N94" s="117">
        <v>28</v>
      </c>
      <c r="O94" s="117">
        <v>18.7</v>
      </c>
      <c r="P94" s="117">
        <v>30.2</v>
      </c>
      <c r="Q94" s="117">
        <v>10.9</v>
      </c>
      <c r="R94" s="117">
        <v>12.8</v>
      </c>
      <c r="S94" s="117">
        <v>18</v>
      </c>
      <c r="T94" s="117">
        <v>24.8</v>
      </c>
      <c r="U94" s="117">
        <v>29.8</v>
      </c>
      <c r="V94" s="118">
        <v>47.8</v>
      </c>
      <c r="W94" s="118">
        <v>67.599999999999994</v>
      </c>
      <c r="X94" s="118">
        <v>58.8</v>
      </c>
      <c r="Y94" s="59">
        <v>47.5</v>
      </c>
      <c r="Z94" s="59">
        <v>55.9</v>
      </c>
      <c r="AA94" s="59">
        <v>63.5</v>
      </c>
      <c r="AB94" s="118">
        <v>66.7</v>
      </c>
      <c r="AC94" s="118">
        <v>55.9</v>
      </c>
      <c r="AD94" s="118">
        <v>47.6</v>
      </c>
      <c r="AE94" s="118">
        <v>17.399999999999999</v>
      </c>
      <c r="AF94" s="118">
        <v>10.7</v>
      </c>
      <c r="AG94" s="119">
        <v>75</v>
      </c>
      <c r="AH94" s="53">
        <f t="shared" ref="AH94:AH99" si="24">IF(ABS(MAX(C94:AF94))&gt;ABS(MIN(C94:AF94)),MAX(C94:AF94),MIN(C94:AF94))</f>
        <v>67.599999999999994</v>
      </c>
      <c r="AI94" s="120">
        <f t="shared" ref="AI94:AI99" si="25">INDEX($C$9:$AF$9,1,MATCH(AH94,C94:AF94,0))</f>
        <v>0.72916666666666663</v>
      </c>
    </row>
    <row r="95" spans="1:88" x14ac:dyDescent="0.25">
      <c r="A95" s="121" t="s">
        <v>99</v>
      </c>
      <c r="B95" s="122">
        <v>-30</v>
      </c>
      <c r="C95" s="59">
        <v>-32</v>
      </c>
      <c r="D95" s="59">
        <v>-32</v>
      </c>
      <c r="E95" s="59">
        <v>-35.299999999999997</v>
      </c>
      <c r="F95" s="59">
        <v>-36</v>
      </c>
      <c r="G95" s="59">
        <v>-34.200000000000003</v>
      </c>
      <c r="H95" s="59">
        <v>-28.6</v>
      </c>
      <c r="I95" s="59">
        <v>0</v>
      </c>
      <c r="J95" s="59">
        <v>11</v>
      </c>
      <c r="K95" s="59">
        <v>41</v>
      </c>
      <c r="L95" s="59">
        <v>50</v>
      </c>
      <c r="M95" s="59">
        <v>63.5</v>
      </c>
      <c r="N95" s="59">
        <v>70</v>
      </c>
      <c r="O95" s="59">
        <v>68.2</v>
      </c>
      <c r="P95" s="59">
        <v>46.9</v>
      </c>
      <c r="Q95" s="59">
        <v>51.9</v>
      </c>
      <c r="R95" s="59">
        <v>80.2</v>
      </c>
      <c r="S95" s="59">
        <f>40.7+0</f>
        <v>40.700000000000003</v>
      </c>
      <c r="T95" s="59">
        <f>37.1</f>
        <v>37.1</v>
      </c>
      <c r="U95" s="59">
        <f>22.4+25.4</f>
        <v>47.8</v>
      </c>
      <c r="V95" s="59">
        <v>60</v>
      </c>
      <c r="W95" s="59">
        <f>31.9+28.2</f>
        <v>60.099999999999994</v>
      </c>
      <c r="X95" s="59">
        <f>45.5+42.5</f>
        <v>88</v>
      </c>
      <c r="Y95" s="59">
        <f>57.6+56</f>
        <v>113.6</v>
      </c>
      <c r="Z95" s="59">
        <f>51+48.1</f>
        <v>99.1</v>
      </c>
      <c r="AA95" s="59">
        <f>44.3+40.7</f>
        <v>85</v>
      </c>
      <c r="AB95" s="72">
        <v>86</v>
      </c>
      <c r="AC95" s="72">
        <v>89.9</v>
      </c>
      <c r="AD95" s="72">
        <v>59.1</v>
      </c>
      <c r="AE95" s="72">
        <v>24</v>
      </c>
      <c r="AF95" s="72">
        <v>-24</v>
      </c>
      <c r="AG95" s="119">
        <v>240</v>
      </c>
      <c r="AH95" s="53">
        <f t="shared" si="24"/>
        <v>113.6</v>
      </c>
      <c r="AI95" s="120">
        <f t="shared" si="25"/>
        <v>0.77083333333333337</v>
      </c>
    </row>
    <row r="96" spans="1:88" x14ac:dyDescent="0.25">
      <c r="A96" s="121" t="s">
        <v>100</v>
      </c>
      <c r="B96" s="122">
        <v>0</v>
      </c>
      <c r="C96" s="59">
        <v>-4</v>
      </c>
      <c r="D96" s="59">
        <v>-2</v>
      </c>
      <c r="E96" s="59">
        <v>-3.7</v>
      </c>
      <c r="F96" s="59">
        <v>-6.5</v>
      </c>
      <c r="G96" s="59">
        <v>-6.6</v>
      </c>
      <c r="H96" s="59">
        <v>-2.6</v>
      </c>
      <c r="I96" s="59">
        <v>8</v>
      </c>
      <c r="J96" s="59">
        <v>13</v>
      </c>
      <c r="K96" s="59">
        <v>33</v>
      </c>
      <c r="L96" s="59">
        <v>34</v>
      </c>
      <c r="M96" s="59">
        <v>42.8</v>
      </c>
      <c r="N96" s="59">
        <v>62.9</v>
      </c>
      <c r="O96" s="59">
        <v>62</v>
      </c>
      <c r="P96" s="59">
        <v>66</v>
      </c>
      <c r="Q96" s="59">
        <v>65.599999999999994</v>
      </c>
      <c r="R96" s="59">
        <v>49</v>
      </c>
      <c r="S96" s="59">
        <v>29.1</v>
      </c>
      <c r="T96" s="59">
        <v>30.1</v>
      </c>
      <c r="U96" s="59">
        <v>29.8</v>
      </c>
      <c r="V96" s="59">
        <v>35</v>
      </c>
      <c r="W96" s="59">
        <v>64.900000000000006</v>
      </c>
      <c r="X96" s="59">
        <v>67.7</v>
      </c>
      <c r="Y96" s="59">
        <v>67.8</v>
      </c>
      <c r="Z96" s="59">
        <v>67</v>
      </c>
      <c r="AA96" s="59">
        <v>67</v>
      </c>
      <c r="AB96" s="72">
        <v>64.599999999999994</v>
      </c>
      <c r="AC96" s="72">
        <v>55.4</v>
      </c>
      <c r="AD96" s="72">
        <v>44.1</v>
      </c>
      <c r="AE96" s="72">
        <v>20.7</v>
      </c>
      <c r="AF96" s="72">
        <v>1.6</v>
      </c>
      <c r="AG96" s="119">
        <v>60</v>
      </c>
      <c r="AH96" s="53">
        <f t="shared" si="24"/>
        <v>67.8</v>
      </c>
      <c r="AI96" s="120">
        <f t="shared" si="25"/>
        <v>0.77083333333333337</v>
      </c>
    </row>
    <row r="97" spans="1:37" x14ac:dyDescent="0.25">
      <c r="A97" s="123" t="s">
        <v>101</v>
      </c>
      <c r="B97" s="124">
        <v>87</v>
      </c>
      <c r="C97" s="62">
        <v>97</v>
      </c>
      <c r="D97" s="62">
        <v>90</v>
      </c>
      <c r="E97" s="62">
        <v>87</v>
      </c>
      <c r="F97" s="62">
        <v>81</v>
      </c>
      <c r="G97" s="62">
        <v>82</v>
      </c>
      <c r="H97" s="62">
        <v>88</v>
      </c>
      <c r="I97" s="62">
        <v>89</v>
      </c>
      <c r="J97" s="62">
        <v>95</v>
      </c>
      <c r="K97" s="62">
        <v>95</v>
      </c>
      <c r="L97" s="62">
        <v>107</v>
      </c>
      <c r="M97" s="62">
        <v>118.2</v>
      </c>
      <c r="N97" s="62">
        <v>116</v>
      </c>
      <c r="O97" s="62">
        <v>118.6</v>
      </c>
      <c r="P97" s="62">
        <v>110.4</v>
      </c>
      <c r="Q97" s="62">
        <v>101.1</v>
      </c>
      <c r="R97" s="62">
        <v>103.7</v>
      </c>
      <c r="S97" s="62">
        <v>117.3</v>
      </c>
      <c r="T97" s="62">
        <v>117.9</v>
      </c>
      <c r="U97" s="62">
        <v>113.6</v>
      </c>
      <c r="V97" s="62">
        <v>109</v>
      </c>
      <c r="W97" s="62">
        <v>80.7</v>
      </c>
      <c r="X97" s="62">
        <v>103.6</v>
      </c>
      <c r="Y97" s="59">
        <v>113</v>
      </c>
      <c r="Z97" s="59">
        <v>112.8</v>
      </c>
      <c r="AA97" s="59">
        <v>107.8</v>
      </c>
      <c r="AB97" s="125">
        <v>103.1</v>
      </c>
      <c r="AC97" s="125">
        <v>89.4</v>
      </c>
      <c r="AD97" s="125">
        <v>105.4</v>
      </c>
      <c r="AE97" s="125">
        <v>91.4</v>
      </c>
      <c r="AF97" s="125">
        <v>83.4</v>
      </c>
      <c r="AG97" s="126">
        <v>120</v>
      </c>
      <c r="AH97" s="53">
        <f t="shared" si="24"/>
        <v>118.6</v>
      </c>
      <c r="AI97" s="120">
        <f t="shared" si="25"/>
        <v>0.41666666666666702</v>
      </c>
    </row>
    <row r="98" spans="1:37" x14ac:dyDescent="0.25">
      <c r="A98" s="123" t="s">
        <v>102</v>
      </c>
      <c r="B98" s="124">
        <v>90</v>
      </c>
      <c r="C98" s="62">
        <v>99</v>
      </c>
      <c r="D98" s="62">
        <v>92</v>
      </c>
      <c r="E98" s="62">
        <v>92</v>
      </c>
      <c r="F98" s="62">
        <v>84</v>
      </c>
      <c r="G98" s="62">
        <v>83.5</v>
      </c>
      <c r="H98" s="62">
        <v>86</v>
      </c>
      <c r="I98" s="62">
        <v>73</v>
      </c>
      <c r="J98" s="62">
        <v>78</v>
      </c>
      <c r="K98" s="62">
        <v>73</v>
      </c>
      <c r="L98" s="62">
        <v>87</v>
      </c>
      <c r="M98" s="62">
        <v>99.7</v>
      </c>
      <c r="N98" s="62">
        <v>99.4</v>
      </c>
      <c r="O98" s="62">
        <v>96.7</v>
      </c>
      <c r="P98" s="62">
        <v>65</v>
      </c>
      <c r="Q98" s="62">
        <v>71.3</v>
      </c>
      <c r="R98" s="62">
        <v>95.1</v>
      </c>
      <c r="S98" s="62">
        <v>91.3</v>
      </c>
      <c r="T98" s="62">
        <v>99.5</v>
      </c>
      <c r="U98" s="62">
        <v>98</v>
      </c>
      <c r="V98" s="62">
        <v>99</v>
      </c>
      <c r="W98" s="62">
        <v>47.9</v>
      </c>
      <c r="X98" s="62">
        <v>71.900000000000006</v>
      </c>
      <c r="Y98" s="59">
        <v>110</v>
      </c>
      <c r="Z98" s="59">
        <v>88.7</v>
      </c>
      <c r="AA98" s="59">
        <v>73</v>
      </c>
      <c r="AB98" s="125">
        <v>79.099999999999994</v>
      </c>
      <c r="AC98" s="125">
        <v>102</v>
      </c>
      <c r="AD98" s="125">
        <v>81.599999999999994</v>
      </c>
      <c r="AE98" s="125">
        <v>73.099999999999994</v>
      </c>
      <c r="AF98" s="125">
        <v>85.1</v>
      </c>
      <c r="AG98" s="126"/>
      <c r="AH98" s="53">
        <f t="shared" si="24"/>
        <v>110</v>
      </c>
      <c r="AI98" s="120">
        <f t="shared" si="25"/>
        <v>0.77083333333333337</v>
      </c>
    </row>
    <row r="99" spans="1:37" ht="15.75" thickBot="1" x14ac:dyDescent="0.3">
      <c r="A99" s="123" t="s">
        <v>103</v>
      </c>
      <c r="B99" s="124">
        <v>55</v>
      </c>
      <c r="C99" s="62">
        <v>81</v>
      </c>
      <c r="D99" s="62">
        <v>80</v>
      </c>
      <c r="E99" s="62">
        <v>74.400000000000006</v>
      </c>
      <c r="F99" s="62">
        <v>52</v>
      </c>
      <c r="G99" s="62">
        <v>54</v>
      </c>
      <c r="H99" s="62">
        <v>38</v>
      </c>
      <c r="I99" s="62">
        <v>53</v>
      </c>
      <c r="J99" s="62">
        <v>38</v>
      </c>
      <c r="K99" s="62">
        <v>18</v>
      </c>
      <c r="L99" s="62">
        <v>23</v>
      </c>
      <c r="M99" s="62">
        <v>23.5</v>
      </c>
      <c r="N99" s="62">
        <v>42.7</v>
      </c>
      <c r="O99" s="62">
        <v>45.4</v>
      </c>
      <c r="P99" s="62">
        <v>29.5</v>
      </c>
      <c r="Q99" s="62">
        <v>35.6</v>
      </c>
      <c r="R99" s="62">
        <v>47.6</v>
      </c>
      <c r="S99" s="62">
        <v>40.299999999999997</v>
      </c>
      <c r="T99" s="62">
        <v>38.799999999999997</v>
      </c>
      <c r="U99" s="62">
        <v>42.2</v>
      </c>
      <c r="V99" s="62">
        <v>36.6</v>
      </c>
      <c r="W99" s="62">
        <v>5.6</v>
      </c>
      <c r="X99" s="62">
        <v>20.8</v>
      </c>
      <c r="Y99" s="59">
        <v>34.299999999999997</v>
      </c>
      <c r="Z99" s="59">
        <v>29.1</v>
      </c>
      <c r="AA99" s="59">
        <v>21.1</v>
      </c>
      <c r="AB99" s="125">
        <v>19</v>
      </c>
      <c r="AC99" s="125">
        <v>22.2</v>
      </c>
      <c r="AD99" s="125">
        <v>29.3</v>
      </c>
      <c r="AE99" s="125">
        <v>40</v>
      </c>
      <c r="AF99" s="125">
        <v>41</v>
      </c>
      <c r="AG99" s="127"/>
      <c r="AH99" s="53">
        <f t="shared" si="24"/>
        <v>81</v>
      </c>
      <c r="AI99" s="120">
        <f t="shared" si="25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6">AF101</f>
        <v>9.9</v>
      </c>
      <c r="C101" s="52">
        <v>9.9</v>
      </c>
      <c r="D101" s="133">
        <f t="shared" ref="D101:S106" si="27">C101</f>
        <v>9.9</v>
      </c>
      <c r="E101" s="133">
        <f t="shared" si="27"/>
        <v>9.9</v>
      </c>
      <c r="F101" s="133">
        <f t="shared" si="27"/>
        <v>9.9</v>
      </c>
      <c r="G101" s="133">
        <f t="shared" si="27"/>
        <v>9.9</v>
      </c>
      <c r="H101" s="133">
        <f t="shared" si="27"/>
        <v>9.9</v>
      </c>
      <c r="I101" s="133">
        <f t="shared" si="27"/>
        <v>9.9</v>
      </c>
      <c r="J101" s="133">
        <f t="shared" si="27"/>
        <v>9.9</v>
      </c>
      <c r="K101" s="133">
        <f t="shared" si="27"/>
        <v>9.9</v>
      </c>
      <c r="L101" s="133">
        <f t="shared" si="27"/>
        <v>9.9</v>
      </c>
      <c r="M101" s="133">
        <f t="shared" si="27"/>
        <v>9.9</v>
      </c>
      <c r="N101" s="133">
        <f t="shared" si="27"/>
        <v>9.9</v>
      </c>
      <c r="O101" s="133">
        <f t="shared" si="27"/>
        <v>9.9</v>
      </c>
      <c r="P101" s="133">
        <f t="shared" si="27"/>
        <v>9.9</v>
      </c>
      <c r="Q101" s="133">
        <f t="shared" si="27"/>
        <v>9.9</v>
      </c>
      <c r="R101" s="133">
        <f t="shared" si="27"/>
        <v>9.9</v>
      </c>
      <c r="S101" s="133">
        <f t="shared" si="27"/>
        <v>9.9</v>
      </c>
      <c r="T101" s="133">
        <f t="shared" ref="T101:AF106" si="28">S101</f>
        <v>9.9</v>
      </c>
      <c r="U101" s="133">
        <f t="shared" si="28"/>
        <v>9.9</v>
      </c>
      <c r="V101" s="133">
        <f t="shared" si="28"/>
        <v>9.9</v>
      </c>
      <c r="W101" s="133">
        <f t="shared" si="28"/>
        <v>9.9</v>
      </c>
      <c r="X101" s="133">
        <f t="shared" si="28"/>
        <v>9.9</v>
      </c>
      <c r="Y101" s="133">
        <f t="shared" si="28"/>
        <v>9.9</v>
      </c>
      <c r="Z101" s="133">
        <f t="shared" si="28"/>
        <v>9.9</v>
      </c>
      <c r="AA101" s="133">
        <f t="shared" si="28"/>
        <v>9.9</v>
      </c>
      <c r="AB101" s="133">
        <f t="shared" si="28"/>
        <v>9.9</v>
      </c>
      <c r="AC101" s="133">
        <f t="shared" si="28"/>
        <v>9.9</v>
      </c>
      <c r="AD101" s="133">
        <f t="shared" si="28"/>
        <v>9.9</v>
      </c>
      <c r="AE101" s="133">
        <f t="shared" si="28"/>
        <v>9.9</v>
      </c>
      <c r="AF101" s="133">
        <f t="shared" si="28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6"/>
        <v>9.6</v>
      </c>
      <c r="C102" s="136">
        <v>9.6</v>
      </c>
      <c r="D102" s="135">
        <f t="shared" si="27"/>
        <v>9.6</v>
      </c>
      <c r="E102" s="135">
        <f t="shared" si="27"/>
        <v>9.6</v>
      </c>
      <c r="F102" s="135">
        <f t="shared" si="27"/>
        <v>9.6</v>
      </c>
      <c r="G102" s="135">
        <f t="shared" si="27"/>
        <v>9.6</v>
      </c>
      <c r="H102" s="135">
        <f t="shared" si="27"/>
        <v>9.6</v>
      </c>
      <c r="I102" s="135">
        <f t="shared" si="27"/>
        <v>9.6</v>
      </c>
      <c r="J102" s="135">
        <f t="shared" si="27"/>
        <v>9.6</v>
      </c>
      <c r="K102" s="135">
        <f t="shared" si="27"/>
        <v>9.6</v>
      </c>
      <c r="L102" s="135">
        <f t="shared" si="27"/>
        <v>9.6</v>
      </c>
      <c r="M102" s="135">
        <f t="shared" si="27"/>
        <v>9.6</v>
      </c>
      <c r="N102" s="135">
        <f t="shared" si="27"/>
        <v>9.6</v>
      </c>
      <c r="O102" s="135">
        <f t="shared" si="27"/>
        <v>9.6</v>
      </c>
      <c r="P102" s="135">
        <f t="shared" si="27"/>
        <v>9.6</v>
      </c>
      <c r="Q102" s="135">
        <f t="shared" si="27"/>
        <v>9.6</v>
      </c>
      <c r="R102" s="135">
        <f t="shared" si="27"/>
        <v>9.6</v>
      </c>
      <c r="S102" s="135">
        <f t="shared" si="27"/>
        <v>9.6</v>
      </c>
      <c r="T102" s="135">
        <f t="shared" si="28"/>
        <v>9.6</v>
      </c>
      <c r="U102" s="135">
        <f t="shared" si="28"/>
        <v>9.6</v>
      </c>
      <c r="V102" s="135">
        <f t="shared" si="28"/>
        <v>9.6</v>
      </c>
      <c r="W102" s="135">
        <f t="shared" si="28"/>
        <v>9.6</v>
      </c>
      <c r="X102" s="135">
        <f t="shared" si="28"/>
        <v>9.6</v>
      </c>
      <c r="Y102" s="135">
        <f t="shared" si="28"/>
        <v>9.6</v>
      </c>
      <c r="Z102" s="135">
        <f t="shared" si="28"/>
        <v>9.6</v>
      </c>
      <c r="AA102" s="135">
        <f t="shared" si="28"/>
        <v>9.6</v>
      </c>
      <c r="AB102" s="135">
        <f t="shared" si="28"/>
        <v>9.6</v>
      </c>
      <c r="AC102" s="135">
        <f t="shared" si="28"/>
        <v>9.6</v>
      </c>
      <c r="AD102" s="135">
        <f t="shared" si="28"/>
        <v>9.6</v>
      </c>
      <c r="AE102" s="135">
        <f t="shared" si="28"/>
        <v>9.6</v>
      </c>
      <c r="AF102" s="135">
        <f t="shared" si="28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6"/>
        <v>9.98</v>
      </c>
      <c r="C103" s="136">
        <v>9.98</v>
      </c>
      <c r="D103" s="135">
        <f t="shared" si="27"/>
        <v>9.98</v>
      </c>
      <c r="E103" s="135">
        <f t="shared" si="27"/>
        <v>9.98</v>
      </c>
      <c r="F103" s="135">
        <f t="shared" si="27"/>
        <v>9.98</v>
      </c>
      <c r="G103" s="135">
        <f t="shared" si="27"/>
        <v>9.98</v>
      </c>
      <c r="H103" s="135">
        <f t="shared" si="27"/>
        <v>9.98</v>
      </c>
      <c r="I103" s="135">
        <f t="shared" si="27"/>
        <v>9.98</v>
      </c>
      <c r="J103" s="135">
        <f t="shared" si="27"/>
        <v>9.98</v>
      </c>
      <c r="K103" s="135">
        <f t="shared" si="27"/>
        <v>9.98</v>
      </c>
      <c r="L103" s="135">
        <f t="shared" si="27"/>
        <v>9.98</v>
      </c>
      <c r="M103" s="135">
        <f t="shared" si="27"/>
        <v>9.98</v>
      </c>
      <c r="N103" s="135">
        <f t="shared" si="27"/>
        <v>9.98</v>
      </c>
      <c r="O103" s="135">
        <f t="shared" si="27"/>
        <v>9.98</v>
      </c>
      <c r="P103" s="135">
        <f t="shared" si="27"/>
        <v>9.98</v>
      </c>
      <c r="Q103" s="135">
        <f t="shared" si="27"/>
        <v>9.98</v>
      </c>
      <c r="R103" s="135">
        <f t="shared" si="27"/>
        <v>9.98</v>
      </c>
      <c r="S103" s="135">
        <f t="shared" si="27"/>
        <v>9.98</v>
      </c>
      <c r="T103" s="135">
        <f t="shared" si="28"/>
        <v>9.98</v>
      </c>
      <c r="U103" s="135">
        <f t="shared" si="28"/>
        <v>9.98</v>
      </c>
      <c r="V103" s="135">
        <f t="shared" si="28"/>
        <v>9.98</v>
      </c>
      <c r="W103" s="135">
        <f t="shared" si="28"/>
        <v>9.98</v>
      </c>
      <c r="X103" s="135">
        <f t="shared" si="28"/>
        <v>9.98</v>
      </c>
      <c r="Y103" s="135">
        <f t="shared" si="28"/>
        <v>9.98</v>
      </c>
      <c r="Z103" s="135">
        <f t="shared" si="28"/>
        <v>9.98</v>
      </c>
      <c r="AA103" s="135">
        <f t="shared" si="28"/>
        <v>9.98</v>
      </c>
      <c r="AB103" s="135">
        <f t="shared" si="28"/>
        <v>9.98</v>
      </c>
      <c r="AC103" s="135">
        <f t="shared" si="28"/>
        <v>9.98</v>
      </c>
      <c r="AD103" s="135">
        <f t="shared" si="28"/>
        <v>9.98</v>
      </c>
      <c r="AE103" s="135">
        <f t="shared" si="28"/>
        <v>9.98</v>
      </c>
      <c r="AF103" s="135">
        <f t="shared" si="28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6"/>
        <v>9.1</v>
      </c>
      <c r="C104" s="136">
        <v>9.1</v>
      </c>
      <c r="D104" s="135">
        <f t="shared" si="27"/>
        <v>9.1</v>
      </c>
      <c r="E104" s="135">
        <f t="shared" si="27"/>
        <v>9.1</v>
      </c>
      <c r="F104" s="135">
        <f t="shared" si="27"/>
        <v>9.1</v>
      </c>
      <c r="G104" s="135">
        <f t="shared" si="27"/>
        <v>9.1</v>
      </c>
      <c r="H104" s="135">
        <f t="shared" si="27"/>
        <v>9.1</v>
      </c>
      <c r="I104" s="135">
        <f t="shared" si="27"/>
        <v>9.1</v>
      </c>
      <c r="J104" s="135">
        <f t="shared" si="27"/>
        <v>9.1</v>
      </c>
      <c r="K104" s="135">
        <f t="shared" si="27"/>
        <v>9.1</v>
      </c>
      <c r="L104" s="135">
        <f t="shared" si="27"/>
        <v>9.1</v>
      </c>
      <c r="M104" s="135">
        <f t="shared" si="27"/>
        <v>9.1</v>
      </c>
      <c r="N104" s="135">
        <f t="shared" si="27"/>
        <v>9.1</v>
      </c>
      <c r="O104" s="135">
        <f t="shared" si="27"/>
        <v>9.1</v>
      </c>
      <c r="P104" s="135">
        <f t="shared" si="27"/>
        <v>9.1</v>
      </c>
      <c r="Q104" s="135">
        <f t="shared" si="27"/>
        <v>9.1</v>
      </c>
      <c r="R104" s="135">
        <f t="shared" si="27"/>
        <v>9.1</v>
      </c>
      <c r="S104" s="135">
        <f t="shared" si="27"/>
        <v>9.1</v>
      </c>
      <c r="T104" s="135">
        <f t="shared" si="28"/>
        <v>9.1</v>
      </c>
      <c r="U104" s="135">
        <f t="shared" si="28"/>
        <v>9.1</v>
      </c>
      <c r="V104" s="135">
        <f t="shared" si="28"/>
        <v>9.1</v>
      </c>
      <c r="W104" s="135">
        <f t="shared" si="28"/>
        <v>9.1</v>
      </c>
      <c r="X104" s="135">
        <f t="shared" si="28"/>
        <v>9.1</v>
      </c>
      <c r="Y104" s="135">
        <f t="shared" si="28"/>
        <v>9.1</v>
      </c>
      <c r="Z104" s="135">
        <f t="shared" si="28"/>
        <v>9.1</v>
      </c>
      <c r="AA104" s="135">
        <f t="shared" si="28"/>
        <v>9.1</v>
      </c>
      <c r="AB104" s="135">
        <f t="shared" si="28"/>
        <v>9.1</v>
      </c>
      <c r="AC104" s="135">
        <f t="shared" si="28"/>
        <v>9.1</v>
      </c>
      <c r="AD104" s="135">
        <f t="shared" si="28"/>
        <v>9.1</v>
      </c>
      <c r="AE104" s="135">
        <f t="shared" si="28"/>
        <v>9.1</v>
      </c>
      <c r="AF104" s="135">
        <f t="shared" si="28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6"/>
        <v>9.18</v>
      </c>
      <c r="C105" s="136">
        <v>9.18</v>
      </c>
      <c r="D105" s="135">
        <f t="shared" si="27"/>
        <v>9.18</v>
      </c>
      <c r="E105" s="135">
        <f t="shared" si="27"/>
        <v>9.18</v>
      </c>
      <c r="F105" s="135">
        <f t="shared" si="27"/>
        <v>9.18</v>
      </c>
      <c r="G105" s="135">
        <f t="shared" si="27"/>
        <v>9.18</v>
      </c>
      <c r="H105" s="135">
        <f t="shared" si="27"/>
        <v>9.18</v>
      </c>
      <c r="I105" s="135">
        <f t="shared" si="27"/>
        <v>9.18</v>
      </c>
      <c r="J105" s="135">
        <f t="shared" si="27"/>
        <v>9.18</v>
      </c>
      <c r="K105" s="135">
        <f t="shared" si="27"/>
        <v>9.18</v>
      </c>
      <c r="L105" s="135">
        <f t="shared" si="27"/>
        <v>9.18</v>
      </c>
      <c r="M105" s="135">
        <f t="shared" si="27"/>
        <v>9.18</v>
      </c>
      <c r="N105" s="135">
        <f t="shared" si="27"/>
        <v>9.18</v>
      </c>
      <c r="O105" s="135">
        <f t="shared" si="27"/>
        <v>9.18</v>
      </c>
      <c r="P105" s="135">
        <f t="shared" si="27"/>
        <v>9.18</v>
      </c>
      <c r="Q105" s="135">
        <f t="shared" si="27"/>
        <v>9.18</v>
      </c>
      <c r="R105" s="135">
        <f t="shared" si="27"/>
        <v>9.18</v>
      </c>
      <c r="S105" s="135">
        <f t="shared" si="27"/>
        <v>9.18</v>
      </c>
      <c r="T105" s="135">
        <f t="shared" si="28"/>
        <v>9.18</v>
      </c>
      <c r="U105" s="135">
        <f t="shared" si="28"/>
        <v>9.18</v>
      </c>
      <c r="V105" s="135">
        <f t="shared" si="28"/>
        <v>9.18</v>
      </c>
      <c r="W105" s="135">
        <f t="shared" si="28"/>
        <v>9.18</v>
      </c>
      <c r="X105" s="135">
        <f t="shared" si="28"/>
        <v>9.18</v>
      </c>
      <c r="Y105" s="135">
        <f t="shared" si="28"/>
        <v>9.18</v>
      </c>
      <c r="Z105" s="135">
        <f t="shared" si="28"/>
        <v>9.18</v>
      </c>
      <c r="AA105" s="135">
        <f t="shared" si="28"/>
        <v>9.18</v>
      </c>
      <c r="AB105" s="135">
        <f t="shared" si="28"/>
        <v>9.18</v>
      </c>
      <c r="AC105" s="135">
        <f t="shared" si="28"/>
        <v>9.18</v>
      </c>
      <c r="AD105" s="135">
        <f t="shared" si="28"/>
        <v>9.18</v>
      </c>
      <c r="AE105" s="135">
        <f t="shared" si="28"/>
        <v>9.18</v>
      </c>
      <c r="AF105" s="135">
        <f t="shared" si="28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6"/>
        <v>7</v>
      </c>
      <c r="C106" s="136">
        <v>7</v>
      </c>
      <c r="D106" s="135">
        <f t="shared" si="27"/>
        <v>7</v>
      </c>
      <c r="E106" s="135">
        <f t="shared" si="27"/>
        <v>7</v>
      </c>
      <c r="F106" s="135">
        <f t="shared" si="27"/>
        <v>7</v>
      </c>
      <c r="G106" s="135">
        <f t="shared" si="27"/>
        <v>7</v>
      </c>
      <c r="H106" s="135">
        <f t="shared" si="27"/>
        <v>7</v>
      </c>
      <c r="I106" s="135">
        <f t="shared" si="27"/>
        <v>7</v>
      </c>
      <c r="J106" s="135">
        <f t="shared" si="27"/>
        <v>7</v>
      </c>
      <c r="K106" s="135">
        <f t="shared" si="27"/>
        <v>7</v>
      </c>
      <c r="L106" s="135">
        <f t="shared" si="27"/>
        <v>7</v>
      </c>
      <c r="M106" s="135">
        <f t="shared" si="27"/>
        <v>7</v>
      </c>
      <c r="N106" s="135">
        <f t="shared" si="27"/>
        <v>7</v>
      </c>
      <c r="O106" s="135">
        <f t="shared" si="27"/>
        <v>7</v>
      </c>
      <c r="P106" s="135">
        <f t="shared" si="27"/>
        <v>7</v>
      </c>
      <c r="Q106" s="135">
        <f t="shared" si="27"/>
        <v>7</v>
      </c>
      <c r="R106" s="135">
        <f t="shared" si="27"/>
        <v>7</v>
      </c>
      <c r="S106" s="135">
        <f t="shared" si="27"/>
        <v>7</v>
      </c>
      <c r="T106" s="135">
        <f t="shared" si="28"/>
        <v>7</v>
      </c>
      <c r="U106" s="135">
        <f t="shared" si="28"/>
        <v>7</v>
      </c>
      <c r="V106" s="135">
        <f t="shared" si="28"/>
        <v>7</v>
      </c>
      <c r="W106" s="135">
        <f t="shared" si="28"/>
        <v>7</v>
      </c>
      <c r="X106" s="135">
        <f t="shared" si="28"/>
        <v>7</v>
      </c>
      <c r="Y106" s="135">
        <f t="shared" si="28"/>
        <v>7</v>
      </c>
      <c r="Z106" s="135">
        <f t="shared" si="28"/>
        <v>7</v>
      </c>
      <c r="AA106" s="135">
        <f t="shared" si="28"/>
        <v>7</v>
      </c>
      <c r="AB106" s="135">
        <f t="shared" si="28"/>
        <v>7</v>
      </c>
      <c r="AC106" s="135">
        <f t="shared" si="28"/>
        <v>7</v>
      </c>
      <c r="AD106" s="135">
        <f t="shared" si="28"/>
        <v>7</v>
      </c>
      <c r="AE106" s="135">
        <f t="shared" si="28"/>
        <v>7</v>
      </c>
      <c r="AF106" s="135">
        <f t="shared" si="28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9">C108</f>
        <v>2.25</v>
      </c>
      <c r="E108" s="135">
        <f t="shared" si="29"/>
        <v>2.25</v>
      </c>
      <c r="F108" s="135">
        <f t="shared" si="29"/>
        <v>2.25</v>
      </c>
      <c r="G108" s="135">
        <f t="shared" si="29"/>
        <v>2.25</v>
      </c>
      <c r="H108" s="135">
        <f t="shared" si="29"/>
        <v>2.25</v>
      </c>
      <c r="I108" s="135">
        <f t="shared" si="29"/>
        <v>2.25</v>
      </c>
      <c r="J108" s="135">
        <f t="shared" si="29"/>
        <v>2.25</v>
      </c>
      <c r="K108" s="135">
        <f t="shared" si="29"/>
        <v>2.25</v>
      </c>
      <c r="L108" s="135">
        <f t="shared" si="29"/>
        <v>2.25</v>
      </c>
      <c r="M108" s="135">
        <f t="shared" si="29"/>
        <v>2.25</v>
      </c>
      <c r="N108" s="135">
        <f t="shared" si="29"/>
        <v>2.25</v>
      </c>
      <c r="O108" s="135">
        <f t="shared" si="29"/>
        <v>2.25</v>
      </c>
      <c r="P108" s="135">
        <f t="shared" si="29"/>
        <v>2.25</v>
      </c>
      <c r="Q108" s="135">
        <f t="shared" si="29"/>
        <v>2.25</v>
      </c>
      <c r="R108" s="135">
        <f t="shared" si="29"/>
        <v>2.25</v>
      </c>
      <c r="S108" s="135">
        <f t="shared" si="29"/>
        <v>2.25</v>
      </c>
      <c r="T108" s="135">
        <f t="shared" ref="T108:AF109" si="30">S108</f>
        <v>2.25</v>
      </c>
      <c r="U108" s="135">
        <f t="shared" si="30"/>
        <v>2.25</v>
      </c>
      <c r="V108" s="135">
        <f t="shared" si="30"/>
        <v>2.25</v>
      </c>
      <c r="W108" s="135">
        <f t="shared" si="30"/>
        <v>2.25</v>
      </c>
      <c r="X108" s="135">
        <f t="shared" si="30"/>
        <v>2.25</v>
      </c>
      <c r="Y108" s="135">
        <f t="shared" si="30"/>
        <v>2.25</v>
      </c>
      <c r="Z108" s="135">
        <f t="shared" si="30"/>
        <v>2.25</v>
      </c>
      <c r="AA108" s="135">
        <f t="shared" si="30"/>
        <v>2.25</v>
      </c>
      <c r="AB108" s="135">
        <f t="shared" si="30"/>
        <v>2.25</v>
      </c>
      <c r="AC108" s="135">
        <f t="shared" si="30"/>
        <v>2.25</v>
      </c>
      <c r="AD108" s="135">
        <f t="shared" si="30"/>
        <v>2.25</v>
      </c>
      <c r="AE108" s="135">
        <f t="shared" si="30"/>
        <v>2.25</v>
      </c>
      <c r="AF108" s="135">
        <f t="shared" si="30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9"/>
        <v>1.64</v>
      </c>
      <c r="E109" s="135">
        <f t="shared" si="29"/>
        <v>1.64</v>
      </c>
      <c r="F109" s="135">
        <f t="shared" si="29"/>
        <v>1.64</v>
      </c>
      <c r="G109" s="135">
        <f t="shared" si="29"/>
        <v>1.64</v>
      </c>
      <c r="H109" s="135">
        <f t="shared" si="29"/>
        <v>1.64</v>
      </c>
      <c r="I109" s="135">
        <f t="shared" si="29"/>
        <v>1.64</v>
      </c>
      <c r="J109" s="135">
        <f t="shared" si="29"/>
        <v>1.64</v>
      </c>
      <c r="K109" s="135">
        <f t="shared" si="29"/>
        <v>1.64</v>
      </c>
      <c r="L109" s="135">
        <f t="shared" si="29"/>
        <v>1.64</v>
      </c>
      <c r="M109" s="135">
        <f t="shared" si="29"/>
        <v>1.64</v>
      </c>
      <c r="N109" s="135">
        <f t="shared" si="29"/>
        <v>1.64</v>
      </c>
      <c r="O109" s="135">
        <f t="shared" si="29"/>
        <v>1.64</v>
      </c>
      <c r="P109" s="135">
        <f t="shared" si="29"/>
        <v>1.64</v>
      </c>
      <c r="Q109" s="135">
        <f t="shared" si="29"/>
        <v>1.64</v>
      </c>
      <c r="R109" s="135">
        <f t="shared" si="29"/>
        <v>1.64</v>
      </c>
      <c r="S109" s="135">
        <f t="shared" si="29"/>
        <v>1.64</v>
      </c>
      <c r="T109" s="135">
        <f t="shared" si="30"/>
        <v>1.64</v>
      </c>
      <c r="U109" s="135">
        <f t="shared" si="30"/>
        <v>1.64</v>
      </c>
      <c r="V109" s="135">
        <f t="shared" si="30"/>
        <v>1.64</v>
      </c>
      <c r="W109" s="135">
        <f t="shared" si="30"/>
        <v>1.64</v>
      </c>
      <c r="X109" s="135">
        <f t="shared" si="30"/>
        <v>1.64</v>
      </c>
      <c r="Y109" s="135">
        <f t="shared" si="30"/>
        <v>1.64</v>
      </c>
      <c r="Z109" s="135">
        <f t="shared" si="30"/>
        <v>1.64</v>
      </c>
      <c r="AA109" s="135">
        <f t="shared" si="30"/>
        <v>1.64</v>
      </c>
      <c r="AB109" s="135">
        <f t="shared" si="30"/>
        <v>1.64</v>
      </c>
      <c r="AC109" s="135">
        <f t="shared" si="30"/>
        <v>1.64</v>
      </c>
      <c r="AD109" s="135">
        <f t="shared" si="30"/>
        <v>1.64</v>
      </c>
      <c r="AE109" s="135">
        <f t="shared" si="30"/>
        <v>1.64</v>
      </c>
      <c r="AF109" s="135">
        <f t="shared" si="30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1">AF111</f>
        <v>1.62</v>
      </c>
      <c r="C111" s="136">
        <v>1.62</v>
      </c>
      <c r="D111" s="135">
        <f t="shared" ref="D111:S118" si="32">C111</f>
        <v>1.62</v>
      </c>
      <c r="E111" s="135">
        <f t="shared" si="32"/>
        <v>1.62</v>
      </c>
      <c r="F111" s="135">
        <f t="shared" si="32"/>
        <v>1.62</v>
      </c>
      <c r="G111" s="135">
        <f t="shared" si="32"/>
        <v>1.62</v>
      </c>
      <c r="H111" s="135">
        <f t="shared" si="32"/>
        <v>1.62</v>
      </c>
      <c r="I111" s="135">
        <f t="shared" si="32"/>
        <v>1.62</v>
      </c>
      <c r="J111" s="135">
        <f t="shared" si="32"/>
        <v>1.62</v>
      </c>
      <c r="K111" s="135">
        <f t="shared" si="32"/>
        <v>1.62</v>
      </c>
      <c r="L111" s="135">
        <f t="shared" si="32"/>
        <v>1.62</v>
      </c>
      <c r="M111" s="135">
        <f t="shared" si="32"/>
        <v>1.62</v>
      </c>
      <c r="N111" s="135">
        <f t="shared" si="32"/>
        <v>1.62</v>
      </c>
      <c r="O111" s="135">
        <f t="shared" si="32"/>
        <v>1.62</v>
      </c>
      <c r="P111" s="135">
        <f t="shared" si="32"/>
        <v>1.62</v>
      </c>
      <c r="Q111" s="135">
        <f t="shared" si="32"/>
        <v>1.62</v>
      </c>
      <c r="R111" s="135">
        <f t="shared" si="32"/>
        <v>1.62</v>
      </c>
      <c r="S111" s="135">
        <f t="shared" si="32"/>
        <v>1.62</v>
      </c>
      <c r="T111" s="135">
        <f t="shared" ref="T111:AF126" si="33">S111</f>
        <v>1.62</v>
      </c>
      <c r="U111" s="135">
        <f t="shared" si="33"/>
        <v>1.62</v>
      </c>
      <c r="V111" s="135">
        <f t="shared" si="33"/>
        <v>1.62</v>
      </c>
      <c r="W111" s="135">
        <f t="shared" si="33"/>
        <v>1.62</v>
      </c>
      <c r="X111" s="135">
        <f t="shared" si="33"/>
        <v>1.62</v>
      </c>
      <c r="Y111" s="135">
        <f t="shared" si="33"/>
        <v>1.62</v>
      </c>
      <c r="Z111" s="135">
        <f t="shared" si="33"/>
        <v>1.62</v>
      </c>
      <c r="AA111" s="135">
        <f t="shared" si="33"/>
        <v>1.62</v>
      </c>
      <c r="AB111" s="135">
        <f t="shared" si="33"/>
        <v>1.62</v>
      </c>
      <c r="AC111" s="135">
        <f t="shared" si="33"/>
        <v>1.62</v>
      </c>
      <c r="AD111" s="135">
        <f t="shared" si="33"/>
        <v>1.62</v>
      </c>
      <c r="AE111" s="135">
        <f t="shared" si="33"/>
        <v>1.62</v>
      </c>
      <c r="AF111" s="135">
        <f t="shared" si="33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1"/>
        <v>8.36</v>
      </c>
      <c r="C112" s="136">
        <v>8.36</v>
      </c>
      <c r="D112" s="135">
        <f t="shared" si="32"/>
        <v>8.36</v>
      </c>
      <c r="E112" s="135">
        <f t="shared" si="32"/>
        <v>8.36</v>
      </c>
      <c r="F112" s="135">
        <f t="shared" si="32"/>
        <v>8.36</v>
      </c>
      <c r="G112" s="135">
        <f t="shared" si="32"/>
        <v>8.36</v>
      </c>
      <c r="H112" s="135">
        <f t="shared" si="32"/>
        <v>8.36</v>
      </c>
      <c r="I112" s="135">
        <f t="shared" si="32"/>
        <v>8.36</v>
      </c>
      <c r="J112" s="135">
        <f t="shared" si="32"/>
        <v>8.36</v>
      </c>
      <c r="K112" s="135">
        <f t="shared" si="32"/>
        <v>8.36</v>
      </c>
      <c r="L112" s="135">
        <f t="shared" si="32"/>
        <v>8.36</v>
      </c>
      <c r="M112" s="135">
        <f t="shared" si="32"/>
        <v>8.36</v>
      </c>
      <c r="N112" s="135">
        <f t="shared" si="32"/>
        <v>8.36</v>
      </c>
      <c r="O112" s="135">
        <f t="shared" si="32"/>
        <v>8.36</v>
      </c>
      <c r="P112" s="135">
        <f t="shared" si="32"/>
        <v>8.36</v>
      </c>
      <c r="Q112" s="135">
        <f t="shared" si="32"/>
        <v>8.36</v>
      </c>
      <c r="R112" s="135">
        <f t="shared" si="32"/>
        <v>8.36</v>
      </c>
      <c r="S112" s="135">
        <f t="shared" si="32"/>
        <v>8.36</v>
      </c>
      <c r="T112" s="135">
        <f t="shared" si="33"/>
        <v>8.36</v>
      </c>
      <c r="U112" s="135">
        <f t="shared" si="33"/>
        <v>8.36</v>
      </c>
      <c r="V112" s="135">
        <f t="shared" si="33"/>
        <v>8.36</v>
      </c>
      <c r="W112" s="135">
        <f t="shared" si="33"/>
        <v>8.36</v>
      </c>
      <c r="X112" s="135">
        <f t="shared" si="33"/>
        <v>8.36</v>
      </c>
      <c r="Y112" s="135">
        <f t="shared" si="33"/>
        <v>8.36</v>
      </c>
      <c r="Z112" s="135">
        <f t="shared" si="33"/>
        <v>8.36</v>
      </c>
      <c r="AA112" s="135">
        <f t="shared" si="33"/>
        <v>8.36</v>
      </c>
      <c r="AB112" s="135">
        <f t="shared" si="33"/>
        <v>8.36</v>
      </c>
      <c r="AC112" s="135">
        <f t="shared" si="33"/>
        <v>8.36</v>
      </c>
      <c r="AD112" s="135">
        <f t="shared" si="33"/>
        <v>8.36</v>
      </c>
      <c r="AE112" s="135">
        <f t="shared" si="33"/>
        <v>8.36</v>
      </c>
      <c r="AF112" s="135">
        <f t="shared" si="33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1"/>
        <v>5.4</v>
      </c>
      <c r="C113" s="136">
        <v>8</v>
      </c>
      <c r="D113" s="135">
        <f t="shared" si="32"/>
        <v>8</v>
      </c>
      <c r="E113" s="135">
        <f t="shared" si="32"/>
        <v>8</v>
      </c>
      <c r="F113" s="135">
        <f t="shared" si="32"/>
        <v>8</v>
      </c>
      <c r="G113" s="135">
        <f t="shared" si="32"/>
        <v>8</v>
      </c>
      <c r="H113" s="135">
        <f t="shared" si="32"/>
        <v>8</v>
      </c>
      <c r="I113" s="135">
        <f t="shared" si="32"/>
        <v>8</v>
      </c>
      <c r="J113" s="135">
        <v>5.4</v>
      </c>
      <c r="K113" s="135">
        <f t="shared" si="32"/>
        <v>5.4</v>
      </c>
      <c r="L113" s="135">
        <f t="shared" si="32"/>
        <v>5.4</v>
      </c>
      <c r="M113" s="135">
        <f t="shared" si="32"/>
        <v>5.4</v>
      </c>
      <c r="N113" s="135">
        <f t="shared" si="32"/>
        <v>5.4</v>
      </c>
      <c r="O113" s="135">
        <f t="shared" si="32"/>
        <v>5.4</v>
      </c>
      <c r="P113" s="135">
        <f t="shared" si="32"/>
        <v>5.4</v>
      </c>
      <c r="Q113" s="135">
        <f t="shared" si="32"/>
        <v>5.4</v>
      </c>
      <c r="R113" s="135">
        <f t="shared" si="32"/>
        <v>5.4</v>
      </c>
      <c r="S113" s="135">
        <f t="shared" si="32"/>
        <v>5.4</v>
      </c>
      <c r="T113" s="135">
        <f t="shared" si="33"/>
        <v>5.4</v>
      </c>
      <c r="U113" s="135">
        <f t="shared" si="33"/>
        <v>5.4</v>
      </c>
      <c r="V113" s="135">
        <f t="shared" si="33"/>
        <v>5.4</v>
      </c>
      <c r="W113" s="135">
        <f t="shared" si="33"/>
        <v>5.4</v>
      </c>
      <c r="X113" s="135">
        <f t="shared" si="33"/>
        <v>5.4</v>
      </c>
      <c r="Y113" s="135">
        <f t="shared" si="33"/>
        <v>5.4</v>
      </c>
      <c r="Z113" s="135">
        <f t="shared" si="33"/>
        <v>5.4</v>
      </c>
      <c r="AA113" s="135">
        <f t="shared" si="33"/>
        <v>5.4</v>
      </c>
      <c r="AB113" s="135">
        <f t="shared" si="33"/>
        <v>5.4</v>
      </c>
      <c r="AC113" s="135">
        <f t="shared" si="33"/>
        <v>5.4</v>
      </c>
      <c r="AD113" s="135">
        <f t="shared" si="33"/>
        <v>5.4</v>
      </c>
      <c r="AE113" s="135">
        <f t="shared" si="33"/>
        <v>5.4</v>
      </c>
      <c r="AF113" s="135">
        <f t="shared" si="33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1"/>
        <v>6.57</v>
      </c>
      <c r="C114" s="136">
        <v>6.57</v>
      </c>
      <c r="D114" s="135">
        <f t="shared" si="32"/>
        <v>6.57</v>
      </c>
      <c r="E114" s="135">
        <f t="shared" si="32"/>
        <v>6.57</v>
      </c>
      <c r="F114" s="135">
        <f t="shared" si="32"/>
        <v>6.57</v>
      </c>
      <c r="G114" s="135">
        <f t="shared" si="32"/>
        <v>6.57</v>
      </c>
      <c r="H114" s="135">
        <f t="shared" si="32"/>
        <v>6.57</v>
      </c>
      <c r="I114" s="135">
        <f t="shared" si="32"/>
        <v>6.57</v>
      </c>
      <c r="J114" s="135">
        <f t="shared" si="32"/>
        <v>6.57</v>
      </c>
      <c r="K114" s="135">
        <f t="shared" si="32"/>
        <v>6.57</v>
      </c>
      <c r="L114" s="135">
        <f t="shared" si="32"/>
        <v>6.57</v>
      </c>
      <c r="M114" s="135">
        <f t="shared" si="32"/>
        <v>6.57</v>
      </c>
      <c r="N114" s="135">
        <f t="shared" si="32"/>
        <v>6.57</v>
      </c>
      <c r="O114" s="135">
        <f t="shared" si="32"/>
        <v>6.57</v>
      </c>
      <c r="P114" s="135">
        <f t="shared" si="32"/>
        <v>6.57</v>
      </c>
      <c r="Q114" s="135">
        <f t="shared" si="32"/>
        <v>6.57</v>
      </c>
      <c r="R114" s="135">
        <f t="shared" si="32"/>
        <v>6.57</v>
      </c>
      <c r="S114" s="135">
        <f t="shared" si="32"/>
        <v>6.57</v>
      </c>
      <c r="T114" s="135">
        <f t="shared" si="33"/>
        <v>6.57</v>
      </c>
      <c r="U114" s="135">
        <f t="shared" si="33"/>
        <v>6.57</v>
      </c>
      <c r="V114" s="135">
        <f t="shared" si="33"/>
        <v>6.57</v>
      </c>
      <c r="W114" s="135">
        <f t="shared" si="33"/>
        <v>6.57</v>
      </c>
      <c r="X114" s="135">
        <f t="shared" si="33"/>
        <v>6.57</v>
      </c>
      <c r="Y114" s="135">
        <f t="shared" si="33"/>
        <v>6.57</v>
      </c>
      <c r="Z114" s="135">
        <f t="shared" si="33"/>
        <v>6.57</v>
      </c>
      <c r="AA114" s="135">
        <f t="shared" si="33"/>
        <v>6.57</v>
      </c>
      <c r="AB114" s="135">
        <f t="shared" si="33"/>
        <v>6.57</v>
      </c>
      <c r="AC114" s="135">
        <f t="shared" si="33"/>
        <v>6.57</v>
      </c>
      <c r="AD114" s="135">
        <f t="shared" si="33"/>
        <v>6.57</v>
      </c>
      <c r="AE114" s="135">
        <f t="shared" si="33"/>
        <v>6.57</v>
      </c>
      <c r="AF114" s="135">
        <f t="shared" si="33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1"/>
        <v>3.43</v>
      </c>
      <c r="C115" s="136">
        <v>3.43</v>
      </c>
      <c r="D115" s="135">
        <f t="shared" si="32"/>
        <v>3.43</v>
      </c>
      <c r="E115" s="135">
        <f t="shared" si="32"/>
        <v>3.43</v>
      </c>
      <c r="F115" s="135">
        <f t="shared" si="32"/>
        <v>3.43</v>
      </c>
      <c r="G115" s="135">
        <f t="shared" si="32"/>
        <v>3.43</v>
      </c>
      <c r="H115" s="135">
        <f t="shared" si="32"/>
        <v>3.43</v>
      </c>
      <c r="I115" s="135">
        <f t="shared" si="32"/>
        <v>3.43</v>
      </c>
      <c r="J115" s="135">
        <f t="shared" si="32"/>
        <v>3.43</v>
      </c>
      <c r="K115" s="135">
        <f t="shared" si="32"/>
        <v>3.43</v>
      </c>
      <c r="L115" s="135">
        <f t="shared" si="32"/>
        <v>3.43</v>
      </c>
      <c r="M115" s="135">
        <f t="shared" si="32"/>
        <v>3.43</v>
      </c>
      <c r="N115" s="135">
        <f t="shared" si="32"/>
        <v>3.43</v>
      </c>
      <c r="O115" s="135">
        <f t="shared" si="32"/>
        <v>3.43</v>
      </c>
      <c r="P115" s="135">
        <f t="shared" si="32"/>
        <v>3.43</v>
      </c>
      <c r="Q115" s="135">
        <f t="shared" si="32"/>
        <v>3.43</v>
      </c>
      <c r="R115" s="135">
        <f t="shared" si="32"/>
        <v>3.43</v>
      </c>
      <c r="S115" s="135">
        <f t="shared" si="32"/>
        <v>3.43</v>
      </c>
      <c r="T115" s="135">
        <f t="shared" si="33"/>
        <v>3.43</v>
      </c>
      <c r="U115" s="135">
        <f t="shared" si="33"/>
        <v>3.43</v>
      </c>
      <c r="V115" s="135">
        <f t="shared" si="33"/>
        <v>3.43</v>
      </c>
      <c r="W115" s="135">
        <f t="shared" si="33"/>
        <v>3.43</v>
      </c>
      <c r="X115" s="135">
        <f t="shared" si="33"/>
        <v>3.43</v>
      </c>
      <c r="Y115" s="135">
        <f t="shared" si="33"/>
        <v>3.43</v>
      </c>
      <c r="Z115" s="135">
        <f t="shared" si="33"/>
        <v>3.43</v>
      </c>
      <c r="AA115" s="135">
        <f t="shared" si="33"/>
        <v>3.43</v>
      </c>
      <c r="AB115" s="135">
        <f t="shared" si="33"/>
        <v>3.43</v>
      </c>
      <c r="AC115" s="135">
        <f t="shared" si="33"/>
        <v>3.43</v>
      </c>
      <c r="AD115" s="135">
        <f t="shared" si="33"/>
        <v>3.43</v>
      </c>
      <c r="AE115" s="135">
        <f t="shared" si="33"/>
        <v>3.43</v>
      </c>
      <c r="AF115" s="135">
        <f t="shared" si="33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1"/>
        <v>2.96</v>
      </c>
      <c r="C116" s="136">
        <v>2.96</v>
      </c>
      <c r="D116" s="135">
        <f t="shared" si="32"/>
        <v>2.96</v>
      </c>
      <c r="E116" s="135">
        <f t="shared" si="32"/>
        <v>2.96</v>
      </c>
      <c r="F116" s="135">
        <f t="shared" si="32"/>
        <v>2.96</v>
      </c>
      <c r="G116" s="135">
        <f t="shared" si="32"/>
        <v>2.96</v>
      </c>
      <c r="H116" s="135">
        <f t="shared" si="32"/>
        <v>2.96</v>
      </c>
      <c r="I116" s="135">
        <f t="shared" si="32"/>
        <v>2.96</v>
      </c>
      <c r="J116" s="135">
        <f t="shared" si="32"/>
        <v>2.96</v>
      </c>
      <c r="K116" s="135">
        <f t="shared" si="32"/>
        <v>2.96</v>
      </c>
      <c r="L116" s="135">
        <f t="shared" si="32"/>
        <v>2.96</v>
      </c>
      <c r="M116" s="135">
        <f t="shared" si="32"/>
        <v>2.96</v>
      </c>
      <c r="N116" s="135">
        <f t="shared" si="32"/>
        <v>2.96</v>
      </c>
      <c r="O116" s="135">
        <f t="shared" si="32"/>
        <v>2.96</v>
      </c>
      <c r="P116" s="135">
        <f t="shared" si="32"/>
        <v>2.96</v>
      </c>
      <c r="Q116" s="135">
        <f t="shared" si="32"/>
        <v>2.96</v>
      </c>
      <c r="R116" s="135">
        <f t="shared" si="32"/>
        <v>2.96</v>
      </c>
      <c r="S116" s="135">
        <f t="shared" si="32"/>
        <v>2.96</v>
      </c>
      <c r="T116" s="135">
        <f t="shared" si="33"/>
        <v>2.96</v>
      </c>
      <c r="U116" s="135">
        <f t="shared" si="33"/>
        <v>2.96</v>
      </c>
      <c r="V116" s="135">
        <f t="shared" si="33"/>
        <v>2.96</v>
      </c>
      <c r="W116" s="135">
        <f t="shared" si="33"/>
        <v>2.96</v>
      </c>
      <c r="X116" s="135">
        <f t="shared" si="33"/>
        <v>2.96</v>
      </c>
      <c r="Y116" s="135">
        <f t="shared" si="33"/>
        <v>2.96</v>
      </c>
      <c r="Z116" s="135">
        <f t="shared" si="33"/>
        <v>2.96</v>
      </c>
      <c r="AA116" s="135">
        <f t="shared" si="33"/>
        <v>2.96</v>
      </c>
      <c r="AB116" s="135">
        <f t="shared" si="33"/>
        <v>2.96</v>
      </c>
      <c r="AC116" s="135">
        <f t="shared" si="33"/>
        <v>2.96</v>
      </c>
      <c r="AD116" s="135">
        <f t="shared" si="33"/>
        <v>2.96</v>
      </c>
      <c r="AE116" s="135">
        <f t="shared" si="33"/>
        <v>2.96</v>
      </c>
      <c r="AF116" s="135">
        <f t="shared" si="33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1"/>
        <v>8</v>
      </c>
      <c r="C117" s="136">
        <v>8</v>
      </c>
      <c r="D117" s="135">
        <f t="shared" si="32"/>
        <v>8</v>
      </c>
      <c r="E117" s="135">
        <f t="shared" si="32"/>
        <v>8</v>
      </c>
      <c r="F117" s="135">
        <f t="shared" si="32"/>
        <v>8</v>
      </c>
      <c r="G117" s="135">
        <f t="shared" si="32"/>
        <v>8</v>
      </c>
      <c r="H117" s="135">
        <f t="shared" si="32"/>
        <v>8</v>
      </c>
      <c r="I117" s="135">
        <f t="shared" si="32"/>
        <v>8</v>
      </c>
      <c r="J117" s="135">
        <f t="shared" si="32"/>
        <v>8</v>
      </c>
      <c r="K117" s="135">
        <f t="shared" si="32"/>
        <v>8</v>
      </c>
      <c r="L117" s="135">
        <f t="shared" si="32"/>
        <v>8</v>
      </c>
      <c r="M117" s="135">
        <f t="shared" si="32"/>
        <v>8</v>
      </c>
      <c r="N117" s="135">
        <f t="shared" si="32"/>
        <v>8</v>
      </c>
      <c r="O117" s="135">
        <f t="shared" si="32"/>
        <v>8</v>
      </c>
      <c r="P117" s="135">
        <f t="shared" si="32"/>
        <v>8</v>
      </c>
      <c r="Q117" s="135">
        <f t="shared" si="32"/>
        <v>8</v>
      </c>
      <c r="R117" s="135">
        <f t="shared" si="32"/>
        <v>8</v>
      </c>
      <c r="S117" s="135">
        <f t="shared" si="32"/>
        <v>8</v>
      </c>
      <c r="T117" s="135">
        <f t="shared" si="33"/>
        <v>8</v>
      </c>
      <c r="U117" s="135">
        <f t="shared" si="33"/>
        <v>8</v>
      </c>
      <c r="V117" s="135">
        <f t="shared" si="33"/>
        <v>8</v>
      </c>
      <c r="W117" s="135">
        <f t="shared" si="33"/>
        <v>8</v>
      </c>
      <c r="X117" s="135">
        <f t="shared" si="33"/>
        <v>8</v>
      </c>
      <c r="Y117" s="135">
        <f t="shared" si="33"/>
        <v>8</v>
      </c>
      <c r="Z117" s="135">
        <f t="shared" si="33"/>
        <v>8</v>
      </c>
      <c r="AA117" s="135">
        <f t="shared" si="33"/>
        <v>8</v>
      </c>
      <c r="AB117" s="135">
        <f t="shared" si="33"/>
        <v>8</v>
      </c>
      <c r="AC117" s="135">
        <f t="shared" si="33"/>
        <v>8</v>
      </c>
      <c r="AD117" s="135">
        <f t="shared" si="33"/>
        <v>8</v>
      </c>
      <c r="AE117" s="135">
        <f t="shared" si="33"/>
        <v>8</v>
      </c>
      <c r="AF117" s="135">
        <f t="shared" si="33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1"/>
        <v>7</v>
      </c>
      <c r="C118" s="136">
        <v>7</v>
      </c>
      <c r="D118" s="135">
        <f>C118</f>
        <v>7</v>
      </c>
      <c r="E118" s="135">
        <f t="shared" si="32"/>
        <v>7</v>
      </c>
      <c r="F118" s="135">
        <f t="shared" si="32"/>
        <v>7</v>
      </c>
      <c r="G118" s="135">
        <f t="shared" si="32"/>
        <v>7</v>
      </c>
      <c r="H118" s="135">
        <f t="shared" si="32"/>
        <v>7</v>
      </c>
      <c r="I118" s="135">
        <f t="shared" si="32"/>
        <v>7</v>
      </c>
      <c r="J118" s="135">
        <f t="shared" si="32"/>
        <v>7</v>
      </c>
      <c r="K118" s="135">
        <f t="shared" si="32"/>
        <v>7</v>
      </c>
      <c r="L118" s="135">
        <f t="shared" si="32"/>
        <v>7</v>
      </c>
      <c r="M118" s="135">
        <f t="shared" si="32"/>
        <v>7</v>
      </c>
      <c r="N118" s="135">
        <f t="shared" si="32"/>
        <v>7</v>
      </c>
      <c r="O118" s="135">
        <f t="shared" si="32"/>
        <v>7</v>
      </c>
      <c r="P118" s="135">
        <f t="shared" si="32"/>
        <v>7</v>
      </c>
      <c r="Q118" s="135">
        <f t="shared" si="32"/>
        <v>7</v>
      </c>
      <c r="R118" s="135">
        <f t="shared" si="32"/>
        <v>7</v>
      </c>
      <c r="S118" s="135">
        <f t="shared" si="32"/>
        <v>7</v>
      </c>
      <c r="T118" s="135">
        <f t="shared" si="33"/>
        <v>7</v>
      </c>
      <c r="U118" s="135">
        <f t="shared" si="33"/>
        <v>7</v>
      </c>
      <c r="V118" s="135">
        <f t="shared" si="33"/>
        <v>7</v>
      </c>
      <c r="W118" s="135">
        <f t="shared" si="33"/>
        <v>7</v>
      </c>
      <c r="X118" s="135">
        <f t="shared" si="33"/>
        <v>7</v>
      </c>
      <c r="Y118" s="135">
        <f t="shared" si="33"/>
        <v>7</v>
      </c>
      <c r="Z118" s="135">
        <f t="shared" si="33"/>
        <v>7</v>
      </c>
      <c r="AA118" s="135">
        <f t="shared" si="33"/>
        <v>7</v>
      </c>
      <c r="AB118" s="135">
        <f t="shared" si="33"/>
        <v>7</v>
      </c>
      <c r="AC118" s="135">
        <f t="shared" si="33"/>
        <v>7</v>
      </c>
      <c r="AD118" s="135">
        <f t="shared" si="33"/>
        <v>7</v>
      </c>
      <c r="AE118" s="135">
        <f t="shared" si="33"/>
        <v>7</v>
      </c>
      <c r="AF118" s="135">
        <f t="shared" si="33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1"/>
        <v>3.47</v>
      </c>
      <c r="C119" s="136">
        <v>3.47</v>
      </c>
      <c r="D119" s="135">
        <f t="shared" ref="D119:S128" si="34">C119</f>
        <v>3.47</v>
      </c>
      <c r="E119" s="135">
        <f t="shared" si="34"/>
        <v>3.47</v>
      </c>
      <c r="F119" s="135">
        <f t="shared" si="34"/>
        <v>3.47</v>
      </c>
      <c r="G119" s="135">
        <f t="shared" si="34"/>
        <v>3.47</v>
      </c>
      <c r="H119" s="135">
        <f t="shared" si="34"/>
        <v>3.47</v>
      </c>
      <c r="I119" s="135">
        <f t="shared" si="34"/>
        <v>3.47</v>
      </c>
      <c r="J119" s="135">
        <f t="shared" si="34"/>
        <v>3.47</v>
      </c>
      <c r="K119" s="135">
        <f t="shared" si="34"/>
        <v>3.47</v>
      </c>
      <c r="L119" s="135">
        <f t="shared" si="34"/>
        <v>3.47</v>
      </c>
      <c r="M119" s="135">
        <f t="shared" si="34"/>
        <v>3.47</v>
      </c>
      <c r="N119" s="135">
        <f t="shared" si="34"/>
        <v>3.47</v>
      </c>
      <c r="O119" s="135">
        <f t="shared" si="34"/>
        <v>3.47</v>
      </c>
      <c r="P119" s="135">
        <f t="shared" si="34"/>
        <v>3.47</v>
      </c>
      <c r="Q119" s="135">
        <f t="shared" si="34"/>
        <v>3.47</v>
      </c>
      <c r="R119" s="135">
        <f t="shared" si="34"/>
        <v>3.47</v>
      </c>
      <c r="S119" s="135">
        <f t="shared" si="34"/>
        <v>3.47</v>
      </c>
      <c r="T119" s="135">
        <f t="shared" si="33"/>
        <v>3.47</v>
      </c>
      <c r="U119" s="135">
        <f t="shared" si="33"/>
        <v>3.47</v>
      </c>
      <c r="V119" s="135">
        <f t="shared" si="33"/>
        <v>3.47</v>
      </c>
      <c r="W119" s="135">
        <f t="shared" si="33"/>
        <v>3.47</v>
      </c>
      <c r="X119" s="135">
        <f t="shared" si="33"/>
        <v>3.47</v>
      </c>
      <c r="Y119" s="135">
        <f t="shared" si="33"/>
        <v>3.47</v>
      </c>
      <c r="Z119" s="135">
        <f t="shared" si="33"/>
        <v>3.47</v>
      </c>
      <c r="AA119" s="135">
        <f t="shared" si="33"/>
        <v>3.47</v>
      </c>
      <c r="AB119" s="135">
        <f t="shared" si="33"/>
        <v>3.47</v>
      </c>
      <c r="AC119" s="135">
        <f t="shared" si="33"/>
        <v>3.47</v>
      </c>
      <c r="AD119" s="135">
        <f t="shared" si="33"/>
        <v>3.47</v>
      </c>
      <c r="AE119" s="135">
        <f t="shared" si="33"/>
        <v>3.47</v>
      </c>
      <c r="AF119" s="135">
        <f t="shared" si="33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1"/>
        <v>2.1</v>
      </c>
      <c r="C120" s="136">
        <v>2.1</v>
      </c>
      <c r="D120" s="135">
        <f t="shared" si="34"/>
        <v>2.1</v>
      </c>
      <c r="E120" s="135">
        <f t="shared" si="34"/>
        <v>2.1</v>
      </c>
      <c r="F120" s="135">
        <f t="shared" si="34"/>
        <v>2.1</v>
      </c>
      <c r="G120" s="135">
        <f t="shared" si="34"/>
        <v>2.1</v>
      </c>
      <c r="H120" s="135">
        <f t="shared" si="34"/>
        <v>2.1</v>
      </c>
      <c r="I120" s="135">
        <f t="shared" si="34"/>
        <v>2.1</v>
      </c>
      <c r="J120" s="135">
        <f t="shared" si="34"/>
        <v>2.1</v>
      </c>
      <c r="K120" s="135">
        <f t="shared" si="34"/>
        <v>2.1</v>
      </c>
      <c r="L120" s="135">
        <f t="shared" si="34"/>
        <v>2.1</v>
      </c>
      <c r="M120" s="135">
        <f t="shared" si="34"/>
        <v>2.1</v>
      </c>
      <c r="N120" s="135">
        <f t="shared" si="34"/>
        <v>2.1</v>
      </c>
      <c r="O120" s="135">
        <f t="shared" si="34"/>
        <v>2.1</v>
      </c>
      <c r="P120" s="135">
        <f t="shared" si="34"/>
        <v>2.1</v>
      </c>
      <c r="Q120" s="135">
        <f t="shared" si="34"/>
        <v>2.1</v>
      </c>
      <c r="R120" s="135">
        <f t="shared" si="34"/>
        <v>2.1</v>
      </c>
      <c r="S120" s="135">
        <f t="shared" si="34"/>
        <v>2.1</v>
      </c>
      <c r="T120" s="135">
        <f t="shared" si="33"/>
        <v>2.1</v>
      </c>
      <c r="U120" s="135">
        <f t="shared" si="33"/>
        <v>2.1</v>
      </c>
      <c r="V120" s="135">
        <f t="shared" si="33"/>
        <v>2.1</v>
      </c>
      <c r="W120" s="135">
        <f t="shared" si="33"/>
        <v>2.1</v>
      </c>
      <c r="X120" s="135">
        <f t="shared" si="33"/>
        <v>2.1</v>
      </c>
      <c r="Y120" s="135">
        <f t="shared" si="33"/>
        <v>2.1</v>
      </c>
      <c r="Z120" s="135">
        <f t="shared" si="33"/>
        <v>2.1</v>
      </c>
      <c r="AA120" s="135">
        <f t="shared" si="33"/>
        <v>2.1</v>
      </c>
      <c r="AB120" s="135">
        <f t="shared" si="33"/>
        <v>2.1</v>
      </c>
      <c r="AC120" s="135">
        <f t="shared" si="33"/>
        <v>2.1</v>
      </c>
      <c r="AD120" s="135">
        <f t="shared" si="33"/>
        <v>2.1</v>
      </c>
      <c r="AE120" s="135">
        <f t="shared" si="33"/>
        <v>2.1</v>
      </c>
      <c r="AF120" s="135">
        <f t="shared" si="33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1"/>
        <v>9.3000000000000007</v>
      </c>
      <c r="C121" s="136">
        <v>9.3000000000000007</v>
      </c>
      <c r="D121" s="135">
        <f t="shared" si="34"/>
        <v>9.3000000000000007</v>
      </c>
      <c r="E121" s="135">
        <f t="shared" si="34"/>
        <v>9.3000000000000007</v>
      </c>
      <c r="F121" s="135">
        <f t="shared" si="34"/>
        <v>9.3000000000000007</v>
      </c>
      <c r="G121" s="135">
        <f t="shared" si="34"/>
        <v>9.3000000000000007</v>
      </c>
      <c r="H121" s="135">
        <f t="shared" si="34"/>
        <v>9.3000000000000007</v>
      </c>
      <c r="I121" s="135">
        <f t="shared" si="34"/>
        <v>9.3000000000000007</v>
      </c>
      <c r="J121" s="135">
        <f t="shared" si="34"/>
        <v>9.3000000000000007</v>
      </c>
      <c r="K121" s="135">
        <f t="shared" si="34"/>
        <v>9.3000000000000007</v>
      </c>
      <c r="L121" s="135">
        <f t="shared" si="34"/>
        <v>9.3000000000000007</v>
      </c>
      <c r="M121" s="135">
        <f t="shared" si="34"/>
        <v>9.3000000000000007</v>
      </c>
      <c r="N121" s="135">
        <f t="shared" si="34"/>
        <v>9.3000000000000007</v>
      </c>
      <c r="O121" s="135">
        <f t="shared" si="34"/>
        <v>9.3000000000000007</v>
      </c>
      <c r="P121" s="135">
        <f t="shared" si="34"/>
        <v>9.3000000000000007</v>
      </c>
      <c r="Q121" s="135">
        <f t="shared" si="34"/>
        <v>9.3000000000000007</v>
      </c>
      <c r="R121" s="135">
        <f t="shared" si="34"/>
        <v>9.3000000000000007</v>
      </c>
      <c r="S121" s="135">
        <f t="shared" si="34"/>
        <v>9.3000000000000007</v>
      </c>
      <c r="T121" s="135">
        <f t="shared" si="33"/>
        <v>9.3000000000000007</v>
      </c>
      <c r="U121" s="135">
        <f t="shared" si="33"/>
        <v>9.3000000000000007</v>
      </c>
      <c r="V121" s="135">
        <f t="shared" si="33"/>
        <v>9.3000000000000007</v>
      </c>
      <c r="W121" s="135">
        <f t="shared" si="33"/>
        <v>9.3000000000000007</v>
      </c>
      <c r="X121" s="135">
        <f t="shared" si="33"/>
        <v>9.3000000000000007</v>
      </c>
      <c r="Y121" s="135">
        <f t="shared" si="33"/>
        <v>9.3000000000000007</v>
      </c>
      <c r="Z121" s="135">
        <f t="shared" si="33"/>
        <v>9.3000000000000007</v>
      </c>
      <c r="AA121" s="135">
        <f t="shared" si="33"/>
        <v>9.3000000000000007</v>
      </c>
      <c r="AB121" s="135">
        <f t="shared" si="33"/>
        <v>9.3000000000000007</v>
      </c>
      <c r="AC121" s="135">
        <f t="shared" si="33"/>
        <v>9.3000000000000007</v>
      </c>
      <c r="AD121" s="135">
        <f t="shared" si="33"/>
        <v>9.3000000000000007</v>
      </c>
      <c r="AE121" s="135">
        <f t="shared" si="33"/>
        <v>9.3000000000000007</v>
      </c>
      <c r="AF121" s="135">
        <f t="shared" si="33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1"/>
        <v>0</v>
      </c>
      <c r="C122" s="136">
        <v>0</v>
      </c>
      <c r="D122" s="135">
        <f t="shared" si="34"/>
        <v>0</v>
      </c>
      <c r="E122" s="135">
        <f t="shared" si="34"/>
        <v>0</v>
      </c>
      <c r="F122" s="135">
        <f t="shared" si="34"/>
        <v>0</v>
      </c>
      <c r="G122" s="135">
        <f t="shared" si="34"/>
        <v>0</v>
      </c>
      <c r="H122" s="135">
        <f t="shared" si="34"/>
        <v>0</v>
      </c>
      <c r="I122" s="135">
        <f t="shared" si="34"/>
        <v>0</v>
      </c>
      <c r="J122" s="135">
        <f t="shared" si="34"/>
        <v>0</v>
      </c>
      <c r="K122" s="135">
        <f t="shared" si="34"/>
        <v>0</v>
      </c>
      <c r="L122" s="135">
        <f t="shared" si="34"/>
        <v>0</v>
      </c>
      <c r="M122" s="135">
        <f t="shared" si="34"/>
        <v>0</v>
      </c>
      <c r="N122" s="135">
        <f t="shared" si="34"/>
        <v>0</v>
      </c>
      <c r="O122" s="135">
        <f t="shared" si="34"/>
        <v>0</v>
      </c>
      <c r="P122" s="135">
        <f t="shared" si="34"/>
        <v>0</v>
      </c>
      <c r="Q122" s="135">
        <f t="shared" si="34"/>
        <v>0</v>
      </c>
      <c r="R122" s="135">
        <f t="shared" si="34"/>
        <v>0</v>
      </c>
      <c r="S122" s="135">
        <f t="shared" si="34"/>
        <v>0</v>
      </c>
      <c r="T122" s="135">
        <f t="shared" si="33"/>
        <v>0</v>
      </c>
      <c r="U122" s="135">
        <f t="shared" si="33"/>
        <v>0</v>
      </c>
      <c r="V122" s="135">
        <f t="shared" si="33"/>
        <v>0</v>
      </c>
      <c r="W122" s="135">
        <f t="shared" si="33"/>
        <v>0</v>
      </c>
      <c r="X122" s="135">
        <f t="shared" si="33"/>
        <v>0</v>
      </c>
      <c r="Y122" s="135">
        <f t="shared" si="33"/>
        <v>0</v>
      </c>
      <c r="Z122" s="135">
        <f t="shared" si="33"/>
        <v>0</v>
      </c>
      <c r="AA122" s="135">
        <f t="shared" si="33"/>
        <v>0</v>
      </c>
      <c r="AB122" s="135">
        <f t="shared" si="33"/>
        <v>0</v>
      </c>
      <c r="AC122" s="135">
        <f t="shared" si="33"/>
        <v>0</v>
      </c>
      <c r="AD122" s="135">
        <f t="shared" si="33"/>
        <v>0</v>
      </c>
      <c r="AE122" s="135">
        <f t="shared" si="33"/>
        <v>0</v>
      </c>
      <c r="AF122" s="135">
        <f t="shared" si="33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1"/>
        <v>0</v>
      </c>
      <c r="C123" s="136">
        <v>0</v>
      </c>
      <c r="D123" s="135">
        <f t="shared" si="34"/>
        <v>0</v>
      </c>
      <c r="E123" s="135">
        <f t="shared" si="34"/>
        <v>0</v>
      </c>
      <c r="F123" s="135">
        <f t="shared" si="34"/>
        <v>0</v>
      </c>
      <c r="G123" s="135">
        <f t="shared" si="34"/>
        <v>0</v>
      </c>
      <c r="H123" s="135">
        <f t="shared" si="34"/>
        <v>0</v>
      </c>
      <c r="I123" s="135">
        <f t="shared" si="34"/>
        <v>0</v>
      </c>
      <c r="J123" s="135">
        <f t="shared" si="34"/>
        <v>0</v>
      </c>
      <c r="K123" s="135">
        <f t="shared" si="34"/>
        <v>0</v>
      </c>
      <c r="L123" s="135">
        <f t="shared" si="34"/>
        <v>0</v>
      </c>
      <c r="M123" s="135">
        <f t="shared" si="34"/>
        <v>0</v>
      </c>
      <c r="N123" s="135">
        <f t="shared" si="34"/>
        <v>0</v>
      </c>
      <c r="O123" s="135">
        <f t="shared" si="34"/>
        <v>0</v>
      </c>
      <c r="P123" s="135">
        <f t="shared" si="34"/>
        <v>0</v>
      </c>
      <c r="Q123" s="135">
        <f t="shared" si="34"/>
        <v>0</v>
      </c>
      <c r="R123" s="135">
        <f t="shared" si="34"/>
        <v>0</v>
      </c>
      <c r="S123" s="135">
        <f t="shared" si="34"/>
        <v>0</v>
      </c>
      <c r="T123" s="135">
        <f t="shared" si="33"/>
        <v>0</v>
      </c>
      <c r="U123" s="135">
        <f t="shared" si="33"/>
        <v>0</v>
      </c>
      <c r="V123" s="135">
        <f t="shared" si="33"/>
        <v>0</v>
      </c>
      <c r="W123" s="135">
        <f t="shared" si="33"/>
        <v>0</v>
      </c>
      <c r="X123" s="135">
        <f t="shared" si="33"/>
        <v>0</v>
      </c>
      <c r="Y123" s="135">
        <f t="shared" si="33"/>
        <v>0</v>
      </c>
      <c r="Z123" s="135">
        <f t="shared" si="33"/>
        <v>0</v>
      </c>
      <c r="AA123" s="135">
        <f t="shared" si="33"/>
        <v>0</v>
      </c>
      <c r="AB123" s="135">
        <f t="shared" si="33"/>
        <v>0</v>
      </c>
      <c r="AC123" s="135">
        <f t="shared" si="33"/>
        <v>0</v>
      </c>
      <c r="AD123" s="135">
        <f t="shared" si="33"/>
        <v>0</v>
      </c>
      <c r="AE123" s="135">
        <f t="shared" si="33"/>
        <v>0</v>
      </c>
      <c r="AF123" s="135">
        <f t="shared" si="33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1"/>
        <v>5</v>
      </c>
      <c r="C124" s="136">
        <v>5</v>
      </c>
      <c r="D124" s="135">
        <f t="shared" si="34"/>
        <v>5</v>
      </c>
      <c r="E124" s="135">
        <f t="shared" si="34"/>
        <v>5</v>
      </c>
      <c r="F124" s="135">
        <f t="shared" si="34"/>
        <v>5</v>
      </c>
      <c r="G124" s="135">
        <f t="shared" si="34"/>
        <v>5</v>
      </c>
      <c r="H124" s="135">
        <f t="shared" si="34"/>
        <v>5</v>
      </c>
      <c r="I124" s="135">
        <f t="shared" si="34"/>
        <v>5</v>
      </c>
      <c r="J124" s="135">
        <f t="shared" si="34"/>
        <v>5</v>
      </c>
      <c r="K124" s="135">
        <f t="shared" si="34"/>
        <v>5</v>
      </c>
      <c r="L124" s="135">
        <f t="shared" si="34"/>
        <v>5</v>
      </c>
      <c r="M124" s="135">
        <f t="shared" si="34"/>
        <v>5</v>
      </c>
      <c r="N124" s="135">
        <f t="shared" si="34"/>
        <v>5</v>
      </c>
      <c r="O124" s="135">
        <f t="shared" si="34"/>
        <v>5</v>
      </c>
      <c r="P124" s="135">
        <f t="shared" si="34"/>
        <v>5</v>
      </c>
      <c r="Q124" s="135">
        <f t="shared" si="34"/>
        <v>5</v>
      </c>
      <c r="R124" s="135">
        <f t="shared" si="34"/>
        <v>5</v>
      </c>
      <c r="S124" s="135">
        <f t="shared" si="34"/>
        <v>5</v>
      </c>
      <c r="T124" s="135">
        <f t="shared" si="33"/>
        <v>5</v>
      </c>
      <c r="U124" s="135">
        <f t="shared" si="33"/>
        <v>5</v>
      </c>
      <c r="V124" s="135">
        <f t="shared" si="33"/>
        <v>5</v>
      </c>
      <c r="W124" s="135">
        <f t="shared" si="33"/>
        <v>5</v>
      </c>
      <c r="X124" s="135">
        <f t="shared" si="33"/>
        <v>5</v>
      </c>
      <c r="Y124" s="135">
        <f t="shared" si="33"/>
        <v>5</v>
      </c>
      <c r="Z124" s="135">
        <f t="shared" si="33"/>
        <v>5</v>
      </c>
      <c r="AA124" s="135">
        <f t="shared" si="33"/>
        <v>5</v>
      </c>
      <c r="AB124" s="135">
        <f t="shared" si="33"/>
        <v>5</v>
      </c>
      <c r="AC124" s="135">
        <f t="shared" si="33"/>
        <v>5</v>
      </c>
      <c r="AD124" s="135">
        <f t="shared" si="33"/>
        <v>5</v>
      </c>
      <c r="AE124" s="135">
        <f t="shared" si="33"/>
        <v>5</v>
      </c>
      <c r="AF124" s="135">
        <f t="shared" si="33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1"/>
        <v>1</v>
      </c>
      <c r="C125" s="136">
        <v>1</v>
      </c>
      <c r="D125" s="135">
        <f t="shared" si="34"/>
        <v>1</v>
      </c>
      <c r="E125" s="135">
        <f t="shared" si="34"/>
        <v>1</v>
      </c>
      <c r="F125" s="135">
        <f t="shared" si="34"/>
        <v>1</v>
      </c>
      <c r="G125" s="135">
        <f t="shared" si="34"/>
        <v>1</v>
      </c>
      <c r="H125" s="135">
        <f t="shared" si="34"/>
        <v>1</v>
      </c>
      <c r="I125" s="135">
        <f t="shared" si="34"/>
        <v>1</v>
      </c>
      <c r="J125" s="135">
        <f t="shared" si="34"/>
        <v>1</v>
      </c>
      <c r="K125" s="135">
        <f t="shared" si="34"/>
        <v>1</v>
      </c>
      <c r="L125" s="135">
        <f t="shared" si="34"/>
        <v>1</v>
      </c>
      <c r="M125" s="135">
        <f t="shared" si="34"/>
        <v>1</v>
      </c>
      <c r="N125" s="135">
        <f t="shared" si="34"/>
        <v>1</v>
      </c>
      <c r="O125" s="135">
        <f t="shared" si="34"/>
        <v>1</v>
      </c>
      <c r="P125" s="135">
        <f t="shared" si="34"/>
        <v>1</v>
      </c>
      <c r="Q125" s="135">
        <f t="shared" si="34"/>
        <v>1</v>
      </c>
      <c r="R125" s="135">
        <f t="shared" si="34"/>
        <v>1</v>
      </c>
      <c r="S125" s="135">
        <f t="shared" si="34"/>
        <v>1</v>
      </c>
      <c r="T125" s="135">
        <f t="shared" si="33"/>
        <v>1</v>
      </c>
      <c r="U125" s="135">
        <f t="shared" si="33"/>
        <v>1</v>
      </c>
      <c r="V125" s="135">
        <f t="shared" si="33"/>
        <v>1</v>
      </c>
      <c r="W125" s="135">
        <f t="shared" si="33"/>
        <v>1</v>
      </c>
      <c r="X125" s="135">
        <f t="shared" si="33"/>
        <v>1</v>
      </c>
      <c r="Y125" s="135">
        <f t="shared" si="33"/>
        <v>1</v>
      </c>
      <c r="Z125" s="135">
        <f t="shared" si="33"/>
        <v>1</v>
      </c>
      <c r="AA125" s="135">
        <f t="shared" si="33"/>
        <v>1</v>
      </c>
      <c r="AB125" s="135">
        <f t="shared" si="33"/>
        <v>1</v>
      </c>
      <c r="AC125" s="135">
        <f t="shared" si="33"/>
        <v>1</v>
      </c>
      <c r="AD125" s="135">
        <f t="shared" si="33"/>
        <v>1</v>
      </c>
      <c r="AE125" s="135">
        <f t="shared" si="33"/>
        <v>1</v>
      </c>
      <c r="AF125" s="135">
        <f t="shared" si="33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1"/>
        <v>1.58</v>
      </c>
      <c r="C126" s="136">
        <v>1.58</v>
      </c>
      <c r="D126" s="135">
        <f t="shared" si="34"/>
        <v>1.58</v>
      </c>
      <c r="E126" s="135">
        <f t="shared" si="34"/>
        <v>1.58</v>
      </c>
      <c r="F126" s="135">
        <f t="shared" si="34"/>
        <v>1.58</v>
      </c>
      <c r="G126" s="135">
        <f t="shared" si="34"/>
        <v>1.58</v>
      </c>
      <c r="H126" s="135">
        <f t="shared" si="34"/>
        <v>1.58</v>
      </c>
      <c r="I126" s="135">
        <f t="shared" si="34"/>
        <v>1.58</v>
      </c>
      <c r="J126" s="135">
        <f t="shared" si="34"/>
        <v>1.58</v>
      </c>
      <c r="K126" s="135">
        <f t="shared" si="34"/>
        <v>1.58</v>
      </c>
      <c r="L126" s="135">
        <f t="shared" si="34"/>
        <v>1.58</v>
      </c>
      <c r="M126" s="135">
        <f t="shared" si="34"/>
        <v>1.58</v>
      </c>
      <c r="N126" s="135">
        <f t="shared" si="34"/>
        <v>1.58</v>
      </c>
      <c r="O126" s="135">
        <f t="shared" si="34"/>
        <v>1.58</v>
      </c>
      <c r="P126" s="135">
        <f t="shared" si="34"/>
        <v>1.58</v>
      </c>
      <c r="Q126" s="135">
        <f t="shared" si="34"/>
        <v>1.58</v>
      </c>
      <c r="R126" s="135">
        <f t="shared" si="34"/>
        <v>1.58</v>
      </c>
      <c r="S126" s="135">
        <f t="shared" si="34"/>
        <v>1.58</v>
      </c>
      <c r="T126" s="135">
        <f t="shared" si="33"/>
        <v>1.58</v>
      </c>
      <c r="U126" s="135">
        <f t="shared" si="33"/>
        <v>1.58</v>
      </c>
      <c r="V126" s="135">
        <f t="shared" si="33"/>
        <v>1.58</v>
      </c>
      <c r="W126" s="135">
        <f t="shared" si="33"/>
        <v>1.58</v>
      </c>
      <c r="X126" s="135">
        <f t="shared" si="33"/>
        <v>1.58</v>
      </c>
      <c r="Y126" s="135">
        <f t="shared" si="33"/>
        <v>1.58</v>
      </c>
      <c r="Z126" s="135">
        <f t="shared" si="33"/>
        <v>1.58</v>
      </c>
      <c r="AA126" s="135">
        <f t="shared" si="33"/>
        <v>1.58</v>
      </c>
      <c r="AB126" s="135">
        <f t="shared" si="33"/>
        <v>1.58</v>
      </c>
      <c r="AC126" s="135">
        <f t="shared" si="33"/>
        <v>1.58</v>
      </c>
      <c r="AD126" s="135">
        <f t="shared" si="33"/>
        <v>1.58</v>
      </c>
      <c r="AE126" s="135">
        <f t="shared" si="33"/>
        <v>1.58</v>
      </c>
      <c r="AF126" s="135">
        <f t="shared" si="33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1"/>
        <v>1.46</v>
      </c>
      <c r="C127" s="136">
        <v>1.46</v>
      </c>
      <c r="D127" s="135">
        <f t="shared" si="34"/>
        <v>1.46</v>
      </c>
      <c r="E127" s="135">
        <f t="shared" si="34"/>
        <v>1.46</v>
      </c>
      <c r="F127" s="135">
        <f t="shared" si="34"/>
        <v>1.46</v>
      </c>
      <c r="G127" s="135">
        <f t="shared" si="34"/>
        <v>1.46</v>
      </c>
      <c r="H127" s="135">
        <f t="shared" si="34"/>
        <v>1.46</v>
      </c>
      <c r="I127" s="135">
        <f t="shared" si="34"/>
        <v>1.46</v>
      </c>
      <c r="J127" s="135">
        <f t="shared" si="34"/>
        <v>1.46</v>
      </c>
      <c r="K127" s="135">
        <f t="shared" si="34"/>
        <v>1.46</v>
      </c>
      <c r="L127" s="135">
        <f t="shared" si="34"/>
        <v>1.46</v>
      </c>
      <c r="M127" s="135">
        <f t="shared" si="34"/>
        <v>1.46</v>
      </c>
      <c r="N127" s="135">
        <f t="shared" si="34"/>
        <v>1.46</v>
      </c>
      <c r="O127" s="135">
        <f t="shared" si="34"/>
        <v>1.46</v>
      </c>
      <c r="P127" s="135">
        <f t="shared" si="34"/>
        <v>1.46</v>
      </c>
      <c r="Q127" s="135">
        <f t="shared" si="34"/>
        <v>1.46</v>
      </c>
      <c r="R127" s="135">
        <f t="shared" si="34"/>
        <v>1.46</v>
      </c>
      <c r="S127" s="135">
        <f t="shared" si="34"/>
        <v>1.46</v>
      </c>
      <c r="T127" s="135">
        <f t="shared" ref="T127:AF128" si="35">S127</f>
        <v>1.46</v>
      </c>
      <c r="U127" s="135">
        <f t="shared" si="35"/>
        <v>1.46</v>
      </c>
      <c r="V127" s="135">
        <f t="shared" si="35"/>
        <v>1.46</v>
      </c>
      <c r="W127" s="135">
        <f t="shared" si="35"/>
        <v>1.46</v>
      </c>
      <c r="X127" s="135">
        <f t="shared" si="35"/>
        <v>1.46</v>
      </c>
      <c r="Y127" s="135">
        <f t="shared" si="35"/>
        <v>1.46</v>
      </c>
      <c r="Z127" s="135">
        <f t="shared" si="35"/>
        <v>1.46</v>
      </c>
      <c r="AA127" s="135">
        <f t="shared" si="35"/>
        <v>1.46</v>
      </c>
      <c r="AB127" s="135">
        <f t="shared" si="35"/>
        <v>1.46</v>
      </c>
      <c r="AC127" s="135">
        <f t="shared" si="35"/>
        <v>1.46</v>
      </c>
      <c r="AD127" s="135">
        <f t="shared" si="35"/>
        <v>1.46</v>
      </c>
      <c r="AE127" s="135">
        <f t="shared" si="35"/>
        <v>1.46</v>
      </c>
      <c r="AF127" s="135">
        <f t="shared" si="35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1"/>
        <v>1.48</v>
      </c>
      <c r="C128" s="136">
        <v>1.48</v>
      </c>
      <c r="D128" s="135">
        <f t="shared" si="34"/>
        <v>1.48</v>
      </c>
      <c r="E128" s="135">
        <f t="shared" si="34"/>
        <v>1.48</v>
      </c>
      <c r="F128" s="135">
        <f t="shared" si="34"/>
        <v>1.48</v>
      </c>
      <c r="G128" s="135">
        <f t="shared" si="34"/>
        <v>1.48</v>
      </c>
      <c r="H128" s="135">
        <f t="shared" si="34"/>
        <v>1.48</v>
      </c>
      <c r="I128" s="135">
        <f t="shared" si="34"/>
        <v>1.48</v>
      </c>
      <c r="J128" s="135">
        <f t="shared" si="34"/>
        <v>1.48</v>
      </c>
      <c r="K128" s="135">
        <f t="shared" si="34"/>
        <v>1.48</v>
      </c>
      <c r="L128" s="135">
        <f t="shared" si="34"/>
        <v>1.48</v>
      </c>
      <c r="M128" s="135">
        <f t="shared" si="34"/>
        <v>1.48</v>
      </c>
      <c r="N128" s="135">
        <f t="shared" si="34"/>
        <v>1.48</v>
      </c>
      <c r="O128" s="135">
        <f t="shared" si="34"/>
        <v>1.48</v>
      </c>
      <c r="P128" s="135">
        <f t="shared" si="34"/>
        <v>1.48</v>
      </c>
      <c r="Q128" s="135">
        <f t="shared" si="34"/>
        <v>1.48</v>
      </c>
      <c r="R128" s="135">
        <f t="shared" si="34"/>
        <v>1.48</v>
      </c>
      <c r="S128" s="135">
        <f t="shared" si="34"/>
        <v>1.48</v>
      </c>
      <c r="T128" s="135">
        <f t="shared" si="35"/>
        <v>1.48</v>
      </c>
      <c r="U128" s="135">
        <f t="shared" si="35"/>
        <v>1.48</v>
      </c>
      <c r="V128" s="135">
        <f t="shared" si="35"/>
        <v>1.48</v>
      </c>
      <c r="W128" s="135">
        <f t="shared" si="35"/>
        <v>1.48</v>
      </c>
      <c r="X128" s="135">
        <f t="shared" si="35"/>
        <v>1.48</v>
      </c>
      <c r="Y128" s="135">
        <f t="shared" si="35"/>
        <v>1.48</v>
      </c>
      <c r="Z128" s="135">
        <f t="shared" si="35"/>
        <v>1.48</v>
      </c>
      <c r="AA128" s="135">
        <f t="shared" si="35"/>
        <v>1.48</v>
      </c>
      <c r="AB128" s="135">
        <f t="shared" si="35"/>
        <v>1.48</v>
      </c>
      <c r="AC128" s="135">
        <f t="shared" si="35"/>
        <v>1.48</v>
      </c>
      <c r="AD128" s="135">
        <f t="shared" si="35"/>
        <v>1.48</v>
      </c>
      <c r="AE128" s="135">
        <f t="shared" si="35"/>
        <v>1.48</v>
      </c>
      <c r="AF128" s="135">
        <f t="shared" si="35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6">AF130</f>
        <v>2.2000000000000002</v>
      </c>
      <c r="C130" s="136">
        <v>2.2000000000000002</v>
      </c>
      <c r="D130" s="135">
        <f t="shared" ref="D130:S137" si="37">C130</f>
        <v>2.2000000000000002</v>
      </c>
      <c r="E130" s="135">
        <f t="shared" si="37"/>
        <v>2.2000000000000002</v>
      </c>
      <c r="F130" s="135">
        <f t="shared" si="37"/>
        <v>2.2000000000000002</v>
      </c>
      <c r="G130" s="135">
        <f t="shared" si="37"/>
        <v>2.2000000000000002</v>
      </c>
      <c r="H130" s="135">
        <f t="shared" si="37"/>
        <v>2.2000000000000002</v>
      </c>
      <c r="I130" s="135">
        <f t="shared" si="37"/>
        <v>2.2000000000000002</v>
      </c>
      <c r="J130" s="135">
        <f t="shared" si="37"/>
        <v>2.2000000000000002</v>
      </c>
      <c r="K130" s="135">
        <f t="shared" si="37"/>
        <v>2.2000000000000002</v>
      </c>
      <c r="L130" s="135">
        <f t="shared" si="37"/>
        <v>2.2000000000000002</v>
      </c>
      <c r="M130" s="135">
        <f t="shared" si="37"/>
        <v>2.2000000000000002</v>
      </c>
      <c r="N130" s="135">
        <f t="shared" si="37"/>
        <v>2.2000000000000002</v>
      </c>
      <c r="O130" s="135">
        <f t="shared" si="37"/>
        <v>2.2000000000000002</v>
      </c>
      <c r="P130" s="135">
        <f t="shared" si="37"/>
        <v>2.2000000000000002</v>
      </c>
      <c r="Q130" s="135">
        <f t="shared" si="37"/>
        <v>2.2000000000000002</v>
      </c>
      <c r="R130" s="135">
        <f t="shared" si="37"/>
        <v>2.2000000000000002</v>
      </c>
      <c r="S130" s="135">
        <f t="shared" si="37"/>
        <v>2.2000000000000002</v>
      </c>
      <c r="T130" s="135">
        <f t="shared" ref="T130:AF137" si="38">S130</f>
        <v>2.2000000000000002</v>
      </c>
      <c r="U130" s="135">
        <f t="shared" si="38"/>
        <v>2.2000000000000002</v>
      </c>
      <c r="V130" s="135">
        <f t="shared" si="38"/>
        <v>2.2000000000000002</v>
      </c>
      <c r="W130" s="135">
        <f t="shared" si="38"/>
        <v>2.2000000000000002</v>
      </c>
      <c r="X130" s="135">
        <f t="shared" si="38"/>
        <v>2.2000000000000002</v>
      </c>
      <c r="Y130" s="135">
        <f t="shared" si="38"/>
        <v>2.2000000000000002</v>
      </c>
      <c r="Z130" s="135">
        <f t="shared" si="38"/>
        <v>2.2000000000000002</v>
      </c>
      <c r="AA130" s="135">
        <f t="shared" si="38"/>
        <v>2.2000000000000002</v>
      </c>
      <c r="AB130" s="135">
        <f t="shared" si="38"/>
        <v>2.2000000000000002</v>
      </c>
      <c r="AC130" s="135">
        <f t="shared" si="38"/>
        <v>2.2000000000000002</v>
      </c>
      <c r="AD130" s="135">
        <f t="shared" si="38"/>
        <v>2.2000000000000002</v>
      </c>
      <c r="AE130" s="135">
        <f t="shared" si="38"/>
        <v>2.2000000000000002</v>
      </c>
      <c r="AF130" s="135">
        <f t="shared" si="38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6"/>
        <v>2</v>
      </c>
      <c r="C131" s="136">
        <v>2</v>
      </c>
      <c r="D131" s="135">
        <f t="shared" si="37"/>
        <v>2</v>
      </c>
      <c r="E131" s="135">
        <f t="shared" si="37"/>
        <v>2</v>
      </c>
      <c r="F131" s="135">
        <f t="shared" si="37"/>
        <v>2</v>
      </c>
      <c r="G131" s="135">
        <f t="shared" si="37"/>
        <v>2</v>
      </c>
      <c r="H131" s="135">
        <f t="shared" si="37"/>
        <v>2</v>
      </c>
      <c r="I131" s="135">
        <f t="shared" si="37"/>
        <v>2</v>
      </c>
      <c r="J131" s="135">
        <f t="shared" si="37"/>
        <v>2</v>
      </c>
      <c r="K131" s="135">
        <f t="shared" si="37"/>
        <v>2</v>
      </c>
      <c r="L131" s="135">
        <f t="shared" si="37"/>
        <v>2</v>
      </c>
      <c r="M131" s="135">
        <f t="shared" si="37"/>
        <v>2</v>
      </c>
      <c r="N131" s="135">
        <f t="shared" si="37"/>
        <v>2</v>
      </c>
      <c r="O131" s="135">
        <f t="shared" si="37"/>
        <v>2</v>
      </c>
      <c r="P131" s="135">
        <f t="shared" si="37"/>
        <v>2</v>
      </c>
      <c r="Q131" s="135">
        <f t="shared" si="37"/>
        <v>2</v>
      </c>
      <c r="R131" s="135">
        <f t="shared" si="37"/>
        <v>2</v>
      </c>
      <c r="S131" s="135">
        <f t="shared" si="37"/>
        <v>2</v>
      </c>
      <c r="T131" s="135">
        <f t="shared" si="38"/>
        <v>2</v>
      </c>
      <c r="U131" s="135">
        <f t="shared" si="38"/>
        <v>2</v>
      </c>
      <c r="V131" s="135">
        <f t="shared" si="38"/>
        <v>2</v>
      </c>
      <c r="W131" s="135">
        <f t="shared" si="38"/>
        <v>2</v>
      </c>
      <c r="X131" s="135">
        <f t="shared" si="38"/>
        <v>2</v>
      </c>
      <c r="Y131" s="135">
        <f t="shared" si="38"/>
        <v>2</v>
      </c>
      <c r="Z131" s="135">
        <f t="shared" si="38"/>
        <v>2</v>
      </c>
      <c r="AA131" s="135">
        <f t="shared" si="38"/>
        <v>2</v>
      </c>
      <c r="AB131" s="135">
        <f t="shared" si="38"/>
        <v>2</v>
      </c>
      <c r="AC131" s="135">
        <f t="shared" si="38"/>
        <v>2</v>
      </c>
      <c r="AD131" s="135">
        <f t="shared" si="38"/>
        <v>2</v>
      </c>
      <c r="AE131" s="135">
        <f t="shared" si="38"/>
        <v>2</v>
      </c>
      <c r="AF131" s="135">
        <f t="shared" si="38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6"/>
        <v>1.25</v>
      </c>
      <c r="C132" s="136">
        <v>1.25</v>
      </c>
      <c r="D132" s="135">
        <f t="shared" si="37"/>
        <v>1.25</v>
      </c>
      <c r="E132" s="135">
        <f t="shared" si="37"/>
        <v>1.25</v>
      </c>
      <c r="F132" s="135">
        <f t="shared" si="37"/>
        <v>1.25</v>
      </c>
      <c r="G132" s="135">
        <f t="shared" si="37"/>
        <v>1.25</v>
      </c>
      <c r="H132" s="135">
        <f t="shared" si="37"/>
        <v>1.25</v>
      </c>
      <c r="I132" s="135">
        <f t="shared" si="37"/>
        <v>1.25</v>
      </c>
      <c r="J132" s="135">
        <f t="shared" si="37"/>
        <v>1.25</v>
      </c>
      <c r="K132" s="135">
        <f t="shared" si="37"/>
        <v>1.25</v>
      </c>
      <c r="L132" s="135">
        <f t="shared" si="37"/>
        <v>1.25</v>
      </c>
      <c r="M132" s="135">
        <f t="shared" si="37"/>
        <v>1.25</v>
      </c>
      <c r="N132" s="135">
        <f t="shared" si="37"/>
        <v>1.25</v>
      </c>
      <c r="O132" s="135">
        <f t="shared" si="37"/>
        <v>1.25</v>
      </c>
      <c r="P132" s="135">
        <f t="shared" si="37"/>
        <v>1.25</v>
      </c>
      <c r="Q132" s="135">
        <f t="shared" si="37"/>
        <v>1.25</v>
      </c>
      <c r="R132" s="135">
        <f t="shared" si="37"/>
        <v>1.25</v>
      </c>
      <c r="S132" s="135">
        <f t="shared" si="37"/>
        <v>1.25</v>
      </c>
      <c r="T132" s="135">
        <f t="shared" si="38"/>
        <v>1.25</v>
      </c>
      <c r="U132" s="135">
        <f t="shared" si="38"/>
        <v>1.25</v>
      </c>
      <c r="V132" s="135">
        <f t="shared" si="38"/>
        <v>1.25</v>
      </c>
      <c r="W132" s="135">
        <f t="shared" si="38"/>
        <v>1.25</v>
      </c>
      <c r="X132" s="135">
        <f t="shared" si="38"/>
        <v>1.25</v>
      </c>
      <c r="Y132" s="135">
        <f t="shared" si="38"/>
        <v>1.25</v>
      </c>
      <c r="Z132" s="135">
        <f t="shared" si="38"/>
        <v>1.25</v>
      </c>
      <c r="AA132" s="135">
        <f t="shared" si="38"/>
        <v>1.25</v>
      </c>
      <c r="AB132" s="135">
        <f t="shared" si="38"/>
        <v>1.25</v>
      </c>
      <c r="AC132" s="135">
        <f t="shared" si="38"/>
        <v>1.25</v>
      </c>
      <c r="AD132" s="135">
        <f t="shared" si="38"/>
        <v>1.25</v>
      </c>
      <c r="AE132" s="135">
        <f t="shared" si="38"/>
        <v>1.25</v>
      </c>
      <c r="AF132" s="135">
        <f t="shared" si="38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6"/>
        <v>1.1499999999999999</v>
      </c>
      <c r="C133" s="136">
        <v>1.1499999999999999</v>
      </c>
      <c r="D133" s="135">
        <f t="shared" si="37"/>
        <v>1.1499999999999999</v>
      </c>
      <c r="E133" s="135">
        <f t="shared" si="37"/>
        <v>1.1499999999999999</v>
      </c>
      <c r="F133" s="135">
        <f t="shared" si="37"/>
        <v>1.1499999999999999</v>
      </c>
      <c r="G133" s="135">
        <f t="shared" si="37"/>
        <v>1.1499999999999999</v>
      </c>
      <c r="H133" s="135">
        <f t="shared" si="37"/>
        <v>1.1499999999999999</v>
      </c>
      <c r="I133" s="135">
        <f t="shared" si="37"/>
        <v>1.1499999999999999</v>
      </c>
      <c r="J133" s="135">
        <f t="shared" si="37"/>
        <v>1.1499999999999999</v>
      </c>
      <c r="K133" s="135">
        <f t="shared" si="37"/>
        <v>1.1499999999999999</v>
      </c>
      <c r="L133" s="135">
        <f t="shared" si="37"/>
        <v>1.1499999999999999</v>
      </c>
      <c r="M133" s="135">
        <f t="shared" si="37"/>
        <v>1.1499999999999999</v>
      </c>
      <c r="N133" s="135">
        <f t="shared" si="37"/>
        <v>1.1499999999999999</v>
      </c>
      <c r="O133" s="135">
        <f t="shared" si="37"/>
        <v>1.1499999999999999</v>
      </c>
      <c r="P133" s="135">
        <f t="shared" si="37"/>
        <v>1.1499999999999999</v>
      </c>
      <c r="Q133" s="135">
        <f t="shared" si="37"/>
        <v>1.1499999999999999</v>
      </c>
      <c r="R133" s="135">
        <f t="shared" si="37"/>
        <v>1.1499999999999999</v>
      </c>
      <c r="S133" s="135">
        <f t="shared" si="37"/>
        <v>1.1499999999999999</v>
      </c>
      <c r="T133" s="135">
        <f t="shared" si="38"/>
        <v>1.1499999999999999</v>
      </c>
      <c r="U133" s="135">
        <f t="shared" si="38"/>
        <v>1.1499999999999999</v>
      </c>
      <c r="V133" s="135">
        <f t="shared" si="38"/>
        <v>1.1499999999999999</v>
      </c>
      <c r="W133" s="135">
        <f t="shared" si="38"/>
        <v>1.1499999999999999</v>
      </c>
      <c r="X133" s="135">
        <f t="shared" si="38"/>
        <v>1.1499999999999999</v>
      </c>
      <c r="Y133" s="135">
        <f t="shared" si="38"/>
        <v>1.1499999999999999</v>
      </c>
      <c r="Z133" s="135">
        <f t="shared" si="38"/>
        <v>1.1499999999999999</v>
      </c>
      <c r="AA133" s="135">
        <f t="shared" si="38"/>
        <v>1.1499999999999999</v>
      </c>
      <c r="AB133" s="135">
        <f t="shared" si="38"/>
        <v>1.1499999999999999</v>
      </c>
      <c r="AC133" s="135">
        <f t="shared" si="38"/>
        <v>1.1499999999999999</v>
      </c>
      <c r="AD133" s="135">
        <f t="shared" si="38"/>
        <v>1.1499999999999999</v>
      </c>
      <c r="AE133" s="135">
        <f t="shared" si="38"/>
        <v>1.1499999999999999</v>
      </c>
      <c r="AF133" s="135">
        <f t="shared" si="38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6"/>
        <v>2.133</v>
      </c>
      <c r="C134" s="136">
        <v>2.133</v>
      </c>
      <c r="D134" s="135">
        <f t="shared" si="37"/>
        <v>2.133</v>
      </c>
      <c r="E134" s="135">
        <f t="shared" si="37"/>
        <v>2.133</v>
      </c>
      <c r="F134" s="135">
        <f t="shared" si="37"/>
        <v>2.133</v>
      </c>
      <c r="G134" s="135">
        <f t="shared" si="37"/>
        <v>2.133</v>
      </c>
      <c r="H134" s="135">
        <f t="shared" si="37"/>
        <v>2.133</v>
      </c>
      <c r="I134" s="135">
        <f t="shared" si="37"/>
        <v>2.133</v>
      </c>
      <c r="J134" s="135">
        <f t="shared" si="37"/>
        <v>2.133</v>
      </c>
      <c r="K134" s="135">
        <f t="shared" si="37"/>
        <v>2.133</v>
      </c>
      <c r="L134" s="135">
        <f t="shared" si="37"/>
        <v>2.133</v>
      </c>
      <c r="M134" s="135">
        <f t="shared" si="37"/>
        <v>2.133</v>
      </c>
      <c r="N134" s="135">
        <f t="shared" si="37"/>
        <v>2.133</v>
      </c>
      <c r="O134" s="135">
        <f t="shared" si="37"/>
        <v>2.133</v>
      </c>
      <c r="P134" s="135">
        <f t="shared" si="37"/>
        <v>2.133</v>
      </c>
      <c r="Q134" s="135">
        <f t="shared" si="37"/>
        <v>2.133</v>
      </c>
      <c r="R134" s="135">
        <f t="shared" si="37"/>
        <v>2.133</v>
      </c>
      <c r="S134" s="135">
        <f t="shared" si="37"/>
        <v>2.133</v>
      </c>
      <c r="T134" s="135">
        <f t="shared" si="38"/>
        <v>2.133</v>
      </c>
      <c r="U134" s="135">
        <f t="shared" si="38"/>
        <v>2.133</v>
      </c>
      <c r="V134" s="135">
        <f t="shared" si="38"/>
        <v>2.133</v>
      </c>
      <c r="W134" s="135">
        <f t="shared" si="38"/>
        <v>2.133</v>
      </c>
      <c r="X134" s="135">
        <f t="shared" si="38"/>
        <v>2.133</v>
      </c>
      <c r="Y134" s="135">
        <f t="shared" si="38"/>
        <v>2.133</v>
      </c>
      <c r="Z134" s="135">
        <f t="shared" si="38"/>
        <v>2.133</v>
      </c>
      <c r="AA134" s="135">
        <f t="shared" si="38"/>
        <v>2.133</v>
      </c>
      <c r="AB134" s="135">
        <f t="shared" si="38"/>
        <v>2.133</v>
      </c>
      <c r="AC134" s="135">
        <f t="shared" si="38"/>
        <v>2.133</v>
      </c>
      <c r="AD134" s="135">
        <f t="shared" si="38"/>
        <v>2.133</v>
      </c>
      <c r="AE134" s="135">
        <f t="shared" si="38"/>
        <v>2.133</v>
      </c>
      <c r="AF134" s="135">
        <f t="shared" si="38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6"/>
        <v>2.09</v>
      </c>
      <c r="C135" s="136">
        <v>2.09</v>
      </c>
      <c r="D135" s="135">
        <f t="shared" si="37"/>
        <v>2.09</v>
      </c>
      <c r="E135" s="135">
        <f t="shared" si="37"/>
        <v>2.09</v>
      </c>
      <c r="F135" s="135">
        <f t="shared" si="37"/>
        <v>2.09</v>
      </c>
      <c r="G135" s="135">
        <f t="shared" si="37"/>
        <v>2.09</v>
      </c>
      <c r="H135" s="135">
        <f t="shared" si="37"/>
        <v>2.09</v>
      </c>
      <c r="I135" s="135">
        <f t="shared" si="37"/>
        <v>2.09</v>
      </c>
      <c r="J135" s="135">
        <f t="shared" si="37"/>
        <v>2.09</v>
      </c>
      <c r="K135" s="135">
        <f t="shared" si="37"/>
        <v>2.09</v>
      </c>
      <c r="L135" s="135">
        <f t="shared" si="37"/>
        <v>2.09</v>
      </c>
      <c r="M135" s="135">
        <f t="shared" si="37"/>
        <v>2.09</v>
      </c>
      <c r="N135" s="135">
        <f t="shared" si="37"/>
        <v>2.09</v>
      </c>
      <c r="O135" s="135">
        <f t="shared" si="37"/>
        <v>2.09</v>
      </c>
      <c r="P135" s="135">
        <f t="shared" si="37"/>
        <v>2.09</v>
      </c>
      <c r="Q135" s="135">
        <f t="shared" si="37"/>
        <v>2.09</v>
      </c>
      <c r="R135" s="135">
        <f t="shared" si="37"/>
        <v>2.09</v>
      </c>
      <c r="S135" s="135">
        <f t="shared" si="37"/>
        <v>2.09</v>
      </c>
      <c r="T135" s="135">
        <f t="shared" si="38"/>
        <v>2.09</v>
      </c>
      <c r="U135" s="135">
        <f t="shared" si="38"/>
        <v>2.09</v>
      </c>
      <c r="V135" s="135">
        <f t="shared" si="38"/>
        <v>2.09</v>
      </c>
      <c r="W135" s="135">
        <f t="shared" si="38"/>
        <v>2.09</v>
      </c>
      <c r="X135" s="135">
        <f t="shared" si="38"/>
        <v>2.09</v>
      </c>
      <c r="Y135" s="135">
        <f t="shared" si="38"/>
        <v>2.09</v>
      </c>
      <c r="Z135" s="135">
        <f t="shared" si="38"/>
        <v>2.09</v>
      </c>
      <c r="AA135" s="135">
        <f t="shared" si="38"/>
        <v>2.09</v>
      </c>
      <c r="AB135" s="135">
        <f t="shared" si="38"/>
        <v>2.09</v>
      </c>
      <c r="AC135" s="135">
        <f t="shared" si="38"/>
        <v>2.09</v>
      </c>
      <c r="AD135" s="135">
        <f t="shared" si="38"/>
        <v>2.09</v>
      </c>
      <c r="AE135" s="135">
        <f t="shared" si="38"/>
        <v>2.09</v>
      </c>
      <c r="AF135" s="135">
        <f t="shared" si="38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6"/>
        <v>1.1399999999999999</v>
      </c>
      <c r="C136" s="136">
        <v>1.1399999999999999</v>
      </c>
      <c r="D136" s="135">
        <f t="shared" si="37"/>
        <v>1.1399999999999999</v>
      </c>
      <c r="E136" s="135">
        <f t="shared" si="37"/>
        <v>1.1399999999999999</v>
      </c>
      <c r="F136" s="135">
        <f t="shared" si="37"/>
        <v>1.1399999999999999</v>
      </c>
      <c r="G136" s="135">
        <f t="shared" si="37"/>
        <v>1.1399999999999999</v>
      </c>
      <c r="H136" s="135">
        <f t="shared" si="37"/>
        <v>1.1399999999999999</v>
      </c>
      <c r="I136" s="135">
        <f t="shared" si="37"/>
        <v>1.1399999999999999</v>
      </c>
      <c r="J136" s="135">
        <f t="shared" si="37"/>
        <v>1.1399999999999999</v>
      </c>
      <c r="K136" s="135">
        <f t="shared" si="37"/>
        <v>1.1399999999999999</v>
      </c>
      <c r="L136" s="135">
        <f t="shared" si="37"/>
        <v>1.1399999999999999</v>
      </c>
      <c r="M136" s="135">
        <f t="shared" si="37"/>
        <v>1.1399999999999999</v>
      </c>
      <c r="N136" s="135">
        <f t="shared" si="37"/>
        <v>1.1399999999999999</v>
      </c>
      <c r="O136" s="135">
        <f t="shared" si="37"/>
        <v>1.1399999999999999</v>
      </c>
      <c r="P136" s="135">
        <f t="shared" si="37"/>
        <v>1.1399999999999999</v>
      </c>
      <c r="Q136" s="135">
        <f t="shared" si="37"/>
        <v>1.1399999999999999</v>
      </c>
      <c r="R136" s="135">
        <f t="shared" si="37"/>
        <v>1.1399999999999999</v>
      </c>
      <c r="S136" s="135">
        <f t="shared" si="37"/>
        <v>1.1399999999999999</v>
      </c>
      <c r="T136" s="135">
        <f t="shared" si="38"/>
        <v>1.1399999999999999</v>
      </c>
      <c r="U136" s="135">
        <f t="shared" si="38"/>
        <v>1.1399999999999999</v>
      </c>
      <c r="V136" s="135">
        <f t="shared" si="38"/>
        <v>1.1399999999999999</v>
      </c>
      <c r="W136" s="135">
        <f t="shared" si="38"/>
        <v>1.1399999999999999</v>
      </c>
      <c r="X136" s="135">
        <f t="shared" si="38"/>
        <v>1.1399999999999999</v>
      </c>
      <c r="Y136" s="135">
        <f t="shared" si="38"/>
        <v>1.1399999999999999</v>
      </c>
      <c r="Z136" s="135">
        <f t="shared" si="38"/>
        <v>1.1399999999999999</v>
      </c>
      <c r="AA136" s="135">
        <f t="shared" si="38"/>
        <v>1.1399999999999999</v>
      </c>
      <c r="AB136" s="135">
        <f t="shared" si="38"/>
        <v>1.1399999999999999</v>
      </c>
      <c r="AC136" s="135">
        <f t="shared" si="38"/>
        <v>1.1399999999999999</v>
      </c>
      <c r="AD136" s="135">
        <f t="shared" si="38"/>
        <v>1.1399999999999999</v>
      </c>
      <c r="AE136" s="135">
        <f t="shared" si="38"/>
        <v>1.1399999999999999</v>
      </c>
      <c r="AF136" s="135">
        <f t="shared" si="38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6"/>
        <v>0.82</v>
      </c>
      <c r="C137" s="136">
        <v>0.82</v>
      </c>
      <c r="D137" s="135">
        <f t="shared" si="37"/>
        <v>0.82</v>
      </c>
      <c r="E137" s="135">
        <f t="shared" si="37"/>
        <v>0.82</v>
      </c>
      <c r="F137" s="135">
        <f t="shared" si="37"/>
        <v>0.82</v>
      </c>
      <c r="G137" s="135">
        <f t="shared" si="37"/>
        <v>0.82</v>
      </c>
      <c r="H137" s="135">
        <f t="shared" si="37"/>
        <v>0.82</v>
      </c>
      <c r="I137" s="135">
        <f t="shared" si="37"/>
        <v>0.82</v>
      </c>
      <c r="J137" s="135">
        <f t="shared" si="37"/>
        <v>0.82</v>
      </c>
      <c r="K137" s="135">
        <f t="shared" si="37"/>
        <v>0.82</v>
      </c>
      <c r="L137" s="135">
        <f t="shared" si="37"/>
        <v>0.82</v>
      </c>
      <c r="M137" s="135">
        <f t="shared" si="37"/>
        <v>0.82</v>
      </c>
      <c r="N137" s="135">
        <f t="shared" si="37"/>
        <v>0.82</v>
      </c>
      <c r="O137" s="135">
        <f t="shared" si="37"/>
        <v>0.82</v>
      </c>
      <c r="P137" s="135">
        <f t="shared" si="37"/>
        <v>0.82</v>
      </c>
      <c r="Q137" s="135">
        <f t="shared" si="37"/>
        <v>0.82</v>
      </c>
      <c r="R137" s="135">
        <f t="shared" si="37"/>
        <v>0.82</v>
      </c>
      <c r="S137" s="135">
        <f t="shared" si="37"/>
        <v>0.82</v>
      </c>
      <c r="T137" s="135">
        <f t="shared" si="38"/>
        <v>0.82</v>
      </c>
      <c r="U137" s="135">
        <f t="shared" si="38"/>
        <v>0.82</v>
      </c>
      <c r="V137" s="135">
        <f t="shared" si="38"/>
        <v>0.82</v>
      </c>
      <c r="W137" s="135">
        <f t="shared" si="38"/>
        <v>0.82</v>
      </c>
      <c r="X137" s="135">
        <f t="shared" si="38"/>
        <v>0.82</v>
      </c>
      <c r="Y137" s="135">
        <f t="shared" si="38"/>
        <v>0.82</v>
      </c>
      <c r="Z137" s="135">
        <f t="shared" si="38"/>
        <v>0.82</v>
      </c>
      <c r="AA137" s="135">
        <f t="shared" si="38"/>
        <v>0.82</v>
      </c>
      <c r="AB137" s="135">
        <f t="shared" si="38"/>
        <v>0.82</v>
      </c>
      <c r="AC137" s="135">
        <f t="shared" si="38"/>
        <v>0.82</v>
      </c>
      <c r="AD137" s="135">
        <f t="shared" si="38"/>
        <v>0.82</v>
      </c>
      <c r="AE137" s="135">
        <f t="shared" si="38"/>
        <v>0.82</v>
      </c>
      <c r="AF137" s="135">
        <f t="shared" si="38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9">AF139</f>
        <v>2</v>
      </c>
      <c r="C139" s="136">
        <v>2</v>
      </c>
      <c r="D139" s="135">
        <f t="shared" ref="D139:S145" si="40">C139</f>
        <v>2</v>
      </c>
      <c r="E139" s="135">
        <f t="shared" si="40"/>
        <v>2</v>
      </c>
      <c r="F139" s="135">
        <f t="shared" si="40"/>
        <v>2</v>
      </c>
      <c r="G139" s="135">
        <f t="shared" si="40"/>
        <v>2</v>
      </c>
      <c r="H139" s="135">
        <f t="shared" si="40"/>
        <v>2</v>
      </c>
      <c r="I139" s="135">
        <f t="shared" si="40"/>
        <v>2</v>
      </c>
      <c r="J139" s="135">
        <f t="shared" si="40"/>
        <v>2</v>
      </c>
      <c r="K139" s="135">
        <f t="shared" si="40"/>
        <v>2</v>
      </c>
      <c r="L139" s="135">
        <f t="shared" si="40"/>
        <v>2</v>
      </c>
      <c r="M139" s="135">
        <f t="shared" si="40"/>
        <v>2</v>
      </c>
      <c r="N139" s="135">
        <f t="shared" si="40"/>
        <v>2</v>
      </c>
      <c r="O139" s="135">
        <f t="shared" si="40"/>
        <v>2</v>
      </c>
      <c r="P139" s="135">
        <f t="shared" si="40"/>
        <v>2</v>
      </c>
      <c r="Q139" s="135">
        <f t="shared" si="40"/>
        <v>2</v>
      </c>
      <c r="R139" s="135">
        <f t="shared" si="40"/>
        <v>2</v>
      </c>
      <c r="S139" s="135">
        <f t="shared" si="40"/>
        <v>2</v>
      </c>
      <c r="T139" s="135">
        <f t="shared" ref="T139:AF145" si="41">S139</f>
        <v>2</v>
      </c>
      <c r="U139" s="135">
        <f t="shared" si="41"/>
        <v>2</v>
      </c>
      <c r="V139" s="135">
        <f t="shared" si="41"/>
        <v>2</v>
      </c>
      <c r="W139" s="135">
        <f t="shared" si="41"/>
        <v>2</v>
      </c>
      <c r="X139" s="135">
        <f t="shared" si="41"/>
        <v>2</v>
      </c>
      <c r="Y139" s="135">
        <f t="shared" si="41"/>
        <v>2</v>
      </c>
      <c r="Z139" s="135">
        <f t="shared" si="41"/>
        <v>2</v>
      </c>
      <c r="AA139" s="135">
        <f t="shared" si="41"/>
        <v>2</v>
      </c>
      <c r="AB139" s="135">
        <f t="shared" si="41"/>
        <v>2</v>
      </c>
      <c r="AC139" s="135">
        <f t="shared" si="41"/>
        <v>2</v>
      </c>
      <c r="AD139" s="135">
        <f t="shared" si="41"/>
        <v>2</v>
      </c>
      <c r="AE139" s="135">
        <f t="shared" si="41"/>
        <v>2</v>
      </c>
      <c r="AF139" s="135">
        <f t="shared" si="41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9"/>
        <v>5.61</v>
      </c>
      <c r="C140" s="136">
        <v>5.61</v>
      </c>
      <c r="D140" s="135">
        <f t="shared" si="40"/>
        <v>5.61</v>
      </c>
      <c r="E140" s="135">
        <f t="shared" si="40"/>
        <v>5.61</v>
      </c>
      <c r="F140" s="135">
        <f t="shared" si="40"/>
        <v>5.61</v>
      </c>
      <c r="G140" s="135">
        <f t="shared" si="40"/>
        <v>5.61</v>
      </c>
      <c r="H140" s="135">
        <f t="shared" si="40"/>
        <v>5.61</v>
      </c>
      <c r="I140" s="135">
        <f t="shared" si="40"/>
        <v>5.61</v>
      </c>
      <c r="J140" s="135">
        <f t="shared" si="40"/>
        <v>5.61</v>
      </c>
      <c r="K140" s="135">
        <f t="shared" si="40"/>
        <v>5.61</v>
      </c>
      <c r="L140" s="135">
        <f t="shared" si="40"/>
        <v>5.61</v>
      </c>
      <c r="M140" s="135">
        <f t="shared" si="40"/>
        <v>5.61</v>
      </c>
      <c r="N140" s="135">
        <f t="shared" si="40"/>
        <v>5.61</v>
      </c>
      <c r="O140" s="135">
        <f t="shared" si="40"/>
        <v>5.61</v>
      </c>
      <c r="P140" s="135">
        <f t="shared" si="40"/>
        <v>5.61</v>
      </c>
      <c r="Q140" s="135">
        <f t="shared" si="40"/>
        <v>5.61</v>
      </c>
      <c r="R140" s="135">
        <f t="shared" si="40"/>
        <v>5.61</v>
      </c>
      <c r="S140" s="135">
        <f t="shared" si="40"/>
        <v>5.61</v>
      </c>
      <c r="T140" s="135">
        <f t="shared" si="41"/>
        <v>5.61</v>
      </c>
      <c r="U140" s="135">
        <f t="shared" si="41"/>
        <v>5.61</v>
      </c>
      <c r="V140" s="135">
        <f t="shared" si="41"/>
        <v>5.61</v>
      </c>
      <c r="W140" s="135">
        <f t="shared" si="41"/>
        <v>5.61</v>
      </c>
      <c r="X140" s="135">
        <f t="shared" si="41"/>
        <v>5.61</v>
      </c>
      <c r="Y140" s="135">
        <f t="shared" si="41"/>
        <v>5.61</v>
      </c>
      <c r="Z140" s="135">
        <f t="shared" si="41"/>
        <v>5.61</v>
      </c>
      <c r="AA140" s="135">
        <f t="shared" si="41"/>
        <v>5.61</v>
      </c>
      <c r="AB140" s="135">
        <f t="shared" si="41"/>
        <v>5.61</v>
      </c>
      <c r="AC140" s="135">
        <f t="shared" si="41"/>
        <v>5.61</v>
      </c>
      <c r="AD140" s="135">
        <f t="shared" si="41"/>
        <v>5.61</v>
      </c>
      <c r="AE140" s="135">
        <f t="shared" si="41"/>
        <v>5.61</v>
      </c>
      <c r="AF140" s="135">
        <f t="shared" si="41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9"/>
        <v>1.25</v>
      </c>
      <c r="C141" s="136">
        <v>1.25</v>
      </c>
      <c r="D141" s="135">
        <f t="shared" si="40"/>
        <v>1.25</v>
      </c>
      <c r="E141" s="135">
        <f t="shared" si="40"/>
        <v>1.25</v>
      </c>
      <c r="F141" s="135">
        <f t="shared" si="40"/>
        <v>1.25</v>
      </c>
      <c r="G141" s="135">
        <f t="shared" si="40"/>
        <v>1.25</v>
      </c>
      <c r="H141" s="135">
        <f t="shared" si="40"/>
        <v>1.25</v>
      </c>
      <c r="I141" s="135">
        <f t="shared" si="40"/>
        <v>1.25</v>
      </c>
      <c r="J141" s="135">
        <f t="shared" si="40"/>
        <v>1.25</v>
      </c>
      <c r="K141" s="135">
        <f t="shared" si="40"/>
        <v>1.25</v>
      </c>
      <c r="L141" s="135">
        <f t="shared" si="40"/>
        <v>1.25</v>
      </c>
      <c r="M141" s="135">
        <f t="shared" si="40"/>
        <v>1.25</v>
      </c>
      <c r="N141" s="135">
        <f t="shared" si="40"/>
        <v>1.25</v>
      </c>
      <c r="O141" s="135">
        <f t="shared" si="40"/>
        <v>1.25</v>
      </c>
      <c r="P141" s="135">
        <f t="shared" si="40"/>
        <v>1.25</v>
      </c>
      <c r="Q141" s="135">
        <f t="shared" si="40"/>
        <v>1.25</v>
      </c>
      <c r="R141" s="135">
        <f t="shared" si="40"/>
        <v>1.25</v>
      </c>
      <c r="S141" s="135">
        <f t="shared" si="40"/>
        <v>1.25</v>
      </c>
      <c r="T141" s="135">
        <f t="shared" si="41"/>
        <v>1.25</v>
      </c>
      <c r="U141" s="135">
        <f t="shared" si="41"/>
        <v>1.25</v>
      </c>
      <c r="V141" s="135">
        <f t="shared" si="41"/>
        <v>1.25</v>
      </c>
      <c r="W141" s="135">
        <f t="shared" si="41"/>
        <v>1.25</v>
      </c>
      <c r="X141" s="135">
        <f t="shared" si="41"/>
        <v>1.25</v>
      </c>
      <c r="Y141" s="135">
        <f t="shared" si="41"/>
        <v>1.25</v>
      </c>
      <c r="Z141" s="135">
        <f t="shared" si="41"/>
        <v>1.25</v>
      </c>
      <c r="AA141" s="135">
        <f t="shared" si="41"/>
        <v>1.25</v>
      </c>
      <c r="AB141" s="135">
        <f t="shared" si="41"/>
        <v>1.25</v>
      </c>
      <c r="AC141" s="135">
        <f t="shared" si="41"/>
        <v>1.25</v>
      </c>
      <c r="AD141" s="135">
        <f t="shared" si="41"/>
        <v>1.25</v>
      </c>
      <c r="AE141" s="135">
        <f t="shared" si="41"/>
        <v>1.25</v>
      </c>
      <c r="AF141" s="135">
        <f t="shared" si="41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9"/>
        <v>1.25</v>
      </c>
      <c r="C142" s="136">
        <v>1.25</v>
      </c>
      <c r="D142" s="135">
        <f t="shared" si="40"/>
        <v>1.25</v>
      </c>
      <c r="E142" s="135">
        <f t="shared" si="40"/>
        <v>1.25</v>
      </c>
      <c r="F142" s="135">
        <f t="shared" si="40"/>
        <v>1.25</v>
      </c>
      <c r="G142" s="135">
        <f t="shared" si="40"/>
        <v>1.25</v>
      </c>
      <c r="H142" s="135">
        <f t="shared" si="40"/>
        <v>1.25</v>
      </c>
      <c r="I142" s="135">
        <f t="shared" si="40"/>
        <v>1.25</v>
      </c>
      <c r="J142" s="135">
        <f t="shared" si="40"/>
        <v>1.25</v>
      </c>
      <c r="K142" s="135">
        <f t="shared" si="40"/>
        <v>1.25</v>
      </c>
      <c r="L142" s="135">
        <f t="shared" si="40"/>
        <v>1.25</v>
      </c>
      <c r="M142" s="135">
        <f t="shared" si="40"/>
        <v>1.25</v>
      </c>
      <c r="N142" s="135">
        <f t="shared" si="40"/>
        <v>1.25</v>
      </c>
      <c r="O142" s="135">
        <f t="shared" si="40"/>
        <v>1.25</v>
      </c>
      <c r="P142" s="135">
        <f t="shared" si="40"/>
        <v>1.25</v>
      </c>
      <c r="Q142" s="135">
        <f t="shared" si="40"/>
        <v>1.25</v>
      </c>
      <c r="R142" s="135">
        <f t="shared" si="40"/>
        <v>1.25</v>
      </c>
      <c r="S142" s="135">
        <f t="shared" si="40"/>
        <v>1.25</v>
      </c>
      <c r="T142" s="135">
        <f t="shared" si="41"/>
        <v>1.25</v>
      </c>
      <c r="U142" s="135">
        <f t="shared" si="41"/>
        <v>1.25</v>
      </c>
      <c r="V142" s="135">
        <f t="shared" si="41"/>
        <v>1.25</v>
      </c>
      <c r="W142" s="135">
        <f t="shared" si="41"/>
        <v>1.25</v>
      </c>
      <c r="X142" s="135">
        <f t="shared" si="41"/>
        <v>1.25</v>
      </c>
      <c r="Y142" s="135">
        <f t="shared" si="41"/>
        <v>1.25</v>
      </c>
      <c r="Z142" s="135">
        <f t="shared" si="41"/>
        <v>1.25</v>
      </c>
      <c r="AA142" s="135">
        <f t="shared" si="41"/>
        <v>1.25</v>
      </c>
      <c r="AB142" s="135">
        <f t="shared" si="41"/>
        <v>1.25</v>
      </c>
      <c r="AC142" s="135">
        <f t="shared" si="41"/>
        <v>1.25</v>
      </c>
      <c r="AD142" s="135">
        <f t="shared" si="41"/>
        <v>1.25</v>
      </c>
      <c r="AE142" s="135">
        <f t="shared" si="41"/>
        <v>1.25</v>
      </c>
      <c r="AF142" s="135">
        <f t="shared" si="41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9"/>
        <v>1.46</v>
      </c>
      <c r="C143" s="136">
        <v>1.46</v>
      </c>
      <c r="D143" s="135">
        <f t="shared" si="40"/>
        <v>1.46</v>
      </c>
      <c r="E143" s="135">
        <f t="shared" si="40"/>
        <v>1.46</v>
      </c>
      <c r="F143" s="135">
        <f t="shared" si="40"/>
        <v>1.46</v>
      </c>
      <c r="G143" s="135">
        <f t="shared" si="40"/>
        <v>1.46</v>
      </c>
      <c r="H143" s="135">
        <f t="shared" si="40"/>
        <v>1.46</v>
      </c>
      <c r="I143" s="135">
        <f t="shared" si="40"/>
        <v>1.46</v>
      </c>
      <c r="J143" s="135">
        <f t="shared" si="40"/>
        <v>1.46</v>
      </c>
      <c r="K143" s="135">
        <f t="shared" si="40"/>
        <v>1.46</v>
      </c>
      <c r="L143" s="135">
        <f t="shared" si="40"/>
        <v>1.46</v>
      </c>
      <c r="M143" s="135">
        <f t="shared" si="40"/>
        <v>1.46</v>
      </c>
      <c r="N143" s="135">
        <f t="shared" si="40"/>
        <v>1.46</v>
      </c>
      <c r="O143" s="135">
        <f t="shared" si="40"/>
        <v>1.46</v>
      </c>
      <c r="P143" s="135">
        <f t="shared" si="40"/>
        <v>1.46</v>
      </c>
      <c r="Q143" s="135">
        <f t="shared" si="40"/>
        <v>1.46</v>
      </c>
      <c r="R143" s="135">
        <f t="shared" si="40"/>
        <v>1.46</v>
      </c>
      <c r="S143" s="135">
        <f t="shared" si="40"/>
        <v>1.46</v>
      </c>
      <c r="T143" s="135">
        <f t="shared" si="41"/>
        <v>1.46</v>
      </c>
      <c r="U143" s="135">
        <f t="shared" si="41"/>
        <v>1.46</v>
      </c>
      <c r="V143" s="135">
        <f t="shared" si="41"/>
        <v>1.46</v>
      </c>
      <c r="W143" s="135">
        <f t="shared" si="41"/>
        <v>1.46</v>
      </c>
      <c r="X143" s="135">
        <f t="shared" si="41"/>
        <v>1.46</v>
      </c>
      <c r="Y143" s="135">
        <f t="shared" si="41"/>
        <v>1.46</v>
      </c>
      <c r="Z143" s="135">
        <f t="shared" si="41"/>
        <v>1.46</v>
      </c>
      <c r="AA143" s="135">
        <f t="shared" si="41"/>
        <v>1.46</v>
      </c>
      <c r="AB143" s="135">
        <f t="shared" si="41"/>
        <v>1.46</v>
      </c>
      <c r="AC143" s="135">
        <f t="shared" si="41"/>
        <v>1.46</v>
      </c>
      <c r="AD143" s="135">
        <f t="shared" si="41"/>
        <v>1.46</v>
      </c>
      <c r="AE143" s="135">
        <f t="shared" si="41"/>
        <v>1.46</v>
      </c>
      <c r="AF143" s="135">
        <f t="shared" si="41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9"/>
        <v>3</v>
      </c>
      <c r="C144" s="136">
        <v>3</v>
      </c>
      <c r="D144" s="135">
        <f t="shared" si="40"/>
        <v>3</v>
      </c>
      <c r="E144" s="135">
        <f t="shared" si="40"/>
        <v>3</v>
      </c>
      <c r="F144" s="135">
        <f t="shared" si="40"/>
        <v>3</v>
      </c>
      <c r="G144" s="135">
        <f t="shared" si="40"/>
        <v>3</v>
      </c>
      <c r="H144" s="135">
        <f t="shared" si="40"/>
        <v>3</v>
      </c>
      <c r="I144" s="135">
        <f t="shared" si="40"/>
        <v>3</v>
      </c>
      <c r="J144" s="135">
        <f t="shared" si="40"/>
        <v>3</v>
      </c>
      <c r="K144" s="135">
        <f t="shared" si="40"/>
        <v>3</v>
      </c>
      <c r="L144" s="135">
        <f t="shared" si="40"/>
        <v>3</v>
      </c>
      <c r="M144" s="135">
        <f t="shared" si="40"/>
        <v>3</v>
      </c>
      <c r="N144" s="135">
        <f t="shared" si="40"/>
        <v>3</v>
      </c>
      <c r="O144" s="135">
        <f t="shared" si="40"/>
        <v>3</v>
      </c>
      <c r="P144" s="135">
        <f t="shared" si="40"/>
        <v>3</v>
      </c>
      <c r="Q144" s="135">
        <f t="shared" si="40"/>
        <v>3</v>
      </c>
      <c r="R144" s="135">
        <f t="shared" si="40"/>
        <v>3</v>
      </c>
      <c r="S144" s="135">
        <f t="shared" si="40"/>
        <v>3</v>
      </c>
      <c r="T144" s="135">
        <f t="shared" si="41"/>
        <v>3</v>
      </c>
      <c r="U144" s="135">
        <f t="shared" si="41"/>
        <v>3</v>
      </c>
      <c r="V144" s="135">
        <f t="shared" si="41"/>
        <v>3</v>
      </c>
      <c r="W144" s="135">
        <f t="shared" si="41"/>
        <v>3</v>
      </c>
      <c r="X144" s="135">
        <f t="shared" si="41"/>
        <v>3</v>
      </c>
      <c r="Y144" s="135">
        <f t="shared" si="41"/>
        <v>3</v>
      </c>
      <c r="Z144" s="135">
        <f t="shared" si="41"/>
        <v>3</v>
      </c>
      <c r="AA144" s="135">
        <f t="shared" si="41"/>
        <v>3</v>
      </c>
      <c r="AB144" s="135">
        <f t="shared" si="41"/>
        <v>3</v>
      </c>
      <c r="AC144" s="135">
        <f t="shared" si="41"/>
        <v>3</v>
      </c>
      <c r="AD144" s="135">
        <f t="shared" si="41"/>
        <v>3</v>
      </c>
      <c r="AE144" s="135">
        <f t="shared" si="41"/>
        <v>3</v>
      </c>
      <c r="AF144" s="135">
        <f t="shared" si="41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9"/>
        <v>3.3</v>
      </c>
      <c r="C145" s="136">
        <v>3.3</v>
      </c>
      <c r="D145" s="135">
        <f t="shared" si="40"/>
        <v>3.3</v>
      </c>
      <c r="E145" s="135">
        <f t="shared" si="40"/>
        <v>3.3</v>
      </c>
      <c r="F145" s="135">
        <f t="shared" si="40"/>
        <v>3.3</v>
      </c>
      <c r="G145" s="135">
        <f t="shared" si="40"/>
        <v>3.3</v>
      </c>
      <c r="H145" s="135">
        <f t="shared" si="40"/>
        <v>3.3</v>
      </c>
      <c r="I145" s="135">
        <f t="shared" si="40"/>
        <v>3.3</v>
      </c>
      <c r="J145" s="135">
        <f t="shared" si="40"/>
        <v>3.3</v>
      </c>
      <c r="K145" s="135">
        <f t="shared" si="40"/>
        <v>3.3</v>
      </c>
      <c r="L145" s="135">
        <f t="shared" si="40"/>
        <v>3.3</v>
      </c>
      <c r="M145" s="135">
        <f t="shared" si="40"/>
        <v>3.3</v>
      </c>
      <c r="N145" s="135">
        <f t="shared" si="40"/>
        <v>3.3</v>
      </c>
      <c r="O145" s="135">
        <f t="shared" si="40"/>
        <v>3.3</v>
      </c>
      <c r="P145" s="135">
        <f t="shared" si="40"/>
        <v>3.3</v>
      </c>
      <c r="Q145" s="135">
        <f t="shared" si="40"/>
        <v>3.3</v>
      </c>
      <c r="R145" s="135">
        <f t="shared" si="40"/>
        <v>3.3</v>
      </c>
      <c r="S145" s="135">
        <f t="shared" si="40"/>
        <v>3.3</v>
      </c>
      <c r="T145" s="135">
        <f t="shared" si="41"/>
        <v>3.3</v>
      </c>
      <c r="U145" s="135">
        <f t="shared" si="41"/>
        <v>3.3</v>
      </c>
      <c r="V145" s="135">
        <f t="shared" si="41"/>
        <v>3.3</v>
      </c>
      <c r="W145" s="135">
        <f t="shared" si="41"/>
        <v>3.3</v>
      </c>
      <c r="X145" s="135">
        <f t="shared" si="41"/>
        <v>3.3</v>
      </c>
      <c r="Y145" s="135">
        <f t="shared" si="41"/>
        <v>3.3</v>
      </c>
      <c r="Z145" s="135">
        <f t="shared" si="41"/>
        <v>3.3</v>
      </c>
      <c r="AA145" s="135">
        <f t="shared" si="41"/>
        <v>3.3</v>
      </c>
      <c r="AB145" s="135">
        <f t="shared" si="41"/>
        <v>3.3</v>
      </c>
      <c r="AC145" s="135">
        <f t="shared" si="41"/>
        <v>3.3</v>
      </c>
      <c r="AD145" s="135">
        <f t="shared" si="41"/>
        <v>3.3</v>
      </c>
      <c r="AE145" s="135">
        <f t="shared" si="41"/>
        <v>3.3</v>
      </c>
      <c r="AF145" s="135">
        <f t="shared" si="41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2">C147</f>
        <v>1.76</v>
      </c>
      <c r="E147" s="135">
        <f t="shared" si="42"/>
        <v>1.76</v>
      </c>
      <c r="F147" s="135">
        <f t="shared" si="42"/>
        <v>1.76</v>
      </c>
      <c r="G147" s="135">
        <f t="shared" si="42"/>
        <v>1.76</v>
      </c>
      <c r="H147" s="135">
        <f t="shared" si="42"/>
        <v>1.76</v>
      </c>
      <c r="I147" s="135">
        <f t="shared" si="42"/>
        <v>1.76</v>
      </c>
      <c r="J147" s="135">
        <f t="shared" si="42"/>
        <v>1.76</v>
      </c>
      <c r="K147" s="135">
        <f t="shared" si="42"/>
        <v>1.76</v>
      </c>
      <c r="L147" s="135">
        <f t="shared" si="42"/>
        <v>1.76</v>
      </c>
      <c r="M147" s="135">
        <f t="shared" si="42"/>
        <v>1.76</v>
      </c>
      <c r="N147" s="135">
        <f t="shared" si="42"/>
        <v>1.76</v>
      </c>
      <c r="O147" s="135">
        <f t="shared" si="42"/>
        <v>1.76</v>
      </c>
      <c r="P147" s="135">
        <f t="shared" si="42"/>
        <v>1.76</v>
      </c>
      <c r="Q147" s="135">
        <f t="shared" si="42"/>
        <v>1.76</v>
      </c>
      <c r="R147" s="135">
        <f t="shared" si="42"/>
        <v>1.76</v>
      </c>
      <c r="S147" s="135">
        <f t="shared" si="42"/>
        <v>1.76</v>
      </c>
      <c r="T147" s="135">
        <f t="shared" ref="T147:AF148" si="43">S147</f>
        <v>1.76</v>
      </c>
      <c r="U147" s="135">
        <f t="shared" si="43"/>
        <v>1.76</v>
      </c>
      <c r="V147" s="135">
        <f t="shared" si="43"/>
        <v>1.76</v>
      </c>
      <c r="W147" s="135">
        <f t="shared" si="43"/>
        <v>1.76</v>
      </c>
      <c r="X147" s="135">
        <f t="shared" si="43"/>
        <v>1.76</v>
      </c>
      <c r="Y147" s="135">
        <f t="shared" si="43"/>
        <v>1.76</v>
      </c>
      <c r="Z147" s="135">
        <f t="shared" si="43"/>
        <v>1.76</v>
      </c>
      <c r="AA147" s="135">
        <f t="shared" si="43"/>
        <v>1.76</v>
      </c>
      <c r="AB147" s="135">
        <f t="shared" si="43"/>
        <v>1.76</v>
      </c>
      <c r="AC147" s="135">
        <f t="shared" si="43"/>
        <v>1.76</v>
      </c>
      <c r="AD147" s="135">
        <f t="shared" si="43"/>
        <v>1.76</v>
      </c>
      <c r="AE147" s="135">
        <f t="shared" si="43"/>
        <v>1.76</v>
      </c>
      <c r="AF147" s="135">
        <f t="shared" si="43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2"/>
        <v>0</v>
      </c>
      <c r="E148" s="135">
        <f t="shared" si="42"/>
        <v>0</v>
      </c>
      <c r="F148" s="135">
        <f t="shared" si="42"/>
        <v>0</v>
      </c>
      <c r="G148" s="135">
        <f t="shared" si="42"/>
        <v>0</v>
      </c>
      <c r="H148" s="135">
        <f t="shared" si="42"/>
        <v>0</v>
      </c>
      <c r="I148" s="135">
        <f t="shared" si="42"/>
        <v>0</v>
      </c>
      <c r="J148" s="135">
        <f t="shared" si="42"/>
        <v>0</v>
      </c>
      <c r="K148" s="135">
        <f t="shared" si="42"/>
        <v>0</v>
      </c>
      <c r="L148" s="135">
        <f t="shared" si="42"/>
        <v>0</v>
      </c>
      <c r="M148" s="135">
        <f t="shared" si="42"/>
        <v>0</v>
      </c>
      <c r="N148" s="135">
        <f t="shared" si="42"/>
        <v>0</v>
      </c>
      <c r="O148" s="135">
        <f t="shared" si="42"/>
        <v>0</v>
      </c>
      <c r="P148" s="135">
        <f t="shared" si="42"/>
        <v>0</v>
      </c>
      <c r="Q148" s="135">
        <f t="shared" si="42"/>
        <v>0</v>
      </c>
      <c r="R148" s="135">
        <f t="shared" si="42"/>
        <v>0</v>
      </c>
      <c r="S148" s="135">
        <f t="shared" si="42"/>
        <v>0</v>
      </c>
      <c r="T148" s="135">
        <f t="shared" si="43"/>
        <v>0</v>
      </c>
      <c r="U148" s="135">
        <f t="shared" si="43"/>
        <v>0</v>
      </c>
      <c r="V148" s="135">
        <f t="shared" si="43"/>
        <v>0</v>
      </c>
      <c r="W148" s="135">
        <f t="shared" si="43"/>
        <v>0</v>
      </c>
      <c r="X148" s="135">
        <f t="shared" si="43"/>
        <v>0</v>
      </c>
      <c r="Y148" s="135">
        <f t="shared" si="43"/>
        <v>0</v>
      </c>
      <c r="Z148" s="135">
        <f t="shared" si="43"/>
        <v>0</v>
      </c>
      <c r="AA148" s="135">
        <f t="shared" si="43"/>
        <v>0</v>
      </c>
      <c r="AB148" s="135">
        <f t="shared" si="43"/>
        <v>0</v>
      </c>
      <c r="AC148" s="135">
        <f t="shared" si="43"/>
        <v>0</v>
      </c>
      <c r="AD148" s="135">
        <f t="shared" si="43"/>
        <v>0</v>
      </c>
      <c r="AE148" s="135">
        <f t="shared" si="43"/>
        <v>0</v>
      </c>
      <c r="AF148" s="135">
        <f t="shared" si="43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4">C150</f>
        <v>0.1</v>
      </c>
      <c r="E150" s="135">
        <f t="shared" si="44"/>
        <v>0.1</v>
      </c>
      <c r="F150" s="135">
        <f t="shared" si="44"/>
        <v>0.1</v>
      </c>
      <c r="G150" s="135">
        <f t="shared" si="44"/>
        <v>0.1</v>
      </c>
      <c r="H150" s="135">
        <f t="shared" si="44"/>
        <v>0.1</v>
      </c>
      <c r="I150" s="135">
        <f t="shared" si="44"/>
        <v>0.1</v>
      </c>
      <c r="J150" s="135">
        <f t="shared" si="44"/>
        <v>0.1</v>
      </c>
      <c r="K150" s="135">
        <f t="shared" si="44"/>
        <v>0.1</v>
      </c>
      <c r="L150" s="135">
        <f t="shared" si="44"/>
        <v>0.1</v>
      </c>
      <c r="M150" s="135">
        <f t="shared" si="44"/>
        <v>0.1</v>
      </c>
      <c r="N150" s="135">
        <f t="shared" si="44"/>
        <v>0.1</v>
      </c>
      <c r="O150" s="135">
        <f t="shared" si="44"/>
        <v>0.1</v>
      </c>
      <c r="P150" s="135">
        <f t="shared" si="44"/>
        <v>0.1</v>
      </c>
      <c r="Q150" s="135">
        <f t="shared" si="44"/>
        <v>0.1</v>
      </c>
      <c r="R150" s="135">
        <f t="shared" si="44"/>
        <v>0.1</v>
      </c>
      <c r="S150" s="135">
        <f t="shared" si="44"/>
        <v>0.1</v>
      </c>
      <c r="T150" s="135">
        <f t="shared" ref="T150:AF153" si="45">S150</f>
        <v>0.1</v>
      </c>
      <c r="U150" s="135">
        <f t="shared" si="45"/>
        <v>0.1</v>
      </c>
      <c r="V150" s="135">
        <f t="shared" si="45"/>
        <v>0.1</v>
      </c>
      <c r="W150" s="135">
        <f t="shared" si="45"/>
        <v>0.1</v>
      </c>
      <c r="X150" s="135">
        <f t="shared" si="45"/>
        <v>0.1</v>
      </c>
      <c r="Y150" s="135">
        <f t="shared" si="45"/>
        <v>0.1</v>
      </c>
      <c r="Z150" s="135">
        <f t="shared" si="45"/>
        <v>0.1</v>
      </c>
      <c r="AA150" s="135">
        <f t="shared" si="45"/>
        <v>0.1</v>
      </c>
      <c r="AB150" s="135">
        <f t="shared" si="45"/>
        <v>0.1</v>
      </c>
      <c r="AC150" s="135">
        <f t="shared" si="45"/>
        <v>0.1</v>
      </c>
      <c r="AD150" s="135">
        <f t="shared" si="45"/>
        <v>0.1</v>
      </c>
      <c r="AE150" s="135">
        <f t="shared" si="45"/>
        <v>0.1</v>
      </c>
      <c r="AF150" s="135">
        <f t="shared" si="45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4"/>
        <v>2.0499999999999998</v>
      </c>
      <c r="E151" s="135">
        <f t="shared" si="44"/>
        <v>2.0499999999999998</v>
      </c>
      <c r="F151" s="135">
        <f t="shared" si="44"/>
        <v>2.0499999999999998</v>
      </c>
      <c r="G151" s="135">
        <f t="shared" si="44"/>
        <v>2.0499999999999998</v>
      </c>
      <c r="H151" s="135">
        <f t="shared" si="44"/>
        <v>2.0499999999999998</v>
      </c>
      <c r="I151" s="135">
        <f t="shared" si="44"/>
        <v>2.0499999999999998</v>
      </c>
      <c r="J151" s="135">
        <f t="shared" si="44"/>
        <v>2.0499999999999998</v>
      </c>
      <c r="K151" s="135">
        <f t="shared" si="44"/>
        <v>2.0499999999999998</v>
      </c>
      <c r="L151" s="135">
        <f t="shared" si="44"/>
        <v>2.0499999999999998</v>
      </c>
      <c r="M151" s="135">
        <f t="shared" si="44"/>
        <v>2.0499999999999998</v>
      </c>
      <c r="N151" s="135">
        <f t="shared" si="44"/>
        <v>2.0499999999999998</v>
      </c>
      <c r="O151" s="135">
        <f t="shared" si="44"/>
        <v>2.0499999999999998</v>
      </c>
      <c r="P151" s="135">
        <f t="shared" si="44"/>
        <v>2.0499999999999998</v>
      </c>
      <c r="Q151" s="135">
        <f t="shared" si="44"/>
        <v>2.0499999999999998</v>
      </c>
      <c r="R151" s="135">
        <f t="shared" si="44"/>
        <v>2.0499999999999998</v>
      </c>
      <c r="S151" s="135">
        <f t="shared" si="44"/>
        <v>2.0499999999999998</v>
      </c>
      <c r="T151" s="135">
        <f t="shared" si="45"/>
        <v>2.0499999999999998</v>
      </c>
      <c r="U151" s="135">
        <f t="shared" si="45"/>
        <v>2.0499999999999998</v>
      </c>
      <c r="V151" s="135">
        <f t="shared" si="45"/>
        <v>2.0499999999999998</v>
      </c>
      <c r="W151" s="135">
        <f t="shared" si="45"/>
        <v>2.0499999999999998</v>
      </c>
      <c r="X151" s="135">
        <f t="shared" si="45"/>
        <v>2.0499999999999998</v>
      </c>
      <c r="Y151" s="135">
        <f t="shared" si="45"/>
        <v>2.0499999999999998</v>
      </c>
      <c r="Z151" s="135">
        <f t="shared" si="45"/>
        <v>2.0499999999999998</v>
      </c>
      <c r="AA151" s="135">
        <f t="shared" si="45"/>
        <v>2.0499999999999998</v>
      </c>
      <c r="AB151" s="135">
        <f t="shared" si="45"/>
        <v>2.0499999999999998</v>
      </c>
      <c r="AC151" s="135">
        <f t="shared" si="45"/>
        <v>2.0499999999999998</v>
      </c>
      <c r="AD151" s="135">
        <f t="shared" si="45"/>
        <v>2.0499999999999998</v>
      </c>
      <c r="AE151" s="135">
        <f t="shared" si="45"/>
        <v>2.0499999999999998</v>
      </c>
      <c r="AF151" s="135">
        <f t="shared" si="45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4"/>
        <v>2.7</v>
      </c>
      <c r="E152" s="135">
        <f t="shared" si="44"/>
        <v>2.7</v>
      </c>
      <c r="F152" s="135">
        <f t="shared" si="44"/>
        <v>2.7</v>
      </c>
      <c r="G152" s="135">
        <f t="shared" si="44"/>
        <v>2.7</v>
      </c>
      <c r="H152" s="135">
        <f t="shared" si="44"/>
        <v>2.7</v>
      </c>
      <c r="I152" s="135">
        <f t="shared" si="44"/>
        <v>2.7</v>
      </c>
      <c r="J152" s="135">
        <f t="shared" si="44"/>
        <v>2.7</v>
      </c>
      <c r="K152" s="135">
        <f t="shared" si="44"/>
        <v>2.7</v>
      </c>
      <c r="L152" s="135">
        <f t="shared" si="44"/>
        <v>2.7</v>
      </c>
      <c r="M152" s="135">
        <f t="shared" si="44"/>
        <v>2.7</v>
      </c>
      <c r="N152" s="135">
        <f t="shared" si="44"/>
        <v>2.7</v>
      </c>
      <c r="O152" s="135">
        <f t="shared" si="44"/>
        <v>2.7</v>
      </c>
      <c r="P152" s="135">
        <f t="shared" si="44"/>
        <v>2.7</v>
      </c>
      <c r="Q152" s="135">
        <f t="shared" si="44"/>
        <v>2.7</v>
      </c>
      <c r="R152" s="135">
        <f t="shared" si="44"/>
        <v>2.7</v>
      </c>
      <c r="S152" s="135">
        <f t="shared" si="44"/>
        <v>2.7</v>
      </c>
      <c r="T152" s="135">
        <f t="shared" si="45"/>
        <v>2.7</v>
      </c>
      <c r="U152" s="135">
        <f t="shared" si="45"/>
        <v>2.7</v>
      </c>
      <c r="V152" s="135">
        <f t="shared" si="45"/>
        <v>2.7</v>
      </c>
      <c r="W152" s="135">
        <f t="shared" si="45"/>
        <v>2.7</v>
      </c>
      <c r="X152" s="135">
        <f t="shared" si="45"/>
        <v>2.7</v>
      </c>
      <c r="Y152" s="135">
        <f t="shared" si="45"/>
        <v>2.7</v>
      </c>
      <c r="Z152" s="135">
        <f t="shared" si="45"/>
        <v>2.7</v>
      </c>
      <c r="AA152" s="135">
        <f t="shared" si="45"/>
        <v>2.7</v>
      </c>
      <c r="AB152" s="135">
        <f t="shared" si="45"/>
        <v>2.7</v>
      </c>
      <c r="AC152" s="135">
        <f t="shared" si="45"/>
        <v>2.7</v>
      </c>
      <c r="AD152" s="135">
        <f t="shared" si="45"/>
        <v>2.7</v>
      </c>
      <c r="AE152" s="135">
        <f t="shared" si="45"/>
        <v>2.7</v>
      </c>
      <c r="AF152" s="135">
        <f t="shared" si="45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4"/>
        <v>2.15</v>
      </c>
      <c r="E153" s="135">
        <f t="shared" si="44"/>
        <v>2.15</v>
      </c>
      <c r="F153" s="135">
        <f t="shared" si="44"/>
        <v>2.15</v>
      </c>
      <c r="G153" s="135">
        <f t="shared" si="44"/>
        <v>2.15</v>
      </c>
      <c r="H153" s="135">
        <f t="shared" si="44"/>
        <v>2.15</v>
      </c>
      <c r="I153" s="135">
        <f t="shared" si="44"/>
        <v>2.15</v>
      </c>
      <c r="J153" s="135">
        <f t="shared" si="44"/>
        <v>2.15</v>
      </c>
      <c r="K153" s="135">
        <f t="shared" si="44"/>
        <v>2.15</v>
      </c>
      <c r="L153" s="135">
        <f t="shared" si="44"/>
        <v>2.15</v>
      </c>
      <c r="M153" s="135">
        <f t="shared" si="44"/>
        <v>2.15</v>
      </c>
      <c r="N153" s="135">
        <f t="shared" si="44"/>
        <v>2.15</v>
      </c>
      <c r="O153" s="135">
        <f t="shared" si="44"/>
        <v>2.15</v>
      </c>
      <c r="P153" s="135">
        <f t="shared" si="44"/>
        <v>2.15</v>
      </c>
      <c r="Q153" s="135">
        <f t="shared" si="44"/>
        <v>2.15</v>
      </c>
      <c r="R153" s="135">
        <f t="shared" si="44"/>
        <v>2.15</v>
      </c>
      <c r="S153" s="135">
        <f t="shared" si="44"/>
        <v>2.15</v>
      </c>
      <c r="T153" s="135">
        <f t="shared" si="45"/>
        <v>2.15</v>
      </c>
      <c r="U153" s="135">
        <f t="shared" si="45"/>
        <v>2.15</v>
      </c>
      <c r="V153" s="135">
        <f t="shared" si="45"/>
        <v>2.15</v>
      </c>
      <c r="W153" s="135">
        <f t="shared" si="45"/>
        <v>2.15</v>
      </c>
      <c r="X153" s="135">
        <f t="shared" si="45"/>
        <v>2.15</v>
      </c>
      <c r="Y153" s="135">
        <f t="shared" si="45"/>
        <v>2.15</v>
      </c>
      <c r="Z153" s="135">
        <f t="shared" si="45"/>
        <v>2.15</v>
      </c>
      <c r="AA153" s="135">
        <f t="shared" si="45"/>
        <v>2.15</v>
      </c>
      <c r="AB153" s="135">
        <f t="shared" si="45"/>
        <v>2.15</v>
      </c>
      <c r="AC153" s="135">
        <f t="shared" si="45"/>
        <v>2.15</v>
      </c>
      <c r="AD153" s="135">
        <f t="shared" si="45"/>
        <v>2.15</v>
      </c>
      <c r="AE153" s="135">
        <f t="shared" si="45"/>
        <v>2.15</v>
      </c>
      <c r="AF153" s="135">
        <f t="shared" si="45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6">AF155</f>
        <v>0.9</v>
      </c>
      <c r="C155" s="136">
        <v>0.9</v>
      </c>
      <c r="D155" s="135">
        <f t="shared" ref="D155:S167" si="47">C155</f>
        <v>0.9</v>
      </c>
      <c r="E155" s="135">
        <f t="shared" si="47"/>
        <v>0.9</v>
      </c>
      <c r="F155" s="135">
        <f t="shared" si="47"/>
        <v>0.9</v>
      </c>
      <c r="G155" s="135">
        <f t="shared" si="47"/>
        <v>0.9</v>
      </c>
      <c r="H155" s="135">
        <f t="shared" si="47"/>
        <v>0.9</v>
      </c>
      <c r="I155" s="135">
        <f t="shared" si="47"/>
        <v>0.9</v>
      </c>
      <c r="J155" s="135">
        <f t="shared" si="47"/>
        <v>0.9</v>
      </c>
      <c r="K155" s="135">
        <f t="shared" si="47"/>
        <v>0.9</v>
      </c>
      <c r="L155" s="135">
        <f t="shared" si="47"/>
        <v>0.9</v>
      </c>
      <c r="M155" s="135">
        <f t="shared" si="47"/>
        <v>0.9</v>
      </c>
      <c r="N155" s="135">
        <f t="shared" si="47"/>
        <v>0.9</v>
      </c>
      <c r="O155" s="135">
        <f t="shared" si="47"/>
        <v>0.9</v>
      </c>
      <c r="P155" s="135">
        <f t="shared" si="47"/>
        <v>0.9</v>
      </c>
      <c r="Q155" s="135">
        <f t="shared" si="47"/>
        <v>0.9</v>
      </c>
      <c r="R155" s="135">
        <f t="shared" si="47"/>
        <v>0.9</v>
      </c>
      <c r="S155" s="135">
        <f t="shared" si="47"/>
        <v>0.9</v>
      </c>
      <c r="T155" s="135">
        <f t="shared" ref="S155:AF167" si="48">S155</f>
        <v>0.9</v>
      </c>
      <c r="U155" s="135">
        <f t="shared" si="48"/>
        <v>0.9</v>
      </c>
      <c r="V155" s="135">
        <f t="shared" si="48"/>
        <v>0.9</v>
      </c>
      <c r="W155" s="135">
        <f t="shared" si="48"/>
        <v>0.9</v>
      </c>
      <c r="X155" s="135">
        <f t="shared" si="48"/>
        <v>0.9</v>
      </c>
      <c r="Y155" s="135">
        <f t="shared" si="48"/>
        <v>0.9</v>
      </c>
      <c r="Z155" s="135">
        <f t="shared" si="48"/>
        <v>0.9</v>
      </c>
      <c r="AA155" s="135">
        <f t="shared" si="48"/>
        <v>0.9</v>
      </c>
      <c r="AB155" s="135">
        <f t="shared" si="48"/>
        <v>0.9</v>
      </c>
      <c r="AC155" s="135">
        <f t="shared" si="48"/>
        <v>0.9</v>
      </c>
      <c r="AD155" s="135">
        <f t="shared" si="48"/>
        <v>0.9</v>
      </c>
      <c r="AE155" s="135">
        <f t="shared" si="48"/>
        <v>0.9</v>
      </c>
      <c r="AF155" s="135">
        <f t="shared" si="48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6"/>
        <v>1.08</v>
      </c>
      <c r="C156" s="136">
        <v>1.08</v>
      </c>
      <c r="D156" s="135">
        <f t="shared" si="47"/>
        <v>1.08</v>
      </c>
      <c r="E156" s="135">
        <f t="shared" si="47"/>
        <v>1.08</v>
      </c>
      <c r="F156" s="135">
        <f t="shared" si="47"/>
        <v>1.08</v>
      </c>
      <c r="G156" s="135">
        <f t="shared" si="47"/>
        <v>1.08</v>
      </c>
      <c r="H156" s="135">
        <f t="shared" si="47"/>
        <v>1.08</v>
      </c>
      <c r="I156" s="135">
        <f t="shared" si="47"/>
        <v>1.08</v>
      </c>
      <c r="J156" s="135">
        <f t="shared" si="47"/>
        <v>1.08</v>
      </c>
      <c r="K156" s="135">
        <f t="shared" si="47"/>
        <v>1.08</v>
      </c>
      <c r="L156" s="135">
        <f t="shared" si="47"/>
        <v>1.08</v>
      </c>
      <c r="M156" s="135">
        <f t="shared" si="47"/>
        <v>1.08</v>
      </c>
      <c r="N156" s="135">
        <f t="shared" si="47"/>
        <v>1.08</v>
      </c>
      <c r="O156" s="135">
        <f t="shared" si="47"/>
        <v>1.08</v>
      </c>
      <c r="P156" s="135">
        <f t="shared" si="47"/>
        <v>1.08</v>
      </c>
      <c r="Q156" s="135">
        <f t="shared" si="47"/>
        <v>1.08</v>
      </c>
      <c r="R156" s="135">
        <f t="shared" si="47"/>
        <v>1.08</v>
      </c>
      <c r="S156" s="135">
        <f t="shared" si="47"/>
        <v>1.08</v>
      </c>
      <c r="T156" s="135">
        <f t="shared" si="48"/>
        <v>1.08</v>
      </c>
      <c r="U156" s="135">
        <f t="shared" si="48"/>
        <v>1.08</v>
      </c>
      <c r="V156" s="135">
        <f t="shared" si="48"/>
        <v>1.08</v>
      </c>
      <c r="W156" s="135">
        <f t="shared" si="48"/>
        <v>1.08</v>
      </c>
      <c r="X156" s="135">
        <f t="shared" si="48"/>
        <v>1.08</v>
      </c>
      <c r="Y156" s="135">
        <f t="shared" si="48"/>
        <v>1.08</v>
      </c>
      <c r="Z156" s="135">
        <f t="shared" si="48"/>
        <v>1.08</v>
      </c>
      <c r="AA156" s="135">
        <f t="shared" si="48"/>
        <v>1.08</v>
      </c>
      <c r="AB156" s="135">
        <f t="shared" si="48"/>
        <v>1.08</v>
      </c>
      <c r="AC156" s="135">
        <f t="shared" si="48"/>
        <v>1.08</v>
      </c>
      <c r="AD156" s="135">
        <f t="shared" si="48"/>
        <v>1.08</v>
      </c>
      <c r="AE156" s="135">
        <f t="shared" si="48"/>
        <v>1.08</v>
      </c>
      <c r="AF156" s="135">
        <f t="shared" si="48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6"/>
        <v>2.37</v>
      </c>
      <c r="C157" s="136">
        <v>2.37</v>
      </c>
      <c r="D157" s="135">
        <f t="shared" si="47"/>
        <v>2.37</v>
      </c>
      <c r="E157" s="135">
        <f t="shared" si="47"/>
        <v>2.37</v>
      </c>
      <c r="F157" s="135">
        <f t="shared" si="47"/>
        <v>2.37</v>
      </c>
      <c r="G157" s="135">
        <f t="shared" si="47"/>
        <v>2.37</v>
      </c>
      <c r="H157" s="135">
        <f t="shared" si="47"/>
        <v>2.37</v>
      </c>
      <c r="I157" s="135">
        <f t="shared" si="47"/>
        <v>2.37</v>
      </c>
      <c r="J157" s="135">
        <f t="shared" si="47"/>
        <v>2.37</v>
      </c>
      <c r="K157" s="135">
        <f t="shared" si="47"/>
        <v>2.37</v>
      </c>
      <c r="L157" s="135">
        <f t="shared" si="47"/>
        <v>2.37</v>
      </c>
      <c r="M157" s="135">
        <f t="shared" si="47"/>
        <v>2.37</v>
      </c>
      <c r="N157" s="135">
        <f t="shared" si="47"/>
        <v>2.37</v>
      </c>
      <c r="O157" s="135">
        <f t="shared" si="47"/>
        <v>2.37</v>
      </c>
      <c r="P157" s="135">
        <f t="shared" si="47"/>
        <v>2.37</v>
      </c>
      <c r="Q157" s="135">
        <f t="shared" si="47"/>
        <v>2.37</v>
      </c>
      <c r="R157" s="135">
        <f t="shared" si="47"/>
        <v>2.37</v>
      </c>
      <c r="S157" s="135">
        <f t="shared" si="47"/>
        <v>2.37</v>
      </c>
      <c r="T157" s="135">
        <f t="shared" si="48"/>
        <v>2.37</v>
      </c>
      <c r="U157" s="135">
        <f t="shared" si="48"/>
        <v>2.37</v>
      </c>
      <c r="V157" s="135">
        <f t="shared" si="48"/>
        <v>2.37</v>
      </c>
      <c r="W157" s="135">
        <f t="shared" si="48"/>
        <v>2.37</v>
      </c>
      <c r="X157" s="135">
        <f t="shared" si="48"/>
        <v>2.37</v>
      </c>
      <c r="Y157" s="135">
        <f t="shared" si="48"/>
        <v>2.37</v>
      </c>
      <c r="Z157" s="135">
        <f t="shared" si="48"/>
        <v>2.37</v>
      </c>
      <c r="AA157" s="135">
        <f t="shared" si="48"/>
        <v>2.37</v>
      </c>
      <c r="AB157" s="135">
        <f t="shared" si="48"/>
        <v>2.37</v>
      </c>
      <c r="AC157" s="135">
        <f t="shared" si="48"/>
        <v>2.37</v>
      </c>
      <c r="AD157" s="135">
        <f t="shared" si="48"/>
        <v>2.37</v>
      </c>
      <c r="AE157" s="135">
        <f t="shared" si="48"/>
        <v>2.37</v>
      </c>
      <c r="AF157" s="135">
        <f t="shared" si="48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6"/>
        <v>1.81</v>
      </c>
      <c r="C158" s="136">
        <v>1.81</v>
      </c>
      <c r="D158" s="135">
        <f t="shared" si="47"/>
        <v>1.81</v>
      </c>
      <c r="E158" s="135">
        <f t="shared" si="47"/>
        <v>1.81</v>
      </c>
      <c r="F158" s="135">
        <f t="shared" si="47"/>
        <v>1.81</v>
      </c>
      <c r="G158" s="135">
        <f t="shared" si="47"/>
        <v>1.81</v>
      </c>
      <c r="H158" s="135">
        <f t="shared" si="47"/>
        <v>1.81</v>
      </c>
      <c r="I158" s="135">
        <f t="shared" si="47"/>
        <v>1.81</v>
      </c>
      <c r="J158" s="135">
        <f t="shared" si="47"/>
        <v>1.81</v>
      </c>
      <c r="K158" s="135">
        <f t="shared" si="47"/>
        <v>1.81</v>
      </c>
      <c r="L158" s="135">
        <f t="shared" si="47"/>
        <v>1.81</v>
      </c>
      <c r="M158" s="135">
        <f t="shared" si="47"/>
        <v>1.81</v>
      </c>
      <c r="N158" s="135">
        <f t="shared" si="47"/>
        <v>1.81</v>
      </c>
      <c r="O158" s="135">
        <f t="shared" si="47"/>
        <v>1.81</v>
      </c>
      <c r="P158" s="135">
        <f t="shared" si="47"/>
        <v>1.81</v>
      </c>
      <c r="Q158" s="135">
        <f t="shared" si="47"/>
        <v>1.81</v>
      </c>
      <c r="R158" s="135">
        <f t="shared" si="47"/>
        <v>1.81</v>
      </c>
      <c r="S158" s="135">
        <f t="shared" si="47"/>
        <v>1.81</v>
      </c>
      <c r="T158" s="135">
        <f t="shared" si="48"/>
        <v>1.81</v>
      </c>
      <c r="U158" s="135">
        <f t="shared" si="48"/>
        <v>1.81</v>
      </c>
      <c r="V158" s="135">
        <f t="shared" si="48"/>
        <v>1.81</v>
      </c>
      <c r="W158" s="135">
        <f t="shared" si="48"/>
        <v>1.81</v>
      </c>
      <c r="X158" s="135">
        <f t="shared" si="48"/>
        <v>1.81</v>
      </c>
      <c r="Y158" s="135">
        <f t="shared" si="48"/>
        <v>1.81</v>
      </c>
      <c r="Z158" s="135">
        <f t="shared" si="48"/>
        <v>1.81</v>
      </c>
      <c r="AA158" s="135">
        <f t="shared" si="48"/>
        <v>1.81</v>
      </c>
      <c r="AB158" s="135">
        <f t="shared" si="48"/>
        <v>1.81</v>
      </c>
      <c r="AC158" s="135">
        <f t="shared" si="48"/>
        <v>1.81</v>
      </c>
      <c r="AD158" s="135">
        <f t="shared" si="48"/>
        <v>1.81</v>
      </c>
      <c r="AE158" s="135">
        <f t="shared" si="48"/>
        <v>1.81</v>
      </c>
      <c r="AF158" s="135">
        <f t="shared" si="48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6"/>
        <v>1.0900000000000001</v>
      </c>
      <c r="C159" s="136">
        <v>1.0900000000000001</v>
      </c>
      <c r="D159" s="135">
        <f t="shared" si="47"/>
        <v>1.0900000000000001</v>
      </c>
      <c r="E159" s="135">
        <f t="shared" si="47"/>
        <v>1.0900000000000001</v>
      </c>
      <c r="F159" s="135">
        <f t="shared" si="47"/>
        <v>1.0900000000000001</v>
      </c>
      <c r="G159" s="135">
        <f t="shared" si="47"/>
        <v>1.0900000000000001</v>
      </c>
      <c r="H159" s="135">
        <f t="shared" si="47"/>
        <v>1.0900000000000001</v>
      </c>
      <c r="I159" s="135">
        <f t="shared" si="47"/>
        <v>1.0900000000000001</v>
      </c>
      <c r="J159" s="135">
        <f t="shared" si="47"/>
        <v>1.0900000000000001</v>
      </c>
      <c r="K159" s="135">
        <f t="shared" si="47"/>
        <v>1.0900000000000001</v>
      </c>
      <c r="L159" s="135">
        <f t="shared" si="47"/>
        <v>1.0900000000000001</v>
      </c>
      <c r="M159" s="135">
        <f t="shared" si="47"/>
        <v>1.0900000000000001</v>
      </c>
      <c r="N159" s="135">
        <f t="shared" si="47"/>
        <v>1.0900000000000001</v>
      </c>
      <c r="O159" s="135">
        <f t="shared" si="47"/>
        <v>1.0900000000000001</v>
      </c>
      <c r="P159" s="135">
        <f t="shared" si="47"/>
        <v>1.0900000000000001</v>
      </c>
      <c r="Q159" s="135">
        <f t="shared" si="47"/>
        <v>1.0900000000000001</v>
      </c>
      <c r="R159" s="135">
        <f t="shared" si="47"/>
        <v>1.0900000000000001</v>
      </c>
      <c r="S159" s="135">
        <f t="shared" si="47"/>
        <v>1.0900000000000001</v>
      </c>
      <c r="T159" s="135">
        <f t="shared" si="48"/>
        <v>1.0900000000000001</v>
      </c>
      <c r="U159" s="135">
        <f t="shared" si="48"/>
        <v>1.0900000000000001</v>
      </c>
      <c r="V159" s="135">
        <f t="shared" si="48"/>
        <v>1.0900000000000001</v>
      </c>
      <c r="W159" s="135">
        <f t="shared" si="48"/>
        <v>1.0900000000000001</v>
      </c>
      <c r="X159" s="135">
        <f t="shared" si="48"/>
        <v>1.0900000000000001</v>
      </c>
      <c r="Y159" s="135">
        <f t="shared" si="48"/>
        <v>1.0900000000000001</v>
      </c>
      <c r="Z159" s="135">
        <f t="shared" si="48"/>
        <v>1.0900000000000001</v>
      </c>
      <c r="AA159" s="135">
        <f t="shared" si="48"/>
        <v>1.0900000000000001</v>
      </c>
      <c r="AB159" s="135">
        <f t="shared" si="48"/>
        <v>1.0900000000000001</v>
      </c>
      <c r="AC159" s="135">
        <f t="shared" si="48"/>
        <v>1.0900000000000001</v>
      </c>
      <c r="AD159" s="135">
        <f t="shared" si="48"/>
        <v>1.0900000000000001</v>
      </c>
      <c r="AE159" s="135">
        <f t="shared" si="48"/>
        <v>1.0900000000000001</v>
      </c>
      <c r="AF159" s="135">
        <f t="shared" si="48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6"/>
        <v>1.58</v>
      </c>
      <c r="C160" s="136">
        <v>1.58</v>
      </c>
      <c r="D160" s="135">
        <f t="shared" si="47"/>
        <v>1.58</v>
      </c>
      <c r="E160" s="135">
        <f t="shared" si="47"/>
        <v>1.58</v>
      </c>
      <c r="F160" s="135">
        <f t="shared" si="47"/>
        <v>1.58</v>
      </c>
      <c r="G160" s="135">
        <f t="shared" si="47"/>
        <v>1.58</v>
      </c>
      <c r="H160" s="135">
        <f t="shared" si="47"/>
        <v>1.58</v>
      </c>
      <c r="I160" s="135">
        <f t="shared" si="47"/>
        <v>1.58</v>
      </c>
      <c r="J160" s="135">
        <f t="shared" si="47"/>
        <v>1.58</v>
      </c>
      <c r="K160" s="135">
        <f t="shared" si="47"/>
        <v>1.58</v>
      </c>
      <c r="L160" s="135">
        <f t="shared" si="47"/>
        <v>1.58</v>
      </c>
      <c r="M160" s="135">
        <f t="shared" si="47"/>
        <v>1.58</v>
      </c>
      <c r="N160" s="135">
        <f t="shared" si="47"/>
        <v>1.58</v>
      </c>
      <c r="O160" s="135">
        <f t="shared" si="47"/>
        <v>1.58</v>
      </c>
      <c r="P160" s="135">
        <f t="shared" si="47"/>
        <v>1.58</v>
      </c>
      <c r="Q160" s="135">
        <f t="shared" si="47"/>
        <v>1.58</v>
      </c>
      <c r="R160" s="135">
        <f t="shared" si="47"/>
        <v>1.58</v>
      </c>
      <c r="S160" s="135">
        <f t="shared" si="47"/>
        <v>1.58</v>
      </c>
      <c r="T160" s="135">
        <f t="shared" si="48"/>
        <v>1.58</v>
      </c>
      <c r="U160" s="135">
        <f t="shared" si="48"/>
        <v>1.58</v>
      </c>
      <c r="V160" s="135">
        <f t="shared" si="48"/>
        <v>1.58</v>
      </c>
      <c r="W160" s="135">
        <f t="shared" si="48"/>
        <v>1.58</v>
      </c>
      <c r="X160" s="135">
        <f t="shared" si="48"/>
        <v>1.58</v>
      </c>
      <c r="Y160" s="135">
        <f t="shared" si="48"/>
        <v>1.58</v>
      </c>
      <c r="Z160" s="135">
        <f t="shared" si="48"/>
        <v>1.58</v>
      </c>
      <c r="AA160" s="135">
        <f t="shared" si="48"/>
        <v>1.58</v>
      </c>
      <c r="AB160" s="135">
        <f t="shared" si="48"/>
        <v>1.58</v>
      </c>
      <c r="AC160" s="135">
        <f t="shared" si="48"/>
        <v>1.58</v>
      </c>
      <c r="AD160" s="135">
        <f t="shared" si="48"/>
        <v>1.58</v>
      </c>
      <c r="AE160" s="135">
        <f t="shared" si="48"/>
        <v>1.58</v>
      </c>
      <c r="AF160" s="135">
        <f t="shared" si="48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6"/>
        <v>2</v>
      </c>
      <c r="C161" s="136">
        <v>2</v>
      </c>
      <c r="D161" s="135">
        <f t="shared" si="47"/>
        <v>2</v>
      </c>
      <c r="E161" s="135">
        <f t="shared" si="47"/>
        <v>2</v>
      </c>
      <c r="F161" s="135">
        <f t="shared" si="47"/>
        <v>2</v>
      </c>
      <c r="G161" s="135">
        <f t="shared" si="47"/>
        <v>2</v>
      </c>
      <c r="H161" s="135">
        <f t="shared" si="47"/>
        <v>2</v>
      </c>
      <c r="I161" s="135">
        <f t="shared" si="47"/>
        <v>2</v>
      </c>
      <c r="J161" s="135">
        <f t="shared" si="47"/>
        <v>2</v>
      </c>
      <c r="K161" s="135">
        <f t="shared" si="47"/>
        <v>2</v>
      </c>
      <c r="L161" s="135">
        <f t="shared" si="47"/>
        <v>2</v>
      </c>
      <c r="M161" s="135">
        <f t="shared" si="47"/>
        <v>2</v>
      </c>
      <c r="N161" s="135">
        <f t="shared" si="47"/>
        <v>2</v>
      </c>
      <c r="O161" s="135">
        <f t="shared" si="47"/>
        <v>2</v>
      </c>
      <c r="P161" s="135">
        <f t="shared" si="47"/>
        <v>2</v>
      </c>
      <c r="Q161" s="135">
        <f t="shared" si="47"/>
        <v>2</v>
      </c>
      <c r="R161" s="135">
        <f t="shared" si="47"/>
        <v>2</v>
      </c>
      <c r="S161" s="135">
        <f t="shared" si="47"/>
        <v>2</v>
      </c>
      <c r="T161" s="135">
        <f t="shared" si="48"/>
        <v>2</v>
      </c>
      <c r="U161" s="135">
        <f t="shared" si="48"/>
        <v>2</v>
      </c>
      <c r="V161" s="135">
        <f t="shared" si="48"/>
        <v>2</v>
      </c>
      <c r="W161" s="135">
        <f t="shared" si="48"/>
        <v>2</v>
      </c>
      <c r="X161" s="135">
        <f t="shared" si="48"/>
        <v>2</v>
      </c>
      <c r="Y161" s="135">
        <f t="shared" si="48"/>
        <v>2</v>
      </c>
      <c r="Z161" s="135">
        <f t="shared" si="48"/>
        <v>2</v>
      </c>
      <c r="AA161" s="135">
        <f t="shared" si="48"/>
        <v>2</v>
      </c>
      <c r="AB161" s="135">
        <f t="shared" si="48"/>
        <v>2</v>
      </c>
      <c r="AC161" s="135">
        <f t="shared" si="48"/>
        <v>2</v>
      </c>
      <c r="AD161" s="135">
        <f t="shared" si="48"/>
        <v>2</v>
      </c>
      <c r="AE161" s="135">
        <f t="shared" si="48"/>
        <v>2</v>
      </c>
      <c r="AF161" s="135">
        <f t="shared" si="48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6"/>
        <v>0.47</v>
      </c>
      <c r="C162" s="136">
        <v>0.47</v>
      </c>
      <c r="D162" s="135">
        <f t="shared" si="47"/>
        <v>0.47</v>
      </c>
      <c r="E162" s="135">
        <f t="shared" si="47"/>
        <v>0.47</v>
      </c>
      <c r="F162" s="135">
        <f t="shared" si="47"/>
        <v>0.47</v>
      </c>
      <c r="G162" s="135">
        <f t="shared" si="47"/>
        <v>0.47</v>
      </c>
      <c r="H162" s="135">
        <f t="shared" si="47"/>
        <v>0.47</v>
      </c>
      <c r="I162" s="135">
        <f t="shared" si="47"/>
        <v>0.47</v>
      </c>
      <c r="J162" s="135">
        <f t="shared" si="47"/>
        <v>0.47</v>
      </c>
      <c r="K162" s="135">
        <f t="shared" si="47"/>
        <v>0.47</v>
      </c>
      <c r="L162" s="135">
        <f t="shared" si="47"/>
        <v>0.47</v>
      </c>
      <c r="M162" s="135">
        <f t="shared" si="47"/>
        <v>0.47</v>
      </c>
      <c r="N162" s="135">
        <f t="shared" si="47"/>
        <v>0.47</v>
      </c>
      <c r="O162" s="135">
        <f t="shared" si="47"/>
        <v>0.47</v>
      </c>
      <c r="P162" s="135">
        <f t="shared" si="47"/>
        <v>0.47</v>
      </c>
      <c r="Q162" s="135">
        <f t="shared" si="47"/>
        <v>0.47</v>
      </c>
      <c r="R162" s="135">
        <f t="shared" si="47"/>
        <v>0.47</v>
      </c>
      <c r="S162" s="135">
        <f t="shared" si="47"/>
        <v>0.47</v>
      </c>
      <c r="T162" s="135">
        <f t="shared" si="48"/>
        <v>0.47</v>
      </c>
      <c r="U162" s="135">
        <f t="shared" si="48"/>
        <v>0.47</v>
      </c>
      <c r="V162" s="135">
        <f t="shared" si="48"/>
        <v>0.47</v>
      </c>
      <c r="W162" s="135">
        <f t="shared" si="48"/>
        <v>0.47</v>
      </c>
      <c r="X162" s="135">
        <f t="shared" si="48"/>
        <v>0.47</v>
      </c>
      <c r="Y162" s="135">
        <f t="shared" si="48"/>
        <v>0.47</v>
      </c>
      <c r="Z162" s="135">
        <f t="shared" si="48"/>
        <v>0.47</v>
      </c>
      <c r="AA162" s="135">
        <f t="shared" si="48"/>
        <v>0.47</v>
      </c>
      <c r="AB162" s="135">
        <f t="shared" si="48"/>
        <v>0.47</v>
      </c>
      <c r="AC162" s="135">
        <f t="shared" si="48"/>
        <v>0.47</v>
      </c>
      <c r="AD162" s="135">
        <f t="shared" si="48"/>
        <v>0.47</v>
      </c>
      <c r="AE162" s="135">
        <f t="shared" si="48"/>
        <v>0.47</v>
      </c>
      <c r="AF162" s="135">
        <f t="shared" si="48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6"/>
        <v>0</v>
      </c>
      <c r="C163" s="136">
        <v>0</v>
      </c>
      <c r="D163" s="135">
        <f t="shared" si="47"/>
        <v>0</v>
      </c>
      <c r="E163" s="135">
        <f t="shared" si="47"/>
        <v>0</v>
      </c>
      <c r="F163" s="135">
        <f t="shared" si="47"/>
        <v>0</v>
      </c>
      <c r="G163" s="135">
        <f t="shared" si="47"/>
        <v>0</v>
      </c>
      <c r="H163" s="135">
        <f t="shared" si="47"/>
        <v>0</v>
      </c>
      <c r="I163" s="135">
        <f t="shared" si="47"/>
        <v>0</v>
      </c>
      <c r="J163" s="135">
        <f t="shared" si="47"/>
        <v>0</v>
      </c>
      <c r="K163" s="135">
        <f t="shared" si="47"/>
        <v>0</v>
      </c>
      <c r="L163" s="135">
        <f t="shared" si="47"/>
        <v>0</v>
      </c>
      <c r="M163" s="135">
        <f t="shared" si="47"/>
        <v>0</v>
      </c>
      <c r="N163" s="135">
        <f t="shared" si="47"/>
        <v>0</v>
      </c>
      <c r="O163" s="135">
        <f t="shared" si="47"/>
        <v>0</v>
      </c>
      <c r="P163" s="135">
        <f t="shared" si="47"/>
        <v>0</v>
      </c>
      <c r="Q163" s="135">
        <f t="shared" si="47"/>
        <v>0</v>
      </c>
      <c r="R163" s="135">
        <f t="shared" si="47"/>
        <v>0</v>
      </c>
      <c r="S163" s="135">
        <f t="shared" si="47"/>
        <v>0</v>
      </c>
      <c r="T163" s="135">
        <f t="shared" si="48"/>
        <v>0</v>
      </c>
      <c r="U163" s="135">
        <f t="shared" si="48"/>
        <v>0</v>
      </c>
      <c r="V163" s="135">
        <f t="shared" si="48"/>
        <v>0</v>
      </c>
      <c r="W163" s="135">
        <f t="shared" si="48"/>
        <v>0</v>
      </c>
      <c r="X163" s="135">
        <f t="shared" si="48"/>
        <v>0</v>
      </c>
      <c r="Y163" s="135">
        <f t="shared" si="48"/>
        <v>0</v>
      </c>
      <c r="Z163" s="135">
        <f t="shared" si="48"/>
        <v>0</v>
      </c>
      <c r="AA163" s="135">
        <f t="shared" si="48"/>
        <v>0</v>
      </c>
      <c r="AB163" s="135">
        <f t="shared" si="48"/>
        <v>0</v>
      </c>
      <c r="AC163" s="135">
        <f t="shared" si="48"/>
        <v>0</v>
      </c>
      <c r="AD163" s="135">
        <f t="shared" si="48"/>
        <v>0</v>
      </c>
      <c r="AE163" s="135">
        <f t="shared" si="48"/>
        <v>0</v>
      </c>
      <c r="AF163" s="135">
        <f t="shared" si="48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6"/>
        <v>0</v>
      </c>
      <c r="C164" s="136">
        <v>0</v>
      </c>
      <c r="D164" s="135">
        <f t="shared" si="47"/>
        <v>0</v>
      </c>
      <c r="E164" s="135">
        <f t="shared" si="47"/>
        <v>0</v>
      </c>
      <c r="F164" s="135">
        <f t="shared" si="47"/>
        <v>0</v>
      </c>
      <c r="G164" s="135">
        <f t="shared" si="47"/>
        <v>0</v>
      </c>
      <c r="H164" s="135">
        <f t="shared" si="47"/>
        <v>0</v>
      </c>
      <c r="I164" s="135">
        <f t="shared" si="47"/>
        <v>0</v>
      </c>
      <c r="J164" s="135">
        <f t="shared" si="47"/>
        <v>0</v>
      </c>
      <c r="K164" s="135">
        <f t="shared" si="47"/>
        <v>0</v>
      </c>
      <c r="L164" s="135">
        <f t="shared" si="47"/>
        <v>0</v>
      </c>
      <c r="M164" s="135">
        <f t="shared" si="47"/>
        <v>0</v>
      </c>
      <c r="N164" s="135">
        <f t="shared" si="47"/>
        <v>0</v>
      </c>
      <c r="O164" s="135">
        <f t="shared" si="47"/>
        <v>0</v>
      </c>
      <c r="P164" s="135">
        <f t="shared" si="47"/>
        <v>0</v>
      </c>
      <c r="Q164" s="135">
        <f t="shared" si="47"/>
        <v>0</v>
      </c>
      <c r="R164" s="135">
        <f t="shared" si="47"/>
        <v>0</v>
      </c>
      <c r="S164" s="135">
        <f t="shared" si="48"/>
        <v>0</v>
      </c>
      <c r="T164" s="135">
        <f t="shared" si="48"/>
        <v>0</v>
      </c>
      <c r="U164" s="135">
        <f t="shared" si="48"/>
        <v>0</v>
      </c>
      <c r="V164" s="135">
        <f t="shared" si="48"/>
        <v>0</v>
      </c>
      <c r="W164" s="135">
        <f t="shared" si="48"/>
        <v>0</v>
      </c>
      <c r="X164" s="135">
        <f t="shared" si="48"/>
        <v>0</v>
      </c>
      <c r="Y164" s="135">
        <f t="shared" si="48"/>
        <v>0</v>
      </c>
      <c r="Z164" s="135">
        <f t="shared" si="48"/>
        <v>0</v>
      </c>
      <c r="AA164" s="135">
        <f t="shared" si="48"/>
        <v>0</v>
      </c>
      <c r="AB164" s="135">
        <f t="shared" si="48"/>
        <v>0</v>
      </c>
      <c r="AC164" s="135">
        <f t="shared" si="48"/>
        <v>0</v>
      </c>
      <c r="AD164" s="135">
        <f t="shared" si="48"/>
        <v>0</v>
      </c>
      <c r="AE164" s="135">
        <f t="shared" si="48"/>
        <v>0</v>
      </c>
      <c r="AF164" s="135">
        <f t="shared" si="48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6"/>
        <v>0.8</v>
      </c>
      <c r="C165" s="136">
        <v>0.8</v>
      </c>
      <c r="D165" s="135">
        <f t="shared" si="47"/>
        <v>0.8</v>
      </c>
      <c r="E165" s="135">
        <f t="shared" si="47"/>
        <v>0.8</v>
      </c>
      <c r="F165" s="135">
        <f t="shared" si="47"/>
        <v>0.8</v>
      </c>
      <c r="G165" s="135">
        <f t="shared" si="47"/>
        <v>0.8</v>
      </c>
      <c r="H165" s="135">
        <f t="shared" si="47"/>
        <v>0.8</v>
      </c>
      <c r="I165" s="135">
        <f t="shared" si="47"/>
        <v>0.8</v>
      </c>
      <c r="J165" s="135">
        <f t="shared" si="47"/>
        <v>0.8</v>
      </c>
      <c r="K165" s="135">
        <f t="shared" si="47"/>
        <v>0.8</v>
      </c>
      <c r="L165" s="135">
        <f t="shared" si="47"/>
        <v>0.8</v>
      </c>
      <c r="M165" s="135">
        <f t="shared" si="47"/>
        <v>0.8</v>
      </c>
      <c r="N165" s="135">
        <f t="shared" si="47"/>
        <v>0.8</v>
      </c>
      <c r="O165" s="135">
        <f t="shared" si="47"/>
        <v>0.8</v>
      </c>
      <c r="P165" s="135">
        <f t="shared" si="47"/>
        <v>0.8</v>
      </c>
      <c r="Q165" s="135">
        <f t="shared" si="47"/>
        <v>0.8</v>
      </c>
      <c r="R165" s="135">
        <f t="shared" si="47"/>
        <v>0.8</v>
      </c>
      <c r="S165" s="135">
        <f t="shared" si="48"/>
        <v>0.8</v>
      </c>
      <c r="T165" s="135">
        <f t="shared" si="48"/>
        <v>0.8</v>
      </c>
      <c r="U165" s="135">
        <f t="shared" si="48"/>
        <v>0.8</v>
      </c>
      <c r="V165" s="135">
        <f t="shared" si="48"/>
        <v>0.8</v>
      </c>
      <c r="W165" s="135">
        <f t="shared" si="48"/>
        <v>0.8</v>
      </c>
      <c r="X165" s="135">
        <f t="shared" si="48"/>
        <v>0.8</v>
      </c>
      <c r="Y165" s="135">
        <f t="shared" si="48"/>
        <v>0.8</v>
      </c>
      <c r="Z165" s="135">
        <f t="shared" si="48"/>
        <v>0.8</v>
      </c>
      <c r="AA165" s="135">
        <f t="shared" si="48"/>
        <v>0.8</v>
      </c>
      <c r="AB165" s="135">
        <f t="shared" si="48"/>
        <v>0.8</v>
      </c>
      <c r="AC165" s="135">
        <f t="shared" si="48"/>
        <v>0.8</v>
      </c>
      <c r="AD165" s="135">
        <f t="shared" si="48"/>
        <v>0.8</v>
      </c>
      <c r="AE165" s="135">
        <f t="shared" si="48"/>
        <v>0.8</v>
      </c>
      <c r="AF165" s="135">
        <f t="shared" si="48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6"/>
        <v>1.5</v>
      </c>
      <c r="C166" s="136">
        <v>1.5</v>
      </c>
      <c r="D166" s="135">
        <f t="shared" si="47"/>
        <v>1.5</v>
      </c>
      <c r="E166" s="135">
        <f t="shared" si="47"/>
        <v>1.5</v>
      </c>
      <c r="F166" s="135">
        <f t="shared" si="47"/>
        <v>1.5</v>
      </c>
      <c r="G166" s="135">
        <f t="shared" si="47"/>
        <v>1.5</v>
      </c>
      <c r="H166" s="135">
        <f t="shared" si="47"/>
        <v>1.5</v>
      </c>
      <c r="I166" s="135">
        <f t="shared" si="47"/>
        <v>1.5</v>
      </c>
      <c r="J166" s="135">
        <f t="shared" si="47"/>
        <v>1.5</v>
      </c>
      <c r="K166" s="135">
        <f t="shared" si="47"/>
        <v>1.5</v>
      </c>
      <c r="L166" s="135">
        <f t="shared" si="47"/>
        <v>1.5</v>
      </c>
      <c r="M166" s="135">
        <f t="shared" si="47"/>
        <v>1.5</v>
      </c>
      <c r="N166" s="135">
        <f t="shared" si="47"/>
        <v>1.5</v>
      </c>
      <c r="O166" s="135">
        <f t="shared" si="47"/>
        <v>1.5</v>
      </c>
      <c r="P166" s="135">
        <f t="shared" si="47"/>
        <v>1.5</v>
      </c>
      <c r="Q166" s="135">
        <f t="shared" si="47"/>
        <v>1.5</v>
      </c>
      <c r="R166" s="135">
        <f t="shared" si="47"/>
        <v>1.5</v>
      </c>
      <c r="S166" s="135">
        <f t="shared" si="48"/>
        <v>1.5</v>
      </c>
      <c r="T166" s="135">
        <f t="shared" si="48"/>
        <v>1.5</v>
      </c>
      <c r="U166" s="135">
        <f t="shared" si="48"/>
        <v>1.5</v>
      </c>
      <c r="V166" s="135">
        <f t="shared" si="48"/>
        <v>1.5</v>
      </c>
      <c r="W166" s="135">
        <f t="shared" si="48"/>
        <v>1.5</v>
      </c>
      <c r="X166" s="135">
        <f t="shared" si="48"/>
        <v>1.5</v>
      </c>
      <c r="Y166" s="135">
        <f t="shared" si="48"/>
        <v>1.5</v>
      </c>
      <c r="Z166" s="135">
        <f t="shared" si="48"/>
        <v>1.5</v>
      </c>
      <c r="AA166" s="135">
        <f t="shared" si="48"/>
        <v>1.5</v>
      </c>
      <c r="AB166" s="135">
        <f t="shared" si="48"/>
        <v>1.5</v>
      </c>
      <c r="AC166" s="135">
        <f t="shared" si="48"/>
        <v>1.5</v>
      </c>
      <c r="AD166" s="135">
        <f t="shared" si="48"/>
        <v>1.5</v>
      </c>
      <c r="AE166" s="135">
        <f t="shared" si="48"/>
        <v>1.5</v>
      </c>
      <c r="AF166" s="135">
        <f t="shared" si="48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6"/>
        <v>1</v>
      </c>
      <c r="C167" s="136">
        <v>1</v>
      </c>
      <c r="D167" s="135">
        <f t="shared" si="47"/>
        <v>1</v>
      </c>
      <c r="E167" s="135">
        <f t="shared" si="47"/>
        <v>1</v>
      </c>
      <c r="F167" s="135">
        <f t="shared" si="47"/>
        <v>1</v>
      </c>
      <c r="G167" s="135">
        <f t="shared" si="47"/>
        <v>1</v>
      </c>
      <c r="H167" s="135">
        <f t="shared" si="47"/>
        <v>1</v>
      </c>
      <c r="I167" s="135">
        <f t="shared" si="47"/>
        <v>1</v>
      </c>
      <c r="J167" s="135">
        <f t="shared" si="47"/>
        <v>1</v>
      </c>
      <c r="K167" s="135">
        <f t="shared" si="47"/>
        <v>1</v>
      </c>
      <c r="L167" s="135">
        <f t="shared" si="47"/>
        <v>1</v>
      </c>
      <c r="M167" s="135">
        <f t="shared" si="47"/>
        <v>1</v>
      </c>
      <c r="N167" s="135">
        <f t="shared" si="47"/>
        <v>1</v>
      </c>
      <c r="O167" s="135">
        <f t="shared" si="47"/>
        <v>1</v>
      </c>
      <c r="P167" s="135">
        <f t="shared" si="47"/>
        <v>1</v>
      </c>
      <c r="Q167" s="135">
        <f t="shared" si="47"/>
        <v>1</v>
      </c>
      <c r="R167" s="135">
        <f t="shared" si="47"/>
        <v>1</v>
      </c>
      <c r="S167" s="135">
        <f t="shared" si="48"/>
        <v>1</v>
      </c>
      <c r="T167" s="135">
        <f t="shared" si="48"/>
        <v>1</v>
      </c>
      <c r="U167" s="135">
        <f t="shared" si="48"/>
        <v>1</v>
      </c>
      <c r="V167" s="135">
        <f t="shared" si="48"/>
        <v>1</v>
      </c>
      <c r="W167" s="135">
        <f t="shared" si="48"/>
        <v>1</v>
      </c>
      <c r="X167" s="135">
        <f t="shared" si="48"/>
        <v>1</v>
      </c>
      <c r="Y167" s="135">
        <f t="shared" si="48"/>
        <v>1</v>
      </c>
      <c r="Z167" s="135">
        <f t="shared" si="48"/>
        <v>1</v>
      </c>
      <c r="AA167" s="135">
        <f t="shared" si="48"/>
        <v>1</v>
      </c>
      <c r="AB167" s="135">
        <f t="shared" si="48"/>
        <v>1</v>
      </c>
      <c r="AC167" s="135">
        <f t="shared" si="48"/>
        <v>1</v>
      </c>
      <c r="AD167" s="135">
        <f t="shared" si="48"/>
        <v>1</v>
      </c>
      <c r="AE167" s="135">
        <f t="shared" si="48"/>
        <v>1</v>
      </c>
      <c r="AF167" s="135">
        <f t="shared" si="48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9">AF169</f>
        <v>1</v>
      </c>
      <c r="C169" s="136">
        <v>1</v>
      </c>
      <c r="D169" s="135">
        <f t="shared" ref="D169:S176" si="50">C169</f>
        <v>1</v>
      </c>
      <c r="E169" s="135">
        <f t="shared" si="50"/>
        <v>1</v>
      </c>
      <c r="F169" s="135">
        <f t="shared" si="50"/>
        <v>1</v>
      </c>
      <c r="G169" s="135">
        <f t="shared" si="50"/>
        <v>1</v>
      </c>
      <c r="H169" s="135">
        <f t="shared" si="50"/>
        <v>1</v>
      </c>
      <c r="I169" s="135">
        <f t="shared" si="50"/>
        <v>1</v>
      </c>
      <c r="J169" s="135">
        <f t="shared" si="50"/>
        <v>1</v>
      </c>
      <c r="K169" s="135">
        <f t="shared" si="50"/>
        <v>1</v>
      </c>
      <c r="L169" s="135">
        <f t="shared" si="50"/>
        <v>1</v>
      </c>
      <c r="M169" s="135">
        <f t="shared" si="50"/>
        <v>1</v>
      </c>
      <c r="N169" s="135">
        <f t="shared" si="50"/>
        <v>1</v>
      </c>
      <c r="O169" s="135">
        <f t="shared" si="50"/>
        <v>1</v>
      </c>
      <c r="P169" s="135">
        <f t="shared" si="50"/>
        <v>1</v>
      </c>
      <c r="Q169" s="135">
        <f t="shared" si="50"/>
        <v>1</v>
      </c>
      <c r="R169" s="135">
        <f t="shared" si="50"/>
        <v>1</v>
      </c>
      <c r="S169" s="135">
        <f t="shared" si="50"/>
        <v>1</v>
      </c>
      <c r="T169" s="135">
        <f t="shared" ref="S169:AF176" si="51">S169</f>
        <v>1</v>
      </c>
      <c r="U169" s="135">
        <f t="shared" si="51"/>
        <v>1</v>
      </c>
      <c r="V169" s="135">
        <f t="shared" si="51"/>
        <v>1</v>
      </c>
      <c r="W169" s="135">
        <f t="shared" si="51"/>
        <v>1</v>
      </c>
      <c r="X169" s="135">
        <f t="shared" si="51"/>
        <v>1</v>
      </c>
      <c r="Y169" s="135">
        <f t="shared" si="51"/>
        <v>1</v>
      </c>
      <c r="Z169" s="135">
        <f t="shared" si="51"/>
        <v>1</v>
      </c>
      <c r="AA169" s="135">
        <f t="shared" si="51"/>
        <v>1</v>
      </c>
      <c r="AB169" s="135">
        <f t="shared" si="51"/>
        <v>1</v>
      </c>
      <c r="AC169" s="135">
        <f t="shared" si="51"/>
        <v>1</v>
      </c>
      <c r="AD169" s="135">
        <f t="shared" si="51"/>
        <v>1</v>
      </c>
      <c r="AE169" s="135">
        <f t="shared" si="51"/>
        <v>1</v>
      </c>
      <c r="AF169" s="135">
        <f t="shared" si="51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9"/>
        <v>0.42</v>
      </c>
      <c r="C170" s="136">
        <v>0.42</v>
      </c>
      <c r="D170" s="135">
        <f t="shared" si="50"/>
        <v>0.42</v>
      </c>
      <c r="E170" s="135">
        <f t="shared" si="50"/>
        <v>0.42</v>
      </c>
      <c r="F170" s="135">
        <f t="shared" si="50"/>
        <v>0.42</v>
      </c>
      <c r="G170" s="135">
        <f t="shared" si="50"/>
        <v>0.42</v>
      </c>
      <c r="H170" s="135">
        <f t="shared" si="50"/>
        <v>0.42</v>
      </c>
      <c r="I170" s="135">
        <f t="shared" si="50"/>
        <v>0.42</v>
      </c>
      <c r="J170" s="135">
        <f t="shared" si="50"/>
        <v>0.42</v>
      </c>
      <c r="K170" s="135">
        <f t="shared" si="50"/>
        <v>0.42</v>
      </c>
      <c r="L170" s="135">
        <f t="shared" si="50"/>
        <v>0.42</v>
      </c>
      <c r="M170" s="135">
        <f t="shared" si="50"/>
        <v>0.42</v>
      </c>
      <c r="N170" s="135">
        <f t="shared" si="50"/>
        <v>0.42</v>
      </c>
      <c r="O170" s="135">
        <f t="shared" si="50"/>
        <v>0.42</v>
      </c>
      <c r="P170" s="135">
        <f t="shared" si="50"/>
        <v>0.42</v>
      </c>
      <c r="Q170" s="135">
        <f t="shared" si="50"/>
        <v>0.42</v>
      </c>
      <c r="R170" s="135">
        <f t="shared" si="50"/>
        <v>0.42</v>
      </c>
      <c r="S170" s="135">
        <f t="shared" si="51"/>
        <v>0.42</v>
      </c>
      <c r="T170" s="135">
        <f t="shared" si="51"/>
        <v>0.42</v>
      </c>
      <c r="U170" s="135">
        <f t="shared" si="51"/>
        <v>0.42</v>
      </c>
      <c r="V170" s="135">
        <f t="shared" si="51"/>
        <v>0.42</v>
      </c>
      <c r="W170" s="135">
        <f t="shared" si="51"/>
        <v>0.42</v>
      </c>
      <c r="X170" s="135">
        <f t="shared" si="51"/>
        <v>0.42</v>
      </c>
      <c r="Y170" s="135">
        <f t="shared" si="51"/>
        <v>0.42</v>
      </c>
      <c r="Z170" s="135">
        <f t="shared" si="51"/>
        <v>0.42</v>
      </c>
      <c r="AA170" s="135">
        <f t="shared" si="51"/>
        <v>0.42</v>
      </c>
      <c r="AB170" s="135">
        <f t="shared" si="51"/>
        <v>0.42</v>
      </c>
      <c r="AC170" s="135">
        <f t="shared" si="51"/>
        <v>0.42</v>
      </c>
      <c r="AD170" s="135">
        <f t="shared" si="51"/>
        <v>0.42</v>
      </c>
      <c r="AE170" s="135">
        <f t="shared" si="51"/>
        <v>0.42</v>
      </c>
      <c r="AF170" s="135">
        <f t="shared" si="51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9"/>
        <v>0.46</v>
      </c>
      <c r="C171" s="136">
        <v>0.46</v>
      </c>
      <c r="D171" s="135">
        <f t="shared" si="50"/>
        <v>0.46</v>
      </c>
      <c r="E171" s="135">
        <f t="shared" si="50"/>
        <v>0.46</v>
      </c>
      <c r="F171" s="135">
        <f t="shared" si="50"/>
        <v>0.46</v>
      </c>
      <c r="G171" s="135">
        <f t="shared" si="50"/>
        <v>0.46</v>
      </c>
      <c r="H171" s="135">
        <f t="shared" si="50"/>
        <v>0.46</v>
      </c>
      <c r="I171" s="135">
        <f t="shared" si="50"/>
        <v>0.46</v>
      </c>
      <c r="J171" s="135">
        <f t="shared" si="50"/>
        <v>0.46</v>
      </c>
      <c r="K171" s="135">
        <f t="shared" si="50"/>
        <v>0.46</v>
      </c>
      <c r="L171" s="135">
        <f t="shared" si="50"/>
        <v>0.46</v>
      </c>
      <c r="M171" s="135">
        <f t="shared" si="50"/>
        <v>0.46</v>
      </c>
      <c r="N171" s="135">
        <f t="shared" si="50"/>
        <v>0.46</v>
      </c>
      <c r="O171" s="135">
        <f t="shared" si="50"/>
        <v>0.46</v>
      </c>
      <c r="P171" s="135">
        <f t="shared" si="50"/>
        <v>0.46</v>
      </c>
      <c r="Q171" s="135">
        <f t="shared" si="50"/>
        <v>0.46</v>
      </c>
      <c r="R171" s="135">
        <f t="shared" si="50"/>
        <v>0.46</v>
      </c>
      <c r="S171" s="135">
        <f t="shared" si="51"/>
        <v>0.46</v>
      </c>
      <c r="T171" s="135">
        <f t="shared" si="51"/>
        <v>0.46</v>
      </c>
      <c r="U171" s="135">
        <f t="shared" si="51"/>
        <v>0.46</v>
      </c>
      <c r="V171" s="135">
        <f t="shared" si="51"/>
        <v>0.46</v>
      </c>
      <c r="W171" s="135">
        <f t="shared" si="51"/>
        <v>0.46</v>
      </c>
      <c r="X171" s="135">
        <f t="shared" si="51"/>
        <v>0.46</v>
      </c>
      <c r="Y171" s="135">
        <f t="shared" si="51"/>
        <v>0.46</v>
      </c>
      <c r="Z171" s="135">
        <f t="shared" si="51"/>
        <v>0.46</v>
      </c>
      <c r="AA171" s="135">
        <f t="shared" si="51"/>
        <v>0.46</v>
      </c>
      <c r="AB171" s="135">
        <f t="shared" si="51"/>
        <v>0.46</v>
      </c>
      <c r="AC171" s="135">
        <f t="shared" si="51"/>
        <v>0.46</v>
      </c>
      <c r="AD171" s="135">
        <f t="shared" si="51"/>
        <v>0.46</v>
      </c>
      <c r="AE171" s="135">
        <f t="shared" si="51"/>
        <v>0.46</v>
      </c>
      <c r="AF171" s="135">
        <f t="shared" si="51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9"/>
        <v>0.85</v>
      </c>
      <c r="C172" s="136">
        <v>0.85</v>
      </c>
      <c r="D172" s="135">
        <f t="shared" si="50"/>
        <v>0.85</v>
      </c>
      <c r="E172" s="135">
        <f t="shared" si="50"/>
        <v>0.85</v>
      </c>
      <c r="F172" s="135">
        <f t="shared" si="50"/>
        <v>0.85</v>
      </c>
      <c r="G172" s="135">
        <f t="shared" si="50"/>
        <v>0.85</v>
      </c>
      <c r="H172" s="135">
        <f t="shared" si="50"/>
        <v>0.85</v>
      </c>
      <c r="I172" s="135">
        <f t="shared" si="50"/>
        <v>0.85</v>
      </c>
      <c r="J172" s="135">
        <f t="shared" si="50"/>
        <v>0.85</v>
      </c>
      <c r="K172" s="135">
        <f t="shared" si="50"/>
        <v>0.85</v>
      </c>
      <c r="L172" s="135">
        <f t="shared" si="50"/>
        <v>0.85</v>
      </c>
      <c r="M172" s="135">
        <f t="shared" si="50"/>
        <v>0.85</v>
      </c>
      <c r="N172" s="135">
        <f t="shared" si="50"/>
        <v>0.85</v>
      </c>
      <c r="O172" s="135">
        <f t="shared" si="50"/>
        <v>0.85</v>
      </c>
      <c r="P172" s="135">
        <f t="shared" si="50"/>
        <v>0.85</v>
      </c>
      <c r="Q172" s="135">
        <f t="shared" si="50"/>
        <v>0.85</v>
      </c>
      <c r="R172" s="135">
        <f t="shared" si="50"/>
        <v>0.85</v>
      </c>
      <c r="S172" s="135">
        <f t="shared" si="51"/>
        <v>0.85</v>
      </c>
      <c r="T172" s="135">
        <f t="shared" si="51"/>
        <v>0.85</v>
      </c>
      <c r="U172" s="135">
        <f t="shared" si="51"/>
        <v>0.85</v>
      </c>
      <c r="V172" s="135">
        <f t="shared" si="51"/>
        <v>0.85</v>
      </c>
      <c r="W172" s="135">
        <f t="shared" si="51"/>
        <v>0.85</v>
      </c>
      <c r="X172" s="135">
        <f t="shared" si="51"/>
        <v>0.85</v>
      </c>
      <c r="Y172" s="135">
        <f t="shared" si="51"/>
        <v>0.85</v>
      </c>
      <c r="Z172" s="135">
        <f t="shared" si="51"/>
        <v>0.85</v>
      </c>
      <c r="AA172" s="135">
        <f t="shared" si="51"/>
        <v>0.85</v>
      </c>
      <c r="AB172" s="135">
        <f t="shared" si="51"/>
        <v>0.85</v>
      </c>
      <c r="AC172" s="135">
        <f t="shared" si="51"/>
        <v>0.85</v>
      </c>
      <c r="AD172" s="135">
        <f t="shared" si="51"/>
        <v>0.85</v>
      </c>
      <c r="AE172" s="135">
        <f t="shared" si="51"/>
        <v>0.85</v>
      </c>
      <c r="AF172" s="135">
        <f t="shared" si="51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9"/>
        <v>0.9</v>
      </c>
      <c r="C173" s="136">
        <v>0.9</v>
      </c>
      <c r="D173" s="135">
        <f t="shared" si="50"/>
        <v>0.9</v>
      </c>
      <c r="E173" s="135">
        <f t="shared" si="50"/>
        <v>0.9</v>
      </c>
      <c r="F173" s="135">
        <f t="shared" si="50"/>
        <v>0.9</v>
      </c>
      <c r="G173" s="135">
        <f t="shared" si="50"/>
        <v>0.9</v>
      </c>
      <c r="H173" s="135">
        <f t="shared" si="50"/>
        <v>0.9</v>
      </c>
      <c r="I173" s="135">
        <f t="shared" si="50"/>
        <v>0.9</v>
      </c>
      <c r="J173" s="135">
        <f t="shared" si="50"/>
        <v>0.9</v>
      </c>
      <c r="K173" s="135">
        <f t="shared" si="50"/>
        <v>0.9</v>
      </c>
      <c r="L173" s="135">
        <f t="shared" si="50"/>
        <v>0.9</v>
      </c>
      <c r="M173" s="135">
        <f t="shared" si="50"/>
        <v>0.9</v>
      </c>
      <c r="N173" s="135">
        <f t="shared" si="50"/>
        <v>0.9</v>
      </c>
      <c r="O173" s="135">
        <f t="shared" si="50"/>
        <v>0.9</v>
      </c>
      <c r="P173" s="135">
        <f t="shared" si="50"/>
        <v>0.9</v>
      </c>
      <c r="Q173" s="135">
        <f t="shared" si="50"/>
        <v>0.9</v>
      </c>
      <c r="R173" s="135">
        <f t="shared" si="50"/>
        <v>0.9</v>
      </c>
      <c r="S173" s="135">
        <f t="shared" si="51"/>
        <v>0.9</v>
      </c>
      <c r="T173" s="135">
        <f t="shared" si="51"/>
        <v>0.9</v>
      </c>
      <c r="U173" s="135">
        <f t="shared" si="51"/>
        <v>0.9</v>
      </c>
      <c r="V173" s="135">
        <f t="shared" si="51"/>
        <v>0.9</v>
      </c>
      <c r="W173" s="135">
        <f t="shared" si="51"/>
        <v>0.9</v>
      </c>
      <c r="X173" s="135">
        <f t="shared" si="51"/>
        <v>0.9</v>
      </c>
      <c r="Y173" s="135">
        <f t="shared" si="51"/>
        <v>0.9</v>
      </c>
      <c r="Z173" s="135">
        <f t="shared" si="51"/>
        <v>0.9</v>
      </c>
      <c r="AA173" s="135">
        <f t="shared" si="51"/>
        <v>0.9</v>
      </c>
      <c r="AB173" s="135">
        <f t="shared" si="51"/>
        <v>0.9</v>
      </c>
      <c r="AC173" s="135">
        <f t="shared" si="51"/>
        <v>0.9</v>
      </c>
      <c r="AD173" s="135">
        <f t="shared" si="51"/>
        <v>0.9</v>
      </c>
      <c r="AE173" s="135">
        <f t="shared" si="51"/>
        <v>0.9</v>
      </c>
      <c r="AF173" s="135">
        <f t="shared" si="51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9"/>
        <v>0.44</v>
      </c>
      <c r="C174" s="136">
        <v>0.44</v>
      </c>
      <c r="D174" s="135">
        <f t="shared" si="50"/>
        <v>0.44</v>
      </c>
      <c r="E174" s="135">
        <f t="shared" si="50"/>
        <v>0.44</v>
      </c>
      <c r="F174" s="135">
        <f t="shared" si="50"/>
        <v>0.44</v>
      </c>
      <c r="G174" s="135">
        <f t="shared" si="50"/>
        <v>0.44</v>
      </c>
      <c r="H174" s="135">
        <f t="shared" si="50"/>
        <v>0.44</v>
      </c>
      <c r="I174" s="135">
        <f t="shared" si="50"/>
        <v>0.44</v>
      </c>
      <c r="J174" s="135">
        <f t="shared" si="50"/>
        <v>0.44</v>
      </c>
      <c r="K174" s="135">
        <f t="shared" si="50"/>
        <v>0.44</v>
      </c>
      <c r="L174" s="135">
        <f t="shared" si="50"/>
        <v>0.44</v>
      </c>
      <c r="M174" s="135">
        <f t="shared" si="50"/>
        <v>0.44</v>
      </c>
      <c r="N174" s="135">
        <f t="shared" si="50"/>
        <v>0.44</v>
      </c>
      <c r="O174" s="135">
        <f t="shared" si="50"/>
        <v>0.44</v>
      </c>
      <c r="P174" s="135">
        <f t="shared" si="50"/>
        <v>0.44</v>
      </c>
      <c r="Q174" s="135">
        <f t="shared" si="50"/>
        <v>0.44</v>
      </c>
      <c r="R174" s="135">
        <f t="shared" si="50"/>
        <v>0.44</v>
      </c>
      <c r="S174" s="135">
        <f t="shared" si="51"/>
        <v>0.44</v>
      </c>
      <c r="T174" s="135">
        <f t="shared" si="51"/>
        <v>0.44</v>
      </c>
      <c r="U174" s="135">
        <f t="shared" si="51"/>
        <v>0.44</v>
      </c>
      <c r="V174" s="135">
        <f t="shared" si="51"/>
        <v>0.44</v>
      </c>
      <c r="W174" s="135">
        <f t="shared" si="51"/>
        <v>0.44</v>
      </c>
      <c r="X174" s="135">
        <f t="shared" si="51"/>
        <v>0.44</v>
      </c>
      <c r="Y174" s="135">
        <f t="shared" si="51"/>
        <v>0.44</v>
      </c>
      <c r="Z174" s="135">
        <f t="shared" si="51"/>
        <v>0.44</v>
      </c>
      <c r="AA174" s="135">
        <f t="shared" si="51"/>
        <v>0.44</v>
      </c>
      <c r="AB174" s="135">
        <f t="shared" si="51"/>
        <v>0.44</v>
      </c>
      <c r="AC174" s="135">
        <f t="shared" si="51"/>
        <v>0.44</v>
      </c>
      <c r="AD174" s="135">
        <f t="shared" si="51"/>
        <v>0.44</v>
      </c>
      <c r="AE174" s="135">
        <f t="shared" si="51"/>
        <v>0.44</v>
      </c>
      <c r="AF174" s="135">
        <f t="shared" si="51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9"/>
        <v>2.1</v>
      </c>
      <c r="C175" s="136">
        <v>2.1</v>
      </c>
      <c r="D175" s="135">
        <f t="shared" si="50"/>
        <v>2.1</v>
      </c>
      <c r="E175" s="135">
        <f t="shared" si="50"/>
        <v>2.1</v>
      </c>
      <c r="F175" s="135">
        <f t="shared" si="50"/>
        <v>2.1</v>
      </c>
      <c r="G175" s="135">
        <f t="shared" si="50"/>
        <v>2.1</v>
      </c>
      <c r="H175" s="135">
        <f t="shared" si="50"/>
        <v>2.1</v>
      </c>
      <c r="I175" s="135">
        <f t="shared" si="50"/>
        <v>2.1</v>
      </c>
      <c r="J175" s="135">
        <f t="shared" si="50"/>
        <v>2.1</v>
      </c>
      <c r="K175" s="135">
        <f t="shared" si="50"/>
        <v>2.1</v>
      </c>
      <c r="L175" s="135">
        <f t="shared" si="50"/>
        <v>2.1</v>
      </c>
      <c r="M175" s="135">
        <f t="shared" si="50"/>
        <v>2.1</v>
      </c>
      <c r="N175" s="135">
        <f t="shared" si="50"/>
        <v>2.1</v>
      </c>
      <c r="O175" s="135">
        <f t="shared" si="50"/>
        <v>2.1</v>
      </c>
      <c r="P175" s="135">
        <f t="shared" si="50"/>
        <v>2.1</v>
      </c>
      <c r="Q175" s="135">
        <f t="shared" si="50"/>
        <v>2.1</v>
      </c>
      <c r="R175" s="135">
        <f t="shared" si="50"/>
        <v>2.1</v>
      </c>
      <c r="S175" s="135">
        <f t="shared" si="51"/>
        <v>2.1</v>
      </c>
      <c r="T175" s="135">
        <f t="shared" si="51"/>
        <v>2.1</v>
      </c>
      <c r="U175" s="135">
        <f t="shared" si="51"/>
        <v>2.1</v>
      </c>
      <c r="V175" s="135">
        <f t="shared" si="51"/>
        <v>2.1</v>
      </c>
      <c r="W175" s="135">
        <f t="shared" si="51"/>
        <v>2.1</v>
      </c>
      <c r="X175" s="135">
        <f t="shared" si="51"/>
        <v>2.1</v>
      </c>
      <c r="Y175" s="135">
        <f t="shared" si="51"/>
        <v>2.1</v>
      </c>
      <c r="Z175" s="135">
        <f t="shared" si="51"/>
        <v>2.1</v>
      </c>
      <c r="AA175" s="135">
        <f t="shared" si="51"/>
        <v>2.1</v>
      </c>
      <c r="AB175" s="135">
        <f t="shared" si="51"/>
        <v>2.1</v>
      </c>
      <c r="AC175" s="135">
        <f t="shared" si="51"/>
        <v>2.1</v>
      </c>
      <c r="AD175" s="135">
        <f t="shared" si="51"/>
        <v>2.1</v>
      </c>
      <c r="AE175" s="135">
        <f t="shared" si="51"/>
        <v>2.1</v>
      </c>
      <c r="AF175" s="135">
        <f t="shared" si="51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9"/>
        <v>0.9</v>
      </c>
      <c r="C176" s="136">
        <v>0.9</v>
      </c>
      <c r="D176" s="135">
        <f t="shared" si="50"/>
        <v>0.9</v>
      </c>
      <c r="E176" s="135">
        <f t="shared" si="50"/>
        <v>0.9</v>
      </c>
      <c r="F176" s="135">
        <f t="shared" si="50"/>
        <v>0.9</v>
      </c>
      <c r="G176" s="135">
        <f t="shared" si="50"/>
        <v>0.9</v>
      </c>
      <c r="H176" s="135">
        <f t="shared" si="50"/>
        <v>0.9</v>
      </c>
      <c r="I176" s="135">
        <f t="shared" si="50"/>
        <v>0.9</v>
      </c>
      <c r="J176" s="135">
        <f t="shared" si="50"/>
        <v>0.9</v>
      </c>
      <c r="K176" s="135">
        <f t="shared" si="50"/>
        <v>0.9</v>
      </c>
      <c r="L176" s="135">
        <f t="shared" si="50"/>
        <v>0.9</v>
      </c>
      <c r="M176" s="135">
        <f t="shared" si="50"/>
        <v>0.9</v>
      </c>
      <c r="N176" s="135">
        <f t="shared" si="50"/>
        <v>0.9</v>
      </c>
      <c r="O176" s="135">
        <f t="shared" si="50"/>
        <v>0.9</v>
      </c>
      <c r="P176" s="135">
        <f t="shared" si="50"/>
        <v>0.9</v>
      </c>
      <c r="Q176" s="135">
        <f t="shared" si="50"/>
        <v>0.9</v>
      </c>
      <c r="R176" s="135">
        <f t="shared" si="50"/>
        <v>0.9</v>
      </c>
      <c r="S176" s="135">
        <f t="shared" si="51"/>
        <v>0.9</v>
      </c>
      <c r="T176" s="135">
        <f t="shared" si="51"/>
        <v>0.9</v>
      </c>
      <c r="U176" s="135">
        <f t="shared" si="51"/>
        <v>0.9</v>
      </c>
      <c r="V176" s="135">
        <f t="shared" si="51"/>
        <v>0.9</v>
      </c>
      <c r="W176" s="135">
        <f t="shared" si="51"/>
        <v>0.9</v>
      </c>
      <c r="X176" s="135">
        <f t="shared" si="51"/>
        <v>0.9</v>
      </c>
      <c r="Y176" s="135">
        <f t="shared" si="51"/>
        <v>0.9</v>
      </c>
      <c r="Z176" s="135">
        <f t="shared" si="51"/>
        <v>0.9</v>
      </c>
      <c r="AA176" s="135">
        <f t="shared" si="51"/>
        <v>0.9</v>
      </c>
      <c r="AB176" s="135">
        <f t="shared" si="51"/>
        <v>0.9</v>
      </c>
      <c r="AC176" s="135">
        <f t="shared" si="51"/>
        <v>0.9</v>
      </c>
      <c r="AD176" s="135">
        <f t="shared" si="51"/>
        <v>0.9</v>
      </c>
      <c r="AE176" s="135">
        <f t="shared" si="51"/>
        <v>0.9</v>
      </c>
      <c r="AF176" s="135">
        <f t="shared" si="51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2">AF178</f>
        <v>0.57999999999999996</v>
      </c>
      <c r="C178" s="136">
        <v>0.57999999999999996</v>
      </c>
      <c r="D178" s="135">
        <f t="shared" ref="D178:S190" si="53">C178</f>
        <v>0.57999999999999996</v>
      </c>
      <c r="E178" s="135">
        <f t="shared" si="53"/>
        <v>0.57999999999999996</v>
      </c>
      <c r="F178" s="135">
        <f t="shared" si="53"/>
        <v>0.57999999999999996</v>
      </c>
      <c r="G178" s="135">
        <f t="shared" si="53"/>
        <v>0.57999999999999996</v>
      </c>
      <c r="H178" s="135">
        <f t="shared" si="53"/>
        <v>0.57999999999999996</v>
      </c>
      <c r="I178" s="135">
        <f t="shared" si="53"/>
        <v>0.57999999999999996</v>
      </c>
      <c r="J178" s="135">
        <f t="shared" si="53"/>
        <v>0.57999999999999996</v>
      </c>
      <c r="K178" s="135">
        <f t="shared" si="53"/>
        <v>0.57999999999999996</v>
      </c>
      <c r="L178" s="135">
        <f t="shared" si="53"/>
        <v>0.57999999999999996</v>
      </c>
      <c r="M178" s="135">
        <f t="shared" si="53"/>
        <v>0.57999999999999996</v>
      </c>
      <c r="N178" s="135">
        <f t="shared" si="53"/>
        <v>0.57999999999999996</v>
      </c>
      <c r="O178" s="135">
        <f t="shared" si="53"/>
        <v>0.57999999999999996</v>
      </c>
      <c r="P178" s="135">
        <f t="shared" si="53"/>
        <v>0.57999999999999996</v>
      </c>
      <c r="Q178" s="135">
        <f t="shared" si="53"/>
        <v>0.57999999999999996</v>
      </c>
      <c r="R178" s="135">
        <f t="shared" si="53"/>
        <v>0.57999999999999996</v>
      </c>
      <c r="S178" s="135">
        <f t="shared" si="53"/>
        <v>0.57999999999999996</v>
      </c>
      <c r="T178" s="135">
        <f t="shared" ref="S178:AF190" si="54">S178</f>
        <v>0.57999999999999996</v>
      </c>
      <c r="U178" s="135">
        <f t="shared" si="54"/>
        <v>0.57999999999999996</v>
      </c>
      <c r="V178" s="135">
        <f t="shared" si="54"/>
        <v>0.57999999999999996</v>
      </c>
      <c r="W178" s="135">
        <f t="shared" si="54"/>
        <v>0.57999999999999996</v>
      </c>
      <c r="X178" s="135">
        <f t="shared" si="54"/>
        <v>0.57999999999999996</v>
      </c>
      <c r="Y178" s="135">
        <f t="shared" si="54"/>
        <v>0.57999999999999996</v>
      </c>
      <c r="Z178" s="135">
        <f t="shared" si="54"/>
        <v>0.57999999999999996</v>
      </c>
      <c r="AA178" s="135">
        <f t="shared" si="54"/>
        <v>0.57999999999999996</v>
      </c>
      <c r="AB178" s="135">
        <f t="shared" si="54"/>
        <v>0.57999999999999996</v>
      </c>
      <c r="AC178" s="135">
        <f t="shared" si="54"/>
        <v>0.57999999999999996</v>
      </c>
      <c r="AD178" s="135">
        <f t="shared" si="54"/>
        <v>0.57999999999999996</v>
      </c>
      <c r="AE178" s="135">
        <f t="shared" si="54"/>
        <v>0.57999999999999996</v>
      </c>
      <c r="AF178" s="135">
        <f t="shared" si="54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2"/>
        <v>0.8</v>
      </c>
      <c r="C179" s="136">
        <v>0.8</v>
      </c>
      <c r="D179" s="135">
        <f t="shared" si="53"/>
        <v>0.8</v>
      </c>
      <c r="E179" s="135">
        <f t="shared" si="53"/>
        <v>0.8</v>
      </c>
      <c r="F179" s="135">
        <f t="shared" si="53"/>
        <v>0.8</v>
      </c>
      <c r="G179" s="135">
        <f t="shared" si="53"/>
        <v>0.8</v>
      </c>
      <c r="H179" s="135">
        <f t="shared" si="53"/>
        <v>0.8</v>
      </c>
      <c r="I179" s="135">
        <f t="shared" si="53"/>
        <v>0.8</v>
      </c>
      <c r="J179" s="135">
        <f t="shared" si="53"/>
        <v>0.8</v>
      </c>
      <c r="K179" s="135">
        <f t="shared" si="53"/>
        <v>0.8</v>
      </c>
      <c r="L179" s="135">
        <f t="shared" si="53"/>
        <v>0.8</v>
      </c>
      <c r="M179" s="135">
        <f t="shared" si="53"/>
        <v>0.8</v>
      </c>
      <c r="N179" s="135">
        <f t="shared" si="53"/>
        <v>0.8</v>
      </c>
      <c r="O179" s="135">
        <f t="shared" si="53"/>
        <v>0.8</v>
      </c>
      <c r="P179" s="135">
        <f t="shared" si="53"/>
        <v>0.8</v>
      </c>
      <c r="Q179" s="135">
        <f t="shared" si="53"/>
        <v>0.8</v>
      </c>
      <c r="R179" s="135">
        <f t="shared" si="53"/>
        <v>0.8</v>
      </c>
      <c r="S179" s="135">
        <f t="shared" si="53"/>
        <v>0.8</v>
      </c>
      <c r="T179" s="135">
        <f t="shared" si="54"/>
        <v>0.8</v>
      </c>
      <c r="U179" s="135">
        <f t="shared" si="54"/>
        <v>0.8</v>
      </c>
      <c r="V179" s="135">
        <f t="shared" si="54"/>
        <v>0.8</v>
      </c>
      <c r="W179" s="135">
        <f t="shared" si="54"/>
        <v>0.8</v>
      </c>
      <c r="X179" s="135">
        <f t="shared" si="54"/>
        <v>0.8</v>
      </c>
      <c r="Y179" s="135">
        <f t="shared" si="54"/>
        <v>0.8</v>
      </c>
      <c r="Z179" s="135">
        <f t="shared" si="54"/>
        <v>0.8</v>
      </c>
      <c r="AA179" s="135">
        <f t="shared" si="54"/>
        <v>0.8</v>
      </c>
      <c r="AB179" s="135">
        <f t="shared" si="54"/>
        <v>0.8</v>
      </c>
      <c r="AC179" s="135">
        <f t="shared" si="54"/>
        <v>0.8</v>
      </c>
      <c r="AD179" s="135">
        <f t="shared" si="54"/>
        <v>0.8</v>
      </c>
      <c r="AE179" s="135">
        <f t="shared" si="54"/>
        <v>0.8</v>
      </c>
      <c r="AF179" s="135">
        <f t="shared" si="54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2"/>
        <v>0</v>
      </c>
      <c r="C180" s="136">
        <v>0</v>
      </c>
      <c r="D180" s="135">
        <f t="shared" si="53"/>
        <v>0</v>
      </c>
      <c r="E180" s="135">
        <f t="shared" si="53"/>
        <v>0</v>
      </c>
      <c r="F180" s="135">
        <f t="shared" si="53"/>
        <v>0</v>
      </c>
      <c r="G180" s="135">
        <f t="shared" si="53"/>
        <v>0</v>
      </c>
      <c r="H180" s="135">
        <f t="shared" si="53"/>
        <v>0</v>
      </c>
      <c r="I180" s="135">
        <f t="shared" si="53"/>
        <v>0</v>
      </c>
      <c r="J180" s="135">
        <f t="shared" si="53"/>
        <v>0</v>
      </c>
      <c r="K180" s="135">
        <f t="shared" si="53"/>
        <v>0</v>
      </c>
      <c r="L180" s="135">
        <f t="shared" si="53"/>
        <v>0</v>
      </c>
      <c r="M180" s="135">
        <f t="shared" si="53"/>
        <v>0</v>
      </c>
      <c r="N180" s="135">
        <f t="shared" si="53"/>
        <v>0</v>
      </c>
      <c r="O180" s="135">
        <f t="shared" si="53"/>
        <v>0</v>
      </c>
      <c r="P180" s="135">
        <f t="shared" si="53"/>
        <v>0</v>
      </c>
      <c r="Q180" s="135">
        <f t="shared" si="53"/>
        <v>0</v>
      </c>
      <c r="R180" s="135">
        <f t="shared" si="53"/>
        <v>0</v>
      </c>
      <c r="S180" s="135">
        <f t="shared" si="53"/>
        <v>0</v>
      </c>
      <c r="T180" s="135">
        <f t="shared" si="54"/>
        <v>0</v>
      </c>
      <c r="U180" s="135">
        <f t="shared" si="54"/>
        <v>0</v>
      </c>
      <c r="V180" s="135">
        <f t="shared" si="54"/>
        <v>0</v>
      </c>
      <c r="W180" s="135">
        <f t="shared" si="54"/>
        <v>0</v>
      </c>
      <c r="X180" s="135">
        <f t="shared" si="54"/>
        <v>0</v>
      </c>
      <c r="Y180" s="135">
        <f t="shared" si="54"/>
        <v>0</v>
      </c>
      <c r="Z180" s="135">
        <f t="shared" si="54"/>
        <v>0</v>
      </c>
      <c r="AA180" s="135">
        <f t="shared" si="54"/>
        <v>0</v>
      </c>
      <c r="AB180" s="135">
        <f t="shared" si="54"/>
        <v>0</v>
      </c>
      <c r="AC180" s="135">
        <f t="shared" si="54"/>
        <v>0</v>
      </c>
      <c r="AD180" s="135">
        <f t="shared" si="54"/>
        <v>0</v>
      </c>
      <c r="AE180" s="135">
        <f t="shared" si="54"/>
        <v>0</v>
      </c>
      <c r="AF180" s="135">
        <f t="shared" si="54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2"/>
        <v>0.6</v>
      </c>
      <c r="C181" s="136">
        <v>0.6</v>
      </c>
      <c r="D181" s="135">
        <f t="shared" si="53"/>
        <v>0.6</v>
      </c>
      <c r="E181" s="135">
        <f t="shared" si="53"/>
        <v>0.6</v>
      </c>
      <c r="F181" s="135">
        <f t="shared" si="53"/>
        <v>0.6</v>
      </c>
      <c r="G181" s="135">
        <f t="shared" si="53"/>
        <v>0.6</v>
      </c>
      <c r="H181" s="135">
        <f t="shared" si="53"/>
        <v>0.6</v>
      </c>
      <c r="I181" s="135">
        <f t="shared" si="53"/>
        <v>0.6</v>
      </c>
      <c r="J181" s="135">
        <f t="shared" si="53"/>
        <v>0.6</v>
      </c>
      <c r="K181" s="135">
        <f t="shared" si="53"/>
        <v>0.6</v>
      </c>
      <c r="L181" s="135">
        <f t="shared" si="53"/>
        <v>0.6</v>
      </c>
      <c r="M181" s="135">
        <f t="shared" si="53"/>
        <v>0.6</v>
      </c>
      <c r="N181" s="135">
        <f t="shared" si="53"/>
        <v>0.6</v>
      </c>
      <c r="O181" s="135">
        <f t="shared" si="53"/>
        <v>0.6</v>
      </c>
      <c r="P181" s="135">
        <f t="shared" si="53"/>
        <v>0.6</v>
      </c>
      <c r="Q181" s="135">
        <f t="shared" si="53"/>
        <v>0.6</v>
      </c>
      <c r="R181" s="135">
        <f t="shared" si="53"/>
        <v>0.6</v>
      </c>
      <c r="S181" s="135">
        <f t="shared" si="53"/>
        <v>0.6</v>
      </c>
      <c r="T181" s="135">
        <f t="shared" si="54"/>
        <v>0.6</v>
      </c>
      <c r="U181" s="135">
        <f t="shared" si="54"/>
        <v>0.6</v>
      </c>
      <c r="V181" s="135">
        <f t="shared" si="54"/>
        <v>0.6</v>
      </c>
      <c r="W181" s="135">
        <f t="shared" si="54"/>
        <v>0.6</v>
      </c>
      <c r="X181" s="135">
        <f t="shared" si="54"/>
        <v>0.6</v>
      </c>
      <c r="Y181" s="135">
        <f t="shared" si="54"/>
        <v>0.6</v>
      </c>
      <c r="Z181" s="135">
        <f t="shared" si="54"/>
        <v>0.6</v>
      </c>
      <c r="AA181" s="135">
        <f t="shared" si="54"/>
        <v>0.6</v>
      </c>
      <c r="AB181" s="135">
        <f t="shared" si="54"/>
        <v>0.6</v>
      </c>
      <c r="AC181" s="135">
        <f t="shared" si="54"/>
        <v>0.6</v>
      </c>
      <c r="AD181" s="135">
        <f t="shared" si="54"/>
        <v>0.6</v>
      </c>
      <c r="AE181" s="135">
        <f t="shared" si="54"/>
        <v>0.6</v>
      </c>
      <c r="AF181" s="135">
        <f t="shared" si="54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2"/>
        <v>0.6</v>
      </c>
      <c r="C182" s="136">
        <v>0.6</v>
      </c>
      <c r="D182" s="135">
        <f t="shared" si="53"/>
        <v>0.6</v>
      </c>
      <c r="E182" s="135">
        <f t="shared" si="53"/>
        <v>0.6</v>
      </c>
      <c r="F182" s="135">
        <f t="shared" si="53"/>
        <v>0.6</v>
      </c>
      <c r="G182" s="135">
        <f t="shared" si="53"/>
        <v>0.6</v>
      </c>
      <c r="H182" s="135">
        <f t="shared" si="53"/>
        <v>0.6</v>
      </c>
      <c r="I182" s="135">
        <f t="shared" si="53"/>
        <v>0.6</v>
      </c>
      <c r="J182" s="135">
        <f t="shared" si="53"/>
        <v>0.6</v>
      </c>
      <c r="K182" s="135">
        <f t="shared" si="53"/>
        <v>0.6</v>
      </c>
      <c r="L182" s="135">
        <f t="shared" si="53"/>
        <v>0.6</v>
      </c>
      <c r="M182" s="135">
        <f t="shared" si="53"/>
        <v>0.6</v>
      </c>
      <c r="N182" s="135">
        <f t="shared" si="53"/>
        <v>0.6</v>
      </c>
      <c r="O182" s="135">
        <f t="shared" si="53"/>
        <v>0.6</v>
      </c>
      <c r="P182" s="135">
        <f t="shared" si="53"/>
        <v>0.6</v>
      </c>
      <c r="Q182" s="135">
        <f t="shared" si="53"/>
        <v>0.6</v>
      </c>
      <c r="R182" s="135">
        <f t="shared" si="53"/>
        <v>0.6</v>
      </c>
      <c r="S182" s="135">
        <f t="shared" si="53"/>
        <v>0.6</v>
      </c>
      <c r="T182" s="135">
        <f t="shared" si="54"/>
        <v>0.6</v>
      </c>
      <c r="U182" s="135">
        <f t="shared" si="54"/>
        <v>0.6</v>
      </c>
      <c r="V182" s="135">
        <f t="shared" si="54"/>
        <v>0.6</v>
      </c>
      <c r="W182" s="135">
        <f t="shared" si="54"/>
        <v>0.6</v>
      </c>
      <c r="X182" s="135">
        <f t="shared" si="54"/>
        <v>0.6</v>
      </c>
      <c r="Y182" s="135">
        <f t="shared" si="54"/>
        <v>0.6</v>
      </c>
      <c r="Z182" s="135">
        <f t="shared" si="54"/>
        <v>0.6</v>
      </c>
      <c r="AA182" s="135">
        <f t="shared" si="54"/>
        <v>0.6</v>
      </c>
      <c r="AB182" s="135">
        <f t="shared" si="54"/>
        <v>0.6</v>
      </c>
      <c r="AC182" s="135">
        <f t="shared" si="54"/>
        <v>0.6</v>
      </c>
      <c r="AD182" s="135">
        <f t="shared" si="54"/>
        <v>0.6</v>
      </c>
      <c r="AE182" s="135">
        <f t="shared" si="54"/>
        <v>0.6</v>
      </c>
      <c r="AF182" s="135">
        <f t="shared" si="54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2"/>
        <v>0.35</v>
      </c>
      <c r="C183" s="136">
        <v>0.35</v>
      </c>
      <c r="D183" s="135">
        <f t="shared" si="53"/>
        <v>0.35</v>
      </c>
      <c r="E183" s="135">
        <f t="shared" si="53"/>
        <v>0.35</v>
      </c>
      <c r="F183" s="135">
        <f t="shared" si="53"/>
        <v>0.35</v>
      </c>
      <c r="G183" s="135">
        <f t="shared" si="53"/>
        <v>0.35</v>
      </c>
      <c r="H183" s="135">
        <f t="shared" si="53"/>
        <v>0.35</v>
      </c>
      <c r="I183" s="135">
        <f t="shared" si="53"/>
        <v>0.35</v>
      </c>
      <c r="J183" s="135">
        <f t="shared" si="53"/>
        <v>0.35</v>
      </c>
      <c r="K183" s="135">
        <f t="shared" si="53"/>
        <v>0.35</v>
      </c>
      <c r="L183" s="135">
        <f t="shared" si="53"/>
        <v>0.35</v>
      </c>
      <c r="M183" s="135">
        <f t="shared" si="53"/>
        <v>0.35</v>
      </c>
      <c r="N183" s="135">
        <f t="shared" si="53"/>
        <v>0.35</v>
      </c>
      <c r="O183" s="135">
        <f t="shared" si="53"/>
        <v>0.35</v>
      </c>
      <c r="P183" s="135">
        <f t="shared" si="53"/>
        <v>0.35</v>
      </c>
      <c r="Q183" s="135">
        <f t="shared" si="53"/>
        <v>0.35</v>
      </c>
      <c r="R183" s="135">
        <f t="shared" si="53"/>
        <v>0.35</v>
      </c>
      <c r="S183" s="135">
        <f t="shared" si="53"/>
        <v>0.35</v>
      </c>
      <c r="T183" s="135">
        <f t="shared" si="54"/>
        <v>0.35</v>
      </c>
      <c r="U183" s="135">
        <f t="shared" si="54"/>
        <v>0.35</v>
      </c>
      <c r="V183" s="135">
        <f t="shared" si="54"/>
        <v>0.35</v>
      </c>
      <c r="W183" s="135">
        <f t="shared" si="54"/>
        <v>0.35</v>
      </c>
      <c r="X183" s="135">
        <f t="shared" si="54"/>
        <v>0.35</v>
      </c>
      <c r="Y183" s="135">
        <f t="shared" si="54"/>
        <v>0.35</v>
      </c>
      <c r="Z183" s="135">
        <f t="shared" si="54"/>
        <v>0.35</v>
      </c>
      <c r="AA183" s="135">
        <f t="shared" si="54"/>
        <v>0.35</v>
      </c>
      <c r="AB183" s="135">
        <f t="shared" si="54"/>
        <v>0.35</v>
      </c>
      <c r="AC183" s="135">
        <f t="shared" si="54"/>
        <v>0.35</v>
      </c>
      <c r="AD183" s="135">
        <f t="shared" si="54"/>
        <v>0.35</v>
      </c>
      <c r="AE183" s="135">
        <f t="shared" si="54"/>
        <v>0.35</v>
      </c>
      <c r="AF183" s="135">
        <f t="shared" si="54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2"/>
        <v>0.28999999999999998</v>
      </c>
      <c r="C184" s="136">
        <v>0.28999999999999998</v>
      </c>
      <c r="D184" s="135">
        <f t="shared" si="53"/>
        <v>0.28999999999999998</v>
      </c>
      <c r="E184" s="135">
        <f t="shared" si="53"/>
        <v>0.28999999999999998</v>
      </c>
      <c r="F184" s="135">
        <f t="shared" si="53"/>
        <v>0.28999999999999998</v>
      </c>
      <c r="G184" s="135">
        <f t="shared" si="53"/>
        <v>0.28999999999999998</v>
      </c>
      <c r="H184" s="135">
        <f t="shared" si="53"/>
        <v>0.28999999999999998</v>
      </c>
      <c r="I184" s="135">
        <f t="shared" si="53"/>
        <v>0.28999999999999998</v>
      </c>
      <c r="J184" s="135">
        <f t="shared" si="53"/>
        <v>0.28999999999999998</v>
      </c>
      <c r="K184" s="135">
        <f t="shared" si="53"/>
        <v>0.28999999999999998</v>
      </c>
      <c r="L184" s="135">
        <f t="shared" si="53"/>
        <v>0.28999999999999998</v>
      </c>
      <c r="M184" s="135">
        <f t="shared" si="53"/>
        <v>0.28999999999999998</v>
      </c>
      <c r="N184" s="135">
        <f t="shared" si="53"/>
        <v>0.28999999999999998</v>
      </c>
      <c r="O184" s="135">
        <f t="shared" si="53"/>
        <v>0.28999999999999998</v>
      </c>
      <c r="P184" s="135">
        <f t="shared" si="53"/>
        <v>0.28999999999999998</v>
      </c>
      <c r="Q184" s="135">
        <f t="shared" si="53"/>
        <v>0.28999999999999998</v>
      </c>
      <c r="R184" s="135">
        <f t="shared" si="53"/>
        <v>0.28999999999999998</v>
      </c>
      <c r="S184" s="135">
        <f t="shared" si="53"/>
        <v>0.28999999999999998</v>
      </c>
      <c r="T184" s="135">
        <f t="shared" si="54"/>
        <v>0.28999999999999998</v>
      </c>
      <c r="U184" s="135">
        <f t="shared" si="54"/>
        <v>0.28999999999999998</v>
      </c>
      <c r="V184" s="135">
        <f t="shared" si="54"/>
        <v>0.28999999999999998</v>
      </c>
      <c r="W184" s="135">
        <f t="shared" si="54"/>
        <v>0.28999999999999998</v>
      </c>
      <c r="X184" s="135">
        <f t="shared" si="54"/>
        <v>0.28999999999999998</v>
      </c>
      <c r="Y184" s="135">
        <f t="shared" si="54"/>
        <v>0.28999999999999998</v>
      </c>
      <c r="Z184" s="135">
        <f t="shared" si="54"/>
        <v>0.28999999999999998</v>
      </c>
      <c r="AA184" s="135">
        <f t="shared" si="54"/>
        <v>0.28999999999999998</v>
      </c>
      <c r="AB184" s="135">
        <f t="shared" si="54"/>
        <v>0.28999999999999998</v>
      </c>
      <c r="AC184" s="135">
        <f t="shared" si="54"/>
        <v>0.28999999999999998</v>
      </c>
      <c r="AD184" s="135">
        <f t="shared" si="54"/>
        <v>0.28999999999999998</v>
      </c>
      <c r="AE184" s="135">
        <f t="shared" si="54"/>
        <v>0.28999999999999998</v>
      </c>
      <c r="AF184" s="135">
        <f t="shared" si="54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2"/>
        <v>0.06</v>
      </c>
      <c r="C185" s="136">
        <v>0.06</v>
      </c>
      <c r="D185" s="135">
        <f t="shared" si="53"/>
        <v>0.06</v>
      </c>
      <c r="E185" s="135">
        <f t="shared" si="53"/>
        <v>0.06</v>
      </c>
      <c r="F185" s="135">
        <f t="shared" si="53"/>
        <v>0.06</v>
      </c>
      <c r="G185" s="135">
        <f t="shared" si="53"/>
        <v>0.06</v>
      </c>
      <c r="H185" s="135">
        <f t="shared" si="53"/>
        <v>0.06</v>
      </c>
      <c r="I185" s="135">
        <f t="shared" si="53"/>
        <v>0.06</v>
      </c>
      <c r="J185" s="135">
        <f t="shared" si="53"/>
        <v>0.06</v>
      </c>
      <c r="K185" s="135">
        <f t="shared" si="53"/>
        <v>0.06</v>
      </c>
      <c r="L185" s="135">
        <f t="shared" si="53"/>
        <v>0.06</v>
      </c>
      <c r="M185" s="135">
        <f t="shared" si="53"/>
        <v>0.06</v>
      </c>
      <c r="N185" s="135">
        <f t="shared" si="53"/>
        <v>0.06</v>
      </c>
      <c r="O185" s="135">
        <f t="shared" si="53"/>
        <v>0.06</v>
      </c>
      <c r="P185" s="135">
        <f t="shared" si="53"/>
        <v>0.06</v>
      </c>
      <c r="Q185" s="135">
        <f t="shared" si="53"/>
        <v>0.06</v>
      </c>
      <c r="R185" s="135">
        <f t="shared" si="53"/>
        <v>0.06</v>
      </c>
      <c r="S185" s="135">
        <f t="shared" si="53"/>
        <v>0.06</v>
      </c>
      <c r="T185" s="135">
        <f t="shared" si="54"/>
        <v>0.06</v>
      </c>
      <c r="U185" s="135">
        <f t="shared" si="54"/>
        <v>0.06</v>
      </c>
      <c r="V185" s="135">
        <f t="shared" si="54"/>
        <v>0.06</v>
      </c>
      <c r="W185" s="135">
        <f t="shared" si="54"/>
        <v>0.06</v>
      </c>
      <c r="X185" s="135">
        <f t="shared" si="54"/>
        <v>0.06</v>
      </c>
      <c r="Y185" s="135">
        <f t="shared" si="54"/>
        <v>0.06</v>
      </c>
      <c r="Z185" s="135">
        <f t="shared" si="54"/>
        <v>0.06</v>
      </c>
      <c r="AA185" s="135">
        <f t="shared" si="54"/>
        <v>0.06</v>
      </c>
      <c r="AB185" s="135">
        <f t="shared" si="54"/>
        <v>0.06</v>
      </c>
      <c r="AC185" s="135">
        <f t="shared" si="54"/>
        <v>0.06</v>
      </c>
      <c r="AD185" s="135">
        <f t="shared" si="54"/>
        <v>0.06</v>
      </c>
      <c r="AE185" s="135">
        <f t="shared" si="54"/>
        <v>0.06</v>
      </c>
      <c r="AF185" s="135">
        <f t="shared" si="54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2"/>
        <v>0.11</v>
      </c>
      <c r="C186" s="136">
        <v>0.11</v>
      </c>
      <c r="D186" s="135">
        <f t="shared" si="53"/>
        <v>0.11</v>
      </c>
      <c r="E186" s="135">
        <f t="shared" si="53"/>
        <v>0.11</v>
      </c>
      <c r="F186" s="135">
        <f t="shared" si="53"/>
        <v>0.11</v>
      </c>
      <c r="G186" s="135">
        <f t="shared" si="53"/>
        <v>0.11</v>
      </c>
      <c r="H186" s="135">
        <f t="shared" si="53"/>
        <v>0.11</v>
      </c>
      <c r="I186" s="135">
        <f t="shared" si="53"/>
        <v>0.11</v>
      </c>
      <c r="J186" s="135">
        <f t="shared" si="53"/>
        <v>0.11</v>
      </c>
      <c r="K186" s="135">
        <f t="shared" si="53"/>
        <v>0.11</v>
      </c>
      <c r="L186" s="135">
        <f t="shared" si="53"/>
        <v>0.11</v>
      </c>
      <c r="M186" s="135">
        <f t="shared" si="53"/>
        <v>0.11</v>
      </c>
      <c r="N186" s="135">
        <f t="shared" si="53"/>
        <v>0.11</v>
      </c>
      <c r="O186" s="135">
        <f t="shared" si="53"/>
        <v>0.11</v>
      </c>
      <c r="P186" s="135">
        <f t="shared" si="53"/>
        <v>0.11</v>
      </c>
      <c r="Q186" s="135">
        <f t="shared" si="53"/>
        <v>0.11</v>
      </c>
      <c r="R186" s="135">
        <f t="shared" si="53"/>
        <v>0.11</v>
      </c>
      <c r="S186" s="135">
        <f t="shared" si="53"/>
        <v>0.11</v>
      </c>
      <c r="T186" s="135">
        <f t="shared" si="54"/>
        <v>0.11</v>
      </c>
      <c r="U186" s="135">
        <f t="shared" si="54"/>
        <v>0.11</v>
      </c>
      <c r="V186" s="135">
        <f t="shared" si="54"/>
        <v>0.11</v>
      </c>
      <c r="W186" s="135">
        <f t="shared" si="54"/>
        <v>0.11</v>
      </c>
      <c r="X186" s="135">
        <f t="shared" si="54"/>
        <v>0.11</v>
      </c>
      <c r="Y186" s="135">
        <f t="shared" si="54"/>
        <v>0.11</v>
      </c>
      <c r="Z186" s="135">
        <f t="shared" si="54"/>
        <v>0.11</v>
      </c>
      <c r="AA186" s="135">
        <f t="shared" si="54"/>
        <v>0.11</v>
      </c>
      <c r="AB186" s="135">
        <f t="shared" si="54"/>
        <v>0.11</v>
      </c>
      <c r="AC186" s="135">
        <f t="shared" si="54"/>
        <v>0.11</v>
      </c>
      <c r="AD186" s="135">
        <f t="shared" si="54"/>
        <v>0.11</v>
      </c>
      <c r="AE186" s="135">
        <f t="shared" si="54"/>
        <v>0.11</v>
      </c>
      <c r="AF186" s="135">
        <f t="shared" si="54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2"/>
        <v>0.1</v>
      </c>
      <c r="C187" s="136">
        <v>0.1</v>
      </c>
      <c r="D187" s="135">
        <f t="shared" si="53"/>
        <v>0.1</v>
      </c>
      <c r="E187" s="135">
        <f t="shared" si="53"/>
        <v>0.1</v>
      </c>
      <c r="F187" s="135">
        <f t="shared" si="53"/>
        <v>0.1</v>
      </c>
      <c r="G187" s="135">
        <f t="shared" si="53"/>
        <v>0.1</v>
      </c>
      <c r="H187" s="135">
        <f t="shared" si="53"/>
        <v>0.1</v>
      </c>
      <c r="I187" s="135">
        <f t="shared" si="53"/>
        <v>0.1</v>
      </c>
      <c r="J187" s="135">
        <f t="shared" si="53"/>
        <v>0.1</v>
      </c>
      <c r="K187" s="135">
        <f t="shared" si="53"/>
        <v>0.1</v>
      </c>
      <c r="L187" s="135">
        <f t="shared" si="53"/>
        <v>0.1</v>
      </c>
      <c r="M187" s="135">
        <f t="shared" si="53"/>
        <v>0.1</v>
      </c>
      <c r="N187" s="135">
        <f t="shared" si="53"/>
        <v>0.1</v>
      </c>
      <c r="O187" s="135">
        <f t="shared" si="53"/>
        <v>0.1</v>
      </c>
      <c r="P187" s="135">
        <f t="shared" si="53"/>
        <v>0.1</v>
      </c>
      <c r="Q187" s="135">
        <f t="shared" si="53"/>
        <v>0.1</v>
      </c>
      <c r="R187" s="135">
        <f t="shared" si="53"/>
        <v>0.1</v>
      </c>
      <c r="S187" s="135">
        <f t="shared" si="54"/>
        <v>0.1</v>
      </c>
      <c r="T187" s="135">
        <f t="shared" si="54"/>
        <v>0.1</v>
      </c>
      <c r="U187" s="135">
        <f t="shared" si="54"/>
        <v>0.1</v>
      </c>
      <c r="V187" s="135">
        <f t="shared" si="54"/>
        <v>0.1</v>
      </c>
      <c r="W187" s="135">
        <f t="shared" si="54"/>
        <v>0.1</v>
      </c>
      <c r="X187" s="135">
        <f t="shared" si="54"/>
        <v>0.1</v>
      </c>
      <c r="Y187" s="135">
        <f t="shared" si="54"/>
        <v>0.1</v>
      </c>
      <c r="Z187" s="135">
        <f t="shared" si="54"/>
        <v>0.1</v>
      </c>
      <c r="AA187" s="135">
        <f t="shared" si="54"/>
        <v>0.1</v>
      </c>
      <c r="AB187" s="135">
        <f t="shared" si="54"/>
        <v>0.1</v>
      </c>
      <c r="AC187" s="135">
        <f t="shared" si="54"/>
        <v>0.1</v>
      </c>
      <c r="AD187" s="135">
        <f t="shared" si="54"/>
        <v>0.1</v>
      </c>
      <c r="AE187" s="135">
        <f t="shared" si="54"/>
        <v>0.1</v>
      </c>
      <c r="AF187" s="135">
        <f t="shared" si="54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2"/>
        <v>0.09</v>
      </c>
      <c r="C188" s="136">
        <v>0.09</v>
      </c>
      <c r="D188" s="135">
        <f t="shared" si="53"/>
        <v>0.09</v>
      </c>
      <c r="E188" s="135">
        <f t="shared" si="53"/>
        <v>0.09</v>
      </c>
      <c r="F188" s="135">
        <f t="shared" si="53"/>
        <v>0.09</v>
      </c>
      <c r="G188" s="135">
        <f t="shared" si="53"/>
        <v>0.09</v>
      </c>
      <c r="H188" s="135">
        <f t="shared" si="53"/>
        <v>0.09</v>
      </c>
      <c r="I188" s="135">
        <f t="shared" si="53"/>
        <v>0.09</v>
      </c>
      <c r="J188" s="135">
        <f t="shared" si="53"/>
        <v>0.09</v>
      </c>
      <c r="K188" s="135">
        <f t="shared" si="53"/>
        <v>0.09</v>
      </c>
      <c r="L188" s="135">
        <f t="shared" si="53"/>
        <v>0.09</v>
      </c>
      <c r="M188" s="135">
        <f t="shared" si="53"/>
        <v>0.09</v>
      </c>
      <c r="N188" s="135">
        <f t="shared" si="53"/>
        <v>0.09</v>
      </c>
      <c r="O188" s="135">
        <f t="shared" si="53"/>
        <v>0.09</v>
      </c>
      <c r="P188" s="135">
        <f t="shared" si="53"/>
        <v>0.09</v>
      </c>
      <c r="Q188" s="135">
        <f t="shared" si="53"/>
        <v>0.09</v>
      </c>
      <c r="R188" s="135">
        <f t="shared" si="53"/>
        <v>0.09</v>
      </c>
      <c r="S188" s="135">
        <f t="shared" si="54"/>
        <v>0.09</v>
      </c>
      <c r="T188" s="135">
        <f t="shared" si="54"/>
        <v>0.09</v>
      </c>
      <c r="U188" s="135">
        <f t="shared" si="54"/>
        <v>0.09</v>
      </c>
      <c r="V188" s="135">
        <f t="shared" si="54"/>
        <v>0.09</v>
      </c>
      <c r="W188" s="135">
        <f t="shared" si="54"/>
        <v>0.09</v>
      </c>
      <c r="X188" s="135">
        <f t="shared" si="54"/>
        <v>0.09</v>
      </c>
      <c r="Y188" s="135">
        <f t="shared" si="54"/>
        <v>0.09</v>
      </c>
      <c r="Z188" s="135">
        <f t="shared" si="54"/>
        <v>0.09</v>
      </c>
      <c r="AA188" s="135">
        <f t="shared" si="54"/>
        <v>0.09</v>
      </c>
      <c r="AB188" s="135">
        <f t="shared" si="54"/>
        <v>0.09</v>
      </c>
      <c r="AC188" s="135">
        <f t="shared" si="54"/>
        <v>0.09</v>
      </c>
      <c r="AD188" s="135">
        <f t="shared" si="54"/>
        <v>0.09</v>
      </c>
      <c r="AE188" s="135">
        <f t="shared" si="54"/>
        <v>0.09</v>
      </c>
      <c r="AF188" s="135">
        <f t="shared" si="54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2"/>
        <v>0.04</v>
      </c>
      <c r="C189" s="52">
        <v>0.04</v>
      </c>
      <c r="D189" s="135">
        <f t="shared" si="53"/>
        <v>0.04</v>
      </c>
      <c r="E189" s="135">
        <f t="shared" si="53"/>
        <v>0.04</v>
      </c>
      <c r="F189" s="135">
        <f t="shared" si="53"/>
        <v>0.04</v>
      </c>
      <c r="G189" s="135">
        <f t="shared" si="53"/>
        <v>0.04</v>
      </c>
      <c r="H189" s="135">
        <f t="shared" si="53"/>
        <v>0.04</v>
      </c>
      <c r="I189" s="135">
        <f t="shared" si="53"/>
        <v>0.04</v>
      </c>
      <c r="J189" s="135">
        <f t="shared" si="53"/>
        <v>0.04</v>
      </c>
      <c r="K189" s="135">
        <f t="shared" si="53"/>
        <v>0.04</v>
      </c>
      <c r="L189" s="135">
        <f t="shared" si="53"/>
        <v>0.04</v>
      </c>
      <c r="M189" s="135">
        <f t="shared" si="53"/>
        <v>0.04</v>
      </c>
      <c r="N189" s="135">
        <f t="shared" si="53"/>
        <v>0.04</v>
      </c>
      <c r="O189" s="135">
        <f t="shared" si="53"/>
        <v>0.04</v>
      </c>
      <c r="P189" s="135">
        <f t="shared" si="53"/>
        <v>0.04</v>
      </c>
      <c r="Q189" s="135">
        <f t="shared" si="53"/>
        <v>0.04</v>
      </c>
      <c r="R189" s="135">
        <f t="shared" si="53"/>
        <v>0.04</v>
      </c>
      <c r="S189" s="135">
        <f t="shared" si="54"/>
        <v>0.04</v>
      </c>
      <c r="T189" s="135">
        <f t="shared" si="54"/>
        <v>0.04</v>
      </c>
      <c r="U189" s="135">
        <f t="shared" si="54"/>
        <v>0.04</v>
      </c>
      <c r="V189" s="135">
        <f t="shared" si="54"/>
        <v>0.04</v>
      </c>
      <c r="W189" s="135">
        <f t="shared" si="54"/>
        <v>0.04</v>
      </c>
      <c r="X189" s="135">
        <f t="shared" si="54"/>
        <v>0.04</v>
      </c>
      <c r="Y189" s="135">
        <f t="shared" si="54"/>
        <v>0.04</v>
      </c>
      <c r="Z189" s="135">
        <f t="shared" si="54"/>
        <v>0.04</v>
      </c>
      <c r="AA189" s="135">
        <f t="shared" si="54"/>
        <v>0.04</v>
      </c>
      <c r="AB189" s="135">
        <f t="shared" si="54"/>
        <v>0.04</v>
      </c>
      <c r="AC189" s="135">
        <f t="shared" si="54"/>
        <v>0.04</v>
      </c>
      <c r="AD189" s="135">
        <f t="shared" si="54"/>
        <v>0.04</v>
      </c>
      <c r="AE189" s="135">
        <f t="shared" si="54"/>
        <v>0.04</v>
      </c>
      <c r="AF189" s="135">
        <f t="shared" si="54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2"/>
        <v>2.3E-2</v>
      </c>
      <c r="C190" s="52">
        <v>2.3E-2</v>
      </c>
      <c r="D190" s="135">
        <f>C190</f>
        <v>2.3E-2</v>
      </c>
      <c r="E190" s="135">
        <f t="shared" si="53"/>
        <v>2.3E-2</v>
      </c>
      <c r="F190" s="135">
        <f t="shared" si="53"/>
        <v>2.3E-2</v>
      </c>
      <c r="G190" s="135">
        <f t="shared" si="53"/>
        <v>2.3E-2</v>
      </c>
      <c r="H190" s="135">
        <f t="shared" si="53"/>
        <v>2.3E-2</v>
      </c>
      <c r="I190" s="135">
        <f t="shared" si="53"/>
        <v>2.3E-2</v>
      </c>
      <c r="J190" s="135">
        <f t="shared" si="53"/>
        <v>2.3E-2</v>
      </c>
      <c r="K190" s="135">
        <f t="shared" si="53"/>
        <v>2.3E-2</v>
      </c>
      <c r="L190" s="135">
        <f t="shared" si="53"/>
        <v>2.3E-2</v>
      </c>
      <c r="M190" s="135">
        <f t="shared" si="53"/>
        <v>2.3E-2</v>
      </c>
      <c r="N190" s="135">
        <f t="shared" si="53"/>
        <v>2.3E-2</v>
      </c>
      <c r="O190" s="135">
        <f t="shared" si="53"/>
        <v>2.3E-2</v>
      </c>
      <c r="P190" s="135">
        <f t="shared" si="53"/>
        <v>2.3E-2</v>
      </c>
      <c r="Q190" s="135">
        <f t="shared" si="53"/>
        <v>2.3E-2</v>
      </c>
      <c r="R190" s="135">
        <f t="shared" si="53"/>
        <v>2.3E-2</v>
      </c>
      <c r="S190" s="135">
        <f t="shared" si="54"/>
        <v>2.3E-2</v>
      </c>
      <c r="T190" s="135">
        <f t="shared" si="54"/>
        <v>2.3E-2</v>
      </c>
      <c r="U190" s="135">
        <f t="shared" si="54"/>
        <v>2.3E-2</v>
      </c>
      <c r="V190" s="135">
        <f t="shared" si="54"/>
        <v>2.3E-2</v>
      </c>
      <c r="W190" s="135">
        <f t="shared" si="54"/>
        <v>2.3E-2</v>
      </c>
      <c r="X190" s="135">
        <f t="shared" si="54"/>
        <v>2.3E-2</v>
      </c>
      <c r="Y190" s="135">
        <f t="shared" si="54"/>
        <v>2.3E-2</v>
      </c>
      <c r="Z190" s="135">
        <f t="shared" si="54"/>
        <v>2.3E-2</v>
      </c>
      <c r="AA190" s="135">
        <f t="shared" si="54"/>
        <v>2.3E-2</v>
      </c>
      <c r="AB190" s="135">
        <f t="shared" si="54"/>
        <v>2.3E-2</v>
      </c>
      <c r="AC190" s="135">
        <f t="shared" si="54"/>
        <v>2.3E-2</v>
      </c>
      <c r="AD190" s="135">
        <f t="shared" si="54"/>
        <v>2.3E-2</v>
      </c>
      <c r="AE190" s="135">
        <f t="shared" si="54"/>
        <v>2.3E-2</v>
      </c>
      <c r="AF190" s="135">
        <f t="shared" si="54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5">SUM(C101:C190)</f>
        <v>194.70600000000002</v>
      </c>
      <c r="D191" s="140">
        <f t="shared" si="55"/>
        <v>194.70600000000002</v>
      </c>
      <c r="E191" s="140">
        <f t="shared" si="55"/>
        <v>194.70600000000002</v>
      </c>
      <c r="F191" s="140">
        <f t="shared" si="55"/>
        <v>194.70600000000002</v>
      </c>
      <c r="G191" s="140">
        <f t="shared" si="55"/>
        <v>194.70600000000002</v>
      </c>
      <c r="H191" s="140">
        <f t="shared" si="55"/>
        <v>194.70600000000002</v>
      </c>
      <c r="I191" s="140">
        <f t="shared" si="55"/>
        <v>194.70600000000002</v>
      </c>
      <c r="J191" s="140">
        <f t="shared" si="55"/>
        <v>192.10600000000005</v>
      </c>
      <c r="K191" s="140">
        <f t="shared" si="55"/>
        <v>192.10600000000005</v>
      </c>
      <c r="L191" s="140">
        <f t="shared" si="55"/>
        <v>192.10600000000005</v>
      </c>
      <c r="M191" s="140">
        <f t="shared" si="55"/>
        <v>192.10600000000005</v>
      </c>
      <c r="N191" s="140">
        <f t="shared" si="55"/>
        <v>192.10600000000005</v>
      </c>
      <c r="O191" s="140">
        <f t="shared" si="55"/>
        <v>192.10600000000005</v>
      </c>
      <c r="P191" s="140">
        <f t="shared" si="55"/>
        <v>192.10600000000005</v>
      </c>
      <c r="Q191" s="140">
        <f t="shared" si="55"/>
        <v>192.10600000000005</v>
      </c>
      <c r="R191" s="140">
        <f t="shared" si="55"/>
        <v>192.10600000000005</v>
      </c>
      <c r="S191" s="140">
        <f t="shared" si="55"/>
        <v>192.10600000000005</v>
      </c>
      <c r="T191" s="140">
        <f t="shared" si="55"/>
        <v>192.10600000000005</v>
      </c>
      <c r="U191" s="140">
        <f t="shared" si="55"/>
        <v>192.10600000000005</v>
      </c>
      <c r="V191" s="140">
        <f t="shared" si="55"/>
        <v>192.10600000000005</v>
      </c>
      <c r="W191" s="140">
        <f t="shared" si="55"/>
        <v>192.10600000000005</v>
      </c>
      <c r="X191" s="140">
        <f t="shared" si="55"/>
        <v>192.10600000000005</v>
      </c>
      <c r="Y191" s="140">
        <f t="shared" si="55"/>
        <v>192.10600000000005</v>
      </c>
      <c r="Z191" s="140">
        <f t="shared" si="55"/>
        <v>192.10600000000005</v>
      </c>
      <c r="AA191" s="140">
        <f t="shared" si="55"/>
        <v>192.10600000000005</v>
      </c>
      <c r="AB191" s="140">
        <f t="shared" si="55"/>
        <v>192.10600000000005</v>
      </c>
      <c r="AC191" s="140">
        <f t="shared" si="55"/>
        <v>192.10600000000005</v>
      </c>
      <c r="AD191" s="140">
        <f t="shared" si="55"/>
        <v>192.10600000000005</v>
      </c>
      <c r="AE191" s="140">
        <f t="shared" si="55"/>
        <v>192.10600000000005</v>
      </c>
      <c r="AF191" s="140">
        <f t="shared" si="55"/>
        <v>192.10600000000005</v>
      </c>
      <c r="AG191" s="141">
        <f t="shared" si="55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6">AF193</f>
        <v>0.3</v>
      </c>
      <c r="C193" s="142">
        <v>0.3</v>
      </c>
      <c r="D193" s="142">
        <f t="shared" ref="D193:S198" si="57">C193</f>
        <v>0.3</v>
      </c>
      <c r="E193" s="142">
        <f t="shared" si="57"/>
        <v>0.3</v>
      </c>
      <c r="F193" s="142">
        <f t="shared" si="57"/>
        <v>0.3</v>
      </c>
      <c r="G193" s="142">
        <f t="shared" si="57"/>
        <v>0.3</v>
      </c>
      <c r="H193" s="142">
        <f t="shared" si="57"/>
        <v>0.3</v>
      </c>
      <c r="I193" s="142">
        <f t="shared" si="57"/>
        <v>0.3</v>
      </c>
      <c r="J193" s="142">
        <f t="shared" si="57"/>
        <v>0.3</v>
      </c>
      <c r="K193" s="142">
        <f t="shared" si="57"/>
        <v>0.3</v>
      </c>
      <c r="L193" s="142">
        <f t="shared" si="57"/>
        <v>0.3</v>
      </c>
      <c r="M193" s="142">
        <f t="shared" si="57"/>
        <v>0.3</v>
      </c>
      <c r="N193" s="142">
        <f t="shared" si="57"/>
        <v>0.3</v>
      </c>
      <c r="O193" s="142">
        <f t="shared" si="57"/>
        <v>0.3</v>
      </c>
      <c r="P193" s="142">
        <f t="shared" si="57"/>
        <v>0.3</v>
      </c>
      <c r="Q193" s="142">
        <f t="shared" si="57"/>
        <v>0.3</v>
      </c>
      <c r="R193" s="142">
        <f t="shared" si="57"/>
        <v>0.3</v>
      </c>
      <c r="S193" s="142">
        <f t="shared" si="57"/>
        <v>0.3</v>
      </c>
      <c r="T193" s="142">
        <f t="shared" ref="T193:AF198" si="58">S193</f>
        <v>0.3</v>
      </c>
      <c r="U193" s="142">
        <f t="shared" si="58"/>
        <v>0.3</v>
      </c>
      <c r="V193" s="142">
        <f t="shared" si="58"/>
        <v>0.3</v>
      </c>
      <c r="W193" s="142">
        <f t="shared" si="58"/>
        <v>0.3</v>
      </c>
      <c r="X193" s="142">
        <f t="shared" si="58"/>
        <v>0.3</v>
      </c>
      <c r="Y193" s="142">
        <f t="shared" si="58"/>
        <v>0.3</v>
      </c>
      <c r="Z193" s="142">
        <f t="shared" si="58"/>
        <v>0.3</v>
      </c>
      <c r="AA193" s="142">
        <f t="shared" si="58"/>
        <v>0.3</v>
      </c>
      <c r="AB193" s="142">
        <f t="shared" si="58"/>
        <v>0.3</v>
      </c>
      <c r="AC193" s="142">
        <f t="shared" si="58"/>
        <v>0.3</v>
      </c>
      <c r="AD193" s="142">
        <f t="shared" si="58"/>
        <v>0.3</v>
      </c>
      <c r="AE193" s="142">
        <f t="shared" si="58"/>
        <v>0.3</v>
      </c>
      <c r="AF193" s="142">
        <f t="shared" si="58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6"/>
        <v>0.4</v>
      </c>
      <c r="C194" s="135">
        <v>0.4</v>
      </c>
      <c r="D194" s="135">
        <f t="shared" si="57"/>
        <v>0.4</v>
      </c>
      <c r="E194" s="135">
        <f t="shared" si="57"/>
        <v>0.4</v>
      </c>
      <c r="F194" s="135">
        <f t="shared" si="57"/>
        <v>0.4</v>
      </c>
      <c r="G194" s="135">
        <f t="shared" si="57"/>
        <v>0.4</v>
      </c>
      <c r="H194" s="135">
        <f t="shared" si="57"/>
        <v>0.4</v>
      </c>
      <c r="I194" s="135">
        <f t="shared" si="57"/>
        <v>0.4</v>
      </c>
      <c r="J194" s="135">
        <f t="shared" si="57"/>
        <v>0.4</v>
      </c>
      <c r="K194" s="135">
        <f t="shared" si="57"/>
        <v>0.4</v>
      </c>
      <c r="L194" s="135">
        <f t="shared" si="57"/>
        <v>0.4</v>
      </c>
      <c r="M194" s="135">
        <f t="shared" si="57"/>
        <v>0.4</v>
      </c>
      <c r="N194" s="135">
        <f t="shared" si="57"/>
        <v>0.4</v>
      </c>
      <c r="O194" s="135">
        <f t="shared" si="57"/>
        <v>0.4</v>
      </c>
      <c r="P194" s="135">
        <f t="shared" si="57"/>
        <v>0.4</v>
      </c>
      <c r="Q194" s="135">
        <f t="shared" si="57"/>
        <v>0.4</v>
      </c>
      <c r="R194" s="135">
        <f t="shared" si="57"/>
        <v>0.4</v>
      </c>
      <c r="S194" s="135">
        <f t="shared" si="57"/>
        <v>0.4</v>
      </c>
      <c r="T194" s="135">
        <f t="shared" si="58"/>
        <v>0.4</v>
      </c>
      <c r="U194" s="135">
        <f t="shared" si="58"/>
        <v>0.4</v>
      </c>
      <c r="V194" s="135">
        <f t="shared" si="58"/>
        <v>0.4</v>
      </c>
      <c r="W194" s="135">
        <f>V194</f>
        <v>0.4</v>
      </c>
      <c r="X194" s="135">
        <f>W194</f>
        <v>0.4</v>
      </c>
      <c r="Y194" s="135">
        <f t="shared" si="58"/>
        <v>0.4</v>
      </c>
      <c r="Z194" s="135">
        <f t="shared" si="58"/>
        <v>0.4</v>
      </c>
      <c r="AA194" s="135">
        <f t="shared" si="58"/>
        <v>0.4</v>
      </c>
      <c r="AB194" s="135">
        <f t="shared" si="58"/>
        <v>0.4</v>
      </c>
      <c r="AC194" s="135">
        <f t="shared" si="58"/>
        <v>0.4</v>
      </c>
      <c r="AD194" s="135">
        <f t="shared" si="58"/>
        <v>0.4</v>
      </c>
      <c r="AE194" s="135">
        <f t="shared" si="58"/>
        <v>0.4</v>
      </c>
      <c r="AF194" s="135">
        <f t="shared" si="58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6"/>
        <v>1.5</v>
      </c>
      <c r="C195" s="135">
        <v>1.5</v>
      </c>
      <c r="D195" s="135">
        <f t="shared" si="57"/>
        <v>1.5</v>
      </c>
      <c r="E195" s="135">
        <f t="shared" si="57"/>
        <v>1.5</v>
      </c>
      <c r="F195" s="135">
        <f t="shared" si="57"/>
        <v>1.5</v>
      </c>
      <c r="G195" s="135">
        <f t="shared" si="57"/>
        <v>1.5</v>
      </c>
      <c r="H195" s="135">
        <f t="shared" si="57"/>
        <v>1.5</v>
      </c>
      <c r="I195" s="135">
        <f t="shared" si="57"/>
        <v>1.5</v>
      </c>
      <c r="J195" s="135">
        <f t="shared" si="57"/>
        <v>1.5</v>
      </c>
      <c r="K195" s="135">
        <f t="shared" si="57"/>
        <v>1.5</v>
      </c>
      <c r="L195" s="135">
        <f t="shared" si="57"/>
        <v>1.5</v>
      </c>
      <c r="M195" s="135">
        <f t="shared" si="57"/>
        <v>1.5</v>
      </c>
      <c r="N195" s="135">
        <f t="shared" si="57"/>
        <v>1.5</v>
      </c>
      <c r="O195" s="135">
        <f t="shared" si="57"/>
        <v>1.5</v>
      </c>
      <c r="P195" s="135">
        <f t="shared" si="57"/>
        <v>1.5</v>
      </c>
      <c r="Q195" s="135">
        <f t="shared" si="57"/>
        <v>1.5</v>
      </c>
      <c r="R195" s="135">
        <f t="shared" si="57"/>
        <v>1.5</v>
      </c>
      <c r="S195" s="135">
        <f t="shared" si="57"/>
        <v>1.5</v>
      </c>
      <c r="T195" s="135">
        <f t="shared" si="58"/>
        <v>1.5</v>
      </c>
      <c r="U195" s="135">
        <f t="shared" si="58"/>
        <v>1.5</v>
      </c>
      <c r="V195" s="135">
        <f t="shared" si="58"/>
        <v>1.5</v>
      </c>
      <c r="W195" s="135">
        <f t="shared" si="58"/>
        <v>1.5</v>
      </c>
      <c r="X195" s="135">
        <f t="shared" si="58"/>
        <v>1.5</v>
      </c>
      <c r="Y195" s="135">
        <f t="shared" si="58"/>
        <v>1.5</v>
      </c>
      <c r="Z195" s="135">
        <f t="shared" si="58"/>
        <v>1.5</v>
      </c>
      <c r="AA195" s="135">
        <f t="shared" si="58"/>
        <v>1.5</v>
      </c>
      <c r="AB195" s="135">
        <f t="shared" si="58"/>
        <v>1.5</v>
      </c>
      <c r="AC195" s="135">
        <f t="shared" si="58"/>
        <v>1.5</v>
      </c>
      <c r="AD195" s="135">
        <f t="shared" si="58"/>
        <v>1.5</v>
      </c>
      <c r="AE195" s="135">
        <f t="shared" si="58"/>
        <v>1.5</v>
      </c>
      <c r="AF195" s="135">
        <f t="shared" si="58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6"/>
        <v>0.3</v>
      </c>
      <c r="C196" s="135">
        <v>0.3</v>
      </c>
      <c r="D196" s="135">
        <f t="shared" si="57"/>
        <v>0.3</v>
      </c>
      <c r="E196" s="135">
        <f t="shared" si="57"/>
        <v>0.3</v>
      </c>
      <c r="F196" s="135">
        <f t="shared" si="57"/>
        <v>0.3</v>
      </c>
      <c r="G196" s="135">
        <f t="shared" si="57"/>
        <v>0.3</v>
      </c>
      <c r="H196" s="135">
        <f t="shared" si="57"/>
        <v>0.3</v>
      </c>
      <c r="I196" s="135">
        <f t="shared" si="57"/>
        <v>0.3</v>
      </c>
      <c r="J196" s="135">
        <f t="shared" si="57"/>
        <v>0.3</v>
      </c>
      <c r="K196" s="135">
        <f t="shared" si="57"/>
        <v>0.3</v>
      </c>
      <c r="L196" s="135">
        <f t="shared" si="57"/>
        <v>0.3</v>
      </c>
      <c r="M196" s="135">
        <f t="shared" si="57"/>
        <v>0.3</v>
      </c>
      <c r="N196" s="135">
        <f t="shared" si="57"/>
        <v>0.3</v>
      </c>
      <c r="O196" s="135">
        <f t="shared" si="57"/>
        <v>0.3</v>
      </c>
      <c r="P196" s="135">
        <f t="shared" si="57"/>
        <v>0.3</v>
      </c>
      <c r="Q196" s="135">
        <f t="shared" si="57"/>
        <v>0.3</v>
      </c>
      <c r="R196" s="135">
        <f t="shared" si="57"/>
        <v>0.3</v>
      </c>
      <c r="S196" s="135">
        <f t="shared" si="57"/>
        <v>0.3</v>
      </c>
      <c r="T196" s="135">
        <f t="shared" si="58"/>
        <v>0.3</v>
      </c>
      <c r="U196" s="135">
        <f t="shared" si="58"/>
        <v>0.3</v>
      </c>
      <c r="V196" s="135">
        <f t="shared" si="58"/>
        <v>0.3</v>
      </c>
      <c r="W196" s="135">
        <f t="shared" si="58"/>
        <v>0.3</v>
      </c>
      <c r="X196" s="135">
        <f t="shared" si="58"/>
        <v>0.3</v>
      </c>
      <c r="Y196" s="135">
        <f t="shared" si="58"/>
        <v>0.3</v>
      </c>
      <c r="Z196" s="135">
        <f t="shared" si="58"/>
        <v>0.3</v>
      </c>
      <c r="AA196" s="135">
        <f t="shared" si="58"/>
        <v>0.3</v>
      </c>
      <c r="AB196" s="135">
        <f t="shared" si="58"/>
        <v>0.3</v>
      </c>
      <c r="AC196" s="135">
        <f t="shared" si="58"/>
        <v>0.3</v>
      </c>
      <c r="AD196" s="135">
        <f t="shared" si="58"/>
        <v>0.3</v>
      </c>
      <c r="AE196" s="135">
        <f t="shared" si="58"/>
        <v>0.3</v>
      </c>
      <c r="AF196" s="135">
        <f t="shared" si="58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6"/>
        <v>0.4</v>
      </c>
      <c r="C197" s="135">
        <v>0.4</v>
      </c>
      <c r="D197" s="135">
        <f t="shared" si="57"/>
        <v>0.4</v>
      </c>
      <c r="E197" s="135">
        <f t="shared" si="57"/>
        <v>0.4</v>
      </c>
      <c r="F197" s="135">
        <f t="shared" si="57"/>
        <v>0.4</v>
      </c>
      <c r="G197" s="135">
        <f t="shared" si="57"/>
        <v>0.4</v>
      </c>
      <c r="H197" s="135">
        <f t="shared" si="57"/>
        <v>0.4</v>
      </c>
      <c r="I197" s="135">
        <f t="shared" si="57"/>
        <v>0.4</v>
      </c>
      <c r="J197" s="135">
        <f t="shared" si="57"/>
        <v>0.4</v>
      </c>
      <c r="K197" s="135">
        <f t="shared" si="57"/>
        <v>0.4</v>
      </c>
      <c r="L197" s="135">
        <f t="shared" si="57"/>
        <v>0.4</v>
      </c>
      <c r="M197" s="135">
        <f t="shared" si="57"/>
        <v>0.4</v>
      </c>
      <c r="N197" s="135">
        <f t="shared" si="57"/>
        <v>0.4</v>
      </c>
      <c r="O197" s="135">
        <f t="shared" si="57"/>
        <v>0.4</v>
      </c>
      <c r="P197" s="135">
        <f t="shared" si="57"/>
        <v>0.4</v>
      </c>
      <c r="Q197" s="135">
        <f t="shared" si="57"/>
        <v>0.4</v>
      </c>
      <c r="R197" s="135">
        <f t="shared" si="57"/>
        <v>0.4</v>
      </c>
      <c r="S197" s="135">
        <f t="shared" si="57"/>
        <v>0.4</v>
      </c>
      <c r="T197" s="135">
        <f t="shared" si="58"/>
        <v>0.4</v>
      </c>
      <c r="U197" s="135">
        <f t="shared" si="58"/>
        <v>0.4</v>
      </c>
      <c r="V197" s="135">
        <f t="shared" si="58"/>
        <v>0.4</v>
      </c>
      <c r="W197" s="135">
        <f t="shared" si="58"/>
        <v>0.4</v>
      </c>
      <c r="X197" s="135">
        <f t="shared" si="58"/>
        <v>0.4</v>
      </c>
      <c r="Y197" s="135">
        <f t="shared" si="58"/>
        <v>0.4</v>
      </c>
      <c r="Z197" s="135">
        <f t="shared" si="58"/>
        <v>0.4</v>
      </c>
      <c r="AA197" s="135">
        <f t="shared" si="58"/>
        <v>0.4</v>
      </c>
      <c r="AB197" s="135">
        <f t="shared" si="58"/>
        <v>0.4</v>
      </c>
      <c r="AC197" s="135">
        <f t="shared" si="58"/>
        <v>0.4</v>
      </c>
      <c r="AD197" s="135">
        <f t="shared" si="58"/>
        <v>0.4</v>
      </c>
      <c r="AE197" s="135">
        <f t="shared" si="58"/>
        <v>0.4</v>
      </c>
      <c r="AF197" s="135">
        <f t="shared" si="58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6"/>
        <v>0.64</v>
      </c>
      <c r="C198" s="145">
        <v>0.64</v>
      </c>
      <c r="D198" s="145">
        <f t="shared" si="57"/>
        <v>0.64</v>
      </c>
      <c r="E198" s="145">
        <f t="shared" si="57"/>
        <v>0.64</v>
      </c>
      <c r="F198" s="145">
        <f t="shared" si="57"/>
        <v>0.64</v>
      </c>
      <c r="G198" s="145">
        <f t="shared" si="57"/>
        <v>0.64</v>
      </c>
      <c r="H198" s="145">
        <f t="shared" si="57"/>
        <v>0.64</v>
      </c>
      <c r="I198" s="145">
        <f t="shared" si="57"/>
        <v>0.64</v>
      </c>
      <c r="J198" s="145">
        <f t="shared" si="57"/>
        <v>0.64</v>
      </c>
      <c r="K198" s="145">
        <f t="shared" si="57"/>
        <v>0.64</v>
      </c>
      <c r="L198" s="145">
        <f t="shared" si="57"/>
        <v>0.64</v>
      </c>
      <c r="M198" s="145">
        <f t="shared" si="57"/>
        <v>0.64</v>
      </c>
      <c r="N198" s="145">
        <f t="shared" si="57"/>
        <v>0.64</v>
      </c>
      <c r="O198" s="145">
        <f t="shared" si="57"/>
        <v>0.64</v>
      </c>
      <c r="P198" s="145">
        <f t="shared" si="57"/>
        <v>0.64</v>
      </c>
      <c r="Q198" s="145">
        <f t="shared" si="57"/>
        <v>0.64</v>
      </c>
      <c r="R198" s="145">
        <f t="shared" si="57"/>
        <v>0.64</v>
      </c>
      <c r="S198" s="145">
        <f t="shared" si="57"/>
        <v>0.64</v>
      </c>
      <c r="T198" s="145">
        <f t="shared" si="58"/>
        <v>0.64</v>
      </c>
      <c r="U198" s="145">
        <f t="shared" si="58"/>
        <v>0.64</v>
      </c>
      <c r="V198" s="145">
        <f t="shared" si="58"/>
        <v>0.64</v>
      </c>
      <c r="W198" s="145">
        <f t="shared" si="58"/>
        <v>0.64</v>
      </c>
      <c r="X198" s="145">
        <f t="shared" si="58"/>
        <v>0.64</v>
      </c>
      <c r="Y198" s="145">
        <f t="shared" si="58"/>
        <v>0.64</v>
      </c>
      <c r="Z198" s="145">
        <f t="shared" si="58"/>
        <v>0.64</v>
      </c>
      <c r="AA198" s="145">
        <f t="shared" si="58"/>
        <v>0.64</v>
      </c>
      <c r="AB198" s="145">
        <f t="shared" si="58"/>
        <v>0.64</v>
      </c>
      <c r="AC198" s="145">
        <f t="shared" si="58"/>
        <v>0.64</v>
      </c>
      <c r="AD198" s="145">
        <f t="shared" si="58"/>
        <v>0.64</v>
      </c>
      <c r="AE198" s="145">
        <f t="shared" si="58"/>
        <v>0.64</v>
      </c>
      <c r="AF198" s="145">
        <f t="shared" si="58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9">SUM(D193:D198)</f>
        <v>3.54</v>
      </c>
      <c r="E199" s="148">
        <f t="shared" si="59"/>
        <v>3.54</v>
      </c>
      <c r="F199" s="148">
        <f t="shared" si="59"/>
        <v>3.54</v>
      </c>
      <c r="G199" s="148">
        <f t="shared" si="59"/>
        <v>3.54</v>
      </c>
      <c r="H199" s="148">
        <f t="shared" si="59"/>
        <v>3.54</v>
      </c>
      <c r="I199" s="148">
        <f t="shared" si="59"/>
        <v>3.54</v>
      </c>
      <c r="J199" s="148">
        <f t="shared" si="59"/>
        <v>3.54</v>
      </c>
      <c r="K199" s="148">
        <f t="shared" si="59"/>
        <v>3.54</v>
      </c>
      <c r="L199" s="148">
        <f t="shared" si="59"/>
        <v>3.54</v>
      </c>
      <c r="M199" s="148">
        <f>SUM(M193:M198)</f>
        <v>3.54</v>
      </c>
      <c r="N199" s="148">
        <f t="shared" ref="N199:S199" si="60">SUM(N193:N198)</f>
        <v>3.54</v>
      </c>
      <c r="O199" s="148">
        <f t="shared" si="60"/>
        <v>3.54</v>
      </c>
      <c r="P199" s="148">
        <f t="shared" si="60"/>
        <v>3.54</v>
      </c>
      <c r="Q199" s="148">
        <f t="shared" si="60"/>
        <v>3.54</v>
      </c>
      <c r="R199" s="148">
        <f t="shared" si="60"/>
        <v>3.54</v>
      </c>
      <c r="S199" s="148">
        <f t="shared" si="60"/>
        <v>3.54</v>
      </c>
      <c r="T199" s="148">
        <f>SUM(T193:T198)</f>
        <v>3.54</v>
      </c>
      <c r="U199" s="148">
        <f t="shared" ref="U199:AG199" si="61">SUM(U193:U198)</f>
        <v>3.54</v>
      </c>
      <c r="V199" s="148">
        <f t="shared" si="61"/>
        <v>3.54</v>
      </c>
      <c r="W199" s="148">
        <f t="shared" si="61"/>
        <v>3.54</v>
      </c>
      <c r="X199" s="148">
        <f t="shared" si="61"/>
        <v>3.54</v>
      </c>
      <c r="Y199" s="148">
        <f t="shared" si="61"/>
        <v>3.54</v>
      </c>
      <c r="Z199" s="148">
        <f t="shared" si="61"/>
        <v>3.54</v>
      </c>
      <c r="AA199" s="148">
        <f t="shared" si="61"/>
        <v>3.54</v>
      </c>
      <c r="AB199" s="148">
        <f t="shared" si="61"/>
        <v>3.54</v>
      </c>
      <c r="AC199" s="148">
        <f t="shared" si="61"/>
        <v>3.54</v>
      </c>
      <c r="AD199" s="148">
        <f t="shared" si="61"/>
        <v>3.54</v>
      </c>
      <c r="AE199" s="148">
        <f t="shared" si="61"/>
        <v>3.54</v>
      </c>
      <c r="AF199" s="148">
        <f t="shared" si="61"/>
        <v>3.54</v>
      </c>
      <c r="AG199" s="149">
        <f t="shared" si="61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1590.54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2078/10/17)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2">B75</f>
        <v>1039.44</v>
      </c>
      <c r="U213" s="173">
        <f t="shared" si="62"/>
        <v>977.44</v>
      </c>
      <c r="V213" s="173">
        <f t="shared" si="62"/>
        <v>956.44</v>
      </c>
      <c r="W213" s="173">
        <f t="shared" si="62"/>
        <v>957.74</v>
      </c>
      <c r="X213" s="173">
        <f t="shared" si="62"/>
        <v>984.44</v>
      </c>
      <c r="Y213" s="173">
        <f t="shared" si="62"/>
        <v>1002.24</v>
      </c>
      <c r="Z213" s="173">
        <f t="shared" si="62"/>
        <v>1065.94</v>
      </c>
      <c r="AA213" s="173">
        <f t="shared" si="62"/>
        <v>1139.44</v>
      </c>
      <c r="AB213" s="173">
        <f t="shared" si="62"/>
        <v>1246.94</v>
      </c>
      <c r="AC213" s="173">
        <f t="shared" si="62"/>
        <v>1375.44</v>
      </c>
      <c r="AD213" s="173">
        <f t="shared" si="62"/>
        <v>1506.24</v>
      </c>
      <c r="AE213" s="173">
        <f t="shared" si="62"/>
        <v>1590.54</v>
      </c>
      <c r="AF213" s="173">
        <f t="shared" si="62"/>
        <v>1540.64</v>
      </c>
      <c r="AG213" s="173">
        <f t="shared" si="62"/>
        <v>1457.44</v>
      </c>
      <c r="AH213" s="173">
        <f t="shared" si="62"/>
        <v>1374.8400000000001</v>
      </c>
      <c r="AI213" s="173">
        <f t="shared" si="62"/>
        <v>1344.54</v>
      </c>
      <c r="AJ213" s="173">
        <f t="shared" si="62"/>
        <v>1229.54</v>
      </c>
      <c r="AK213" s="173">
        <f t="shared" si="62"/>
        <v>1264.54</v>
      </c>
      <c r="AL213" s="173">
        <f t="shared" si="62"/>
        <v>1266.44</v>
      </c>
      <c r="AM213" s="173">
        <f t="shared" si="62"/>
        <v>1309.04</v>
      </c>
      <c r="AN213" s="173">
        <f t="shared" si="62"/>
        <v>1347.24</v>
      </c>
      <c r="AO213" s="173">
        <f t="shared" si="62"/>
        <v>1418.04</v>
      </c>
      <c r="AP213" s="173">
        <f t="shared" si="62"/>
        <v>1546.3400000000001</v>
      </c>
      <c r="AQ213" s="173">
        <f t="shared" si="62"/>
        <v>1652.44</v>
      </c>
      <c r="AR213" s="173">
        <f t="shared" si="62"/>
        <v>1626.5400000000002</v>
      </c>
      <c r="AS213" s="173">
        <f t="shared" si="62"/>
        <v>1530.24</v>
      </c>
      <c r="AT213" s="173">
        <f t="shared" si="62"/>
        <v>1503.1399999999999</v>
      </c>
      <c r="AU213" s="173">
        <f t="shared" si="62"/>
        <v>1448.74</v>
      </c>
      <c r="AV213" s="173">
        <f t="shared" si="62"/>
        <v>1402.94</v>
      </c>
      <c r="AW213" s="173">
        <f t="shared" si="62"/>
        <v>1176.44</v>
      </c>
      <c r="AX213" s="173">
        <f t="shared" si="62"/>
        <v>1044.04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3">C198</f>
        <v>0.64</v>
      </c>
      <c r="C234" s="176">
        <f t="shared" si="63"/>
        <v>0.64</v>
      </c>
      <c r="D234" s="176">
        <f t="shared" si="63"/>
        <v>0.64</v>
      </c>
      <c r="E234" s="176">
        <f t="shared" si="63"/>
        <v>0.64</v>
      </c>
      <c r="F234" s="176">
        <f t="shared" si="63"/>
        <v>0.64</v>
      </c>
      <c r="G234" s="176">
        <f t="shared" si="63"/>
        <v>0.64</v>
      </c>
      <c r="H234" s="176">
        <f t="shared" si="63"/>
        <v>0.64</v>
      </c>
      <c r="I234" s="176">
        <f t="shared" si="63"/>
        <v>0.64</v>
      </c>
      <c r="J234" s="176">
        <f t="shared" si="63"/>
        <v>0.64</v>
      </c>
      <c r="K234" s="176">
        <f t="shared" si="63"/>
        <v>0.64</v>
      </c>
      <c r="L234" s="176">
        <f t="shared" si="63"/>
        <v>0.64</v>
      </c>
      <c r="M234" s="176">
        <f t="shared" si="63"/>
        <v>0.64</v>
      </c>
      <c r="N234" s="176">
        <f t="shared" si="63"/>
        <v>0.64</v>
      </c>
      <c r="O234" s="176">
        <f t="shared" si="63"/>
        <v>0.64</v>
      </c>
      <c r="P234" s="176">
        <f t="shared" si="63"/>
        <v>0.64</v>
      </c>
      <c r="Q234" s="176">
        <f t="shared" si="63"/>
        <v>0.64</v>
      </c>
      <c r="R234" s="176">
        <f t="shared" si="63"/>
        <v>0.64</v>
      </c>
      <c r="S234" s="176">
        <f t="shared" si="63"/>
        <v>0.64</v>
      </c>
      <c r="T234" s="176">
        <f t="shared" si="63"/>
        <v>0.64</v>
      </c>
      <c r="U234" s="176">
        <f t="shared" si="63"/>
        <v>0.64</v>
      </c>
      <c r="V234" s="176">
        <f t="shared" si="63"/>
        <v>0.64</v>
      </c>
      <c r="W234" s="176">
        <f t="shared" si="63"/>
        <v>0.64</v>
      </c>
      <c r="X234" s="176">
        <f t="shared" si="63"/>
        <v>0.64</v>
      </c>
      <c r="Y234" s="176">
        <f t="shared" si="63"/>
        <v>0.64</v>
      </c>
      <c r="Z234" s="176">
        <f t="shared" si="63"/>
        <v>0.64</v>
      </c>
      <c r="AA234" s="176">
        <f t="shared" si="63"/>
        <v>0.64</v>
      </c>
      <c r="AB234" s="176">
        <f t="shared" si="63"/>
        <v>0.64</v>
      </c>
      <c r="AC234" s="176">
        <f t="shared" si="63"/>
        <v>0.64</v>
      </c>
      <c r="AD234" s="176">
        <f t="shared" si="63"/>
        <v>0.64</v>
      </c>
      <c r="AE234" s="176">
        <f t="shared" si="63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4">IF(C202&lt;100,"",C202-520)</f>
        <v/>
      </c>
      <c r="D235" s="119" t="str">
        <f t="shared" si="64"/>
        <v/>
      </c>
      <c r="E235" s="119" t="str">
        <f t="shared" si="64"/>
        <v/>
      </c>
      <c r="F235" s="119" t="str">
        <f t="shared" si="64"/>
        <v/>
      </c>
      <c r="G235" s="119" t="str">
        <f t="shared" si="64"/>
        <v/>
      </c>
      <c r="H235" s="119" t="str">
        <f t="shared" si="64"/>
        <v/>
      </c>
      <c r="I235" s="119" t="str">
        <f t="shared" si="64"/>
        <v/>
      </c>
      <c r="J235" s="119" t="str">
        <f t="shared" si="64"/>
        <v/>
      </c>
      <c r="K235" s="119" t="str">
        <f t="shared" si="64"/>
        <v/>
      </c>
      <c r="L235" s="119" t="str">
        <f t="shared" si="64"/>
        <v/>
      </c>
      <c r="M235" s="119" t="str">
        <f t="shared" si="64"/>
        <v/>
      </c>
      <c r="N235" s="119" t="str">
        <f t="shared" si="64"/>
        <v/>
      </c>
      <c r="O235" s="119" t="str">
        <f t="shared" si="64"/>
        <v/>
      </c>
      <c r="P235" s="119" t="str">
        <f t="shared" si="64"/>
        <v/>
      </c>
      <c r="Q235" s="119" t="str">
        <f t="shared" si="64"/>
        <v/>
      </c>
      <c r="R235" s="119" t="str">
        <f t="shared" si="64"/>
        <v/>
      </c>
      <c r="S235" s="119" t="str">
        <f t="shared" si="64"/>
        <v/>
      </c>
      <c r="T235" s="119" t="str">
        <f t="shared" si="64"/>
        <v/>
      </c>
      <c r="U235" s="119" t="str">
        <f t="shared" si="64"/>
        <v/>
      </c>
      <c r="V235" s="119" t="str">
        <f t="shared" si="64"/>
        <v/>
      </c>
      <c r="W235" s="119" t="str">
        <f t="shared" si="64"/>
        <v/>
      </c>
      <c r="X235" s="119" t="str">
        <f t="shared" si="64"/>
        <v/>
      </c>
      <c r="Y235" s="119" t="str">
        <f t="shared" si="64"/>
        <v/>
      </c>
      <c r="Z235" s="119" t="str">
        <f t="shared" si="64"/>
        <v/>
      </c>
      <c r="AA235" s="119" t="str">
        <f t="shared" si="64"/>
        <v/>
      </c>
      <c r="AB235" s="119" t="str">
        <f t="shared" si="64"/>
        <v/>
      </c>
      <c r="AC235" s="119" t="str">
        <f t="shared" si="64"/>
        <v/>
      </c>
      <c r="AD235" s="119" t="str">
        <f t="shared" si="64"/>
        <v/>
      </c>
      <c r="AE235" s="119" t="str">
        <f t="shared" si="64"/>
        <v/>
      </c>
      <c r="AF235" s="119" t="str">
        <f t="shared" si="64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5">IF(B203&lt;100,"",B203-620)</f>
        <v/>
      </c>
      <c r="C236" s="119" t="str">
        <f t="shared" si="65"/>
        <v/>
      </c>
      <c r="D236" s="119" t="str">
        <f t="shared" si="65"/>
        <v/>
      </c>
      <c r="E236" s="119" t="str">
        <f t="shared" si="65"/>
        <v/>
      </c>
      <c r="F236" s="119" t="str">
        <f t="shared" si="65"/>
        <v/>
      </c>
      <c r="G236" s="119" t="str">
        <f t="shared" si="65"/>
        <v/>
      </c>
      <c r="H236" s="119" t="str">
        <f t="shared" si="65"/>
        <v/>
      </c>
      <c r="I236" s="119" t="str">
        <f t="shared" si="65"/>
        <v/>
      </c>
      <c r="J236" s="119" t="str">
        <f t="shared" si="65"/>
        <v/>
      </c>
      <c r="K236" s="119" t="str">
        <f t="shared" si="65"/>
        <v/>
      </c>
      <c r="L236" s="119" t="str">
        <f t="shared" si="65"/>
        <v/>
      </c>
      <c r="M236" s="119" t="str">
        <f t="shared" si="65"/>
        <v/>
      </c>
      <c r="N236" s="119" t="str">
        <f t="shared" si="65"/>
        <v/>
      </c>
      <c r="O236" s="119" t="str">
        <f t="shared" si="65"/>
        <v/>
      </c>
      <c r="P236" s="119" t="str">
        <f t="shared" si="65"/>
        <v/>
      </c>
      <c r="Q236" s="119" t="str">
        <f t="shared" si="65"/>
        <v/>
      </c>
      <c r="R236" s="119" t="str">
        <f t="shared" si="65"/>
        <v/>
      </c>
      <c r="S236" s="119" t="str">
        <f t="shared" si="65"/>
        <v/>
      </c>
      <c r="T236" s="119" t="str">
        <f t="shared" si="65"/>
        <v/>
      </c>
      <c r="U236" s="119" t="str">
        <f t="shared" si="65"/>
        <v/>
      </c>
      <c r="V236" s="119" t="str">
        <f t="shared" si="65"/>
        <v/>
      </c>
      <c r="W236" s="119" t="str">
        <f t="shared" si="65"/>
        <v/>
      </c>
      <c r="X236" s="119" t="str">
        <f t="shared" si="65"/>
        <v/>
      </c>
      <c r="Y236" s="119" t="str">
        <f t="shared" si="65"/>
        <v/>
      </c>
      <c r="Z236" s="119" t="str">
        <f t="shared" si="65"/>
        <v/>
      </c>
      <c r="AA236" s="119" t="str">
        <f t="shared" si="65"/>
        <v/>
      </c>
      <c r="AB236" s="119" t="str">
        <f t="shared" si="65"/>
        <v/>
      </c>
      <c r="AC236" s="119" t="str">
        <f t="shared" si="65"/>
        <v/>
      </c>
      <c r="AD236" s="119" t="str">
        <f t="shared" si="65"/>
        <v/>
      </c>
      <c r="AE236" s="119" t="str">
        <f t="shared" si="65"/>
        <v/>
      </c>
      <c r="AF236" s="119" t="str">
        <f t="shared" si="65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6">IF(B204&lt;100,"",B204-330)</f>
        <v/>
      </c>
      <c r="C237" s="119" t="str">
        <f t="shared" si="66"/>
        <v/>
      </c>
      <c r="D237" s="119" t="str">
        <f t="shared" si="66"/>
        <v/>
      </c>
      <c r="E237" s="119" t="str">
        <f t="shared" si="66"/>
        <v/>
      </c>
      <c r="F237" s="119" t="str">
        <f t="shared" si="66"/>
        <v/>
      </c>
      <c r="G237" s="119" t="str">
        <f t="shared" si="66"/>
        <v/>
      </c>
      <c r="H237" s="119" t="str">
        <f t="shared" si="66"/>
        <v/>
      </c>
      <c r="I237" s="119" t="str">
        <f t="shared" si="66"/>
        <v/>
      </c>
      <c r="J237" s="119" t="str">
        <f t="shared" si="66"/>
        <v/>
      </c>
      <c r="K237" s="119" t="str">
        <f t="shared" si="66"/>
        <v/>
      </c>
      <c r="L237" s="119" t="str">
        <f t="shared" si="66"/>
        <v/>
      </c>
      <c r="M237" s="119" t="str">
        <f t="shared" si="66"/>
        <v/>
      </c>
      <c r="N237" s="119" t="str">
        <f t="shared" si="66"/>
        <v/>
      </c>
      <c r="O237" s="119" t="str">
        <f t="shared" si="66"/>
        <v/>
      </c>
      <c r="P237" s="119" t="str">
        <f t="shared" si="66"/>
        <v/>
      </c>
      <c r="Q237" s="119" t="str">
        <f t="shared" si="66"/>
        <v/>
      </c>
      <c r="R237" s="119" t="str">
        <f t="shared" si="66"/>
        <v/>
      </c>
      <c r="S237" s="119" t="str">
        <f t="shared" si="66"/>
        <v/>
      </c>
      <c r="T237" s="119" t="str">
        <f t="shared" si="66"/>
        <v/>
      </c>
      <c r="U237" s="119" t="str">
        <f t="shared" si="66"/>
        <v/>
      </c>
      <c r="V237" s="119" t="str">
        <f t="shared" si="66"/>
        <v/>
      </c>
      <c r="W237" s="119" t="str">
        <f t="shared" si="66"/>
        <v/>
      </c>
      <c r="X237" s="119" t="str">
        <f t="shared" si="66"/>
        <v/>
      </c>
      <c r="Y237" s="119" t="str">
        <f t="shared" si="66"/>
        <v/>
      </c>
      <c r="Z237" s="119" t="str">
        <f t="shared" si="66"/>
        <v/>
      </c>
      <c r="AA237" s="119" t="str">
        <f t="shared" si="66"/>
        <v/>
      </c>
      <c r="AB237" s="119" t="str">
        <f t="shared" si="66"/>
        <v/>
      </c>
      <c r="AC237" s="119" t="str">
        <f t="shared" si="66"/>
        <v/>
      </c>
      <c r="AD237" s="119" t="str">
        <f t="shared" si="66"/>
        <v/>
      </c>
      <c r="AE237" s="119" t="str">
        <f t="shared" si="66"/>
        <v/>
      </c>
      <c r="AF237" s="119" t="str">
        <f t="shared" si="66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7">IF(C205&lt;100,"",C205-1500)</f>
        <v/>
      </c>
      <c r="D238" s="119" t="str">
        <f t="shared" si="67"/>
        <v/>
      </c>
      <c r="E238" s="119" t="str">
        <f t="shared" si="67"/>
        <v/>
      </c>
      <c r="F238" s="119" t="str">
        <f t="shared" si="67"/>
        <v/>
      </c>
      <c r="G238" s="119" t="str">
        <f t="shared" si="67"/>
        <v/>
      </c>
      <c r="H238" s="119" t="str">
        <f t="shared" si="67"/>
        <v/>
      </c>
      <c r="I238" s="119" t="str">
        <f t="shared" si="67"/>
        <v/>
      </c>
      <c r="J238" s="119" t="str">
        <f t="shared" si="67"/>
        <v/>
      </c>
      <c r="K238" s="119" t="str">
        <f t="shared" si="67"/>
        <v/>
      </c>
      <c r="L238" s="119" t="str">
        <f t="shared" si="67"/>
        <v/>
      </c>
      <c r="M238" s="119" t="str">
        <f t="shared" si="67"/>
        <v/>
      </c>
      <c r="N238" s="119" t="str">
        <f t="shared" si="67"/>
        <v/>
      </c>
      <c r="O238" s="119" t="str">
        <f t="shared" si="67"/>
        <v/>
      </c>
      <c r="P238" s="119" t="str">
        <f t="shared" si="67"/>
        <v/>
      </c>
      <c r="Q238" s="119" t="str">
        <f t="shared" si="67"/>
        <v/>
      </c>
      <c r="R238" s="119" t="str">
        <f t="shared" si="67"/>
        <v/>
      </c>
      <c r="S238" s="119" t="str">
        <f t="shared" si="67"/>
        <v/>
      </c>
      <c r="T238" s="119" t="str">
        <f t="shared" si="67"/>
        <v/>
      </c>
      <c r="U238" s="119" t="str">
        <f t="shared" si="67"/>
        <v/>
      </c>
      <c r="V238" s="119" t="str">
        <f t="shared" si="67"/>
        <v/>
      </c>
      <c r="W238" s="119" t="str">
        <f t="shared" si="67"/>
        <v/>
      </c>
      <c r="X238" s="119" t="str">
        <f t="shared" si="67"/>
        <v/>
      </c>
      <c r="Y238" s="119" t="str">
        <f t="shared" si="67"/>
        <v/>
      </c>
      <c r="Z238" s="119" t="str">
        <f t="shared" si="67"/>
        <v/>
      </c>
      <c r="AA238" s="119" t="str">
        <f t="shared" si="67"/>
        <v/>
      </c>
      <c r="AB238" s="119" t="str">
        <f t="shared" si="67"/>
        <v/>
      </c>
      <c r="AC238" s="119" t="str">
        <f t="shared" si="67"/>
        <v/>
      </c>
      <c r="AD238" s="119" t="str">
        <f t="shared" si="67"/>
        <v/>
      </c>
      <c r="AE238" s="119" t="str">
        <f t="shared" si="67"/>
        <v/>
      </c>
      <c r="AF238" s="119" t="str">
        <f t="shared" si="67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2">
      <iconSet iconSet="3TrafficLights2" reverse="1">
        <cfvo type="percent" val="0"/>
        <cfvo type="num" val="1"/>
        <cfvo type="num" val="1"/>
      </iconSet>
    </cfRule>
  </conditionalFormatting>
  <conditionalFormatting sqref="C57:L57 C60:D60 P39:R39 M39:O42 D61 P40:Q42 R42 M12:Q14 AB40:AE43 AB81:AF81 B81:R81 D193:AF199 B193:B199 C68:X72 AB84:AF91 B84:B91 M53:X55 B73:X80 B9:AF10 B191:AF191 AF57:AF67 AG73 AB94:AF99 B94:B99 U212:AF212 B53:B72 C61:C67 E60:G61 I61:N61 I60:O60 C58:G59 I58:R59 H58:H61 B36:L36 D63:L67 N62:N67 O61:O67 N45:R48 P60:R67 R40:U41 S58:U67 M11:X11 M37:X37 S18:X30 U40:X42 V58:X59 V62:X67 Z68:AF80 AA53:AF55 C56:X56 B82:X83 Z82:AF83 Z56:AF56 AB11:AF11 AB36:AF36">
    <cfRule type="expression" dxfId="6083" priority="438">
      <formula>B$9&gt;=20/24</formula>
    </cfRule>
    <cfRule type="expression" dxfId="6082" priority="439">
      <formula>AND(B$9&gt;=14/24,B$9&lt;20/24)</formula>
    </cfRule>
    <cfRule type="expression" dxfId="6081" priority="440">
      <formula>AND(B$9&gt;=8/24,B$9&lt;14/24)</formula>
    </cfRule>
    <cfRule type="expression" dxfId="6080" priority="441">
      <formula>B$9&lt;8/24</formula>
    </cfRule>
  </conditionalFormatting>
  <conditionalFormatting sqref="AL4:AL6">
    <cfRule type="iconSet" priority="437">
      <iconSet iconSet="3TrafficLights2" reverse="1">
        <cfvo type="percent" val="0"/>
        <cfvo type="num" val="1"/>
        <cfvo type="num" val="1"/>
      </iconSet>
    </cfRule>
  </conditionalFormatting>
  <conditionalFormatting sqref="M57:U57">
    <cfRule type="expression" dxfId="6079" priority="433">
      <formula>M$9&gt;=20/24</formula>
    </cfRule>
    <cfRule type="expression" dxfId="6078" priority="434">
      <formula>AND(M$9&gt;=14/24,M$9&lt;20/24)</formula>
    </cfRule>
    <cfRule type="expression" dxfId="6077" priority="435">
      <formula>AND(M$9&gt;=8/24,M$9&lt;14/24)</formula>
    </cfRule>
    <cfRule type="expression" dxfId="6076" priority="436">
      <formula>M$9&lt;8/24</formula>
    </cfRule>
  </conditionalFormatting>
  <conditionalFormatting sqref="M43:R43">
    <cfRule type="expression" dxfId="6075" priority="429">
      <formula>M$9&gt;=20/24</formula>
    </cfRule>
    <cfRule type="expression" dxfId="6074" priority="430">
      <formula>AND(M$9&gt;=14/24,M$9&lt;20/24)</formula>
    </cfRule>
    <cfRule type="expression" dxfId="6073" priority="431">
      <formula>AND(M$9&gt;=8/24,M$9&lt;14/24)</formula>
    </cfRule>
    <cfRule type="expression" dxfId="6072" priority="432">
      <formula>M$9&lt;8/24</formula>
    </cfRule>
  </conditionalFormatting>
  <conditionalFormatting sqref="S39:X39 AB39:AE39">
    <cfRule type="expression" dxfId="6071" priority="421">
      <formula>S$9&gt;=20/24</formula>
    </cfRule>
    <cfRule type="expression" dxfId="6070" priority="422">
      <formula>AND(S$9&gt;=14/24,S$9&lt;20/24)</formula>
    </cfRule>
    <cfRule type="expression" dxfId="6069" priority="423">
      <formula>AND(S$9&gt;=8/24,S$9&lt;14/24)</formula>
    </cfRule>
    <cfRule type="expression" dxfId="6068" priority="424">
      <formula>S$9&lt;8/24</formula>
    </cfRule>
  </conditionalFormatting>
  <conditionalFormatting sqref="V57:X57 AB57:AE57">
    <cfRule type="expression" dxfId="6067" priority="417">
      <formula>V$9&gt;=20/24</formula>
    </cfRule>
    <cfRule type="expression" dxfId="6066" priority="418">
      <formula>AND(V$9&gt;=14/24,V$9&lt;20/24)</formula>
    </cfRule>
    <cfRule type="expression" dxfId="6065" priority="419">
      <formula>AND(V$9&gt;=8/24,V$9&lt;14/24)</formula>
    </cfRule>
    <cfRule type="expression" dxfId="6064" priority="420">
      <formula>V$9&lt;8/24</formula>
    </cfRule>
  </conditionalFormatting>
  <conditionalFormatting sqref="S81:X81 Z81:AA81">
    <cfRule type="expression" dxfId="6063" priority="413">
      <formula>S$9&gt;=20/24</formula>
    </cfRule>
    <cfRule type="expression" dxfId="6062" priority="414">
      <formula>AND(S$9&gt;=14/24,S$9&lt;20/24)</formula>
    </cfRule>
    <cfRule type="expression" dxfId="6061" priority="415">
      <formula>AND(S$9&gt;=8/24,S$9&lt;14/24)</formula>
    </cfRule>
    <cfRule type="expression" dxfId="6060" priority="416">
      <formula>S$9&lt;8/24</formula>
    </cfRule>
  </conditionalFormatting>
  <conditionalFormatting sqref="V84:X84">
    <cfRule type="expression" dxfId="6059" priority="409">
      <formula>V$9&gt;=20/24</formula>
    </cfRule>
    <cfRule type="expression" dxfId="6058" priority="410">
      <formula>AND(V$9&gt;=14/24,V$9&lt;20/24)</formula>
    </cfRule>
    <cfRule type="expression" dxfId="6057" priority="411">
      <formula>AND(V$9&gt;=8/24,V$9&lt;14/24)</formula>
    </cfRule>
    <cfRule type="expression" dxfId="6056" priority="412">
      <formula>V$9&lt;8/24</formula>
    </cfRule>
  </conditionalFormatting>
  <conditionalFormatting sqref="M49:X49">
    <cfRule type="expression" dxfId="6055" priority="401">
      <formula>M$9&gt;=20/24</formula>
    </cfRule>
    <cfRule type="expression" dxfId="6054" priority="402">
      <formula>AND(M$9&gt;=14/24,M$9&lt;20/24)</formula>
    </cfRule>
    <cfRule type="expression" dxfId="6053" priority="403">
      <formula>AND(M$9&gt;=8/24,M$9&lt;14/24)</formula>
    </cfRule>
    <cfRule type="expression" dxfId="6052" priority="404">
      <formula>M$9&lt;8/24</formula>
    </cfRule>
  </conditionalFormatting>
  <conditionalFormatting sqref="M50:R50">
    <cfRule type="expression" dxfId="6051" priority="397">
      <formula>M$9&gt;=20/24</formula>
    </cfRule>
    <cfRule type="expression" dxfId="6050" priority="398">
      <formula>AND(M$9&gt;=14/24,M$9&lt;20/24)</formula>
    </cfRule>
    <cfRule type="expression" dxfId="6049" priority="399">
      <formula>AND(M$9&gt;=8/24,M$9&lt;14/24)</formula>
    </cfRule>
    <cfRule type="expression" dxfId="6048" priority="400">
      <formula>M$9&lt;8/24</formula>
    </cfRule>
  </conditionalFormatting>
  <conditionalFormatting sqref="M45:R48">
    <cfRule type="expression" dxfId="6047" priority="393">
      <formula>M$9&gt;=20/24</formula>
    </cfRule>
    <cfRule type="expression" dxfId="6046" priority="394">
      <formula>AND(M$9&gt;=14/24,M$9&lt;20/24)</formula>
    </cfRule>
    <cfRule type="expression" dxfId="6045" priority="395">
      <formula>AND(M$9&gt;=8/24,M$9&lt;14/24)</formula>
    </cfRule>
    <cfRule type="expression" dxfId="6044" priority="396">
      <formula>M$9&lt;8/24</formula>
    </cfRule>
  </conditionalFormatting>
  <conditionalFormatting sqref="AB37:AF37">
    <cfRule type="expression" dxfId="6043" priority="389">
      <formula>AB$9&gt;=20/24</formula>
    </cfRule>
    <cfRule type="expression" dxfId="6042" priority="390">
      <formula>AND(AB$9&gt;=14/24,AB$9&lt;20/24)</formula>
    </cfRule>
    <cfRule type="expression" dxfId="6041" priority="391">
      <formula>AND(AB$9&gt;=8/24,AB$9&lt;14/24)</formula>
    </cfRule>
    <cfRule type="expression" dxfId="6040" priority="392">
      <formula>AB$9&lt;8/24</formula>
    </cfRule>
  </conditionalFormatting>
  <conditionalFormatting sqref="S31:X32 S35:X35">
    <cfRule type="expression" dxfId="6039" priority="385">
      <formula>S$9&gt;=20/24</formula>
    </cfRule>
    <cfRule type="expression" dxfId="6038" priority="386">
      <formula>AND(S$9&gt;=14/24,S$9&lt;20/24)</formula>
    </cfRule>
    <cfRule type="expression" dxfId="6037" priority="387">
      <formula>AND(S$9&gt;=8/24,S$9&lt;14/24)</formula>
    </cfRule>
    <cfRule type="expression" dxfId="6036" priority="388">
      <formula>S$9&lt;8/24</formula>
    </cfRule>
  </conditionalFormatting>
  <conditionalFormatting sqref="S42:X43 S45:X48 AB45:AE48 AF46:AF48">
    <cfRule type="expression" dxfId="6035" priority="381">
      <formula>S$9&gt;=20/24</formula>
    </cfRule>
    <cfRule type="expression" dxfId="6034" priority="382">
      <formula>AND(S$9&gt;=14/24,S$9&lt;20/24)</formula>
    </cfRule>
    <cfRule type="expression" dxfId="6033" priority="383">
      <formula>AND(S$9&gt;=8/24,S$9&lt;14/24)</formula>
    </cfRule>
    <cfRule type="expression" dxfId="6032" priority="384">
      <formula>S$9&lt;8/24</formula>
    </cfRule>
  </conditionalFormatting>
  <conditionalFormatting sqref="S49:X49 AB49:AF49">
    <cfRule type="expression" dxfId="6031" priority="377">
      <formula>S$9&gt;=20/24</formula>
    </cfRule>
    <cfRule type="expression" dxfId="6030" priority="378">
      <formula>AND(S$9&gt;=14/24,S$9&lt;20/24)</formula>
    </cfRule>
    <cfRule type="expression" dxfId="6029" priority="379">
      <formula>AND(S$9&gt;=8/24,S$9&lt;14/24)</formula>
    </cfRule>
    <cfRule type="expression" dxfId="6028" priority="380">
      <formula>S$9&lt;8/24</formula>
    </cfRule>
  </conditionalFormatting>
  <conditionalFormatting sqref="S50:X50 AB50:AF50">
    <cfRule type="expression" dxfId="6027" priority="373">
      <formula>S$9&gt;=20/24</formula>
    </cfRule>
    <cfRule type="expression" dxfId="6026" priority="374">
      <formula>AND(S$9&gt;=14/24,S$9&lt;20/24)</formula>
    </cfRule>
    <cfRule type="expression" dxfId="6025" priority="375">
      <formula>AND(S$9&gt;=8/24,S$9&lt;14/24)</formula>
    </cfRule>
    <cfRule type="expression" dxfId="6024" priority="376">
      <formula>S$9&lt;8/24</formula>
    </cfRule>
  </conditionalFormatting>
  <conditionalFormatting sqref="AB60:AE61 AC62:AE67">
    <cfRule type="expression" dxfId="6023" priority="369">
      <formula>AB$9&gt;=20/24</formula>
    </cfRule>
    <cfRule type="expression" dxfId="6022" priority="370">
      <formula>AND(AB$9&gt;=14/24,AB$9&lt;20/24)</formula>
    </cfRule>
    <cfRule type="expression" dxfId="6021" priority="371">
      <formula>AND(AB$9&gt;=8/24,AB$9&lt;14/24)</formula>
    </cfRule>
    <cfRule type="expression" dxfId="6020" priority="372">
      <formula>AB$9&lt;8/24</formula>
    </cfRule>
  </conditionalFormatting>
  <conditionalFormatting sqref="D62:L62">
    <cfRule type="expression" dxfId="6019" priority="365">
      <formula>D$9&gt;=20/24</formula>
    </cfRule>
    <cfRule type="expression" dxfId="6018" priority="366">
      <formula>AND(D$9&gt;=14/24,D$9&lt;20/24)</formula>
    </cfRule>
    <cfRule type="expression" dxfId="6017" priority="367">
      <formula>AND(D$9&gt;=8/24,D$9&lt;14/24)</formula>
    </cfRule>
    <cfRule type="expression" dxfId="6016" priority="368">
      <formula>D$9&lt;8/24</formula>
    </cfRule>
  </conditionalFormatting>
  <conditionalFormatting sqref="V94:X97">
    <cfRule type="expression" dxfId="6015" priority="361">
      <formula>V$9&gt;=20/24</formula>
    </cfRule>
    <cfRule type="expression" dxfId="6014" priority="362">
      <formula>AND(V$9&gt;=14/24,V$9&lt;20/24)</formula>
    </cfRule>
    <cfRule type="expression" dxfId="6013" priority="363">
      <formula>AND(V$9&gt;=8/24,V$9&lt;14/24)</formula>
    </cfRule>
    <cfRule type="expression" dxfId="6012" priority="364">
      <formula>V$9&lt;8/24</formula>
    </cfRule>
  </conditionalFormatting>
  <conditionalFormatting sqref="AG51 M12:Q14 B11:K32 L12:L32 B34:L36 L11:X11 S18:X32 S34:X35 B37:X56 Z38:AF38 Z51:AF52 AA53:AF55 Z56:AF56 AB11:AF11 AB36:AF37 AB39:AF50">
    <cfRule type="expression" dxfId="6011" priority="360">
      <formula>B11&gt;$AG11</formula>
    </cfRule>
  </conditionalFormatting>
  <conditionalFormatting sqref="A100:A156 A84:A97 A11:A14 A16:A32 A45:A72 A80:A82 A74:A78 A35:A43 A169:A199">
    <cfRule type="expression" dxfId="6010" priority="359">
      <formula>$AH11=0</formula>
    </cfRule>
  </conditionalFormatting>
  <conditionalFormatting sqref="V98:X98">
    <cfRule type="expression" dxfId="6009" priority="355">
      <formula>V$9&gt;=20/24</formula>
    </cfRule>
    <cfRule type="expression" dxfId="6008" priority="356">
      <formula>AND(V$9&gt;=14/24,V$9&lt;20/24)</formula>
    </cfRule>
    <cfRule type="expression" dxfId="6007" priority="357">
      <formula>AND(V$9&gt;=8/24,V$9&lt;14/24)</formula>
    </cfRule>
    <cfRule type="expression" dxfId="6006" priority="358">
      <formula>V$9&lt;8/24</formula>
    </cfRule>
  </conditionalFormatting>
  <conditionalFormatting sqref="A98">
    <cfRule type="expression" dxfId="6005" priority="354">
      <formula>$AH98=0</formula>
    </cfRule>
  </conditionalFormatting>
  <conditionalFormatting sqref="M62:M67">
    <cfRule type="expression" dxfId="6004" priority="342">
      <formula>M$9&gt;=20/24</formula>
    </cfRule>
    <cfRule type="expression" dxfId="6003" priority="343">
      <formula>AND(M$9&gt;=14/24,M$9&lt;20/24)</formula>
    </cfRule>
    <cfRule type="expression" dxfId="6002" priority="344">
      <formula>AND(M$9&gt;=8/24,M$9&lt;14/24)</formula>
    </cfRule>
    <cfRule type="expression" dxfId="6001" priority="345">
      <formula>M$9&lt;8/24</formula>
    </cfRule>
  </conditionalFormatting>
  <conditionalFormatting sqref="AL32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S34:X34">
    <cfRule type="expression" dxfId="6000" priority="329">
      <formula>S$9&gt;=20/24</formula>
    </cfRule>
    <cfRule type="expression" dxfId="5999" priority="330">
      <formula>AND(S$9&gt;=14/24,S$9&lt;20/24)</formula>
    </cfRule>
    <cfRule type="expression" dxfId="5998" priority="331">
      <formula>AND(S$9&gt;=8/24,S$9&lt;14/24)</formula>
    </cfRule>
    <cfRule type="expression" dxfId="5997" priority="332">
      <formula>S$9&lt;8/24</formula>
    </cfRule>
  </conditionalFormatting>
  <conditionalFormatting sqref="A34">
    <cfRule type="expression" dxfId="5996" priority="328">
      <formula>$AH34=0</formula>
    </cfRule>
  </conditionalFormatting>
  <conditionalFormatting sqref="A83">
    <cfRule type="expression" dxfId="5995" priority="327">
      <formula>$AH83=0</formula>
    </cfRule>
  </conditionalFormatting>
  <conditionalFormatting sqref="M15:Q15">
    <cfRule type="expression" dxfId="5994" priority="319">
      <formula>M$9&gt;=20/24</formula>
    </cfRule>
    <cfRule type="expression" dxfId="5993" priority="320">
      <formula>AND(M$9&gt;=14/24,M$9&lt;20/24)</formula>
    </cfRule>
    <cfRule type="expression" dxfId="5992" priority="321">
      <formula>AND(M$9&gt;=8/24,M$9&lt;14/24)</formula>
    </cfRule>
    <cfRule type="expression" dxfId="5991" priority="322">
      <formula>M$9&lt;8/24</formula>
    </cfRule>
  </conditionalFormatting>
  <conditionalFormatting sqref="M15:Q15">
    <cfRule type="expression" dxfId="5990" priority="318">
      <formula>M15&gt;$AG15</formula>
    </cfRule>
  </conditionalFormatting>
  <conditionalFormatting sqref="A15">
    <cfRule type="expression" dxfId="5989" priority="317">
      <formula>$AH15=0</formula>
    </cfRule>
  </conditionalFormatting>
  <conditionalFormatting sqref="A163:A168">
    <cfRule type="expression" dxfId="5988" priority="316">
      <formula>$AH163=0</formula>
    </cfRule>
  </conditionalFormatting>
  <conditionalFormatting sqref="A157:A162">
    <cfRule type="expression" dxfId="5987" priority="315">
      <formula>$AH157=0</formula>
    </cfRule>
  </conditionalFormatting>
  <conditionalFormatting sqref="AB44:AE44">
    <cfRule type="expression" dxfId="5986" priority="311">
      <formula>AB$9&gt;=20/24</formula>
    </cfRule>
    <cfRule type="expression" dxfId="5985" priority="312">
      <formula>AND(AB$9&gt;=14/24,AB$9&lt;20/24)</formula>
    </cfRule>
    <cfRule type="expression" dxfId="5984" priority="313">
      <formula>AND(AB$9&gt;=8/24,AB$9&lt;14/24)</formula>
    </cfRule>
    <cfRule type="expression" dxfId="5983" priority="314">
      <formula>AB$9&lt;8/24</formula>
    </cfRule>
  </conditionalFormatting>
  <conditionalFormatting sqref="M44:R44">
    <cfRule type="expression" dxfId="5982" priority="307">
      <formula>M$9&gt;=20/24</formula>
    </cfRule>
    <cfRule type="expression" dxfId="5981" priority="308">
      <formula>AND(M$9&gt;=14/24,M$9&lt;20/24)</formula>
    </cfRule>
    <cfRule type="expression" dxfId="5980" priority="309">
      <formula>AND(M$9&gt;=8/24,M$9&lt;14/24)</formula>
    </cfRule>
    <cfRule type="expression" dxfId="5979" priority="310">
      <formula>M$9&lt;8/24</formula>
    </cfRule>
  </conditionalFormatting>
  <conditionalFormatting sqref="S44:X44">
    <cfRule type="expression" dxfId="5978" priority="303">
      <formula>S$9&gt;=20/24</formula>
    </cfRule>
    <cfRule type="expression" dxfId="5977" priority="304">
      <formula>AND(S$9&gt;=14/24,S$9&lt;20/24)</formula>
    </cfRule>
    <cfRule type="expression" dxfId="5976" priority="305">
      <formula>AND(S$9&gt;=8/24,S$9&lt;14/24)</formula>
    </cfRule>
    <cfRule type="expression" dxfId="5975" priority="306">
      <formula>S$9&lt;8/24</formula>
    </cfRule>
  </conditionalFormatting>
  <conditionalFormatting sqref="A44">
    <cfRule type="expression" dxfId="5974" priority="302">
      <formula>$AH44=0</formula>
    </cfRule>
  </conditionalFormatting>
  <conditionalFormatting sqref="A79">
    <cfRule type="expression" dxfId="5973" priority="301">
      <formula>$AH79=0</formula>
    </cfRule>
  </conditionalFormatting>
  <conditionalFormatting sqref="A73">
    <cfRule type="expression" dxfId="5972" priority="300">
      <formula>$AH73=0</formula>
    </cfRule>
  </conditionalFormatting>
  <conditionalFormatting sqref="AL34:AL35 AL7:AL31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V60:X61">
    <cfRule type="expression" dxfId="5971" priority="296">
      <formula>V$9&gt;=20/24</formula>
    </cfRule>
    <cfRule type="expression" dxfId="5970" priority="297">
      <formula>AND(V$9&gt;=14/24,V$9&lt;20/24)</formula>
    </cfRule>
    <cfRule type="expression" dxfId="5969" priority="298">
      <formula>AND(V$9&gt;=8/24,V$9&lt;14/24)</formula>
    </cfRule>
    <cfRule type="expression" dxfId="5968" priority="299">
      <formula>V$9&lt;8/24</formula>
    </cfRule>
  </conditionalFormatting>
  <conditionalFormatting sqref="V85:X91">
    <cfRule type="expression" dxfId="5967" priority="292">
      <formula>V$9&gt;=20/24</formula>
    </cfRule>
    <cfRule type="expression" dxfId="5966" priority="293">
      <formula>AND(V$9&gt;=14/24,V$9&lt;20/24)</formula>
    </cfRule>
    <cfRule type="expression" dxfId="5965" priority="294">
      <formula>AND(V$9&gt;=8/24,V$9&lt;14/24)</formula>
    </cfRule>
    <cfRule type="expression" dxfId="5964" priority="295">
      <formula>V$9&lt;8/24</formula>
    </cfRule>
  </conditionalFormatting>
  <conditionalFormatting sqref="C84:R91 S85:U91">
    <cfRule type="expression" dxfId="5963" priority="288">
      <formula>C$9&gt;=20/24</formula>
    </cfRule>
    <cfRule type="expression" dxfId="5962" priority="289">
      <formula>AND(C$9&gt;=14/24,C$9&lt;20/24)</formula>
    </cfRule>
    <cfRule type="expression" dxfId="5961" priority="290">
      <formula>AND(C$9&gt;=8/24,C$9&lt;14/24)</formula>
    </cfRule>
    <cfRule type="expression" dxfId="5960" priority="291">
      <formula>C$9&lt;8/24</formula>
    </cfRule>
  </conditionalFormatting>
  <conditionalFormatting sqref="S84:U84">
    <cfRule type="expression" dxfId="5959" priority="284">
      <formula>S$9&gt;=20/24</formula>
    </cfRule>
    <cfRule type="expression" dxfId="5958" priority="285">
      <formula>AND(S$9&gt;=14/24,S$9&lt;20/24)</formula>
    </cfRule>
    <cfRule type="expression" dxfId="5957" priority="286">
      <formula>AND(S$9&gt;=8/24,S$9&lt;14/24)</formula>
    </cfRule>
    <cfRule type="expression" dxfId="5956" priority="287">
      <formula>S$9&lt;8/24</formula>
    </cfRule>
  </conditionalFormatting>
  <conditionalFormatting sqref="C95:M97 C94:F94">
    <cfRule type="expression" dxfId="5955" priority="280">
      <formula>C$9&gt;=20/24</formula>
    </cfRule>
    <cfRule type="expression" dxfId="5954" priority="281">
      <formula>AND(C$9&gt;=14/24,C$9&lt;20/24)</formula>
    </cfRule>
    <cfRule type="expression" dxfId="5953" priority="282">
      <formula>AND(C$9&gt;=8/24,C$9&lt;14/24)</formula>
    </cfRule>
    <cfRule type="expression" dxfId="5952" priority="283">
      <formula>C$9&lt;8/24</formula>
    </cfRule>
  </conditionalFormatting>
  <conditionalFormatting sqref="N95:R97 O94:R94 S94:S97">
    <cfRule type="expression" dxfId="5951" priority="276">
      <formula>N$9&gt;=20/24</formula>
    </cfRule>
    <cfRule type="expression" dxfId="5950" priority="277">
      <formula>AND(N$9&gt;=14/24,N$9&lt;20/24)</formula>
    </cfRule>
    <cfRule type="expression" dxfId="5949" priority="278">
      <formula>AND(N$9&gt;=8/24,N$9&lt;14/24)</formula>
    </cfRule>
    <cfRule type="expression" dxfId="5948" priority="279">
      <formula>N$9&lt;8/24</formula>
    </cfRule>
  </conditionalFormatting>
  <conditionalFormatting sqref="T94:U97">
    <cfRule type="expression" dxfId="5947" priority="272">
      <formula>T$9&gt;=20/24</formula>
    </cfRule>
    <cfRule type="expression" dxfId="5946" priority="273">
      <formula>AND(T$9&gt;=14/24,T$9&lt;20/24)</formula>
    </cfRule>
    <cfRule type="expression" dxfId="5945" priority="274">
      <formula>AND(T$9&gt;=8/24,T$9&lt;14/24)</formula>
    </cfRule>
    <cfRule type="expression" dxfId="5944" priority="275">
      <formula>T$9&lt;8/24</formula>
    </cfRule>
  </conditionalFormatting>
  <conditionalFormatting sqref="C98:M98">
    <cfRule type="expression" dxfId="5943" priority="268">
      <formula>C$9&gt;=20/24</formula>
    </cfRule>
    <cfRule type="expression" dxfId="5942" priority="269">
      <formula>AND(C$9&gt;=14/24,C$9&lt;20/24)</formula>
    </cfRule>
    <cfRule type="expression" dxfId="5941" priority="270">
      <formula>AND(C$9&gt;=8/24,C$9&lt;14/24)</formula>
    </cfRule>
    <cfRule type="expression" dxfId="5940" priority="271">
      <formula>C$9&lt;8/24</formula>
    </cfRule>
  </conditionalFormatting>
  <conditionalFormatting sqref="N98:S98">
    <cfRule type="expression" dxfId="5939" priority="264">
      <formula>N$9&gt;=20/24</formula>
    </cfRule>
    <cfRule type="expression" dxfId="5938" priority="265">
      <formula>AND(N$9&gt;=14/24,N$9&lt;20/24)</formula>
    </cfRule>
    <cfRule type="expression" dxfId="5937" priority="266">
      <formula>AND(N$9&gt;=8/24,N$9&lt;14/24)</formula>
    </cfRule>
    <cfRule type="expression" dxfId="5936" priority="267">
      <formula>N$9&lt;8/24</formula>
    </cfRule>
  </conditionalFormatting>
  <conditionalFormatting sqref="T98:U98">
    <cfRule type="expression" dxfId="5935" priority="260">
      <formula>T$9&gt;=20/24</formula>
    </cfRule>
    <cfRule type="expression" dxfId="5934" priority="261">
      <formula>AND(T$9&gt;=14/24,T$9&lt;20/24)</formula>
    </cfRule>
    <cfRule type="expression" dxfId="5933" priority="262">
      <formula>AND(T$9&gt;=8/24,T$9&lt;14/24)</formula>
    </cfRule>
    <cfRule type="expression" dxfId="5932" priority="263">
      <formula>T$9&lt;8/24</formula>
    </cfRule>
  </conditionalFormatting>
  <conditionalFormatting sqref="M94:N94">
    <cfRule type="expression" dxfId="5931" priority="256">
      <formula>M$9&gt;=20/24</formula>
    </cfRule>
    <cfRule type="expression" dxfId="5930" priority="257">
      <formula>AND(M$9&gt;=14/24,M$9&lt;20/24)</formula>
    </cfRule>
    <cfRule type="expression" dxfId="5929" priority="258">
      <formula>AND(M$9&gt;=8/24,M$9&lt;14/24)</formula>
    </cfRule>
    <cfRule type="expression" dxfId="5928" priority="259">
      <formula>M$9&lt;8/24</formula>
    </cfRule>
  </conditionalFormatting>
  <conditionalFormatting sqref="G94:L94">
    <cfRule type="expression" dxfId="5927" priority="252">
      <formula>G$9&gt;=20/24</formula>
    </cfRule>
    <cfRule type="expression" dxfId="5926" priority="253">
      <formula>AND(G$9&gt;=14/24,G$9&lt;20/24)</formula>
    </cfRule>
    <cfRule type="expression" dxfId="5925" priority="254">
      <formula>AND(G$9&gt;=8/24,G$9&lt;14/24)</formula>
    </cfRule>
    <cfRule type="expression" dxfId="5924" priority="255">
      <formula>G$9&lt;8/24</formula>
    </cfRule>
  </conditionalFormatting>
  <conditionalFormatting sqref="V94:X94">
    <cfRule type="expression" dxfId="5923" priority="248">
      <formula>V$9&gt;=20/24</formula>
    </cfRule>
    <cfRule type="expression" dxfId="5922" priority="249">
      <formula>AND(V$9&gt;=14/24,V$9&lt;20/24)</formula>
    </cfRule>
    <cfRule type="expression" dxfId="5921" priority="250">
      <formula>AND(V$9&gt;=8/24,V$9&lt;14/24)</formula>
    </cfRule>
    <cfRule type="expression" dxfId="5920" priority="251">
      <formula>V$9&lt;8/24</formula>
    </cfRule>
  </conditionalFormatting>
  <conditionalFormatting sqref="N94:U94">
    <cfRule type="expression" dxfId="5919" priority="244">
      <formula>N$9&gt;=20/24</formula>
    </cfRule>
    <cfRule type="expression" dxfId="5918" priority="245">
      <formula>AND(N$9&gt;=14/24,N$9&lt;20/24)</formula>
    </cfRule>
    <cfRule type="expression" dxfId="5917" priority="246">
      <formula>AND(N$9&gt;=8/24,N$9&lt;14/24)</formula>
    </cfRule>
    <cfRule type="expression" dxfId="5916" priority="247">
      <formula>N$9&lt;8/24</formula>
    </cfRule>
  </conditionalFormatting>
  <conditionalFormatting sqref="V99:X99">
    <cfRule type="expression" dxfId="5915" priority="240">
      <formula>V$9&gt;=20/24</formula>
    </cfRule>
    <cfRule type="expression" dxfId="5914" priority="241">
      <formula>AND(V$9&gt;=14/24,V$9&lt;20/24)</formula>
    </cfRule>
    <cfRule type="expression" dxfId="5913" priority="242">
      <formula>AND(V$9&gt;=8/24,V$9&lt;14/24)</formula>
    </cfRule>
    <cfRule type="expression" dxfId="5912" priority="243">
      <formula>V$9&lt;8/24</formula>
    </cfRule>
  </conditionalFormatting>
  <conditionalFormatting sqref="C99:M99">
    <cfRule type="expression" dxfId="5911" priority="236">
      <formula>C$9&gt;=20/24</formula>
    </cfRule>
    <cfRule type="expression" dxfId="5910" priority="237">
      <formula>AND(C$9&gt;=14/24,C$9&lt;20/24)</formula>
    </cfRule>
    <cfRule type="expression" dxfId="5909" priority="238">
      <formula>AND(C$9&gt;=8/24,C$9&lt;14/24)</formula>
    </cfRule>
    <cfRule type="expression" dxfId="5908" priority="239">
      <formula>C$9&lt;8/24</formula>
    </cfRule>
  </conditionalFormatting>
  <conditionalFormatting sqref="N99:S99">
    <cfRule type="expression" dxfId="5907" priority="232">
      <formula>N$9&gt;=20/24</formula>
    </cfRule>
    <cfRule type="expression" dxfId="5906" priority="233">
      <formula>AND(N$9&gt;=14/24,N$9&lt;20/24)</formula>
    </cfRule>
    <cfRule type="expression" dxfId="5905" priority="234">
      <formula>AND(N$9&gt;=8/24,N$9&lt;14/24)</formula>
    </cfRule>
    <cfRule type="expression" dxfId="5904" priority="235">
      <formula>N$9&lt;8/24</formula>
    </cfRule>
  </conditionalFormatting>
  <conditionalFormatting sqref="T99:U99">
    <cfRule type="expression" dxfId="5903" priority="228">
      <formula>T$9&gt;=20/24</formula>
    </cfRule>
    <cfRule type="expression" dxfId="5902" priority="229">
      <formula>AND(T$9&gt;=14/24,T$9&lt;20/24)</formula>
    </cfRule>
    <cfRule type="expression" dxfId="5901" priority="230">
      <formula>AND(T$9&gt;=8/24,T$9&lt;14/24)</formula>
    </cfRule>
    <cfRule type="expression" dxfId="5900" priority="231">
      <formula>T$9&lt;8/24</formula>
    </cfRule>
  </conditionalFormatting>
  <conditionalFormatting sqref="S16:X16">
    <cfRule type="expression" dxfId="5899" priority="224">
      <formula>S$9&gt;=20/24</formula>
    </cfRule>
    <cfRule type="expression" dxfId="5898" priority="225">
      <formula>AND(S$9&gt;=14/24,S$9&lt;20/24)</formula>
    </cfRule>
    <cfRule type="expression" dxfId="5897" priority="226">
      <formula>AND(S$9&gt;=8/24,S$9&lt;14/24)</formula>
    </cfRule>
    <cfRule type="expression" dxfId="5896" priority="227">
      <formula>S$9&lt;8/24</formula>
    </cfRule>
  </conditionalFormatting>
  <conditionalFormatting sqref="S17:X17">
    <cfRule type="expression" dxfId="5895" priority="220">
      <formula>S$9&gt;=20/24</formula>
    </cfRule>
    <cfRule type="expression" dxfId="5894" priority="221">
      <formula>AND(S$9&gt;=14/24,S$9&lt;20/24)</formula>
    </cfRule>
    <cfRule type="expression" dxfId="5893" priority="222">
      <formula>AND(S$9&gt;=8/24,S$9&lt;14/24)</formula>
    </cfRule>
    <cfRule type="expression" dxfId="5892" priority="223">
      <formula>S$9&lt;8/24</formula>
    </cfRule>
  </conditionalFormatting>
  <conditionalFormatting sqref="AB58:AE59">
    <cfRule type="expression" dxfId="5891" priority="212">
      <formula>AB$9&gt;=20/24</formula>
    </cfRule>
    <cfRule type="expression" dxfId="5890" priority="213">
      <formula>AND(AB$9&gt;=14/24,AB$9&lt;20/24)</formula>
    </cfRule>
    <cfRule type="expression" dxfId="5889" priority="214">
      <formula>AND(AB$9&gt;=8/24,AB$9&lt;14/24)</formula>
    </cfRule>
    <cfRule type="expression" dxfId="5888" priority="215">
      <formula>AB$9&lt;8/24</formula>
    </cfRule>
  </conditionalFormatting>
  <conditionalFormatting sqref="AL3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87" priority="445">
      <formula>C$9&gt;=20/24</formula>
    </cfRule>
    <cfRule type="expression" dxfId="5886" priority="446">
      <formula>AND(C$9&gt;=14/24,C$9&lt;20/24)</formula>
    </cfRule>
    <cfRule type="expression" dxfId="5885" priority="447">
      <formula>AND(C$9&gt;=8/24,C$9&lt;14/24)</formula>
    </cfRule>
    <cfRule type="expression" dxfId="5884" priority="448">
      <formula>C$9&lt;8/24</formula>
    </cfRule>
  </conditionalFormatting>
  <conditionalFormatting sqref="A200">
    <cfRule type="expression" dxfId="5883" priority="449">
      <formula>$AH200=0</formula>
    </cfRule>
  </conditionalFormatting>
  <conditionalFormatting sqref="AG212">
    <cfRule type="expression" dxfId="5882" priority="450">
      <formula>B$9&gt;=20/24</formula>
    </cfRule>
    <cfRule type="expression" dxfId="5881" priority="451">
      <formula>AND(B$9&gt;=14/24,B$9&lt;20/24)</formula>
    </cfRule>
    <cfRule type="expression" dxfId="5880" priority="452">
      <formula>AND(B$9&gt;=8/24,B$9&lt;14/24)</formula>
    </cfRule>
    <cfRule type="expression" dxfId="5879" priority="453">
      <formula>B$9&lt;8/24</formula>
    </cfRule>
  </conditionalFormatting>
  <conditionalFormatting sqref="S8">
    <cfRule type="expression" dxfId="5878" priority="206">
      <formula>U$9&gt;=20/24</formula>
    </cfRule>
    <cfRule type="expression" dxfId="5877" priority="207">
      <formula>AND(U$9&gt;=14/24,U$9&lt;20/24)</formula>
    </cfRule>
    <cfRule type="expression" dxfId="5876" priority="208">
      <formula>AND(U$9&gt;=8/24,U$9&lt;14/24)</formula>
    </cfRule>
    <cfRule type="expression" dxfId="5875" priority="209">
      <formula>U$9&lt;8/24</formula>
    </cfRule>
  </conditionalFormatting>
  <conditionalFormatting sqref="AB8">
    <cfRule type="expression" dxfId="5874" priority="202">
      <formula>AD$9&gt;=20/24</formula>
    </cfRule>
    <cfRule type="expression" dxfId="5873" priority="203">
      <formula>AND(AD$9&gt;=14/24,AD$9&lt;20/24)</formula>
    </cfRule>
    <cfRule type="expression" dxfId="5872" priority="204">
      <formula>AND(AD$9&gt;=8/24,AD$9&lt;14/24)</formula>
    </cfRule>
    <cfRule type="expression" dxfId="5871" priority="205">
      <formula>AD$9&lt;8/24</formula>
    </cfRule>
  </conditionalFormatting>
  <conditionalFormatting sqref="AH212:AX212">
    <cfRule type="expression" dxfId="5870" priority="454">
      <formula>AG$9&gt;=20/24</formula>
    </cfRule>
    <cfRule type="expression" dxfId="5869" priority="455">
      <formula>AND(AG$9&gt;=14/24,AG$9&lt;20/24)</formula>
    </cfRule>
    <cfRule type="expression" dxfId="5868" priority="456">
      <formula>AND(AG$9&gt;=8/24,AG$9&lt;14/24)</formula>
    </cfRule>
    <cfRule type="expression" dxfId="5867" priority="457">
      <formula>AG$9&lt;8/24</formula>
    </cfRule>
  </conditionalFormatting>
  <conditionalFormatting sqref="T212">
    <cfRule type="expression" dxfId="5866" priority="458">
      <formula>AX$9&gt;=20/24</formula>
    </cfRule>
    <cfRule type="expression" dxfId="5865" priority="459">
      <formula>AND(AX$9&gt;=14/24,AX$9&lt;20/24)</formula>
    </cfRule>
    <cfRule type="expression" dxfId="5864" priority="460">
      <formula>AND(AX$9&gt;=8/24,AX$9&lt;14/24)</formula>
    </cfRule>
    <cfRule type="expression" dxfId="5863" priority="461">
      <formula>AX$9&lt;8/24</formula>
    </cfRule>
  </conditionalFormatting>
  <conditionalFormatting sqref="A99">
    <cfRule type="expression" dxfId="5862" priority="201">
      <formula>$AH99=0</formula>
    </cfRule>
  </conditionalFormatting>
  <conditionalFormatting sqref="S33:X33">
    <cfRule type="expression" dxfId="5861" priority="189">
      <formula>S$9&gt;=20/24</formula>
    </cfRule>
    <cfRule type="expression" dxfId="5860" priority="190">
      <formula>AND(S$9&gt;=14/24,S$9&lt;20/24)</formula>
    </cfRule>
    <cfRule type="expression" dxfId="5859" priority="191">
      <formula>AND(S$9&gt;=8/24,S$9&lt;14/24)</formula>
    </cfRule>
    <cfRule type="expression" dxfId="5858" priority="192">
      <formula>S$9&lt;8/24</formula>
    </cfRule>
  </conditionalFormatting>
  <conditionalFormatting sqref="B33:L33 S33:X33">
    <cfRule type="expression" dxfId="5857" priority="188">
      <formula>B33&gt;$AG33</formula>
    </cfRule>
  </conditionalFormatting>
  <conditionalFormatting sqref="M36">
    <cfRule type="expression" dxfId="5856" priority="184">
      <formula>M$9&gt;=20/24</formula>
    </cfRule>
    <cfRule type="expression" dxfId="5855" priority="185">
      <formula>AND(M$9&gt;=14/24,M$9&lt;20/24)</formula>
    </cfRule>
    <cfRule type="expression" dxfId="5854" priority="186">
      <formula>AND(M$9&gt;=8/24,M$9&lt;14/24)</formula>
    </cfRule>
    <cfRule type="expression" dxfId="5853" priority="187">
      <formula>M$9&lt;8/24</formula>
    </cfRule>
  </conditionalFormatting>
  <conditionalFormatting sqref="M16:M32 M34:M36">
    <cfRule type="expression" dxfId="5852" priority="183">
      <formula>M16&gt;$AG16</formula>
    </cfRule>
  </conditionalFormatting>
  <conditionalFormatting sqref="M33">
    <cfRule type="expression" dxfId="5851" priority="182">
      <formula>M33&gt;$AG33</formula>
    </cfRule>
  </conditionalFormatting>
  <conditionalFormatting sqref="N36">
    <cfRule type="expression" dxfId="5850" priority="178">
      <formula>N$9&gt;=20/24</formula>
    </cfRule>
    <cfRule type="expression" dxfId="5849" priority="179">
      <formula>AND(N$9&gt;=14/24,N$9&lt;20/24)</formula>
    </cfRule>
    <cfRule type="expression" dxfId="5848" priority="180">
      <formula>AND(N$9&gt;=8/24,N$9&lt;14/24)</formula>
    </cfRule>
    <cfRule type="expression" dxfId="5847" priority="181">
      <formula>N$9&lt;8/24</formula>
    </cfRule>
  </conditionalFormatting>
  <conditionalFormatting sqref="N16:N32 N34:N36">
    <cfRule type="expression" dxfId="5846" priority="177">
      <formula>N16&gt;$AG16</formula>
    </cfRule>
  </conditionalFormatting>
  <conditionalFormatting sqref="N33">
    <cfRule type="expression" dxfId="5845" priority="176">
      <formula>N33&gt;$AG33</formula>
    </cfRule>
  </conditionalFormatting>
  <conditionalFormatting sqref="O36">
    <cfRule type="expression" dxfId="5844" priority="172">
      <formula>O$9&gt;=20/24</formula>
    </cfRule>
    <cfRule type="expression" dxfId="5843" priority="173">
      <formula>AND(O$9&gt;=14/24,O$9&lt;20/24)</formula>
    </cfRule>
    <cfRule type="expression" dxfId="5842" priority="174">
      <formula>AND(O$9&gt;=8/24,O$9&lt;14/24)</formula>
    </cfRule>
    <cfRule type="expression" dxfId="5841" priority="175">
      <formula>O$9&lt;8/24</formula>
    </cfRule>
  </conditionalFormatting>
  <conditionalFormatting sqref="O16:O32 O34:O36">
    <cfRule type="expression" dxfId="5840" priority="171">
      <formula>O16&gt;$AG16</formula>
    </cfRule>
  </conditionalFormatting>
  <conditionalFormatting sqref="O33">
    <cfRule type="expression" dxfId="5839" priority="170">
      <formula>O33&gt;$AG33</formula>
    </cfRule>
  </conditionalFormatting>
  <conditionalFormatting sqref="P36">
    <cfRule type="expression" dxfId="5838" priority="166">
      <formula>P$9&gt;=20/24</formula>
    </cfRule>
    <cfRule type="expression" dxfId="5837" priority="167">
      <formula>AND(P$9&gt;=14/24,P$9&lt;20/24)</formula>
    </cfRule>
    <cfRule type="expression" dxfId="5836" priority="168">
      <formula>AND(P$9&gt;=8/24,P$9&lt;14/24)</formula>
    </cfRule>
    <cfRule type="expression" dxfId="5835" priority="169">
      <formula>P$9&lt;8/24</formula>
    </cfRule>
  </conditionalFormatting>
  <conditionalFormatting sqref="P16:P32 P34:P36">
    <cfRule type="expression" dxfId="5834" priority="165">
      <formula>P16&gt;$AG16</formula>
    </cfRule>
  </conditionalFormatting>
  <conditionalFormatting sqref="P33">
    <cfRule type="expression" dxfId="5833" priority="164">
      <formula>P33&gt;$AG33</formula>
    </cfRule>
  </conditionalFormatting>
  <conditionalFormatting sqref="Q36">
    <cfRule type="expression" dxfId="5832" priority="160">
      <formula>Q$9&gt;=20/24</formula>
    </cfRule>
    <cfRule type="expression" dxfId="5831" priority="161">
      <formula>AND(Q$9&gt;=14/24,Q$9&lt;20/24)</formula>
    </cfRule>
    <cfRule type="expression" dxfId="5830" priority="162">
      <formula>AND(Q$9&gt;=8/24,Q$9&lt;14/24)</formula>
    </cfRule>
    <cfRule type="expression" dxfId="5829" priority="163">
      <formula>Q$9&lt;8/24</formula>
    </cfRule>
  </conditionalFormatting>
  <conditionalFormatting sqref="Q16:Q32 Q34:Q36">
    <cfRule type="expression" dxfId="5828" priority="159">
      <formula>Q16&gt;$AG16</formula>
    </cfRule>
  </conditionalFormatting>
  <conditionalFormatting sqref="Q33">
    <cfRule type="expression" dxfId="5827" priority="158">
      <formula>Q33&gt;$AG33</formula>
    </cfRule>
  </conditionalFormatting>
  <conditionalFormatting sqref="R12:X14">
    <cfRule type="expression" dxfId="5826" priority="154">
      <formula>R$9&gt;=20/24</formula>
    </cfRule>
    <cfRule type="expression" dxfId="5825" priority="155">
      <formula>AND(R$9&gt;=14/24,R$9&lt;20/24)</formula>
    </cfRule>
    <cfRule type="expression" dxfId="5824" priority="156">
      <formula>AND(R$9&gt;=8/24,R$9&lt;14/24)</formula>
    </cfRule>
    <cfRule type="expression" dxfId="5823" priority="157">
      <formula>R$9&lt;8/24</formula>
    </cfRule>
  </conditionalFormatting>
  <conditionalFormatting sqref="R12:X14">
    <cfRule type="expression" dxfId="5822" priority="153">
      <formula>R12&gt;$AG12</formula>
    </cfRule>
  </conditionalFormatting>
  <conditionalFormatting sqref="R15:X15">
    <cfRule type="expression" dxfId="5821" priority="149">
      <formula>R$9&gt;=20/24</formula>
    </cfRule>
    <cfRule type="expression" dxfId="5820" priority="150">
      <formula>AND(R$9&gt;=14/24,R$9&lt;20/24)</formula>
    </cfRule>
    <cfRule type="expression" dxfId="5819" priority="151">
      <formula>AND(R$9&gt;=8/24,R$9&lt;14/24)</formula>
    </cfRule>
    <cfRule type="expression" dxfId="5818" priority="152">
      <formula>R$9&lt;8/24</formula>
    </cfRule>
  </conditionalFormatting>
  <conditionalFormatting sqref="R15:X15">
    <cfRule type="expression" dxfId="5817" priority="148">
      <formula>R15&gt;$AG15</formula>
    </cfRule>
  </conditionalFormatting>
  <conditionalFormatting sqref="R36:X36">
    <cfRule type="expression" dxfId="5816" priority="144">
      <formula>R$9&gt;=20/24</formula>
    </cfRule>
    <cfRule type="expression" dxfId="5815" priority="145">
      <formula>AND(R$9&gt;=14/24,R$9&lt;20/24)</formula>
    </cfRule>
    <cfRule type="expression" dxfId="5814" priority="146">
      <formula>AND(R$9&gt;=8/24,R$9&lt;14/24)</formula>
    </cfRule>
    <cfRule type="expression" dxfId="5813" priority="147">
      <formula>R$9&lt;8/24</formula>
    </cfRule>
  </conditionalFormatting>
  <conditionalFormatting sqref="R16:R32 R34:R35 R36:X36">
    <cfRule type="expression" dxfId="5812" priority="143">
      <formula>R16&gt;$AG16</formula>
    </cfRule>
  </conditionalFormatting>
  <conditionalFormatting sqref="R33">
    <cfRule type="expression" dxfId="5811" priority="142">
      <formula>R33&gt;$AG33</formula>
    </cfRule>
  </conditionalFormatting>
  <conditionalFormatting sqref="X53:X55 AA53:AA55">
    <cfRule type="expression" dxfId="5810" priority="140">
      <formula>X$9="PEAK"</formula>
    </cfRule>
  </conditionalFormatting>
  <conditionalFormatting sqref="Y94:AA99">
    <cfRule type="expression" dxfId="5809" priority="126">
      <formula>Y$9&gt;=20/24</formula>
    </cfRule>
    <cfRule type="expression" dxfId="5808" priority="127">
      <formula>AND(Y$9&gt;=14/24,Y$9&lt;20/24)</formula>
    </cfRule>
    <cfRule type="expression" dxfId="5807" priority="128">
      <formula>AND(Y$9&gt;=8/24,Y$9&lt;14/24)</formula>
    </cfRule>
    <cfRule type="expression" dxfId="5806" priority="129">
      <formula>Y$9&lt;8/24</formula>
    </cfRule>
  </conditionalFormatting>
  <conditionalFormatting sqref="Z84:AA90">
    <cfRule type="expression" dxfId="5805" priority="122">
      <formula>Z$9&gt;=20/24</formula>
    </cfRule>
    <cfRule type="expression" dxfId="5804" priority="123">
      <formula>AND(Z$9&gt;=14/24,Z$9&lt;20/24)</formula>
    </cfRule>
    <cfRule type="expression" dxfId="5803" priority="124">
      <formula>AND(Z$9&gt;=8/24,Z$9&lt;14/24)</formula>
    </cfRule>
    <cfRule type="expression" dxfId="5802" priority="125">
      <formula>Z$9&lt;8/24</formula>
    </cfRule>
  </conditionalFormatting>
  <conditionalFormatting sqref="Z91:AA91">
    <cfRule type="expression" dxfId="5801" priority="118">
      <formula>Z$9&gt;=20/24</formula>
    </cfRule>
    <cfRule type="expression" dxfId="5800" priority="119">
      <formula>AND(Z$9&gt;=14/24,Z$9&lt;20/24)</formula>
    </cfRule>
    <cfRule type="expression" dxfId="5799" priority="120">
      <formula>AND(Z$9&gt;=8/24,Z$9&lt;14/24)</formula>
    </cfRule>
    <cfRule type="expression" dxfId="5798" priority="121">
      <formula>Z$9&lt;8/24</formula>
    </cfRule>
  </conditionalFormatting>
  <conditionalFormatting sqref="Z11:AA37 AB12:AF35">
    <cfRule type="expression" dxfId="5797" priority="114">
      <formula>Z$9&gt;=20/24</formula>
    </cfRule>
    <cfRule type="expression" dxfId="5796" priority="115">
      <formula>AND(Z$9&gt;=14/24,Z$9&lt;20/24)</formula>
    </cfRule>
    <cfRule type="expression" dxfId="5795" priority="116">
      <formula>AND(Z$9&gt;=8/24,Z$9&lt;14/24)</formula>
    </cfRule>
    <cfRule type="expression" dxfId="5794" priority="117">
      <formula>Z$9&lt;8/24</formula>
    </cfRule>
  </conditionalFormatting>
  <conditionalFormatting sqref="Z11:AA37 AB12:AF35">
    <cfRule type="expression" dxfId="5793" priority="113">
      <formula>Z11&gt;$AG11</formula>
    </cfRule>
  </conditionalFormatting>
  <conditionalFormatting sqref="Z39:AA50">
    <cfRule type="expression" dxfId="5792" priority="109">
      <formula>Z$9&gt;=20/24</formula>
    </cfRule>
    <cfRule type="expression" dxfId="5791" priority="110">
      <formula>AND(Z$9&gt;=14/24,Z$9&lt;20/24)</formula>
    </cfRule>
    <cfRule type="expression" dxfId="5790" priority="111">
      <formula>AND(Z$9&gt;=8/24,Z$9&lt;14/24)</formula>
    </cfRule>
    <cfRule type="expression" dxfId="5789" priority="112">
      <formula>Z$9&lt;8/24</formula>
    </cfRule>
  </conditionalFormatting>
  <conditionalFormatting sqref="Z39:AA50">
    <cfRule type="expression" dxfId="5788" priority="108">
      <formula>Z39&gt;$AG39</formula>
    </cfRule>
  </conditionalFormatting>
  <conditionalFormatting sqref="Z53:Z55">
    <cfRule type="expression" dxfId="5787" priority="104">
      <formula>Z$9&gt;=20/24</formula>
    </cfRule>
    <cfRule type="expression" dxfId="5786" priority="105">
      <formula>AND(Z$9&gt;=14/24,Z$9&lt;20/24)</formula>
    </cfRule>
    <cfRule type="expression" dxfId="5785" priority="106">
      <formula>AND(Z$9&gt;=8/24,Z$9&lt;14/24)</formula>
    </cfRule>
    <cfRule type="expression" dxfId="5784" priority="107">
      <formula>Z$9&lt;8/24</formula>
    </cfRule>
  </conditionalFormatting>
  <conditionalFormatting sqref="Z53:Z55">
    <cfRule type="expression" dxfId="5783" priority="103">
      <formula>Z53&gt;$AG53</formula>
    </cfRule>
  </conditionalFormatting>
  <conditionalFormatting sqref="Z57:AA67 AB62:AB67">
    <cfRule type="expression" dxfId="5782" priority="99">
      <formula>Z$9&gt;=20/24</formula>
    </cfRule>
    <cfRule type="expression" dxfId="5781" priority="100">
      <formula>AND(Z$9&gt;=14/24,Z$9&lt;20/24)</formula>
    </cfRule>
    <cfRule type="expression" dxfId="5780" priority="101">
      <formula>AND(Z$9&gt;=8/24,Z$9&lt;14/24)</formula>
    </cfRule>
    <cfRule type="expression" dxfId="5779" priority="102">
      <formula>Z$9&lt;8/24</formula>
    </cfRule>
  </conditionalFormatting>
  <conditionalFormatting sqref="Y11 Y37 Y18:Y30 Y40:Y42 Y58:Y59 Y62:Y80 Y53:Y56 Y82:Y83">
    <cfRule type="expression" dxfId="5778" priority="83">
      <formula>Y$9&gt;=20/24</formula>
    </cfRule>
    <cfRule type="expression" dxfId="5777" priority="84">
      <formula>AND(Y$9&gt;=14/24,Y$9&lt;20/24)</formula>
    </cfRule>
    <cfRule type="expression" dxfId="5776" priority="85">
      <formula>AND(Y$9&gt;=8/24,Y$9&lt;14/24)</formula>
    </cfRule>
    <cfRule type="expression" dxfId="5775" priority="86">
      <formula>Y$9&lt;8/24</formula>
    </cfRule>
  </conditionalFormatting>
  <conditionalFormatting sqref="Y39">
    <cfRule type="expression" dxfId="5774" priority="79">
      <formula>Y$9&gt;=20/24</formula>
    </cfRule>
    <cfRule type="expression" dxfId="5773" priority="80">
      <formula>AND(Y$9&gt;=14/24,Y$9&lt;20/24)</formula>
    </cfRule>
    <cfRule type="expression" dxfId="5772" priority="81">
      <formula>AND(Y$9&gt;=8/24,Y$9&lt;14/24)</formula>
    </cfRule>
    <cfRule type="expression" dxfId="5771" priority="82">
      <formula>Y$9&lt;8/24</formula>
    </cfRule>
  </conditionalFormatting>
  <conditionalFormatting sqref="Y57">
    <cfRule type="expression" dxfId="5770" priority="75">
      <formula>Y$9&gt;=20/24</formula>
    </cfRule>
    <cfRule type="expression" dxfId="5769" priority="76">
      <formula>AND(Y$9&gt;=14/24,Y$9&lt;20/24)</formula>
    </cfRule>
    <cfRule type="expression" dxfId="5768" priority="77">
      <formula>AND(Y$9&gt;=8/24,Y$9&lt;14/24)</formula>
    </cfRule>
    <cfRule type="expression" dxfId="5767" priority="78">
      <formula>Y$9&lt;8/24</formula>
    </cfRule>
  </conditionalFormatting>
  <conditionalFormatting sqref="Y81">
    <cfRule type="expression" dxfId="5766" priority="71">
      <formula>Y$9&gt;=20/24</formula>
    </cfRule>
    <cfRule type="expression" dxfId="5765" priority="72">
      <formula>AND(Y$9&gt;=14/24,Y$9&lt;20/24)</formula>
    </cfRule>
    <cfRule type="expression" dxfId="5764" priority="73">
      <formula>AND(Y$9&gt;=8/24,Y$9&lt;14/24)</formula>
    </cfRule>
    <cfRule type="expression" dxfId="5763" priority="74">
      <formula>Y$9&lt;8/24</formula>
    </cfRule>
  </conditionalFormatting>
  <conditionalFormatting sqref="Y84">
    <cfRule type="expression" dxfId="5762" priority="67">
      <formula>Y$9&gt;=20/24</formula>
    </cfRule>
    <cfRule type="expression" dxfId="5761" priority="68">
      <formula>AND(Y$9&gt;=14/24,Y$9&lt;20/24)</formula>
    </cfRule>
    <cfRule type="expression" dxfId="5760" priority="69">
      <formula>AND(Y$9&gt;=8/24,Y$9&lt;14/24)</formula>
    </cfRule>
    <cfRule type="expression" dxfId="5759" priority="70">
      <formula>Y$9&lt;8/24</formula>
    </cfRule>
  </conditionalFormatting>
  <conditionalFormatting sqref="Y49">
    <cfRule type="expression" dxfId="5758" priority="63">
      <formula>Y$9&gt;=20/24</formula>
    </cfRule>
    <cfRule type="expression" dxfId="5757" priority="64">
      <formula>AND(Y$9&gt;=14/24,Y$9&lt;20/24)</formula>
    </cfRule>
    <cfRule type="expression" dxfId="5756" priority="65">
      <formula>AND(Y$9&gt;=8/24,Y$9&lt;14/24)</formula>
    </cfRule>
    <cfRule type="expression" dxfId="5755" priority="66">
      <formula>Y$9&lt;8/24</formula>
    </cfRule>
  </conditionalFormatting>
  <conditionalFormatting sqref="Y31:Y32 Y35">
    <cfRule type="expression" dxfId="5754" priority="59">
      <formula>Y$9&gt;=20/24</formula>
    </cfRule>
    <cfRule type="expression" dxfId="5753" priority="60">
      <formula>AND(Y$9&gt;=14/24,Y$9&lt;20/24)</formula>
    </cfRule>
    <cfRule type="expression" dxfId="5752" priority="61">
      <formula>AND(Y$9&gt;=8/24,Y$9&lt;14/24)</formula>
    </cfRule>
    <cfRule type="expression" dxfId="5751" priority="62">
      <formula>Y$9&lt;8/24</formula>
    </cfRule>
  </conditionalFormatting>
  <conditionalFormatting sqref="Y42:Y43 Y45:Y48">
    <cfRule type="expression" dxfId="5750" priority="55">
      <formula>Y$9&gt;=20/24</formula>
    </cfRule>
    <cfRule type="expression" dxfId="5749" priority="56">
      <formula>AND(Y$9&gt;=14/24,Y$9&lt;20/24)</formula>
    </cfRule>
    <cfRule type="expression" dxfId="5748" priority="57">
      <formula>AND(Y$9&gt;=8/24,Y$9&lt;14/24)</formula>
    </cfRule>
    <cfRule type="expression" dxfId="5747" priority="58">
      <formula>Y$9&lt;8/24</formula>
    </cfRule>
  </conditionalFormatting>
  <conditionalFormatting sqref="Y49">
    <cfRule type="expression" dxfId="5746" priority="51">
      <formula>Y$9&gt;=20/24</formula>
    </cfRule>
    <cfRule type="expression" dxfId="5745" priority="52">
      <formula>AND(Y$9&gt;=14/24,Y$9&lt;20/24)</formula>
    </cfRule>
    <cfRule type="expression" dxfId="5744" priority="53">
      <formula>AND(Y$9&gt;=8/24,Y$9&lt;14/24)</formula>
    </cfRule>
    <cfRule type="expression" dxfId="5743" priority="54">
      <formula>Y$9&lt;8/24</formula>
    </cfRule>
  </conditionalFormatting>
  <conditionalFormatting sqref="Y50">
    <cfRule type="expression" dxfId="5742" priority="47">
      <formula>Y$9&gt;=20/24</formula>
    </cfRule>
    <cfRule type="expression" dxfId="5741" priority="48">
      <formula>AND(Y$9&gt;=14/24,Y$9&lt;20/24)</formula>
    </cfRule>
    <cfRule type="expression" dxfId="5740" priority="49">
      <formula>AND(Y$9&gt;=8/24,Y$9&lt;14/24)</formula>
    </cfRule>
    <cfRule type="expression" dxfId="5739" priority="50">
      <formula>Y$9&lt;8/24</formula>
    </cfRule>
  </conditionalFormatting>
  <conditionalFormatting sqref="Y11 Y18:Y32 Y34:Y35 Y37:Y56">
    <cfRule type="expression" dxfId="5738" priority="46">
      <formula>Y11&gt;$AG11</formula>
    </cfRule>
  </conditionalFormatting>
  <conditionalFormatting sqref="Y34">
    <cfRule type="expression" dxfId="5737" priority="42">
      <formula>Y$9&gt;=20/24</formula>
    </cfRule>
    <cfRule type="expression" dxfId="5736" priority="43">
      <formula>AND(Y$9&gt;=14/24,Y$9&lt;20/24)</formula>
    </cfRule>
    <cfRule type="expression" dxfId="5735" priority="44">
      <formula>AND(Y$9&gt;=8/24,Y$9&lt;14/24)</formula>
    </cfRule>
    <cfRule type="expression" dxfId="5734" priority="45">
      <formula>Y$9&lt;8/24</formula>
    </cfRule>
  </conditionalFormatting>
  <conditionalFormatting sqref="Y44">
    <cfRule type="expression" dxfId="5733" priority="38">
      <formula>Y$9&gt;=20/24</formula>
    </cfRule>
    <cfRule type="expression" dxfId="5732" priority="39">
      <formula>AND(Y$9&gt;=14/24,Y$9&lt;20/24)</formula>
    </cfRule>
    <cfRule type="expression" dxfId="5731" priority="40">
      <formula>AND(Y$9&gt;=8/24,Y$9&lt;14/24)</formula>
    </cfRule>
    <cfRule type="expression" dxfId="5730" priority="41">
      <formula>Y$9&lt;8/24</formula>
    </cfRule>
  </conditionalFormatting>
  <conditionalFormatting sqref="Y60:Y61">
    <cfRule type="expression" dxfId="5729" priority="34">
      <formula>Y$9&gt;=20/24</formula>
    </cfRule>
    <cfRule type="expression" dxfId="5728" priority="35">
      <formula>AND(Y$9&gt;=14/24,Y$9&lt;20/24)</formula>
    </cfRule>
    <cfRule type="expression" dxfId="5727" priority="36">
      <formula>AND(Y$9&gt;=8/24,Y$9&lt;14/24)</formula>
    </cfRule>
    <cfRule type="expression" dxfId="5726" priority="37">
      <formula>Y$9&lt;8/24</formula>
    </cfRule>
  </conditionalFormatting>
  <conditionalFormatting sqref="Y85:Y91">
    <cfRule type="expression" dxfId="5725" priority="30">
      <formula>Y$9&gt;=20/24</formula>
    </cfRule>
    <cfRule type="expression" dxfId="5724" priority="31">
      <formula>AND(Y$9&gt;=14/24,Y$9&lt;20/24)</formula>
    </cfRule>
    <cfRule type="expression" dxfId="5723" priority="32">
      <formula>AND(Y$9&gt;=8/24,Y$9&lt;14/24)</formula>
    </cfRule>
    <cfRule type="expression" dxfId="5722" priority="33">
      <formula>Y$9&lt;8/24</formula>
    </cfRule>
  </conditionalFormatting>
  <conditionalFormatting sqref="Y16">
    <cfRule type="expression" dxfId="5721" priority="26">
      <formula>Y$9&gt;=20/24</formula>
    </cfRule>
    <cfRule type="expression" dxfId="5720" priority="27">
      <formula>AND(Y$9&gt;=14/24,Y$9&lt;20/24)</formula>
    </cfRule>
    <cfRule type="expression" dxfId="5719" priority="28">
      <formula>AND(Y$9&gt;=8/24,Y$9&lt;14/24)</formula>
    </cfRule>
    <cfRule type="expression" dxfId="5718" priority="29">
      <formula>Y$9&lt;8/24</formula>
    </cfRule>
  </conditionalFormatting>
  <conditionalFormatting sqref="Y17">
    <cfRule type="expression" dxfId="5717" priority="22">
      <formula>Y$9&gt;=20/24</formula>
    </cfRule>
    <cfRule type="expression" dxfId="5716" priority="23">
      <formula>AND(Y$9&gt;=14/24,Y$9&lt;20/24)</formula>
    </cfRule>
    <cfRule type="expression" dxfId="5715" priority="24">
      <formula>AND(Y$9&gt;=8/24,Y$9&lt;14/24)</formula>
    </cfRule>
    <cfRule type="expression" dxfId="5714" priority="25">
      <formula>Y$9&lt;8/24</formula>
    </cfRule>
  </conditionalFormatting>
  <conditionalFormatting sqref="Y33">
    <cfRule type="expression" dxfId="5713" priority="18">
      <formula>Y$9&gt;=20/24</formula>
    </cfRule>
    <cfRule type="expression" dxfId="5712" priority="19">
      <formula>AND(Y$9&gt;=14/24,Y$9&lt;20/24)</formula>
    </cfRule>
    <cfRule type="expression" dxfId="5711" priority="20">
      <formula>AND(Y$9&gt;=8/24,Y$9&lt;14/24)</formula>
    </cfRule>
    <cfRule type="expression" dxfId="5710" priority="21">
      <formula>Y$9&lt;8/24</formula>
    </cfRule>
  </conditionalFormatting>
  <conditionalFormatting sqref="Y33">
    <cfRule type="expression" dxfId="5709" priority="17">
      <formula>Y33&gt;$AG33</formula>
    </cfRule>
  </conditionalFormatting>
  <conditionalFormatting sqref="Y12:Y14">
    <cfRule type="expression" dxfId="5708" priority="13">
      <formula>Y$9&gt;=20/24</formula>
    </cfRule>
    <cfRule type="expression" dxfId="5707" priority="14">
      <formula>AND(Y$9&gt;=14/24,Y$9&lt;20/24)</formula>
    </cfRule>
    <cfRule type="expression" dxfId="5706" priority="15">
      <formula>AND(Y$9&gt;=8/24,Y$9&lt;14/24)</formula>
    </cfRule>
    <cfRule type="expression" dxfId="5705" priority="16">
      <formula>Y$9&lt;8/24</formula>
    </cfRule>
  </conditionalFormatting>
  <conditionalFormatting sqref="Y12:Y14">
    <cfRule type="expression" dxfId="5704" priority="12">
      <formula>Y12&gt;$AG12</formula>
    </cfRule>
  </conditionalFormatting>
  <conditionalFormatting sqref="Y15">
    <cfRule type="expression" dxfId="5703" priority="8">
      <formula>Y$9&gt;=20/24</formula>
    </cfRule>
    <cfRule type="expression" dxfId="5702" priority="9">
      <formula>AND(Y$9&gt;=14/24,Y$9&lt;20/24)</formula>
    </cfRule>
    <cfRule type="expression" dxfId="5701" priority="10">
      <formula>AND(Y$9&gt;=8/24,Y$9&lt;14/24)</formula>
    </cfRule>
    <cfRule type="expression" dxfId="5700" priority="11">
      <formula>Y$9&lt;8/24</formula>
    </cfRule>
  </conditionalFormatting>
  <conditionalFormatting sqref="Y15">
    <cfRule type="expression" dxfId="5699" priority="7">
      <formula>Y15&gt;$AG15</formula>
    </cfRule>
  </conditionalFormatting>
  <conditionalFormatting sqref="Y36">
    <cfRule type="expression" dxfId="5698" priority="3">
      <formula>Y$9&gt;=20/24</formula>
    </cfRule>
    <cfRule type="expression" dxfId="5697" priority="4">
      <formula>AND(Y$9&gt;=14/24,Y$9&lt;20/24)</formula>
    </cfRule>
    <cfRule type="expression" dxfId="5696" priority="5">
      <formula>AND(Y$9&gt;=8/24,Y$9&lt;14/24)</formula>
    </cfRule>
    <cfRule type="expression" dxfId="5695" priority="6">
      <formula>Y$9&lt;8/24</formula>
    </cfRule>
  </conditionalFormatting>
  <conditionalFormatting sqref="Y36">
    <cfRule type="expression" dxfId="5694" priority="2">
      <formula>Y36&gt;$AG36</formula>
    </cfRule>
  </conditionalFormatting>
  <conditionalFormatting sqref="Y53:Y55">
    <cfRule type="expression" dxfId="5693" priority="1">
      <formula>Y$9="PEAK"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1" id="{1379AE4D-595B-42C3-BF7D-F03E5645D75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H61" sqref="H6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7.1406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2078/10/18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413.7</v>
      </c>
      <c r="C5" s="32">
        <f t="shared" si="0"/>
        <v>408.3</v>
      </c>
      <c r="D5" s="32">
        <f t="shared" si="0"/>
        <v>369.8</v>
      </c>
      <c r="E5" s="32">
        <f t="shared" si="0"/>
        <v>374.70000000000005</v>
      </c>
      <c r="F5" s="32">
        <f t="shared" si="0"/>
        <v>395.09999999999997</v>
      </c>
      <c r="G5" s="32">
        <f t="shared" si="0"/>
        <v>400.9</v>
      </c>
      <c r="H5" s="32">
        <f t="shared" si="0"/>
        <v>497.80000000000007</v>
      </c>
      <c r="I5" s="32">
        <f t="shared" si="0"/>
        <v>549.40000000000009</v>
      </c>
      <c r="J5" s="32">
        <f t="shared" si="0"/>
        <v>413.7</v>
      </c>
      <c r="K5" s="32">
        <f t="shared" si="0"/>
        <v>328.4</v>
      </c>
      <c r="L5" s="32">
        <f t="shared" si="0"/>
        <v>380.5</v>
      </c>
      <c r="M5" s="32">
        <f t="shared" si="0"/>
        <v>398.5</v>
      </c>
      <c r="N5" s="32">
        <f t="shared" si="0"/>
        <v>442.8</v>
      </c>
      <c r="O5" s="32">
        <f t="shared" si="0"/>
        <v>445.8</v>
      </c>
      <c r="P5" s="32">
        <f t="shared" si="0"/>
        <v>602.69999999999993</v>
      </c>
      <c r="Q5" s="32">
        <f t="shared" si="0"/>
        <v>575.1</v>
      </c>
      <c r="R5" s="32">
        <f t="shared" si="0"/>
        <v>606.20000000000005</v>
      </c>
      <c r="S5" s="32">
        <f t="shared" si="0"/>
        <v>627.6</v>
      </c>
      <c r="T5" s="32">
        <f t="shared" si="0"/>
        <v>646.99999999999989</v>
      </c>
      <c r="U5" s="32">
        <f t="shared" si="0"/>
        <v>514.5</v>
      </c>
      <c r="V5" s="32">
        <f t="shared" si="0"/>
        <v>564.5</v>
      </c>
      <c r="W5" s="32">
        <f t="shared" si="0"/>
        <v>435.30000000000007</v>
      </c>
      <c r="X5" s="32">
        <f t="shared" si="0"/>
        <v>428.69999999999993</v>
      </c>
      <c r="Y5" s="32">
        <f t="shared" si="0"/>
        <v>0</v>
      </c>
      <c r="Z5" s="32">
        <f t="shared" si="0"/>
        <v>370</v>
      </c>
      <c r="AA5" s="32">
        <f t="shared" si="0"/>
        <v>377.9</v>
      </c>
      <c r="AB5" s="32">
        <f t="shared" si="0"/>
        <v>334.8</v>
      </c>
      <c r="AC5" s="32">
        <f t="shared" si="0"/>
        <v>517.79999999999995</v>
      </c>
      <c r="AD5" s="32">
        <f t="shared" si="0"/>
        <v>470.5</v>
      </c>
      <c r="AE5" s="32">
        <f t="shared" si="0"/>
        <v>394.8</v>
      </c>
      <c r="AF5" s="32">
        <f>B68</f>
        <v>440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1613MW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1004.54</v>
      </c>
      <c r="C7" s="37">
        <f t="shared" ref="C7:AF7" si="1">C75</f>
        <v>964.94</v>
      </c>
      <c r="D7" s="37">
        <f t="shared" si="1"/>
        <v>957.04</v>
      </c>
      <c r="E7" s="37">
        <f t="shared" si="1"/>
        <v>919.04</v>
      </c>
      <c r="F7" s="37">
        <f t="shared" si="1"/>
        <v>923.84</v>
      </c>
      <c r="G7" s="37">
        <f t="shared" si="1"/>
        <v>981.04</v>
      </c>
      <c r="H7" s="37">
        <f t="shared" si="1"/>
        <v>1026.3399999999999</v>
      </c>
      <c r="I7" s="37">
        <f t="shared" si="1"/>
        <v>1094.54</v>
      </c>
      <c r="J7" s="37">
        <f t="shared" si="1"/>
        <v>1244.3400000000001</v>
      </c>
      <c r="K7" s="37">
        <f t="shared" si="1"/>
        <v>1406.04</v>
      </c>
      <c r="L7" s="37">
        <f t="shared" si="1"/>
        <v>1505.3400000000001</v>
      </c>
      <c r="M7" s="37">
        <f t="shared" si="1"/>
        <v>1613.1399999999999</v>
      </c>
      <c r="N7" s="37">
        <f t="shared" si="1"/>
        <v>1575.7400000000002</v>
      </c>
      <c r="O7" s="37">
        <f t="shared" si="1"/>
        <v>1486.94</v>
      </c>
      <c r="P7" s="37">
        <f t="shared" si="1"/>
        <v>1325.94</v>
      </c>
      <c r="Q7" s="37">
        <f t="shared" si="1"/>
        <v>1307.9399999999998</v>
      </c>
      <c r="R7" s="37">
        <f t="shared" si="1"/>
        <v>1256.6400000000001</v>
      </c>
      <c r="S7" s="37">
        <f t="shared" si="1"/>
        <v>1322.04</v>
      </c>
      <c r="T7" s="37">
        <f t="shared" si="1"/>
        <v>1353.3400000000001</v>
      </c>
      <c r="U7" s="37">
        <f t="shared" si="1"/>
        <v>1393.04</v>
      </c>
      <c r="V7" s="37">
        <f t="shared" si="1"/>
        <v>1427.84</v>
      </c>
      <c r="W7" s="37">
        <f t="shared" si="1"/>
        <v>1512.8400000000001</v>
      </c>
      <c r="X7" s="37">
        <f t="shared" si="1"/>
        <v>1598.3400000000001</v>
      </c>
      <c r="Y7" s="37">
        <f t="shared" si="1"/>
        <v>1708.2400000000002</v>
      </c>
      <c r="Z7" s="37">
        <f t="shared" si="1"/>
        <v>3.54</v>
      </c>
      <c r="AA7" s="37">
        <f t="shared" si="1"/>
        <v>1518.44</v>
      </c>
      <c r="AB7" s="37">
        <f t="shared" si="1"/>
        <v>1501.1399999999999</v>
      </c>
      <c r="AC7" s="37">
        <f t="shared" si="1"/>
        <v>1257.2399999999998</v>
      </c>
      <c r="AD7" s="37">
        <f t="shared" si="1"/>
        <v>1242.04</v>
      </c>
      <c r="AE7" s="37">
        <f t="shared" si="1"/>
        <v>1129.44</v>
      </c>
      <c r="AF7" s="37">
        <f t="shared" si="1"/>
        <v>1007.94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192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15</v>
      </c>
      <c r="C11" s="50">
        <v>15</v>
      </c>
      <c r="D11" s="50">
        <v>15</v>
      </c>
      <c r="E11" s="50">
        <v>15</v>
      </c>
      <c r="F11" s="49">
        <v>15</v>
      </c>
      <c r="G11" s="49">
        <v>20</v>
      </c>
      <c r="H11" s="49">
        <v>20</v>
      </c>
      <c r="I11" s="49">
        <v>15</v>
      </c>
      <c r="J11" s="49">
        <v>50</v>
      </c>
      <c r="K11" s="49">
        <v>150</v>
      </c>
      <c r="L11" s="49">
        <v>320</v>
      </c>
      <c r="M11" s="50">
        <v>360</v>
      </c>
      <c r="N11" s="50">
        <v>300</v>
      </c>
      <c r="O11" s="50">
        <v>200</v>
      </c>
      <c r="P11" s="50">
        <v>120</v>
      </c>
      <c r="Q11" s="50">
        <v>12</v>
      </c>
      <c r="R11" s="177">
        <v>12</v>
      </c>
      <c r="S11" s="177">
        <v>10</v>
      </c>
      <c r="T11" s="177">
        <v>10</v>
      </c>
      <c r="U11" s="177">
        <v>10</v>
      </c>
      <c r="V11" s="50">
        <v>100</v>
      </c>
      <c r="W11" s="50">
        <v>100</v>
      </c>
      <c r="X11" s="50">
        <v>250</v>
      </c>
      <c r="Y11" s="50">
        <v>330</v>
      </c>
      <c r="Z11" s="50" t="s">
        <v>220</v>
      </c>
      <c r="AA11" s="50">
        <v>210</v>
      </c>
      <c r="AB11" s="50">
        <v>210</v>
      </c>
      <c r="AC11" s="50">
        <v>100</v>
      </c>
      <c r="AD11" s="50">
        <v>15.5</v>
      </c>
      <c r="AE11" s="50">
        <v>15.7</v>
      </c>
      <c r="AF11" s="50">
        <v>14.6</v>
      </c>
      <c r="AG11" s="52">
        <v>456</v>
      </c>
      <c r="AH11" s="53">
        <f>MAX(B11:AF11)</f>
        <v>360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0">
        <v>36</v>
      </c>
      <c r="C12" s="50">
        <v>36</v>
      </c>
      <c r="D12" s="50">
        <v>36</v>
      </c>
      <c r="E12" s="50">
        <v>36</v>
      </c>
      <c r="F12" s="50">
        <v>36</v>
      </c>
      <c r="G12" s="50">
        <v>36</v>
      </c>
      <c r="H12" s="50">
        <v>36</v>
      </c>
      <c r="I12" s="50">
        <v>36</v>
      </c>
      <c r="J12" s="50">
        <v>36</v>
      </c>
      <c r="K12" s="50">
        <v>36</v>
      </c>
      <c r="L12" s="50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49">
        <v>36</v>
      </c>
      <c r="T12" s="49">
        <v>36</v>
      </c>
      <c r="U12" s="49">
        <v>36</v>
      </c>
      <c r="V12" s="49">
        <v>36</v>
      </c>
      <c r="W12" s="49">
        <v>36</v>
      </c>
      <c r="X12" s="49">
        <v>36</v>
      </c>
      <c r="Y12" s="49">
        <v>36</v>
      </c>
      <c r="Z12" s="50" t="s">
        <v>221</v>
      </c>
      <c r="AA12" s="50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0">
        <v>19</v>
      </c>
      <c r="C13" s="50">
        <v>19</v>
      </c>
      <c r="D13" s="50">
        <v>19</v>
      </c>
      <c r="E13" s="50">
        <v>19</v>
      </c>
      <c r="F13" s="50">
        <v>19</v>
      </c>
      <c r="G13" s="50">
        <v>19</v>
      </c>
      <c r="H13" s="50">
        <v>19</v>
      </c>
      <c r="I13" s="50">
        <v>19</v>
      </c>
      <c r="J13" s="50">
        <v>19</v>
      </c>
      <c r="K13" s="50">
        <v>19</v>
      </c>
      <c r="L13" s="50">
        <v>19</v>
      </c>
      <c r="M13" s="49">
        <v>20</v>
      </c>
      <c r="N13" s="49">
        <v>20</v>
      </c>
      <c r="O13" s="49">
        <v>19.899999999999999</v>
      </c>
      <c r="P13" s="49">
        <v>19.899999999999999</v>
      </c>
      <c r="Q13" s="49">
        <v>20</v>
      </c>
      <c r="R13" s="49">
        <v>21</v>
      </c>
      <c r="S13" s="49">
        <v>21</v>
      </c>
      <c r="T13" s="49">
        <v>18.8</v>
      </c>
      <c r="U13" s="49">
        <v>18.100000000000001</v>
      </c>
      <c r="V13" s="49">
        <v>20.2</v>
      </c>
      <c r="W13" s="49">
        <v>21.5</v>
      </c>
      <c r="X13" s="49">
        <v>21.5</v>
      </c>
      <c r="Y13" s="49">
        <v>20.6</v>
      </c>
      <c r="Z13" s="50" t="s">
        <v>220</v>
      </c>
      <c r="AA13" s="50">
        <v>20.8</v>
      </c>
      <c r="AB13" s="50">
        <v>20.8</v>
      </c>
      <c r="AC13" s="50">
        <v>19.3</v>
      </c>
      <c r="AD13" s="50">
        <v>19.3</v>
      </c>
      <c r="AE13" s="50">
        <v>19.3</v>
      </c>
      <c r="AF13" s="50">
        <v>21</v>
      </c>
      <c r="AG13" s="58">
        <v>52.4</v>
      </c>
      <c r="AH13" s="53">
        <f t="shared" si="2"/>
        <v>21.5</v>
      </c>
      <c r="AI13" s="54">
        <f t="shared" si="3"/>
        <v>18.100000000000001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0">
        <v>36.799999999999997</v>
      </c>
      <c r="C14" s="50">
        <v>36.799999999999997</v>
      </c>
      <c r="D14" s="50">
        <v>36.799999999999997</v>
      </c>
      <c r="E14" s="50">
        <v>36.799999999999997</v>
      </c>
      <c r="F14" s="50">
        <v>36.799999999999997</v>
      </c>
      <c r="G14" s="50">
        <v>36.799999999999997</v>
      </c>
      <c r="H14" s="50">
        <v>36.799999999999997</v>
      </c>
      <c r="I14" s="50">
        <v>36.799999999999997</v>
      </c>
      <c r="J14" s="50">
        <v>36.799999999999997</v>
      </c>
      <c r="K14" s="50">
        <v>36.799999999999997</v>
      </c>
      <c r="L14" s="50">
        <v>36.799999999999997</v>
      </c>
      <c r="M14" s="50">
        <v>38.4</v>
      </c>
      <c r="N14" s="50">
        <v>38.700000000000003</v>
      </c>
      <c r="O14" s="50">
        <v>38.700000000000003</v>
      </c>
      <c r="P14" s="50">
        <v>38.700000000000003</v>
      </c>
      <c r="Q14" s="50">
        <v>38.700000000000003</v>
      </c>
      <c r="R14" s="50">
        <v>38.700000000000003</v>
      </c>
      <c r="S14" s="50">
        <v>37.9</v>
      </c>
      <c r="T14" s="50">
        <v>37.9</v>
      </c>
      <c r="U14" s="50">
        <v>38.6</v>
      </c>
      <c r="V14" s="50">
        <v>38.700000000000003</v>
      </c>
      <c r="W14" s="50">
        <v>38.299999999999997</v>
      </c>
      <c r="X14" s="50">
        <v>38.299999999999997</v>
      </c>
      <c r="Y14" s="50">
        <v>38.9</v>
      </c>
      <c r="Z14" s="50" t="s">
        <v>222</v>
      </c>
      <c r="AA14" s="50">
        <v>47.9</v>
      </c>
      <c r="AB14" s="50">
        <v>47.9</v>
      </c>
      <c r="AC14" s="50">
        <v>48.2</v>
      </c>
      <c r="AD14" s="50">
        <v>48.2</v>
      </c>
      <c r="AE14" s="50">
        <v>48.2</v>
      </c>
      <c r="AF14" s="50">
        <v>37.4</v>
      </c>
      <c r="AG14" s="58">
        <v>50</v>
      </c>
      <c r="AH14" s="53">
        <f t="shared" si="2"/>
        <v>48.2</v>
      </c>
      <c r="AI14" s="54">
        <f t="shared" si="3"/>
        <v>36.799999999999997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0">
        <v>22.2</v>
      </c>
      <c r="C15" s="50">
        <v>22.2</v>
      </c>
      <c r="D15" s="50">
        <v>22.2</v>
      </c>
      <c r="E15" s="50">
        <v>22.2</v>
      </c>
      <c r="F15" s="50">
        <v>22.2</v>
      </c>
      <c r="G15" s="50">
        <v>22.2</v>
      </c>
      <c r="H15" s="50">
        <v>22.2</v>
      </c>
      <c r="I15" s="50">
        <v>22.2</v>
      </c>
      <c r="J15" s="50">
        <v>22.2</v>
      </c>
      <c r="K15" s="50">
        <v>22.2</v>
      </c>
      <c r="L15" s="50">
        <v>22.2</v>
      </c>
      <c r="M15" s="50">
        <v>21.3</v>
      </c>
      <c r="N15" s="50">
        <v>21.3</v>
      </c>
      <c r="O15" s="50">
        <v>21.3</v>
      </c>
      <c r="P15" s="50">
        <v>21.3</v>
      </c>
      <c r="Q15" s="50">
        <v>21.3</v>
      </c>
      <c r="R15" s="50">
        <v>21.3</v>
      </c>
      <c r="S15" s="50">
        <v>21.5</v>
      </c>
      <c r="T15" s="50">
        <v>21.5</v>
      </c>
      <c r="U15" s="50">
        <v>22.3</v>
      </c>
      <c r="V15" s="50">
        <v>21.7</v>
      </c>
      <c r="W15" s="50">
        <v>21.7</v>
      </c>
      <c r="X15" s="50">
        <v>21.7</v>
      </c>
      <c r="Y15" s="50">
        <v>21.6</v>
      </c>
      <c r="Z15" s="50" t="s">
        <v>223</v>
      </c>
      <c r="AA15" s="50">
        <v>21.7</v>
      </c>
      <c r="AB15" s="50">
        <v>21.7</v>
      </c>
      <c r="AC15" s="50">
        <v>21.7</v>
      </c>
      <c r="AD15" s="50">
        <v>21.7</v>
      </c>
      <c r="AE15" s="50">
        <v>21.7</v>
      </c>
      <c r="AF15" s="50">
        <v>22.1</v>
      </c>
      <c r="AG15" s="61">
        <v>45</v>
      </c>
      <c r="AH15" s="53">
        <f t="shared" si="2"/>
        <v>22.3</v>
      </c>
      <c r="AI15" s="54">
        <f t="shared" si="3"/>
        <v>21.3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190">
        <v>10</v>
      </c>
      <c r="N16" s="190">
        <v>10</v>
      </c>
      <c r="O16" s="190">
        <v>10</v>
      </c>
      <c r="P16" s="190">
        <v>10</v>
      </c>
      <c r="Q16" s="190">
        <v>10</v>
      </c>
      <c r="R16" s="19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50" t="s">
        <v>224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0">
        <v>9</v>
      </c>
      <c r="C17" s="50">
        <v>9</v>
      </c>
      <c r="D17" s="50">
        <v>9</v>
      </c>
      <c r="E17" s="50">
        <v>9</v>
      </c>
      <c r="F17" s="50">
        <v>9</v>
      </c>
      <c r="G17" s="50">
        <v>9</v>
      </c>
      <c r="H17" s="50">
        <v>9</v>
      </c>
      <c r="I17" s="50">
        <v>9</v>
      </c>
      <c r="J17" s="50">
        <v>9</v>
      </c>
      <c r="K17" s="50">
        <v>9</v>
      </c>
      <c r="L17" s="50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0"/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 t="s">
        <v>225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9.5</v>
      </c>
      <c r="C19" s="50">
        <v>9.5</v>
      </c>
      <c r="D19" s="50">
        <v>9.5</v>
      </c>
      <c r="E19" s="50">
        <v>9.5</v>
      </c>
      <c r="F19" s="50">
        <v>9.5</v>
      </c>
      <c r="G19" s="50">
        <v>9.5</v>
      </c>
      <c r="H19" s="50">
        <v>9.5</v>
      </c>
      <c r="I19" s="50">
        <v>9.5</v>
      </c>
      <c r="J19" s="50">
        <v>9.5</v>
      </c>
      <c r="K19" s="50">
        <v>9.5</v>
      </c>
      <c r="L19" s="50">
        <v>9.5</v>
      </c>
      <c r="M19" s="50">
        <v>9.5</v>
      </c>
      <c r="N19" s="50">
        <v>9.5</v>
      </c>
      <c r="O19" s="50">
        <v>9.5</v>
      </c>
      <c r="P19" s="50">
        <v>9.5</v>
      </c>
      <c r="Q19" s="50">
        <v>9.5</v>
      </c>
      <c r="R19" s="50">
        <v>9.5</v>
      </c>
      <c r="S19" s="50">
        <v>9.5</v>
      </c>
      <c r="T19" s="50">
        <v>9.5</v>
      </c>
      <c r="U19" s="50">
        <v>9.5</v>
      </c>
      <c r="V19" s="50">
        <v>9.5</v>
      </c>
      <c r="W19" s="50">
        <v>9.5</v>
      </c>
      <c r="X19" s="50">
        <v>9.5</v>
      </c>
      <c r="Y19" s="50">
        <v>10.1</v>
      </c>
      <c r="Z19" s="50" t="s">
        <v>226</v>
      </c>
      <c r="AA19" s="50">
        <v>10.1</v>
      </c>
      <c r="AB19" s="50">
        <v>10.1</v>
      </c>
      <c r="AC19" s="50">
        <v>10.1</v>
      </c>
      <c r="AD19" s="50">
        <v>10.1</v>
      </c>
      <c r="AE19" s="50">
        <v>10.1</v>
      </c>
      <c r="AF19" s="50">
        <v>10.1</v>
      </c>
      <c r="AG19" s="58">
        <v>30</v>
      </c>
      <c r="AH19" s="53">
        <f t="shared" si="2"/>
        <v>10.1</v>
      </c>
      <c r="AI19" s="54">
        <f t="shared" si="3"/>
        <v>9.5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 t="s">
        <v>220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 t="s">
        <v>222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12.2</v>
      </c>
      <c r="C22" s="50">
        <v>12.2</v>
      </c>
      <c r="D22" s="50">
        <v>12.2</v>
      </c>
      <c r="E22" s="50">
        <v>12.2</v>
      </c>
      <c r="F22" s="50">
        <v>12.2</v>
      </c>
      <c r="G22" s="50">
        <v>12.2</v>
      </c>
      <c r="H22" s="50">
        <v>12.2</v>
      </c>
      <c r="I22" s="50">
        <v>12.2</v>
      </c>
      <c r="J22" s="50">
        <v>12.2</v>
      </c>
      <c r="K22" s="50">
        <v>12.2</v>
      </c>
      <c r="L22" s="50">
        <v>12.2</v>
      </c>
      <c r="M22" s="50">
        <v>11.1</v>
      </c>
      <c r="N22" s="50">
        <v>11.1</v>
      </c>
      <c r="O22" s="50">
        <v>11.1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11.5</v>
      </c>
      <c r="X22" s="50">
        <v>11.5</v>
      </c>
      <c r="Y22" s="50">
        <v>19.399999999999999</v>
      </c>
      <c r="Z22" s="50" t="s">
        <v>227</v>
      </c>
      <c r="AA22" s="50">
        <v>19.399999999999999</v>
      </c>
      <c r="AB22" s="50">
        <v>19.399999999999999</v>
      </c>
      <c r="AC22" s="50">
        <v>19.399999999999999</v>
      </c>
      <c r="AD22" s="50">
        <v>19.399999999999999</v>
      </c>
      <c r="AE22" s="50">
        <v>19.399999999999999</v>
      </c>
      <c r="AF22" s="50">
        <v>19.399999999999999</v>
      </c>
      <c r="AG22" s="58">
        <v>25</v>
      </c>
      <c r="AH22" s="53">
        <f t="shared" si="2"/>
        <v>19.399999999999999</v>
      </c>
      <c r="AI22" s="54">
        <f t="shared" si="3"/>
        <v>11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 t="s">
        <v>228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7</v>
      </c>
      <c r="C24" s="50">
        <v>7</v>
      </c>
      <c r="D24" s="50">
        <v>7</v>
      </c>
      <c r="E24" s="50">
        <v>7</v>
      </c>
      <c r="F24" s="50">
        <v>7</v>
      </c>
      <c r="G24" s="50">
        <v>7</v>
      </c>
      <c r="H24" s="50">
        <v>7</v>
      </c>
      <c r="I24" s="50">
        <v>7</v>
      </c>
      <c r="J24" s="50">
        <v>7</v>
      </c>
      <c r="K24" s="50">
        <v>7</v>
      </c>
      <c r="L24" s="50">
        <v>7</v>
      </c>
      <c r="M24" s="50">
        <v>7</v>
      </c>
      <c r="N24" s="50">
        <v>7</v>
      </c>
      <c r="O24" s="50">
        <v>7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 t="s">
        <v>229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8">
        <v>25</v>
      </c>
      <c r="AH24" s="53">
        <f t="shared" si="2"/>
        <v>7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/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/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/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/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/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/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/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/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/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/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/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50"/>
      <c r="AA36" s="50">
        <v>160</v>
      </c>
      <c r="AB36" s="50">
        <v>160</v>
      </c>
      <c r="AC36" s="50">
        <v>160</v>
      </c>
      <c r="AD36" s="50">
        <v>160</v>
      </c>
      <c r="AE36" s="50">
        <v>160</v>
      </c>
      <c r="AF36" s="5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9">
        <v>47</v>
      </c>
      <c r="C37" s="69">
        <v>46</v>
      </c>
      <c r="D37" s="69">
        <v>44</v>
      </c>
      <c r="E37" s="60">
        <v>46.4</v>
      </c>
      <c r="F37" s="60">
        <v>48.4</v>
      </c>
      <c r="G37" s="60">
        <v>48</v>
      </c>
      <c r="H37" s="60">
        <v>47.5</v>
      </c>
      <c r="I37" s="60">
        <v>46.9</v>
      </c>
      <c r="J37" s="60">
        <v>46.5</v>
      </c>
      <c r="K37" s="60">
        <v>45.1</v>
      </c>
      <c r="L37" s="60">
        <v>43.8</v>
      </c>
      <c r="M37" s="69">
        <f>27.9+15.3</f>
        <v>43.2</v>
      </c>
      <c r="N37" s="69">
        <f>28.1+15</f>
        <v>43.1</v>
      </c>
      <c r="O37" s="69">
        <f>26.4+12.2</f>
        <v>38.599999999999994</v>
      </c>
      <c r="P37" s="69">
        <f>29.2+15.5</f>
        <v>44.7</v>
      </c>
      <c r="Q37" s="69">
        <f>29.8+16.1</f>
        <v>45.900000000000006</v>
      </c>
      <c r="R37" s="69">
        <f>29.5+16.1</f>
        <v>45.6</v>
      </c>
      <c r="S37" s="69">
        <f>15.8+29.6</f>
        <v>45.400000000000006</v>
      </c>
      <c r="T37" s="69">
        <f>15+27.8</f>
        <v>42.8</v>
      </c>
      <c r="U37" s="69">
        <f>15+27.8</f>
        <v>42.8</v>
      </c>
      <c r="V37" s="69">
        <f>14.7+27.4</f>
        <v>42.099999999999994</v>
      </c>
      <c r="W37" s="69">
        <f>14.6+27.2</f>
        <v>41.8</v>
      </c>
      <c r="X37" s="69">
        <f>14.6+27.2</f>
        <v>41.8</v>
      </c>
      <c r="Y37" s="69">
        <v>48.8</v>
      </c>
      <c r="Z37" s="50"/>
      <c r="AA37" s="50">
        <v>48.8</v>
      </c>
      <c r="AB37" s="50">
        <v>48.8</v>
      </c>
      <c r="AC37" s="50">
        <v>48.8</v>
      </c>
      <c r="AD37" s="50">
        <v>48.8</v>
      </c>
      <c r="AE37" s="50">
        <v>48.8</v>
      </c>
      <c r="AF37" s="50">
        <f>17.6+34.4</f>
        <v>52</v>
      </c>
      <c r="AG37" s="66">
        <v>240</v>
      </c>
      <c r="AH37" s="53">
        <f t="shared" si="2"/>
        <v>52</v>
      </c>
      <c r="AI37" s="54">
        <f t="shared" si="3"/>
        <v>38.599999999999994</v>
      </c>
      <c r="AK37" s="55"/>
    </row>
    <row r="38" spans="1:88" ht="15.75" thickBot="1" x14ac:dyDescent="0.3">
      <c r="A38" s="70" t="s">
        <v>46</v>
      </c>
      <c r="B38" s="71">
        <f t="shared" ref="B38" si="4">SUM(B11:B36)</f>
        <v>417.7</v>
      </c>
      <c r="C38" s="71">
        <f t="shared" ref="C38:AF38" si="5">SUM(C11:C36)</f>
        <v>417.7</v>
      </c>
      <c r="D38" s="71">
        <f t="shared" si="5"/>
        <v>417.7</v>
      </c>
      <c r="E38" s="71">
        <f t="shared" si="5"/>
        <v>417.7</v>
      </c>
      <c r="F38" s="71">
        <f t="shared" si="5"/>
        <v>417.7</v>
      </c>
      <c r="G38" s="71">
        <f t="shared" si="5"/>
        <v>422.7</v>
      </c>
      <c r="H38" s="71">
        <f t="shared" si="5"/>
        <v>422.7</v>
      </c>
      <c r="I38" s="71">
        <f t="shared" si="5"/>
        <v>417.7</v>
      </c>
      <c r="J38" s="71">
        <f t="shared" si="5"/>
        <v>452.7</v>
      </c>
      <c r="K38" s="71">
        <f t="shared" si="5"/>
        <v>552.70000000000005</v>
      </c>
      <c r="L38" s="71">
        <f t="shared" si="5"/>
        <v>722.7</v>
      </c>
      <c r="M38" s="71">
        <f t="shared" si="5"/>
        <v>763.30000000000007</v>
      </c>
      <c r="N38" s="71">
        <f t="shared" si="5"/>
        <v>703.60000000000014</v>
      </c>
      <c r="O38" s="71">
        <f t="shared" si="5"/>
        <v>603.5</v>
      </c>
      <c r="P38" s="71">
        <f t="shared" si="5"/>
        <v>523.40000000000009</v>
      </c>
      <c r="Q38" s="71">
        <f t="shared" si="5"/>
        <v>415.5</v>
      </c>
      <c r="R38" s="71">
        <f t="shared" si="5"/>
        <v>416.5</v>
      </c>
      <c r="S38" s="71">
        <f t="shared" si="5"/>
        <v>413.9</v>
      </c>
      <c r="T38" s="71">
        <f t="shared" si="5"/>
        <v>411.69999999999993</v>
      </c>
      <c r="U38" s="71">
        <f t="shared" si="5"/>
        <v>412.5</v>
      </c>
      <c r="V38" s="71">
        <f t="shared" si="5"/>
        <v>504.09999999999997</v>
      </c>
      <c r="W38" s="71">
        <f t="shared" si="5"/>
        <v>505.5</v>
      </c>
      <c r="X38" s="71">
        <f t="shared" si="5"/>
        <v>655.5</v>
      </c>
      <c r="Y38" s="71">
        <f t="shared" si="5"/>
        <v>743.60000000000014</v>
      </c>
      <c r="Z38" s="71">
        <f t="shared" si="5"/>
        <v>0</v>
      </c>
      <c r="AA38" s="71">
        <f t="shared" si="5"/>
        <v>632.9</v>
      </c>
      <c r="AB38" s="71">
        <f t="shared" si="5"/>
        <v>632.9</v>
      </c>
      <c r="AC38" s="71">
        <f t="shared" si="5"/>
        <v>521.69999999999993</v>
      </c>
      <c r="AD38" s="71">
        <f t="shared" si="5"/>
        <v>437.2</v>
      </c>
      <c r="AE38" s="71">
        <f t="shared" si="5"/>
        <v>437.4</v>
      </c>
      <c r="AF38" s="71">
        <f t="shared" si="5"/>
        <v>427.59999999999997</v>
      </c>
      <c r="AG38" s="66">
        <f>SUM(AG11:AG37)</f>
        <v>1492.8299999999997</v>
      </c>
      <c r="AH38" s="53">
        <f t="shared" si="2"/>
        <v>763.30000000000007</v>
      </c>
      <c r="AI38" s="54">
        <f t="shared" si="3"/>
        <v>0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30.7</v>
      </c>
      <c r="I39" s="60">
        <v>30.7</v>
      </c>
      <c r="J39" s="60">
        <v>48.7</v>
      </c>
      <c r="K39" s="60">
        <v>143</v>
      </c>
      <c r="L39" s="60">
        <v>145.80000000000001</v>
      </c>
      <c r="M39" s="50">
        <v>136.5</v>
      </c>
      <c r="N39" s="50">
        <v>136.9</v>
      </c>
      <c r="O39" s="50">
        <v>111.4</v>
      </c>
      <c r="P39" s="50">
        <v>81.400000000000006</v>
      </c>
      <c r="Q39" s="50">
        <v>80.599999999999994</v>
      </c>
      <c r="R39" s="50">
        <v>76.5</v>
      </c>
      <c r="S39" s="50">
        <v>91.1</v>
      </c>
      <c r="T39" s="50">
        <v>91.2</v>
      </c>
      <c r="U39" s="50">
        <v>90.8</v>
      </c>
      <c r="V39" s="50">
        <v>111.7</v>
      </c>
      <c r="W39" s="50">
        <v>111.7</v>
      </c>
      <c r="X39" s="50">
        <v>145.19999999999999</v>
      </c>
      <c r="Y39" s="50">
        <v>145.19999999999999</v>
      </c>
      <c r="Z39" s="50"/>
      <c r="AA39" s="50">
        <v>145.19999999999999</v>
      </c>
      <c r="AB39" s="50">
        <v>120</v>
      </c>
      <c r="AC39" s="50">
        <v>96</v>
      </c>
      <c r="AD39" s="50">
        <v>70.599999999999994</v>
      </c>
      <c r="AE39" s="50">
        <v>61.6</v>
      </c>
      <c r="AF39" s="50">
        <v>35.700000000000003</v>
      </c>
      <c r="AG39" s="61">
        <v>144</v>
      </c>
      <c r="AH39" s="53">
        <f t="shared" si="2"/>
        <v>145.80000000000001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32</v>
      </c>
      <c r="H40" s="60">
        <v>35.5</v>
      </c>
      <c r="I40" s="60">
        <v>19.399999999999999</v>
      </c>
      <c r="J40" s="60">
        <v>34.6</v>
      </c>
      <c r="K40" s="60">
        <v>71.5</v>
      </c>
      <c r="L40" s="60">
        <v>69.099999999999994</v>
      </c>
      <c r="M40" s="72">
        <v>67.400000000000006</v>
      </c>
      <c r="N40" s="72">
        <v>59.5</v>
      </c>
      <c r="O40" s="72">
        <v>49.7</v>
      </c>
      <c r="P40" s="72">
        <v>44.8</v>
      </c>
      <c r="Q40" s="72">
        <v>29.8</v>
      </c>
      <c r="R40" s="72">
        <v>31.7</v>
      </c>
      <c r="S40" s="72">
        <v>34.799999999999997</v>
      </c>
      <c r="T40" s="72">
        <v>34.799999999999997</v>
      </c>
      <c r="U40" s="72">
        <v>34.799999999999997</v>
      </c>
      <c r="V40" s="72">
        <v>51.3</v>
      </c>
      <c r="W40" s="72">
        <v>59.4</v>
      </c>
      <c r="X40" s="72">
        <v>69.2</v>
      </c>
      <c r="Y40" s="72">
        <v>70.8</v>
      </c>
      <c r="Z40" s="50"/>
      <c r="AA40" s="50">
        <v>70.8</v>
      </c>
      <c r="AB40" s="50">
        <v>70.8</v>
      </c>
      <c r="AC40" s="50">
        <v>59</v>
      </c>
      <c r="AD40" s="50">
        <v>43.6</v>
      </c>
      <c r="AE40" s="50">
        <v>23.5</v>
      </c>
      <c r="AF40" s="50">
        <v>23.4</v>
      </c>
      <c r="AG40" s="66">
        <v>70</v>
      </c>
      <c r="AH40" s="53">
        <f t="shared" si="2"/>
        <v>71.5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46.5</v>
      </c>
      <c r="C41" s="60">
        <v>33.200000000000003</v>
      </c>
      <c r="D41" s="60">
        <v>32.700000000000003</v>
      </c>
      <c r="E41" s="60">
        <v>33.200000000000003</v>
      </c>
      <c r="F41" s="60">
        <v>33.1</v>
      </c>
      <c r="G41" s="60">
        <v>22.3</v>
      </c>
      <c r="H41" s="60">
        <v>23.3</v>
      </c>
      <c r="I41" s="60">
        <v>18.100000000000001</v>
      </c>
      <c r="J41" s="60">
        <v>47.6</v>
      </c>
      <c r="K41" s="60">
        <v>68.099999999999994</v>
      </c>
      <c r="L41" s="60">
        <v>67.099999999999994</v>
      </c>
      <c r="M41" s="72">
        <v>61.6</v>
      </c>
      <c r="N41" s="72">
        <v>61.3</v>
      </c>
      <c r="O41" s="72">
        <v>48.7</v>
      </c>
      <c r="P41" s="72">
        <v>47.3</v>
      </c>
      <c r="Q41" s="72">
        <v>22.4</v>
      </c>
      <c r="R41" s="72">
        <v>22.5</v>
      </c>
      <c r="S41" s="72">
        <v>22.8</v>
      </c>
      <c r="T41" s="72">
        <v>22.9</v>
      </c>
      <c r="U41" s="72">
        <v>23</v>
      </c>
      <c r="V41" s="72">
        <v>46.8</v>
      </c>
      <c r="W41" s="72">
        <v>64</v>
      </c>
      <c r="X41" s="72">
        <v>68.099999999999994</v>
      </c>
      <c r="Y41" s="72">
        <v>67.900000000000006</v>
      </c>
      <c r="Z41" s="50"/>
      <c r="AA41" s="50">
        <v>67.900000000000006</v>
      </c>
      <c r="AB41" s="50">
        <v>67.900000000000006</v>
      </c>
      <c r="AC41" s="50">
        <v>62.7</v>
      </c>
      <c r="AD41" s="50">
        <v>51.5</v>
      </c>
      <c r="AE41" s="50">
        <v>33.5</v>
      </c>
      <c r="AF41" s="50">
        <v>22.5</v>
      </c>
      <c r="AG41" s="66">
        <v>69</v>
      </c>
      <c r="AH41" s="53">
        <f t="shared" si="2"/>
        <v>68.099999999999994</v>
      </c>
      <c r="AI41" s="54">
        <f t="shared" si="3"/>
        <v>18.100000000000001</v>
      </c>
      <c r="AK41" s="55"/>
    </row>
    <row r="42" spans="1:88" x14ac:dyDescent="0.25">
      <c r="A42" s="65" t="s">
        <v>50</v>
      </c>
      <c r="B42" s="60">
        <v>52</v>
      </c>
      <c r="C42" s="60">
        <v>52</v>
      </c>
      <c r="D42" s="60">
        <v>50</v>
      </c>
      <c r="E42" s="60">
        <v>50</v>
      </c>
      <c r="F42" s="60">
        <v>50</v>
      </c>
      <c r="G42" s="60">
        <v>50</v>
      </c>
      <c r="H42" s="60">
        <v>50</v>
      </c>
      <c r="I42" s="60">
        <v>50</v>
      </c>
      <c r="J42" s="60">
        <v>50</v>
      </c>
      <c r="K42" s="60">
        <v>50</v>
      </c>
      <c r="L42" s="60">
        <v>50</v>
      </c>
      <c r="M42" s="72">
        <v>51.4</v>
      </c>
      <c r="N42" s="72">
        <v>52.9</v>
      </c>
      <c r="O42" s="72">
        <v>52.7</v>
      </c>
      <c r="P42" s="72">
        <v>51.6</v>
      </c>
      <c r="Q42" s="72">
        <v>50.6</v>
      </c>
      <c r="R42" s="72">
        <v>50.6</v>
      </c>
      <c r="S42" s="72">
        <v>50.6</v>
      </c>
      <c r="T42" s="72">
        <v>50.6</v>
      </c>
      <c r="U42" s="72">
        <v>50.9</v>
      </c>
      <c r="V42" s="72">
        <v>50.9</v>
      </c>
      <c r="W42" s="72">
        <v>50.9</v>
      </c>
      <c r="X42" s="72">
        <v>51.1</v>
      </c>
      <c r="Y42" s="72">
        <v>50.9</v>
      </c>
      <c r="Z42" s="50"/>
      <c r="AA42" s="50">
        <v>50.9</v>
      </c>
      <c r="AB42" s="50">
        <v>50.9</v>
      </c>
      <c r="AC42" s="50">
        <v>53.7</v>
      </c>
      <c r="AD42" s="50">
        <v>50.2</v>
      </c>
      <c r="AE42" s="50">
        <v>50.4</v>
      </c>
      <c r="AF42" s="50">
        <v>51.4</v>
      </c>
      <c r="AG42" s="66">
        <v>60</v>
      </c>
      <c r="AH42" s="53">
        <f t="shared" si="2"/>
        <v>53.7</v>
      </c>
      <c r="AI42" s="54">
        <f t="shared" si="3"/>
        <v>50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10.6</v>
      </c>
      <c r="H43" s="60">
        <v>14.9</v>
      </c>
      <c r="I43" s="60">
        <v>12.5</v>
      </c>
      <c r="J43" s="60">
        <v>13</v>
      </c>
      <c r="K43" s="60">
        <v>28</v>
      </c>
      <c r="L43" s="60">
        <v>21.5</v>
      </c>
      <c r="M43" s="50">
        <v>26.4</v>
      </c>
      <c r="N43" s="50">
        <v>24.3</v>
      </c>
      <c r="O43" s="50">
        <v>21.2</v>
      </c>
      <c r="P43" s="50">
        <v>10</v>
      </c>
      <c r="Q43" s="50">
        <v>0</v>
      </c>
      <c r="R43" s="50">
        <v>0</v>
      </c>
      <c r="S43" s="50">
        <v>0</v>
      </c>
      <c r="T43" s="50">
        <v>10</v>
      </c>
      <c r="U43" s="50">
        <v>9.6</v>
      </c>
      <c r="V43" s="50">
        <v>14.7</v>
      </c>
      <c r="W43" s="50">
        <v>14.7</v>
      </c>
      <c r="X43" s="50">
        <v>21.8</v>
      </c>
      <c r="Y43" s="50">
        <v>29.3</v>
      </c>
      <c r="Z43" s="50"/>
      <c r="AA43" s="50">
        <v>29.3</v>
      </c>
      <c r="AB43" s="50">
        <v>29.3</v>
      </c>
      <c r="AC43" s="50">
        <v>9.6999999999999993</v>
      </c>
      <c r="AD43" s="50">
        <v>9.6999999999999993</v>
      </c>
      <c r="AE43" s="50">
        <v>0</v>
      </c>
      <c r="AF43" s="50">
        <v>0</v>
      </c>
      <c r="AG43" s="66">
        <v>30</v>
      </c>
      <c r="AH43" s="53">
        <f t="shared" si="2"/>
        <v>29.3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/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12</v>
      </c>
      <c r="C45" s="60">
        <v>12</v>
      </c>
      <c r="D45" s="60">
        <v>12</v>
      </c>
      <c r="E45" s="60">
        <v>12</v>
      </c>
      <c r="F45" s="60">
        <v>12</v>
      </c>
      <c r="G45" s="60">
        <v>12</v>
      </c>
      <c r="H45" s="60">
        <v>12</v>
      </c>
      <c r="I45" s="60">
        <v>12</v>
      </c>
      <c r="J45" s="60">
        <v>12</v>
      </c>
      <c r="K45" s="60">
        <v>12</v>
      </c>
      <c r="L45" s="60">
        <v>12</v>
      </c>
      <c r="M45" s="60">
        <v>12</v>
      </c>
      <c r="N45" s="6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/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12</v>
      </c>
      <c r="AK45" s="55"/>
    </row>
    <row r="46" spans="1:88" x14ac:dyDescent="0.25">
      <c r="A46" s="65" t="s">
        <v>54</v>
      </c>
      <c r="B46" s="50">
        <v>4.8</v>
      </c>
      <c r="C46" s="50">
        <v>4.8</v>
      </c>
      <c r="D46" s="50">
        <v>4.8</v>
      </c>
      <c r="E46" s="50">
        <v>4.8</v>
      </c>
      <c r="F46" s="50">
        <v>4.8</v>
      </c>
      <c r="G46" s="50">
        <v>4.8</v>
      </c>
      <c r="H46" s="50">
        <v>4.8</v>
      </c>
      <c r="I46" s="50">
        <v>4.8</v>
      </c>
      <c r="J46" s="50">
        <v>4.8</v>
      </c>
      <c r="K46" s="50">
        <v>4.8</v>
      </c>
      <c r="L46" s="50">
        <v>4.8</v>
      </c>
      <c r="M46" s="60">
        <v>4.8</v>
      </c>
      <c r="N46" s="60">
        <v>4.8</v>
      </c>
      <c r="O46" s="60">
        <v>4.8</v>
      </c>
      <c r="P46" s="60">
        <v>4.8</v>
      </c>
      <c r="Q46" s="60">
        <v>0</v>
      </c>
      <c r="R46" s="60">
        <v>5</v>
      </c>
      <c r="S46" s="60">
        <v>5</v>
      </c>
      <c r="T46" s="60">
        <v>5</v>
      </c>
      <c r="U46" s="60">
        <v>5</v>
      </c>
      <c r="V46" s="60">
        <v>5</v>
      </c>
      <c r="W46" s="50">
        <v>5</v>
      </c>
      <c r="X46" s="50">
        <v>5</v>
      </c>
      <c r="Y46" s="50">
        <v>5</v>
      </c>
      <c r="Z46" s="50"/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6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/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/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50">
        <v>6</v>
      </c>
      <c r="F49" s="50">
        <v>6</v>
      </c>
      <c r="G49" s="50">
        <v>6</v>
      </c>
      <c r="H49" s="50">
        <v>6</v>
      </c>
      <c r="I49" s="50">
        <v>6</v>
      </c>
      <c r="J49" s="50">
        <v>6</v>
      </c>
      <c r="K49" s="50">
        <v>6</v>
      </c>
      <c r="L49" s="5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/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/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8">SUM(B39:B51)</f>
        <v>146.84</v>
      </c>
      <c r="C52" s="71">
        <f t="shared" ref="C52:AF52" si="9">SUM(C39:C51)</f>
        <v>133.54</v>
      </c>
      <c r="D52" s="71">
        <f t="shared" si="9"/>
        <v>131.04</v>
      </c>
      <c r="E52" s="71">
        <f t="shared" si="9"/>
        <v>131.54</v>
      </c>
      <c r="F52" s="71">
        <f t="shared" si="9"/>
        <v>131.44</v>
      </c>
      <c r="G52" s="71">
        <f t="shared" si="9"/>
        <v>163.23999999999998</v>
      </c>
      <c r="H52" s="71">
        <f t="shared" si="9"/>
        <v>202.74</v>
      </c>
      <c r="I52" s="71">
        <f t="shared" si="9"/>
        <v>179.04</v>
      </c>
      <c r="J52" s="71">
        <f t="shared" si="9"/>
        <v>242.24</v>
      </c>
      <c r="K52" s="71">
        <f t="shared" si="9"/>
        <v>408.94000000000005</v>
      </c>
      <c r="L52" s="71">
        <f t="shared" si="9"/>
        <v>401.84000000000003</v>
      </c>
      <c r="M52" s="71">
        <f t="shared" si="9"/>
        <v>391.64</v>
      </c>
      <c r="N52" s="71">
        <f t="shared" si="9"/>
        <v>383.24</v>
      </c>
      <c r="O52" s="71">
        <f t="shared" si="9"/>
        <v>332.04</v>
      </c>
      <c r="P52" s="71">
        <f t="shared" si="9"/>
        <v>283.44</v>
      </c>
      <c r="Q52" s="71">
        <f t="shared" si="9"/>
        <v>226.93999999999997</v>
      </c>
      <c r="R52" s="71">
        <f t="shared" si="9"/>
        <v>229.83999999999997</v>
      </c>
      <c r="S52" s="71">
        <f t="shared" si="9"/>
        <v>251.83999999999997</v>
      </c>
      <c r="T52" s="71">
        <f t="shared" si="9"/>
        <v>262.04000000000002</v>
      </c>
      <c r="U52" s="71">
        <f t="shared" si="9"/>
        <v>261.64000000000004</v>
      </c>
      <c r="V52" s="71">
        <f t="shared" si="9"/>
        <v>327.94</v>
      </c>
      <c r="W52" s="71">
        <f t="shared" si="9"/>
        <v>353.24</v>
      </c>
      <c r="X52" s="71">
        <f t="shared" si="9"/>
        <v>407.94000000000005</v>
      </c>
      <c r="Y52" s="71">
        <f t="shared" si="9"/>
        <v>416.64</v>
      </c>
      <c r="Z52" s="71">
        <f t="shared" si="9"/>
        <v>3.54</v>
      </c>
      <c r="AA52" s="71">
        <f t="shared" si="9"/>
        <v>416.64</v>
      </c>
      <c r="AB52" s="71">
        <f t="shared" si="9"/>
        <v>391.44000000000005</v>
      </c>
      <c r="AC52" s="71">
        <f t="shared" si="9"/>
        <v>333.64</v>
      </c>
      <c r="AD52" s="71">
        <f t="shared" si="9"/>
        <v>278.14</v>
      </c>
      <c r="AE52" s="71">
        <f t="shared" si="9"/>
        <v>221.54</v>
      </c>
      <c r="AF52" s="71">
        <f t="shared" si="9"/>
        <v>185.54</v>
      </c>
      <c r="AG52" s="76">
        <f>SUM(AG39:AG51)</f>
        <v>489.91</v>
      </c>
      <c r="AH52" s="53">
        <f t="shared" si="2"/>
        <v>416.64</v>
      </c>
      <c r="AI52" s="54">
        <f t="shared" si="3"/>
        <v>3.54</v>
      </c>
      <c r="AK52" s="55"/>
    </row>
    <row r="53" spans="1:37" ht="15.75" x14ac:dyDescent="0.25">
      <c r="A53" s="56" t="s">
        <v>61</v>
      </c>
      <c r="B53" s="50">
        <v>0</v>
      </c>
      <c r="C53" s="50">
        <v>0</v>
      </c>
      <c r="D53" s="50">
        <v>0</v>
      </c>
      <c r="E53" s="5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30.7</v>
      </c>
      <c r="L53" s="60">
        <v>31</v>
      </c>
      <c r="M53" s="77">
        <v>51.1</v>
      </c>
      <c r="N53" s="77">
        <v>55.3</v>
      </c>
      <c r="O53" s="77">
        <v>55</v>
      </c>
      <c r="P53" s="77">
        <v>33.799999999999997</v>
      </c>
      <c r="Q53" s="50">
        <v>39.5</v>
      </c>
      <c r="R53" s="50">
        <v>14.2</v>
      </c>
      <c r="S53" s="50">
        <v>29.4</v>
      </c>
      <c r="T53" s="50">
        <v>34.4</v>
      </c>
      <c r="U53" s="50">
        <v>49</v>
      </c>
      <c r="V53" s="50">
        <v>49.8</v>
      </c>
      <c r="W53" s="50">
        <v>54.5</v>
      </c>
      <c r="X53" s="181">
        <v>54.4</v>
      </c>
      <c r="Y53" s="181">
        <v>57.3</v>
      </c>
      <c r="Z53" s="50"/>
      <c r="AA53" s="181">
        <v>60</v>
      </c>
      <c r="AB53" s="181">
        <v>60</v>
      </c>
      <c r="AC53" s="50">
        <v>45</v>
      </c>
      <c r="AD53" s="50">
        <v>0</v>
      </c>
      <c r="AE53" s="50">
        <v>0</v>
      </c>
      <c r="AF53" s="50">
        <v>0</v>
      </c>
      <c r="AG53" s="61">
        <v>60</v>
      </c>
      <c r="AH53" s="53">
        <f t="shared" si="2"/>
        <v>60</v>
      </c>
      <c r="AI53" s="54">
        <f t="shared" si="3"/>
        <v>0</v>
      </c>
      <c r="AK53" s="55"/>
    </row>
    <row r="54" spans="1:37" ht="15.75" x14ac:dyDescent="0.25">
      <c r="A54" s="65" t="s">
        <v>62</v>
      </c>
      <c r="B54" s="72">
        <v>0</v>
      </c>
      <c r="C54" s="72">
        <v>0</v>
      </c>
      <c r="D54" s="72">
        <v>0</v>
      </c>
      <c r="E54" s="72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15.7</v>
      </c>
      <c r="M54" s="77">
        <v>19.5</v>
      </c>
      <c r="N54" s="77">
        <v>25.7</v>
      </c>
      <c r="O54" s="77">
        <v>24.6</v>
      </c>
      <c r="P54" s="77">
        <v>14.3</v>
      </c>
      <c r="Q54" s="72">
        <v>17.100000000000001</v>
      </c>
      <c r="R54" s="72">
        <v>15.4</v>
      </c>
      <c r="S54" s="50">
        <v>15.2</v>
      </c>
      <c r="T54" s="50">
        <v>12.9</v>
      </c>
      <c r="U54" s="50">
        <v>16.8</v>
      </c>
      <c r="V54" s="72">
        <v>23.1</v>
      </c>
      <c r="W54" s="72">
        <v>25.7</v>
      </c>
      <c r="X54" s="181">
        <v>25.8</v>
      </c>
      <c r="Y54" s="181">
        <v>27.1</v>
      </c>
      <c r="Z54" s="50"/>
      <c r="AA54" s="181">
        <v>28.5</v>
      </c>
      <c r="AB54" s="181">
        <v>28.5</v>
      </c>
      <c r="AC54" s="72">
        <v>16.2</v>
      </c>
      <c r="AD54" s="72">
        <v>6.5</v>
      </c>
      <c r="AE54" s="72">
        <v>0</v>
      </c>
      <c r="AF54" s="72">
        <v>0</v>
      </c>
      <c r="AG54" s="66">
        <v>32</v>
      </c>
      <c r="AH54" s="53">
        <f t="shared" si="2"/>
        <v>28.5</v>
      </c>
      <c r="AI54" s="54">
        <f t="shared" si="3"/>
        <v>0</v>
      </c>
      <c r="AK54" s="55"/>
    </row>
    <row r="55" spans="1:37" ht="16.5" thickBot="1" x14ac:dyDescent="0.3">
      <c r="A55" s="74" t="s">
        <v>63</v>
      </c>
      <c r="B55" s="78">
        <v>0</v>
      </c>
      <c r="C55" s="78">
        <v>0</v>
      </c>
      <c r="D55" s="78">
        <v>0</v>
      </c>
      <c r="E55" s="78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5.7</v>
      </c>
      <c r="M55" s="80">
        <v>7.1</v>
      </c>
      <c r="N55" s="80">
        <v>9.4</v>
      </c>
      <c r="O55" s="80">
        <v>9</v>
      </c>
      <c r="P55" s="80">
        <v>5.2</v>
      </c>
      <c r="Q55" s="78">
        <v>6.2</v>
      </c>
      <c r="R55" s="78">
        <v>5.6</v>
      </c>
      <c r="S55" s="50">
        <v>5.5</v>
      </c>
      <c r="T55" s="50">
        <v>4.7</v>
      </c>
      <c r="U55" s="50">
        <v>6.1</v>
      </c>
      <c r="V55" s="78">
        <v>8.4</v>
      </c>
      <c r="W55" s="78">
        <v>9.4</v>
      </c>
      <c r="X55" s="181">
        <v>9.4</v>
      </c>
      <c r="Y55" s="181">
        <v>9.9</v>
      </c>
      <c r="Z55" s="50"/>
      <c r="AA55" s="181">
        <v>10.4</v>
      </c>
      <c r="AB55" s="181">
        <v>10.4</v>
      </c>
      <c r="AC55" s="78">
        <v>5.9</v>
      </c>
      <c r="AD55" s="78">
        <v>2.4</v>
      </c>
      <c r="AE55" s="78">
        <v>0</v>
      </c>
      <c r="AF55" s="78">
        <v>0</v>
      </c>
      <c r="AG55" s="81">
        <v>14</v>
      </c>
      <c r="AH55" s="53">
        <f t="shared" si="2"/>
        <v>10.4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0">SUM(B53:B55)</f>
        <v>0</v>
      </c>
      <c r="C56" s="71">
        <f>SUM(C53:C55)</f>
        <v>0</v>
      </c>
      <c r="D56" s="71">
        <f t="shared" ref="D56:AF56" si="11">SUM(D53:D55)</f>
        <v>0</v>
      </c>
      <c r="E56" s="71">
        <f t="shared" si="11"/>
        <v>0</v>
      </c>
      <c r="F56" s="71">
        <f t="shared" si="11"/>
        <v>0</v>
      </c>
      <c r="G56" s="71">
        <f t="shared" si="11"/>
        <v>0</v>
      </c>
      <c r="H56" s="71">
        <f t="shared" si="11"/>
        <v>0</v>
      </c>
      <c r="I56" s="71">
        <f t="shared" si="11"/>
        <v>0</v>
      </c>
      <c r="J56" s="71">
        <f t="shared" si="11"/>
        <v>0</v>
      </c>
      <c r="K56" s="71">
        <f t="shared" si="11"/>
        <v>30.7</v>
      </c>
      <c r="L56" s="71">
        <f t="shared" si="11"/>
        <v>52.400000000000006</v>
      </c>
      <c r="M56" s="71">
        <f t="shared" si="11"/>
        <v>77.699999999999989</v>
      </c>
      <c r="N56" s="71">
        <f t="shared" si="11"/>
        <v>90.4</v>
      </c>
      <c r="O56" s="71">
        <f t="shared" si="11"/>
        <v>88.6</v>
      </c>
      <c r="P56" s="71">
        <f t="shared" si="11"/>
        <v>53.3</v>
      </c>
      <c r="Q56" s="71">
        <f t="shared" si="11"/>
        <v>62.800000000000004</v>
      </c>
      <c r="R56" s="71">
        <f t="shared" si="11"/>
        <v>35.200000000000003</v>
      </c>
      <c r="S56" s="71">
        <f t="shared" si="11"/>
        <v>50.099999999999994</v>
      </c>
      <c r="T56" s="71">
        <f t="shared" si="11"/>
        <v>52</v>
      </c>
      <c r="U56" s="71">
        <f t="shared" si="11"/>
        <v>71.899999999999991</v>
      </c>
      <c r="V56" s="71">
        <f t="shared" si="11"/>
        <v>81.300000000000011</v>
      </c>
      <c r="W56" s="71">
        <f t="shared" si="11"/>
        <v>89.600000000000009</v>
      </c>
      <c r="X56" s="71">
        <f t="shared" si="11"/>
        <v>89.600000000000009</v>
      </c>
      <c r="Y56" s="71">
        <f t="shared" si="11"/>
        <v>94.300000000000011</v>
      </c>
      <c r="Z56" s="71">
        <f t="shared" si="11"/>
        <v>0</v>
      </c>
      <c r="AA56" s="71">
        <f t="shared" si="11"/>
        <v>98.9</v>
      </c>
      <c r="AB56" s="71">
        <f t="shared" si="11"/>
        <v>98.9</v>
      </c>
      <c r="AC56" s="71">
        <f t="shared" si="11"/>
        <v>67.100000000000009</v>
      </c>
      <c r="AD56" s="71">
        <f t="shared" si="11"/>
        <v>8.9</v>
      </c>
      <c r="AE56" s="71">
        <f t="shared" si="11"/>
        <v>0</v>
      </c>
      <c r="AF56" s="71">
        <f t="shared" si="11"/>
        <v>0</v>
      </c>
      <c r="AG56" s="76">
        <f>SUM(AG53:AG55)</f>
        <v>106</v>
      </c>
      <c r="AH56" s="53">
        <f t="shared" si="2"/>
        <v>98.9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72.099999999999994</v>
      </c>
      <c r="C57" s="50">
        <v>71</v>
      </c>
      <c r="D57" s="50">
        <v>69.8</v>
      </c>
      <c r="E57" s="50">
        <v>70.8</v>
      </c>
      <c r="F57" s="50">
        <v>70.599999999999994</v>
      </c>
      <c r="G57" s="50">
        <v>70.7</v>
      </c>
      <c r="H57" s="50">
        <v>72</v>
      </c>
      <c r="I57" s="50">
        <v>73.099999999999994</v>
      </c>
      <c r="J57" s="50">
        <v>75.3</v>
      </c>
      <c r="K57" s="50">
        <v>72</v>
      </c>
      <c r="L57" s="50">
        <v>70.7</v>
      </c>
      <c r="M57" s="50">
        <v>73.8</v>
      </c>
      <c r="N57" s="50">
        <v>73</v>
      </c>
      <c r="O57" s="50">
        <v>68.599999999999994</v>
      </c>
      <c r="P57" s="50">
        <v>72.5</v>
      </c>
      <c r="Q57" s="50">
        <v>64.400000000000006</v>
      </c>
      <c r="R57" s="50">
        <v>71.8</v>
      </c>
      <c r="S57" s="50">
        <v>80.2</v>
      </c>
      <c r="T57" s="50">
        <v>72</v>
      </c>
      <c r="U57" s="50">
        <v>76.599999999999994</v>
      </c>
      <c r="V57" s="50">
        <v>78</v>
      </c>
      <c r="W57" s="50">
        <v>74.5</v>
      </c>
      <c r="X57" s="50">
        <v>72.400000000000006</v>
      </c>
      <c r="Y57" s="50">
        <v>70</v>
      </c>
      <c r="Z57" s="72"/>
      <c r="AA57" s="72">
        <v>70.900000000000006</v>
      </c>
      <c r="AB57" s="72">
        <v>77</v>
      </c>
      <c r="AC57" s="72">
        <v>74</v>
      </c>
      <c r="AD57" s="72">
        <v>64</v>
      </c>
      <c r="AE57" s="50">
        <v>71</v>
      </c>
      <c r="AF57" s="50">
        <v>68.8</v>
      </c>
      <c r="AG57" s="61"/>
      <c r="AH57" s="53">
        <f t="shared" si="2"/>
        <v>80.2</v>
      </c>
      <c r="AI57" s="54">
        <f t="shared" si="3"/>
        <v>64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/>
      <c r="F58" s="72"/>
      <c r="G58" s="72"/>
      <c r="H58" s="72"/>
      <c r="I58" s="72"/>
      <c r="J58" s="72"/>
      <c r="K58" s="72">
        <v>82</v>
      </c>
      <c r="L58" s="72">
        <v>114</v>
      </c>
      <c r="M58" s="50">
        <v>150</v>
      </c>
      <c r="N58" s="50">
        <v>176</v>
      </c>
      <c r="O58" s="50">
        <v>190</v>
      </c>
      <c r="P58" s="50">
        <v>161</v>
      </c>
      <c r="Q58" s="50">
        <v>96.3</v>
      </c>
      <c r="R58" s="50">
        <v>46.2</v>
      </c>
      <c r="S58" s="50">
        <v>49.6</v>
      </c>
      <c r="T58" s="50">
        <v>97.2</v>
      </c>
      <c r="U58" s="50">
        <v>99.6</v>
      </c>
      <c r="V58" s="50">
        <v>150</v>
      </c>
      <c r="W58" s="50">
        <f>63+109.7</f>
        <v>172.7</v>
      </c>
      <c r="X58" s="50">
        <v>176.8</v>
      </c>
      <c r="Y58" s="50">
        <v>201</v>
      </c>
      <c r="Z58" s="72"/>
      <c r="AA58" s="72">
        <v>171</v>
      </c>
      <c r="AB58" s="72">
        <v>171</v>
      </c>
      <c r="AC58" s="72">
        <v>120</v>
      </c>
      <c r="AD58" s="72">
        <v>0</v>
      </c>
      <c r="AE58" s="72">
        <v>0</v>
      </c>
      <c r="AF58" s="72">
        <v>0</v>
      </c>
      <c r="AG58" s="66"/>
      <c r="AH58" s="53">
        <f t="shared" si="2"/>
        <v>201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350</v>
      </c>
      <c r="C59" s="72">
        <v>325</v>
      </c>
      <c r="D59" s="72">
        <v>334.5</v>
      </c>
      <c r="E59" s="72">
        <v>299</v>
      </c>
      <c r="F59" s="72">
        <v>296.10000000000002</v>
      </c>
      <c r="G59" s="72">
        <v>310</v>
      </c>
      <c r="H59" s="72">
        <v>313.89999999999998</v>
      </c>
      <c r="I59" s="50">
        <v>308.10000000000002</v>
      </c>
      <c r="J59" s="50">
        <v>348</v>
      </c>
      <c r="K59" s="50">
        <v>151</v>
      </c>
      <c r="L59" s="50">
        <v>18.7</v>
      </c>
      <c r="M59" s="72">
        <v>25.1</v>
      </c>
      <c r="N59" s="72">
        <v>16.100000000000001</v>
      </c>
      <c r="O59" s="72">
        <v>43.5</v>
      </c>
      <c r="P59" s="72">
        <v>76</v>
      </c>
      <c r="Q59" s="72">
        <v>325</v>
      </c>
      <c r="R59" s="72">
        <v>336.4</v>
      </c>
      <c r="S59" s="72">
        <v>354.3</v>
      </c>
      <c r="T59" s="72">
        <v>334.1</v>
      </c>
      <c r="U59" s="72">
        <v>338.9</v>
      </c>
      <c r="V59" s="72">
        <v>167.2</v>
      </c>
      <c r="W59" s="72">
        <v>180.2</v>
      </c>
      <c r="X59" s="72">
        <v>45.2</v>
      </c>
      <c r="Y59" s="72">
        <v>14.2</v>
      </c>
      <c r="Z59" s="72"/>
      <c r="AA59" s="72">
        <v>0</v>
      </c>
      <c r="AB59" s="72">
        <v>0</v>
      </c>
      <c r="AC59" s="72">
        <v>14</v>
      </c>
      <c r="AD59" s="72">
        <v>321</v>
      </c>
      <c r="AE59" s="72">
        <v>320</v>
      </c>
      <c r="AF59" s="72">
        <v>326</v>
      </c>
      <c r="AG59" s="84"/>
      <c r="AH59" s="53">
        <f t="shared" si="2"/>
        <v>354.3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17.899999999999999</v>
      </c>
      <c r="C60" s="57">
        <v>17.7</v>
      </c>
      <c r="D60" s="57">
        <v>4</v>
      </c>
      <c r="E60" s="57">
        <v>0</v>
      </c>
      <c r="F60" s="57">
        <v>8</v>
      </c>
      <c r="G60" s="57">
        <v>14.4</v>
      </c>
      <c r="H60" s="57">
        <v>15</v>
      </c>
      <c r="I60" s="57">
        <v>52.2</v>
      </c>
      <c r="J60" s="57">
        <v>56.1</v>
      </c>
      <c r="K60" s="57">
        <v>50</v>
      </c>
      <c r="L60" s="57">
        <v>61</v>
      </c>
      <c r="M60" s="72">
        <v>61</v>
      </c>
      <c r="N60" s="72">
        <v>62.8</v>
      </c>
      <c r="O60" s="72">
        <v>63.9</v>
      </c>
      <c r="P60" s="72">
        <v>59.3</v>
      </c>
      <c r="Q60" s="72">
        <v>56.6</v>
      </c>
      <c r="R60" s="72">
        <v>61.6</v>
      </c>
      <c r="S60" s="72">
        <v>60.7</v>
      </c>
      <c r="T60" s="72">
        <v>60.3</v>
      </c>
      <c r="U60" s="72">
        <v>59.1</v>
      </c>
      <c r="V60" s="72">
        <v>51.2</v>
      </c>
      <c r="W60" s="72">
        <v>53.9</v>
      </c>
      <c r="X60" s="72">
        <v>61</v>
      </c>
      <c r="Y60" s="72">
        <v>64.099999999999994</v>
      </c>
      <c r="Z60" s="72"/>
      <c r="AA60" s="72">
        <v>56.9</v>
      </c>
      <c r="AB60" s="72">
        <v>56.9</v>
      </c>
      <c r="AC60" s="72">
        <v>55.8</v>
      </c>
      <c r="AD60" s="72">
        <v>57.3</v>
      </c>
      <c r="AE60" s="72">
        <v>0</v>
      </c>
      <c r="AF60" s="57">
        <v>0</v>
      </c>
      <c r="AG60" s="84"/>
      <c r="AH60" s="53">
        <f t="shared" si="2"/>
        <v>64.099999999999994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64.400000000000006</v>
      </c>
      <c r="J61" s="57">
        <v>70</v>
      </c>
      <c r="K61" s="57">
        <v>58.7</v>
      </c>
      <c r="L61" s="57">
        <v>64</v>
      </c>
      <c r="M61" s="50">
        <v>70.599999999999994</v>
      </c>
      <c r="N61" s="50">
        <v>70.599999999999994</v>
      </c>
      <c r="O61" s="50">
        <v>76.8</v>
      </c>
      <c r="P61" s="50">
        <v>77</v>
      </c>
      <c r="Q61" s="50">
        <v>60.4</v>
      </c>
      <c r="R61" s="50">
        <v>59.1</v>
      </c>
      <c r="S61" s="50">
        <v>61.4</v>
      </c>
      <c r="T61" s="50">
        <v>64</v>
      </c>
      <c r="U61" s="50">
        <v>72.8</v>
      </c>
      <c r="V61" s="50">
        <v>68.099999999999994</v>
      </c>
      <c r="W61" s="50">
        <v>75.2</v>
      </c>
      <c r="X61" s="50">
        <v>71.900000000000006</v>
      </c>
      <c r="Y61" s="50">
        <v>71.400000000000006</v>
      </c>
      <c r="Z61" s="72"/>
      <c r="AA61" s="72">
        <v>63.2</v>
      </c>
      <c r="AB61" s="72">
        <v>65</v>
      </c>
      <c r="AC61" s="72">
        <v>71</v>
      </c>
      <c r="AD61" s="72">
        <v>75.5</v>
      </c>
      <c r="AE61" s="50">
        <v>79.5</v>
      </c>
      <c r="AF61" s="50">
        <v>0</v>
      </c>
      <c r="AG61" s="84"/>
      <c r="AH61" s="53">
        <f t="shared" si="2"/>
        <v>79.5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8</v>
      </c>
      <c r="X62" s="59">
        <v>8</v>
      </c>
      <c r="Y62" s="59">
        <v>8</v>
      </c>
      <c r="Z62" s="72"/>
      <c r="AA62" s="72">
        <v>8</v>
      </c>
      <c r="AB62" s="72">
        <v>8</v>
      </c>
      <c r="AC62" s="72">
        <v>0</v>
      </c>
      <c r="AD62" s="72">
        <v>0</v>
      </c>
      <c r="AE62" s="59">
        <v>0</v>
      </c>
      <c r="AF62" s="59">
        <v>0</v>
      </c>
      <c r="AG62" s="84"/>
      <c r="AH62" s="53">
        <f t="shared" si="2"/>
        <v>8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72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72"/>
      <c r="AA63" s="72">
        <v>0</v>
      </c>
      <c r="AB63" s="72">
        <v>0</v>
      </c>
      <c r="AC63" s="72">
        <v>0</v>
      </c>
      <c r="AD63" s="72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9">
        <v>0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0</v>
      </c>
      <c r="M64" s="72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9">
        <v>0</v>
      </c>
      <c r="Y64" s="59">
        <v>0</v>
      </c>
      <c r="Z64" s="72"/>
      <c r="AA64" s="72">
        <v>0</v>
      </c>
      <c r="AB64" s="72">
        <v>0</v>
      </c>
      <c r="AC64" s="72">
        <v>0</v>
      </c>
      <c r="AD64" s="72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72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9">
        <v>0</v>
      </c>
      <c r="Y65" s="59">
        <v>0</v>
      </c>
      <c r="Z65" s="72"/>
      <c r="AA65" s="72">
        <v>0</v>
      </c>
      <c r="AB65" s="72">
        <v>0</v>
      </c>
      <c r="AC65" s="72">
        <v>0</v>
      </c>
      <c r="AD65" s="72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72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72"/>
      <c r="AA66" s="72">
        <v>0</v>
      </c>
      <c r="AB66" s="72">
        <v>0</v>
      </c>
      <c r="AC66" s="72">
        <v>0</v>
      </c>
      <c r="AD66" s="7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72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72"/>
      <c r="AA67" s="72">
        <v>0</v>
      </c>
      <c r="AB67" s="72">
        <v>0</v>
      </c>
      <c r="AC67" s="72">
        <v>0</v>
      </c>
      <c r="AD67" s="7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440</v>
      </c>
      <c r="C68" s="71">
        <f>SUM(C57:C67)</f>
        <v>413.7</v>
      </c>
      <c r="D68" s="71">
        <f t="shared" ref="D68:AF68" si="12">SUM(D57:D67)</f>
        <v>408.3</v>
      </c>
      <c r="E68" s="71">
        <f t="shared" si="12"/>
        <v>369.8</v>
      </c>
      <c r="F68" s="71">
        <f t="shared" si="12"/>
        <v>374.70000000000005</v>
      </c>
      <c r="G68" s="71">
        <f t="shared" si="12"/>
        <v>395.09999999999997</v>
      </c>
      <c r="H68" s="71">
        <f t="shared" si="12"/>
        <v>400.9</v>
      </c>
      <c r="I68" s="71">
        <f t="shared" si="12"/>
        <v>497.80000000000007</v>
      </c>
      <c r="J68" s="71">
        <f t="shared" si="12"/>
        <v>549.40000000000009</v>
      </c>
      <c r="K68" s="71">
        <f t="shared" si="12"/>
        <v>413.7</v>
      </c>
      <c r="L68" s="71">
        <f t="shared" si="12"/>
        <v>328.4</v>
      </c>
      <c r="M68" s="71">
        <f t="shared" si="12"/>
        <v>380.5</v>
      </c>
      <c r="N68" s="71">
        <f t="shared" si="12"/>
        <v>398.5</v>
      </c>
      <c r="O68" s="71">
        <f t="shared" si="12"/>
        <v>442.8</v>
      </c>
      <c r="P68" s="71">
        <f t="shared" si="12"/>
        <v>445.8</v>
      </c>
      <c r="Q68" s="71">
        <f t="shared" si="12"/>
        <v>602.69999999999993</v>
      </c>
      <c r="R68" s="71">
        <f t="shared" si="12"/>
        <v>575.1</v>
      </c>
      <c r="S68" s="71">
        <f t="shared" si="12"/>
        <v>606.20000000000005</v>
      </c>
      <c r="T68" s="71">
        <f t="shared" si="12"/>
        <v>627.6</v>
      </c>
      <c r="U68" s="71">
        <f t="shared" si="12"/>
        <v>646.99999999999989</v>
      </c>
      <c r="V68" s="71">
        <f t="shared" si="12"/>
        <v>514.5</v>
      </c>
      <c r="W68" s="71">
        <f t="shared" si="12"/>
        <v>564.5</v>
      </c>
      <c r="X68" s="71">
        <f t="shared" si="12"/>
        <v>435.30000000000007</v>
      </c>
      <c r="Y68" s="71">
        <f t="shared" si="12"/>
        <v>428.69999999999993</v>
      </c>
      <c r="Z68" s="71">
        <f t="shared" si="12"/>
        <v>0</v>
      </c>
      <c r="AA68" s="71">
        <f t="shared" si="12"/>
        <v>370</v>
      </c>
      <c r="AB68" s="71">
        <f t="shared" si="12"/>
        <v>377.9</v>
      </c>
      <c r="AC68" s="71">
        <f t="shared" si="12"/>
        <v>334.8</v>
      </c>
      <c r="AD68" s="71">
        <f t="shared" si="12"/>
        <v>517.79999999999995</v>
      </c>
      <c r="AE68" s="71">
        <f t="shared" si="12"/>
        <v>470.5</v>
      </c>
      <c r="AF68" s="71">
        <f t="shared" si="12"/>
        <v>394.8</v>
      </c>
      <c r="AG68" s="76">
        <f>SUM(AG57:AG67)</f>
        <v>0</v>
      </c>
      <c r="AH68" s="53">
        <f t="shared" si="2"/>
        <v>646.99999999999989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3">SUM(D69:D71)</f>
        <v>0</v>
      </c>
      <c r="E72" s="71">
        <f t="shared" si="13"/>
        <v>0</v>
      </c>
      <c r="F72" s="71">
        <f t="shared" si="13"/>
        <v>0</v>
      </c>
      <c r="G72" s="71">
        <f t="shared" si="13"/>
        <v>0</v>
      </c>
      <c r="H72" s="71">
        <f t="shared" si="13"/>
        <v>0</v>
      </c>
      <c r="I72" s="71">
        <f t="shared" si="13"/>
        <v>0</v>
      </c>
      <c r="J72" s="71">
        <f t="shared" si="13"/>
        <v>0</v>
      </c>
      <c r="K72" s="71">
        <f t="shared" si="13"/>
        <v>0</v>
      </c>
      <c r="L72" s="71">
        <f t="shared" si="13"/>
        <v>0</v>
      </c>
      <c r="M72" s="71">
        <f t="shared" si="13"/>
        <v>0</v>
      </c>
      <c r="N72" s="71">
        <f t="shared" si="13"/>
        <v>0</v>
      </c>
      <c r="O72" s="71">
        <f t="shared" si="13"/>
        <v>0</v>
      </c>
      <c r="P72" s="71">
        <f t="shared" si="13"/>
        <v>0</v>
      </c>
      <c r="Q72" s="71">
        <f t="shared" si="13"/>
        <v>0</v>
      </c>
      <c r="R72" s="71">
        <f t="shared" si="13"/>
        <v>0</v>
      </c>
      <c r="S72" s="71">
        <f t="shared" si="13"/>
        <v>0</v>
      </c>
      <c r="T72" s="71">
        <f t="shared" si="13"/>
        <v>0</v>
      </c>
      <c r="U72" s="71">
        <f t="shared" si="13"/>
        <v>0</v>
      </c>
      <c r="V72" s="71">
        <f t="shared" si="13"/>
        <v>0</v>
      </c>
      <c r="W72" s="71">
        <f t="shared" si="13"/>
        <v>0</v>
      </c>
      <c r="X72" s="71">
        <f t="shared" si="13"/>
        <v>0</v>
      </c>
      <c r="Y72" s="71">
        <f t="shared" ref="Y72" si="14">SUM(Y69:Y71)</f>
        <v>0</v>
      </c>
      <c r="Z72" s="71">
        <f t="shared" si="13"/>
        <v>0</v>
      </c>
      <c r="AA72" s="71">
        <f t="shared" si="13"/>
        <v>0</v>
      </c>
      <c r="AB72" s="71">
        <f t="shared" si="13"/>
        <v>0</v>
      </c>
      <c r="AC72" s="71">
        <f t="shared" si="13"/>
        <v>0</v>
      </c>
      <c r="AD72" s="71">
        <f t="shared" si="13"/>
        <v>0</v>
      </c>
      <c r="AE72" s="71">
        <f t="shared" si="13"/>
        <v>0</v>
      </c>
      <c r="AF72" s="71">
        <f t="shared" si="13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1004.54</v>
      </c>
      <c r="C73" s="88">
        <f>C68+C56+C52+C38+C72</f>
        <v>964.94</v>
      </c>
      <c r="D73" s="88">
        <f t="shared" ref="D73:AG73" si="15">D68+D56+D52+D38+D72</f>
        <v>957.04</v>
      </c>
      <c r="E73" s="88">
        <f t="shared" si="15"/>
        <v>919.04</v>
      </c>
      <c r="F73" s="88">
        <f t="shared" si="15"/>
        <v>923.84</v>
      </c>
      <c r="G73" s="88">
        <f t="shared" si="15"/>
        <v>981.04</v>
      </c>
      <c r="H73" s="88">
        <f t="shared" si="15"/>
        <v>1026.3399999999999</v>
      </c>
      <c r="I73" s="88">
        <f t="shared" si="15"/>
        <v>1094.54</v>
      </c>
      <c r="J73" s="88">
        <f t="shared" si="15"/>
        <v>1244.3400000000001</v>
      </c>
      <c r="K73" s="88">
        <f t="shared" si="15"/>
        <v>1406.04</v>
      </c>
      <c r="L73" s="88">
        <f t="shared" si="15"/>
        <v>1505.3400000000001</v>
      </c>
      <c r="M73" s="88">
        <f t="shared" si="15"/>
        <v>1613.1399999999999</v>
      </c>
      <c r="N73" s="88">
        <f t="shared" si="15"/>
        <v>1575.7400000000002</v>
      </c>
      <c r="O73" s="88">
        <f t="shared" si="15"/>
        <v>1466.94</v>
      </c>
      <c r="P73" s="88">
        <f t="shared" si="15"/>
        <v>1305.94</v>
      </c>
      <c r="Q73" s="88">
        <f t="shared" si="15"/>
        <v>1307.9399999999998</v>
      </c>
      <c r="R73" s="88">
        <f t="shared" si="15"/>
        <v>1256.6400000000001</v>
      </c>
      <c r="S73" s="88">
        <f t="shared" si="15"/>
        <v>1322.04</v>
      </c>
      <c r="T73" s="88">
        <f t="shared" si="15"/>
        <v>1353.3400000000001</v>
      </c>
      <c r="U73" s="88">
        <f t="shared" si="15"/>
        <v>1393.04</v>
      </c>
      <c r="V73" s="88">
        <f t="shared" si="15"/>
        <v>1427.84</v>
      </c>
      <c r="W73" s="88">
        <f t="shared" si="15"/>
        <v>1512.8400000000001</v>
      </c>
      <c r="X73" s="88">
        <f t="shared" si="15"/>
        <v>1588.3400000000001</v>
      </c>
      <c r="Y73" s="88">
        <f t="shared" si="15"/>
        <v>1683.2400000000002</v>
      </c>
      <c r="Z73" s="88">
        <f t="shared" si="15"/>
        <v>3.54</v>
      </c>
      <c r="AA73" s="88">
        <f t="shared" si="15"/>
        <v>1518.44</v>
      </c>
      <c r="AB73" s="88">
        <f t="shared" si="15"/>
        <v>1501.1399999999999</v>
      </c>
      <c r="AC73" s="88">
        <f t="shared" si="15"/>
        <v>1257.2399999999998</v>
      </c>
      <c r="AD73" s="88">
        <f t="shared" si="15"/>
        <v>1242.04</v>
      </c>
      <c r="AE73" s="88">
        <f t="shared" si="15"/>
        <v>1129.44</v>
      </c>
      <c r="AF73" s="88">
        <f t="shared" si="15"/>
        <v>1007.94</v>
      </c>
      <c r="AG73" s="88">
        <f t="shared" si="15"/>
        <v>2144.14</v>
      </c>
      <c r="AH73" s="53">
        <f t="shared" si="2"/>
        <v>1683.2400000000002</v>
      </c>
      <c r="AI73" s="54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>
        <v>20</v>
      </c>
      <c r="P74" s="90">
        <v>20</v>
      </c>
      <c r="Q74" s="90"/>
      <c r="R74" s="90"/>
      <c r="S74" s="90"/>
      <c r="T74" s="90"/>
      <c r="U74" s="90"/>
      <c r="V74" s="90"/>
      <c r="W74" s="90"/>
      <c r="X74" s="90">
        <v>10</v>
      </c>
      <c r="Y74" s="90">
        <v>25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25</v>
      </c>
      <c r="AI74" s="54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1004.54</v>
      </c>
      <c r="C75" s="88">
        <f>C73+C74</f>
        <v>964.94</v>
      </c>
      <c r="D75" s="88">
        <f t="shared" ref="D75:AF75" si="16">D72+D68+D56+D52+D38+D74</f>
        <v>957.04</v>
      </c>
      <c r="E75" s="88">
        <f t="shared" si="16"/>
        <v>919.04</v>
      </c>
      <c r="F75" s="88">
        <f t="shared" si="16"/>
        <v>923.84</v>
      </c>
      <c r="G75" s="88">
        <f t="shared" si="16"/>
        <v>981.04</v>
      </c>
      <c r="H75" s="88">
        <f t="shared" si="16"/>
        <v>1026.3399999999999</v>
      </c>
      <c r="I75" s="88">
        <f t="shared" si="16"/>
        <v>1094.54</v>
      </c>
      <c r="J75" s="88">
        <f t="shared" si="16"/>
        <v>1244.3400000000001</v>
      </c>
      <c r="K75" s="88">
        <f t="shared" si="16"/>
        <v>1406.04</v>
      </c>
      <c r="L75" s="88">
        <f t="shared" si="16"/>
        <v>1505.3400000000001</v>
      </c>
      <c r="M75" s="88">
        <f t="shared" si="16"/>
        <v>1613.1399999999999</v>
      </c>
      <c r="N75" s="88">
        <f t="shared" si="16"/>
        <v>1575.7400000000002</v>
      </c>
      <c r="O75" s="88">
        <f t="shared" si="16"/>
        <v>1486.94</v>
      </c>
      <c r="P75" s="88">
        <f t="shared" si="16"/>
        <v>1325.94</v>
      </c>
      <c r="Q75" s="88">
        <f t="shared" si="16"/>
        <v>1307.9399999999998</v>
      </c>
      <c r="R75" s="88">
        <f t="shared" si="16"/>
        <v>1256.6400000000001</v>
      </c>
      <c r="S75" s="88">
        <f t="shared" si="16"/>
        <v>1322.04</v>
      </c>
      <c r="T75" s="88">
        <f t="shared" si="16"/>
        <v>1353.3400000000001</v>
      </c>
      <c r="U75" s="88">
        <f t="shared" si="16"/>
        <v>1393.04</v>
      </c>
      <c r="V75" s="88">
        <f t="shared" si="16"/>
        <v>1427.84</v>
      </c>
      <c r="W75" s="88">
        <f t="shared" si="16"/>
        <v>1512.8400000000001</v>
      </c>
      <c r="X75" s="88">
        <f t="shared" si="16"/>
        <v>1598.3400000000001</v>
      </c>
      <c r="Y75" s="88">
        <f t="shared" si="16"/>
        <v>1708.2400000000002</v>
      </c>
      <c r="Z75" s="88">
        <f t="shared" si="16"/>
        <v>3.54</v>
      </c>
      <c r="AA75" s="88">
        <f t="shared" si="16"/>
        <v>1518.44</v>
      </c>
      <c r="AB75" s="88">
        <f t="shared" si="16"/>
        <v>1501.1399999999999</v>
      </c>
      <c r="AC75" s="88">
        <f t="shared" si="16"/>
        <v>1257.2399999999998</v>
      </c>
      <c r="AD75" s="88">
        <f t="shared" si="16"/>
        <v>1242.04</v>
      </c>
      <c r="AE75" s="88">
        <f t="shared" si="16"/>
        <v>1129.44</v>
      </c>
      <c r="AF75" s="88">
        <f t="shared" si="16"/>
        <v>1007.94</v>
      </c>
      <c r="AG75" s="76">
        <f>AG72+AG68+AG56+AG52+AG38+AG74</f>
        <v>2144.14</v>
      </c>
      <c r="AH75" s="53">
        <f t="shared" si="2"/>
        <v>1708.2400000000002</v>
      </c>
      <c r="AI75" s="54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7">IF(D60&lt;0,D60*-1,0)</f>
        <v>0</v>
      </c>
      <c r="E76" s="57">
        <f t="shared" si="17"/>
        <v>0</v>
      </c>
      <c r="F76" s="57">
        <f t="shared" si="17"/>
        <v>0</v>
      </c>
      <c r="G76" s="57">
        <f t="shared" si="17"/>
        <v>0</v>
      </c>
      <c r="H76" s="57">
        <f t="shared" si="17"/>
        <v>0</v>
      </c>
      <c r="I76" s="57">
        <f t="shared" si="17"/>
        <v>0</v>
      </c>
      <c r="J76" s="57">
        <f t="shared" si="17"/>
        <v>0</v>
      </c>
      <c r="K76" s="57">
        <f t="shared" si="17"/>
        <v>0</v>
      </c>
      <c r="L76" s="57">
        <f t="shared" si="17"/>
        <v>0</v>
      </c>
      <c r="M76" s="57">
        <f t="shared" si="17"/>
        <v>0</v>
      </c>
      <c r="N76" s="57">
        <f t="shared" si="17"/>
        <v>0</v>
      </c>
      <c r="O76" s="57">
        <f t="shared" si="17"/>
        <v>0</v>
      </c>
      <c r="P76" s="57">
        <f t="shared" si="17"/>
        <v>0</v>
      </c>
      <c r="Q76" s="57">
        <f t="shared" si="17"/>
        <v>0</v>
      </c>
      <c r="R76" s="57">
        <f t="shared" si="17"/>
        <v>0</v>
      </c>
      <c r="S76" s="57">
        <f t="shared" si="17"/>
        <v>0</v>
      </c>
      <c r="T76" s="57">
        <f t="shared" si="17"/>
        <v>0</v>
      </c>
      <c r="U76" s="57">
        <f t="shared" si="17"/>
        <v>0</v>
      </c>
      <c r="V76" s="57">
        <f t="shared" si="17"/>
        <v>0</v>
      </c>
      <c r="W76" s="57">
        <f t="shared" si="17"/>
        <v>0</v>
      </c>
      <c r="X76" s="57">
        <f t="shared" si="17"/>
        <v>0</v>
      </c>
      <c r="Y76" s="57">
        <v>0</v>
      </c>
      <c r="Z76" s="57">
        <f t="shared" si="17"/>
        <v>0</v>
      </c>
      <c r="AA76" s="57">
        <f t="shared" si="17"/>
        <v>0</v>
      </c>
      <c r="AB76" s="57">
        <f t="shared" si="17"/>
        <v>0</v>
      </c>
      <c r="AC76" s="57">
        <f t="shared" si="17"/>
        <v>0</v>
      </c>
      <c r="AD76" s="57">
        <f t="shared" si="17"/>
        <v>0</v>
      </c>
      <c r="AE76" s="57">
        <f t="shared" si="17"/>
        <v>0</v>
      </c>
      <c r="AF76" s="57">
        <f t="shared" si="17"/>
        <v>0</v>
      </c>
      <c r="AG76" s="61"/>
      <c r="AH76" s="53">
        <f t="shared" ref="AH76:AH91" si="18">MAX(B76:AF76)</f>
        <v>0</v>
      </c>
      <c r="AI76" s="54">
        <f t="shared" ref="AI76:AI91" si="19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20">IF(D58&lt;0,D58*-1,0)</f>
        <v>0</v>
      </c>
      <c r="E77" s="57">
        <f t="shared" si="20"/>
        <v>0</v>
      </c>
      <c r="F77" s="57">
        <f t="shared" si="20"/>
        <v>0</v>
      </c>
      <c r="G77" s="57">
        <f t="shared" si="20"/>
        <v>0</v>
      </c>
      <c r="H77" s="57">
        <f t="shared" si="20"/>
        <v>0</v>
      </c>
      <c r="I77" s="57">
        <f t="shared" si="20"/>
        <v>0</v>
      </c>
      <c r="J77" s="57">
        <f t="shared" si="20"/>
        <v>0</v>
      </c>
      <c r="K77" s="57">
        <f t="shared" si="20"/>
        <v>0</v>
      </c>
      <c r="L77" s="57">
        <f t="shared" si="20"/>
        <v>0</v>
      </c>
      <c r="M77" s="57">
        <f t="shared" si="20"/>
        <v>0</v>
      </c>
      <c r="N77" s="57">
        <f t="shared" si="20"/>
        <v>0</v>
      </c>
      <c r="O77" s="57">
        <f t="shared" si="20"/>
        <v>0</v>
      </c>
      <c r="P77" s="57">
        <f t="shared" si="20"/>
        <v>0</v>
      </c>
      <c r="Q77" s="57">
        <f t="shared" si="20"/>
        <v>0</v>
      </c>
      <c r="R77" s="57">
        <f t="shared" si="20"/>
        <v>0</v>
      </c>
      <c r="S77" s="57">
        <f t="shared" si="20"/>
        <v>0</v>
      </c>
      <c r="T77" s="57">
        <f t="shared" si="20"/>
        <v>0</v>
      </c>
      <c r="U77" s="57">
        <f t="shared" si="20"/>
        <v>0</v>
      </c>
      <c r="V77" s="57">
        <f t="shared" si="20"/>
        <v>0</v>
      </c>
      <c r="W77" s="57">
        <f t="shared" si="20"/>
        <v>0</v>
      </c>
      <c r="X77" s="57">
        <f t="shared" si="20"/>
        <v>0</v>
      </c>
      <c r="Y77" s="57">
        <v>0</v>
      </c>
      <c r="Z77" s="57">
        <f t="shared" si="20"/>
        <v>0</v>
      </c>
      <c r="AA77" s="57">
        <f t="shared" si="20"/>
        <v>0</v>
      </c>
      <c r="AB77" s="57">
        <f t="shared" si="20"/>
        <v>0</v>
      </c>
      <c r="AC77" s="57">
        <f t="shared" si="20"/>
        <v>0</v>
      </c>
      <c r="AD77" s="57">
        <f t="shared" si="20"/>
        <v>0</v>
      </c>
      <c r="AE77" s="57">
        <f t="shared" si="20"/>
        <v>0</v>
      </c>
      <c r="AF77" s="57">
        <f t="shared" si="20"/>
        <v>0</v>
      </c>
      <c r="AG77" s="66"/>
      <c r="AH77" s="53">
        <f t="shared" si="18"/>
        <v>0</v>
      </c>
      <c r="AI77" s="54">
        <f t="shared" si="19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21">IF(D61&lt;0,D61*-1,0)</f>
        <v>0</v>
      </c>
      <c r="E78" s="57">
        <f t="shared" si="21"/>
        <v>0</v>
      </c>
      <c r="F78" s="57">
        <f t="shared" si="21"/>
        <v>0</v>
      </c>
      <c r="G78" s="57">
        <f t="shared" si="21"/>
        <v>0</v>
      </c>
      <c r="H78" s="57">
        <f t="shared" si="21"/>
        <v>0</v>
      </c>
      <c r="I78" s="57">
        <f t="shared" si="21"/>
        <v>0</v>
      </c>
      <c r="J78" s="57">
        <f t="shared" si="21"/>
        <v>0</v>
      </c>
      <c r="K78" s="57">
        <f t="shared" si="21"/>
        <v>0</v>
      </c>
      <c r="L78" s="57">
        <f t="shared" si="21"/>
        <v>0</v>
      </c>
      <c r="M78" s="57">
        <f t="shared" si="21"/>
        <v>0</v>
      </c>
      <c r="N78" s="57">
        <f t="shared" si="21"/>
        <v>0</v>
      </c>
      <c r="O78" s="57">
        <f t="shared" si="21"/>
        <v>0</v>
      </c>
      <c r="P78" s="57">
        <f t="shared" si="21"/>
        <v>0</v>
      </c>
      <c r="Q78" s="57">
        <f t="shared" si="21"/>
        <v>0</v>
      </c>
      <c r="R78" s="57">
        <f t="shared" si="21"/>
        <v>0</v>
      </c>
      <c r="S78" s="57">
        <f t="shared" si="21"/>
        <v>0</v>
      </c>
      <c r="T78" s="57">
        <f t="shared" si="21"/>
        <v>0</v>
      </c>
      <c r="U78" s="57">
        <f t="shared" si="21"/>
        <v>0</v>
      </c>
      <c r="V78" s="57">
        <f t="shared" si="21"/>
        <v>0</v>
      </c>
      <c r="W78" s="57">
        <f t="shared" si="21"/>
        <v>0</v>
      </c>
      <c r="X78" s="57">
        <f t="shared" si="21"/>
        <v>0</v>
      </c>
      <c r="Y78" s="57">
        <v>0</v>
      </c>
      <c r="Z78" s="57">
        <f t="shared" si="21"/>
        <v>0</v>
      </c>
      <c r="AA78" s="57">
        <f t="shared" si="21"/>
        <v>0</v>
      </c>
      <c r="AB78" s="57">
        <f t="shared" si="21"/>
        <v>0</v>
      </c>
      <c r="AC78" s="57">
        <f t="shared" si="21"/>
        <v>0</v>
      </c>
      <c r="AD78" s="57">
        <f t="shared" si="21"/>
        <v>0</v>
      </c>
      <c r="AE78" s="57">
        <f t="shared" si="21"/>
        <v>0</v>
      </c>
      <c r="AF78" s="57">
        <f t="shared" si="21"/>
        <v>0</v>
      </c>
      <c r="AG78" s="91"/>
      <c r="AH78" s="53">
        <f t="shared" si="18"/>
        <v>0</v>
      </c>
      <c r="AI78" s="54">
        <f t="shared" si="1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22">IF(D59&lt;0,D59*-1,0)</f>
        <v>0</v>
      </c>
      <c r="E79" s="57">
        <f t="shared" si="22"/>
        <v>0</v>
      </c>
      <c r="F79" s="57">
        <f t="shared" si="22"/>
        <v>0</v>
      </c>
      <c r="G79" s="57">
        <f t="shared" si="22"/>
        <v>0</v>
      </c>
      <c r="H79" s="57">
        <f t="shared" si="22"/>
        <v>0</v>
      </c>
      <c r="I79" s="57">
        <f t="shared" si="22"/>
        <v>0</v>
      </c>
      <c r="J79" s="57">
        <f t="shared" si="22"/>
        <v>0</v>
      </c>
      <c r="K79" s="57">
        <f t="shared" si="22"/>
        <v>0</v>
      </c>
      <c r="L79" s="57">
        <f t="shared" si="22"/>
        <v>0</v>
      </c>
      <c r="M79" s="57">
        <f t="shared" si="22"/>
        <v>0</v>
      </c>
      <c r="N79" s="57">
        <f t="shared" si="22"/>
        <v>0</v>
      </c>
      <c r="O79" s="57">
        <f t="shared" si="22"/>
        <v>0</v>
      </c>
      <c r="P79" s="57">
        <f t="shared" si="22"/>
        <v>0</v>
      </c>
      <c r="Q79" s="57">
        <f t="shared" si="22"/>
        <v>0</v>
      </c>
      <c r="R79" s="57">
        <f t="shared" si="22"/>
        <v>0</v>
      </c>
      <c r="S79" s="57">
        <f t="shared" si="22"/>
        <v>0</v>
      </c>
      <c r="T79" s="57">
        <f t="shared" si="22"/>
        <v>0</v>
      </c>
      <c r="U79" s="57">
        <f t="shared" si="22"/>
        <v>0</v>
      </c>
      <c r="V79" s="57">
        <f t="shared" si="22"/>
        <v>0</v>
      </c>
      <c r="W79" s="57">
        <f t="shared" si="22"/>
        <v>0</v>
      </c>
      <c r="X79" s="57">
        <f t="shared" si="22"/>
        <v>0</v>
      </c>
      <c r="Y79" s="57">
        <v>0</v>
      </c>
      <c r="Z79" s="57">
        <f t="shared" si="22"/>
        <v>0</v>
      </c>
      <c r="AA79" s="57">
        <f t="shared" si="22"/>
        <v>0</v>
      </c>
      <c r="AB79" s="57">
        <f t="shared" si="22"/>
        <v>0</v>
      </c>
      <c r="AC79" s="57">
        <f t="shared" si="22"/>
        <v>0</v>
      </c>
      <c r="AD79" s="57">
        <f t="shared" si="22"/>
        <v>0</v>
      </c>
      <c r="AE79" s="57">
        <f t="shared" si="22"/>
        <v>0</v>
      </c>
      <c r="AF79" s="57">
        <f t="shared" si="22"/>
        <v>0</v>
      </c>
      <c r="AG79" s="91"/>
      <c r="AH79" s="53">
        <f t="shared" si="18"/>
        <v>0</v>
      </c>
      <c r="AI79" s="54">
        <f t="shared" si="1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3">IF(D57&lt;0,D57*-1,0)</f>
        <v>0</v>
      </c>
      <c r="E80" s="57">
        <f t="shared" si="23"/>
        <v>0</v>
      </c>
      <c r="F80" s="57">
        <f t="shared" si="23"/>
        <v>0</v>
      </c>
      <c r="G80" s="57">
        <f t="shared" si="23"/>
        <v>0</v>
      </c>
      <c r="H80" s="57">
        <f t="shared" si="23"/>
        <v>0</v>
      </c>
      <c r="I80" s="57">
        <f t="shared" si="23"/>
        <v>0</v>
      </c>
      <c r="J80" s="57">
        <f t="shared" si="23"/>
        <v>0</v>
      </c>
      <c r="K80" s="57">
        <f t="shared" si="23"/>
        <v>0</v>
      </c>
      <c r="L80" s="57">
        <f t="shared" si="23"/>
        <v>0</v>
      </c>
      <c r="M80" s="57">
        <f t="shared" si="23"/>
        <v>0</v>
      </c>
      <c r="N80" s="57">
        <f t="shared" si="23"/>
        <v>0</v>
      </c>
      <c r="O80" s="57">
        <f t="shared" si="23"/>
        <v>0</v>
      </c>
      <c r="P80" s="57">
        <f t="shared" si="23"/>
        <v>0</v>
      </c>
      <c r="Q80" s="57">
        <f t="shared" si="23"/>
        <v>0</v>
      </c>
      <c r="R80" s="57">
        <f t="shared" si="23"/>
        <v>0</v>
      </c>
      <c r="S80" s="57">
        <f t="shared" si="23"/>
        <v>0</v>
      </c>
      <c r="T80" s="57">
        <f t="shared" si="23"/>
        <v>0</v>
      </c>
      <c r="U80" s="57">
        <f t="shared" si="23"/>
        <v>0</v>
      </c>
      <c r="V80" s="57">
        <f t="shared" si="23"/>
        <v>0</v>
      </c>
      <c r="W80" s="57">
        <f t="shared" si="23"/>
        <v>0</v>
      </c>
      <c r="X80" s="57">
        <f t="shared" si="23"/>
        <v>0</v>
      </c>
      <c r="Y80" s="57">
        <v>0</v>
      </c>
      <c r="Z80" s="57">
        <f t="shared" si="23"/>
        <v>0</v>
      </c>
      <c r="AA80" s="57">
        <f t="shared" si="23"/>
        <v>0</v>
      </c>
      <c r="AB80" s="57">
        <f t="shared" si="23"/>
        <v>0</v>
      </c>
      <c r="AC80" s="57">
        <f t="shared" si="23"/>
        <v>0</v>
      </c>
      <c r="AD80" s="57">
        <f t="shared" si="23"/>
        <v>0</v>
      </c>
      <c r="AE80" s="57">
        <f t="shared" si="23"/>
        <v>0</v>
      </c>
      <c r="AF80" s="57">
        <f t="shared" si="23"/>
        <v>0</v>
      </c>
      <c r="AG80" s="91"/>
      <c r="AH80" s="53">
        <f t="shared" si="18"/>
        <v>0</v>
      </c>
      <c r="AI80" s="54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8"/>
        <v>0</v>
      </c>
      <c r="AI81" s="54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4">SUM(C76:C81)</f>
        <v>0</v>
      </c>
      <c r="D82" s="71">
        <f t="shared" si="24"/>
        <v>0</v>
      </c>
      <c r="E82" s="71">
        <f t="shared" si="24"/>
        <v>0</v>
      </c>
      <c r="F82" s="71">
        <f t="shared" si="24"/>
        <v>0</v>
      </c>
      <c r="G82" s="71">
        <f t="shared" si="24"/>
        <v>0</v>
      </c>
      <c r="H82" s="71">
        <f t="shared" si="24"/>
        <v>0</v>
      </c>
      <c r="I82" s="71">
        <f t="shared" si="24"/>
        <v>0</v>
      </c>
      <c r="J82" s="71">
        <f t="shared" si="24"/>
        <v>0</v>
      </c>
      <c r="K82" s="71">
        <f t="shared" si="24"/>
        <v>0</v>
      </c>
      <c r="L82" s="71">
        <f t="shared" si="24"/>
        <v>0</v>
      </c>
      <c r="M82" s="71">
        <f t="shared" si="24"/>
        <v>0</v>
      </c>
      <c r="N82" s="71">
        <f t="shared" si="24"/>
        <v>0</v>
      </c>
      <c r="O82" s="71">
        <f t="shared" si="24"/>
        <v>0</v>
      </c>
      <c r="P82" s="71">
        <f t="shared" si="24"/>
        <v>0</v>
      </c>
      <c r="Q82" s="71">
        <f t="shared" si="24"/>
        <v>0</v>
      </c>
      <c r="R82" s="71">
        <f t="shared" si="24"/>
        <v>0</v>
      </c>
      <c r="S82" s="71">
        <f t="shared" si="24"/>
        <v>0</v>
      </c>
      <c r="T82" s="71">
        <f t="shared" si="24"/>
        <v>0</v>
      </c>
      <c r="U82" s="71">
        <f t="shared" si="24"/>
        <v>0</v>
      </c>
      <c r="V82" s="71">
        <f t="shared" si="24"/>
        <v>0</v>
      </c>
      <c r="W82" s="71">
        <f t="shared" si="24"/>
        <v>0</v>
      </c>
      <c r="X82" s="71">
        <f t="shared" si="24"/>
        <v>0</v>
      </c>
      <c r="Y82" s="71">
        <f t="shared" si="24"/>
        <v>0</v>
      </c>
      <c r="Z82" s="71">
        <f t="shared" si="24"/>
        <v>0</v>
      </c>
      <c r="AA82" s="71">
        <f t="shared" si="24"/>
        <v>0</v>
      </c>
      <c r="AB82" s="71">
        <f t="shared" si="24"/>
        <v>0</v>
      </c>
      <c r="AC82" s="71">
        <f t="shared" si="24"/>
        <v>0</v>
      </c>
      <c r="AD82" s="71">
        <f t="shared" si="24"/>
        <v>0</v>
      </c>
      <c r="AE82" s="71">
        <f t="shared" si="24"/>
        <v>0</v>
      </c>
      <c r="AF82" s="71">
        <f t="shared" si="24"/>
        <v>0</v>
      </c>
      <c r="AG82" s="76">
        <f t="shared" si="24"/>
        <v>0</v>
      </c>
      <c r="AH82" s="53">
        <f t="shared" si="18"/>
        <v>0</v>
      </c>
      <c r="AI82" s="54">
        <f t="shared" si="19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2009.08</v>
      </c>
      <c r="C83" s="71">
        <f t="shared" ref="C83:AG83" si="25">SUM(C70:C82)</f>
        <v>1929.88</v>
      </c>
      <c r="D83" s="71">
        <f t="shared" si="25"/>
        <v>1914.08</v>
      </c>
      <c r="E83" s="71">
        <f t="shared" si="25"/>
        <v>1838.08</v>
      </c>
      <c r="F83" s="71">
        <f t="shared" si="25"/>
        <v>1847.68</v>
      </c>
      <c r="G83" s="71">
        <f t="shared" si="25"/>
        <v>1962.08</v>
      </c>
      <c r="H83" s="71">
        <f t="shared" si="25"/>
        <v>2052.6799999999998</v>
      </c>
      <c r="I83" s="71">
        <f t="shared" si="25"/>
        <v>2189.08</v>
      </c>
      <c r="J83" s="71">
        <f t="shared" si="25"/>
        <v>2488.6800000000003</v>
      </c>
      <c r="K83" s="71">
        <f t="shared" si="25"/>
        <v>2812.08</v>
      </c>
      <c r="L83" s="71">
        <f t="shared" si="25"/>
        <v>3010.6800000000003</v>
      </c>
      <c r="M83" s="71">
        <f t="shared" si="25"/>
        <v>3226.2799999999997</v>
      </c>
      <c r="N83" s="71">
        <f t="shared" si="25"/>
        <v>3151.4800000000005</v>
      </c>
      <c r="O83" s="71">
        <f t="shared" si="25"/>
        <v>2973.88</v>
      </c>
      <c r="P83" s="71">
        <f t="shared" si="25"/>
        <v>2651.88</v>
      </c>
      <c r="Q83" s="71">
        <f t="shared" si="25"/>
        <v>2615.8799999999997</v>
      </c>
      <c r="R83" s="71">
        <f t="shared" si="25"/>
        <v>2513.2800000000002</v>
      </c>
      <c r="S83" s="71">
        <f t="shared" si="25"/>
        <v>2644.08</v>
      </c>
      <c r="T83" s="71">
        <f t="shared" si="25"/>
        <v>2706.6800000000003</v>
      </c>
      <c r="U83" s="71">
        <f t="shared" si="25"/>
        <v>2786.08</v>
      </c>
      <c r="V83" s="71">
        <f t="shared" si="25"/>
        <v>2855.68</v>
      </c>
      <c r="W83" s="71">
        <f t="shared" si="25"/>
        <v>3025.6800000000003</v>
      </c>
      <c r="X83" s="71">
        <f t="shared" si="25"/>
        <v>3196.6800000000003</v>
      </c>
      <c r="Y83" s="71">
        <f t="shared" si="25"/>
        <v>3416.4800000000005</v>
      </c>
      <c r="Z83" s="71">
        <f t="shared" si="25"/>
        <v>7.08</v>
      </c>
      <c r="AA83" s="71">
        <f t="shared" si="25"/>
        <v>3036.88</v>
      </c>
      <c r="AB83" s="71">
        <f t="shared" si="25"/>
        <v>3002.2799999999997</v>
      </c>
      <c r="AC83" s="71">
        <f t="shared" si="25"/>
        <v>2514.4799999999996</v>
      </c>
      <c r="AD83" s="71">
        <f t="shared" si="25"/>
        <v>2484.08</v>
      </c>
      <c r="AE83" s="71">
        <f t="shared" si="25"/>
        <v>2258.88</v>
      </c>
      <c r="AF83" s="71">
        <f t="shared" si="25"/>
        <v>2015.88</v>
      </c>
      <c r="AG83" s="76">
        <f t="shared" si="25"/>
        <v>4360.08</v>
      </c>
      <c r="AH83" s="53">
        <f t="shared" si="18"/>
        <v>3416.4800000000005</v>
      </c>
      <c r="AI83" s="54">
        <f t="shared" si="19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50.024000000000001</v>
      </c>
      <c r="C84" s="95">
        <v>50.02</v>
      </c>
      <c r="D84" s="95">
        <v>50.039000000000001</v>
      </c>
      <c r="E84" s="95">
        <v>50.023000000000003</v>
      </c>
      <c r="F84" s="95">
        <v>50.012</v>
      </c>
      <c r="G84" s="95">
        <v>50.064999999999998</v>
      </c>
      <c r="H84" s="95">
        <v>49.933999999999997</v>
      </c>
      <c r="I84" s="95">
        <v>49.92</v>
      </c>
      <c r="J84" s="95">
        <v>50.018000000000001</v>
      </c>
      <c r="K84" s="95">
        <v>49.83</v>
      </c>
      <c r="L84" s="95">
        <v>49.820999999999998</v>
      </c>
      <c r="M84" s="95">
        <v>50.015999999999998</v>
      </c>
      <c r="N84" s="95">
        <v>49.965000000000003</v>
      </c>
      <c r="O84" s="95">
        <v>50.031999999999996</v>
      </c>
      <c r="P84" s="95">
        <v>50.067999999999998</v>
      </c>
      <c r="Q84" s="95">
        <v>49.954999999999998</v>
      </c>
      <c r="R84" s="95">
        <v>49.981000000000002</v>
      </c>
      <c r="S84" s="95">
        <v>50.045000000000002</v>
      </c>
      <c r="T84" s="95">
        <v>50.115000000000002</v>
      </c>
      <c r="U84" s="95">
        <v>49.96</v>
      </c>
      <c r="V84" s="95">
        <v>49.993000000000002</v>
      </c>
      <c r="W84" s="95">
        <v>49.984999999999999</v>
      </c>
      <c r="X84" s="95">
        <v>50.04</v>
      </c>
      <c r="Y84" s="95">
        <v>49.988999999999997</v>
      </c>
      <c r="Z84" s="99"/>
      <c r="AA84" s="99">
        <v>49.86</v>
      </c>
      <c r="AB84" s="99">
        <v>49.86</v>
      </c>
      <c r="AC84" s="99">
        <v>49.93</v>
      </c>
      <c r="AD84" s="99">
        <v>50.04</v>
      </c>
      <c r="AE84" s="99">
        <v>49.97</v>
      </c>
      <c r="AF84" s="99">
        <v>49.96</v>
      </c>
      <c r="AG84" s="96"/>
      <c r="AH84" s="53">
        <f t="shared" si="18"/>
        <v>50.115000000000002</v>
      </c>
      <c r="AI84" s="54">
        <f t="shared" si="19"/>
        <v>49.820999999999998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2">
        <v>125.1</v>
      </c>
      <c r="C85" s="72">
        <v>125.5</v>
      </c>
      <c r="D85" s="72">
        <v>125.9</v>
      </c>
      <c r="E85" s="72">
        <v>126.9</v>
      </c>
      <c r="F85" s="72">
        <v>128</v>
      </c>
      <c r="G85" s="72">
        <v>127.1</v>
      </c>
      <c r="H85" s="72">
        <v>126.9</v>
      </c>
      <c r="I85" s="72">
        <v>128.1</v>
      </c>
      <c r="J85" s="72">
        <v>125.9</v>
      </c>
      <c r="K85" s="72">
        <v>124.9</v>
      </c>
      <c r="L85" s="72">
        <v>124.7</v>
      </c>
      <c r="M85" s="72">
        <v>124.4</v>
      </c>
      <c r="N85" s="72">
        <v>124.2</v>
      </c>
      <c r="O85" s="72">
        <v>125.8</v>
      </c>
      <c r="P85" s="72">
        <v>127.3</v>
      </c>
      <c r="Q85" s="72">
        <v>124.4</v>
      </c>
      <c r="R85" s="72">
        <v>124.8</v>
      </c>
      <c r="S85" s="72">
        <v>123.8</v>
      </c>
      <c r="T85" s="72">
        <v>124.3</v>
      </c>
      <c r="U85" s="72">
        <v>125</v>
      </c>
      <c r="V85" s="99">
        <v>124.3</v>
      </c>
      <c r="W85" s="99">
        <v>125</v>
      </c>
      <c r="X85" s="99">
        <v>125.7</v>
      </c>
      <c r="Y85" s="99">
        <v>123.9</v>
      </c>
      <c r="Z85" s="99"/>
      <c r="AA85" s="99">
        <v>125.6</v>
      </c>
      <c r="AB85" s="99">
        <v>125.6</v>
      </c>
      <c r="AC85" s="99">
        <v>125.9</v>
      </c>
      <c r="AD85" s="99">
        <v>127.4</v>
      </c>
      <c r="AE85" s="99">
        <v>127</v>
      </c>
      <c r="AF85" s="99">
        <v>125.4</v>
      </c>
      <c r="AG85" s="100"/>
      <c r="AH85" s="53">
        <f t="shared" si="18"/>
        <v>128.1</v>
      </c>
      <c r="AI85" s="54">
        <f t="shared" si="19"/>
        <v>123.8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2">
        <v>129.80000000000001</v>
      </c>
      <c r="C86" s="72">
        <v>130.19999999999999</v>
      </c>
      <c r="D86" s="72">
        <v>130.69999999999999</v>
      </c>
      <c r="E86" s="72">
        <v>131.4</v>
      </c>
      <c r="F86" s="72">
        <v>132.1</v>
      </c>
      <c r="G86" s="72">
        <v>130.80000000000001</v>
      </c>
      <c r="H86" s="72">
        <v>131.1</v>
      </c>
      <c r="I86" s="72">
        <v>131.19999999999999</v>
      </c>
      <c r="J86" s="72">
        <v>129</v>
      </c>
      <c r="K86" s="72">
        <v>128.19999999999999</v>
      </c>
      <c r="L86" s="72">
        <v>126.7</v>
      </c>
      <c r="M86" s="72">
        <v>126.6</v>
      </c>
      <c r="N86" s="72">
        <v>126.6</v>
      </c>
      <c r="O86" s="72">
        <v>127.4</v>
      </c>
      <c r="P86" s="72">
        <v>129.6</v>
      </c>
      <c r="Q86" s="72">
        <v>127.3</v>
      </c>
      <c r="R86" s="72">
        <v>127.1</v>
      </c>
      <c r="S86" s="72">
        <v>125.9</v>
      </c>
      <c r="T86" s="72">
        <v>127</v>
      </c>
      <c r="U86" s="72">
        <v>127.2</v>
      </c>
      <c r="V86" s="99">
        <v>125.8</v>
      </c>
      <c r="W86" s="99">
        <v>126.1</v>
      </c>
      <c r="X86" s="99">
        <v>126.4</v>
      </c>
      <c r="Y86" s="99">
        <v>125.1</v>
      </c>
      <c r="Z86" s="99"/>
      <c r="AA86" s="99">
        <v>126.7</v>
      </c>
      <c r="AB86" s="99">
        <v>126.7</v>
      </c>
      <c r="AC86" s="99">
        <v>127.7</v>
      </c>
      <c r="AD86" s="99">
        <v>129.5</v>
      </c>
      <c r="AE86" s="99">
        <v>129.30000000000001</v>
      </c>
      <c r="AF86" s="99">
        <v>129.19999999999999</v>
      </c>
      <c r="AG86" s="100"/>
      <c r="AH86" s="53">
        <f t="shared" si="18"/>
        <v>132.1</v>
      </c>
      <c r="AI86" s="54">
        <f t="shared" si="19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2">
        <v>129.4</v>
      </c>
      <c r="C87" s="72">
        <v>130.19999999999999</v>
      </c>
      <c r="D87" s="72">
        <v>129.5</v>
      </c>
      <c r="E87" s="72">
        <v>130.69999999999999</v>
      </c>
      <c r="F87" s="72">
        <v>130.30000000000001</v>
      </c>
      <c r="G87" s="72">
        <v>127.9</v>
      </c>
      <c r="H87" s="72">
        <v>128.30000000000001</v>
      </c>
      <c r="I87" s="72">
        <v>127.8</v>
      </c>
      <c r="J87" s="72">
        <v>127</v>
      </c>
      <c r="K87" s="72">
        <v>130.5</v>
      </c>
      <c r="L87" s="72">
        <v>131.30000000000001</v>
      </c>
      <c r="M87" s="72">
        <v>126.6</v>
      </c>
      <c r="N87" s="72">
        <v>129.4</v>
      </c>
      <c r="O87" s="72">
        <v>128.80000000000001</v>
      </c>
      <c r="P87" s="72">
        <v>130.69999999999999</v>
      </c>
      <c r="Q87" s="72">
        <v>132.30000000000001</v>
      </c>
      <c r="R87" s="72">
        <v>128</v>
      </c>
      <c r="S87" s="72">
        <v>128.30000000000001</v>
      </c>
      <c r="T87" s="72">
        <v>131.19999999999999</v>
      </c>
      <c r="U87" s="72">
        <v>130.6</v>
      </c>
      <c r="V87" s="72">
        <v>129</v>
      </c>
      <c r="W87" s="72">
        <v>127.7</v>
      </c>
      <c r="X87" s="72">
        <v>129.4</v>
      </c>
      <c r="Y87" s="72">
        <v>128.9</v>
      </c>
      <c r="Z87" s="99"/>
      <c r="AA87" s="99">
        <v>129.6</v>
      </c>
      <c r="AB87" s="99">
        <v>129.6</v>
      </c>
      <c r="AC87" s="99">
        <v>132</v>
      </c>
      <c r="AD87" s="99">
        <v>130.69999999999999</v>
      </c>
      <c r="AE87" s="99">
        <v>130.5</v>
      </c>
      <c r="AF87" s="99">
        <v>130.30000000000001</v>
      </c>
      <c r="AG87" s="100"/>
      <c r="AH87" s="53">
        <f t="shared" si="18"/>
        <v>132.30000000000001</v>
      </c>
      <c r="AI87" s="54">
        <f t="shared" si="19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72">
        <v>132.80000000000001</v>
      </c>
      <c r="C88" s="72">
        <v>133.5</v>
      </c>
      <c r="D88" s="72">
        <v>132.80000000000001</v>
      </c>
      <c r="E88" s="72">
        <v>134.1</v>
      </c>
      <c r="F88" s="72">
        <v>133.80000000000001</v>
      </c>
      <c r="G88" s="72">
        <v>130.6</v>
      </c>
      <c r="H88" s="72">
        <v>131.6</v>
      </c>
      <c r="I88" s="72">
        <v>131</v>
      </c>
      <c r="J88" s="72">
        <v>129.4</v>
      </c>
      <c r="K88" s="72">
        <v>132.6</v>
      </c>
      <c r="L88" s="72">
        <v>133.5</v>
      </c>
      <c r="M88" s="72">
        <v>127.7</v>
      </c>
      <c r="N88" s="72">
        <v>132.1</v>
      </c>
      <c r="O88" s="72">
        <v>132.30000000000001</v>
      </c>
      <c r="P88" s="72">
        <v>134.1</v>
      </c>
      <c r="Q88" s="72">
        <v>134.1</v>
      </c>
      <c r="R88" s="72">
        <v>131</v>
      </c>
      <c r="S88" s="72">
        <v>131.1</v>
      </c>
      <c r="T88" s="72">
        <v>133.6</v>
      </c>
      <c r="U88" s="72">
        <v>133</v>
      </c>
      <c r="V88" s="72">
        <v>131.5</v>
      </c>
      <c r="W88" s="72">
        <v>130.6</v>
      </c>
      <c r="X88" s="72">
        <v>132.80000000000001</v>
      </c>
      <c r="Y88" s="72">
        <v>132.4</v>
      </c>
      <c r="Z88" s="99"/>
      <c r="AA88" s="99">
        <v>135</v>
      </c>
      <c r="AB88" s="99">
        <v>135</v>
      </c>
      <c r="AC88" s="99">
        <v>135</v>
      </c>
      <c r="AD88" s="99">
        <v>132.9</v>
      </c>
      <c r="AE88" s="99">
        <v>133.1</v>
      </c>
      <c r="AF88" s="99">
        <v>133</v>
      </c>
      <c r="AG88" s="100"/>
      <c r="AH88" s="53">
        <f t="shared" si="18"/>
        <v>135</v>
      </c>
      <c r="AI88" s="54">
        <f t="shared" si="19"/>
        <v>127.7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3">
        <v>130.9</v>
      </c>
      <c r="C89" s="103">
        <v>131</v>
      </c>
      <c r="D89" s="103">
        <v>132.69999999999999</v>
      </c>
      <c r="E89" s="103">
        <v>131.19999999999999</v>
      </c>
      <c r="F89" s="103">
        <v>131.19999999999999</v>
      </c>
      <c r="G89" s="103">
        <v>130.19999999999999</v>
      </c>
      <c r="H89" s="103">
        <v>135.69999999999999</v>
      </c>
      <c r="I89" s="103">
        <v>133.1</v>
      </c>
      <c r="J89" s="103">
        <v>132</v>
      </c>
      <c r="K89" s="103">
        <v>135.69999999999999</v>
      </c>
      <c r="L89" s="103">
        <v>132</v>
      </c>
      <c r="M89" s="103">
        <v>131.5</v>
      </c>
      <c r="N89" s="103">
        <v>135.19999999999999</v>
      </c>
      <c r="O89" s="103">
        <v>131.80000000000001</v>
      </c>
      <c r="P89" s="103">
        <v>135</v>
      </c>
      <c r="Q89" s="103">
        <v>134.80000000000001</v>
      </c>
      <c r="R89" s="103">
        <v>135.30000000000001</v>
      </c>
      <c r="S89" s="103">
        <v>131.9</v>
      </c>
      <c r="T89" s="103">
        <v>133.19999999999999</v>
      </c>
      <c r="U89" s="103">
        <v>133.19999999999999</v>
      </c>
      <c r="V89" s="103">
        <v>133</v>
      </c>
      <c r="W89" s="103">
        <v>134</v>
      </c>
      <c r="X89" s="103">
        <v>135.69999999999999</v>
      </c>
      <c r="Y89" s="103">
        <v>135.69999999999999</v>
      </c>
      <c r="Z89" s="99"/>
      <c r="AA89" s="99">
        <v>134</v>
      </c>
      <c r="AB89" s="99">
        <v>134</v>
      </c>
      <c r="AC89" s="99">
        <v>134</v>
      </c>
      <c r="AD89" s="99">
        <v>134.4</v>
      </c>
      <c r="AE89" s="99">
        <v>130.69999999999999</v>
      </c>
      <c r="AF89" s="99">
        <v>129.4</v>
      </c>
      <c r="AG89" s="104"/>
      <c r="AH89" s="53">
        <f t="shared" si="18"/>
        <v>135.69999999999999</v>
      </c>
      <c r="AI89" s="54">
        <f t="shared" si="19"/>
        <v>129.4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2">
        <v>136.19999999999999</v>
      </c>
      <c r="C90" s="72">
        <v>135.5</v>
      </c>
      <c r="D90" s="72">
        <v>136</v>
      </c>
      <c r="E90" s="72">
        <v>135.9</v>
      </c>
      <c r="F90" s="72">
        <v>136</v>
      </c>
      <c r="G90" s="72">
        <v>135.30000000000001</v>
      </c>
      <c r="H90" s="72">
        <v>132.80000000000001</v>
      </c>
      <c r="I90" s="72">
        <v>134.1</v>
      </c>
      <c r="J90" s="72">
        <v>132.30000000000001</v>
      </c>
      <c r="K90" s="72">
        <v>131.4</v>
      </c>
      <c r="L90" s="72">
        <v>127.5</v>
      </c>
      <c r="M90" s="72">
        <v>128.9</v>
      </c>
      <c r="N90" s="72">
        <v>126.6</v>
      </c>
      <c r="O90" s="72">
        <v>126.3</v>
      </c>
      <c r="P90" s="72">
        <v>133.1</v>
      </c>
      <c r="Q90" s="72">
        <v>134.80000000000001</v>
      </c>
      <c r="R90" s="72">
        <v>130.19999999999999</v>
      </c>
      <c r="S90" s="72">
        <v>133</v>
      </c>
      <c r="T90" s="72">
        <v>132.9</v>
      </c>
      <c r="U90" s="72">
        <v>130.80000000000001</v>
      </c>
      <c r="V90" s="72">
        <v>131.5</v>
      </c>
      <c r="W90" s="72">
        <v>133.9</v>
      </c>
      <c r="X90" s="72">
        <v>134</v>
      </c>
      <c r="Y90" s="72">
        <v>132.19999999999999</v>
      </c>
      <c r="Z90" s="99"/>
      <c r="AA90" s="99">
        <v>135</v>
      </c>
      <c r="AB90" s="99">
        <v>135</v>
      </c>
      <c r="AC90" s="99">
        <v>135</v>
      </c>
      <c r="AD90" s="99">
        <v>134.19999999999999</v>
      </c>
      <c r="AE90" s="99">
        <v>136</v>
      </c>
      <c r="AF90" s="99">
        <v>134.19999999999999</v>
      </c>
      <c r="AG90" s="100"/>
      <c r="AH90" s="53">
        <f t="shared" si="18"/>
        <v>136.19999999999999</v>
      </c>
      <c r="AI90" s="54">
        <f t="shared" si="19"/>
        <v>126.3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>
        <v>65.5</v>
      </c>
      <c r="C91" s="106">
        <v>65.8</v>
      </c>
      <c r="D91" s="106">
        <v>66</v>
      </c>
      <c r="E91" s="106">
        <v>66.400000000000006</v>
      </c>
      <c r="F91" s="106">
        <v>66.599999999999994</v>
      </c>
      <c r="G91" s="106">
        <v>65.900000000000006</v>
      </c>
      <c r="H91" s="106">
        <v>66.099999999999994</v>
      </c>
      <c r="I91" s="106">
        <v>65.900000000000006</v>
      </c>
      <c r="J91" s="106">
        <v>65.2</v>
      </c>
      <c r="K91" s="106">
        <v>64.8</v>
      </c>
      <c r="L91" s="106">
        <v>64</v>
      </c>
      <c r="M91" s="106">
        <v>63.8</v>
      </c>
      <c r="N91" s="106">
        <v>63.7</v>
      </c>
      <c r="O91" s="106">
        <v>64</v>
      </c>
      <c r="P91" s="106">
        <v>65</v>
      </c>
      <c r="Q91" s="106">
        <v>64.2</v>
      </c>
      <c r="R91" s="106">
        <v>63.9</v>
      </c>
      <c r="S91" s="106">
        <v>63.5</v>
      </c>
      <c r="T91" s="106">
        <v>63.9</v>
      </c>
      <c r="U91" s="106">
        <v>64.099999999999994</v>
      </c>
      <c r="V91" s="106">
        <v>63.3</v>
      </c>
      <c r="W91" s="106">
        <v>63</v>
      </c>
      <c r="X91" s="106">
        <v>62.8</v>
      </c>
      <c r="Y91" s="106">
        <v>62.8</v>
      </c>
      <c r="Z91" s="106"/>
      <c r="AA91" s="106">
        <v>63.8</v>
      </c>
      <c r="AB91" s="106">
        <v>63.8</v>
      </c>
      <c r="AC91" s="106">
        <v>63.8</v>
      </c>
      <c r="AD91" s="106">
        <v>65.400000000000006</v>
      </c>
      <c r="AE91" s="106">
        <v>65.5</v>
      </c>
      <c r="AF91" s="106">
        <v>65.099999999999994</v>
      </c>
      <c r="AG91" s="107"/>
      <c r="AH91" s="53">
        <f t="shared" si="18"/>
        <v>66.599999999999994</v>
      </c>
      <c r="AI91" s="54">
        <f t="shared" si="19"/>
        <v>62.8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6.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209.14</v>
      </c>
      <c r="C93" s="113">
        <f>SUM(C15,C18,C21:C22,C42,C44:C45,C47,C49,C94:C97,C102,C108,C114,C123,C125,C137,C144,C147:C148,C155,C157,C159,C163:C165,C167:C169,C174,C180:C181,C183:C185,C193,C198)</f>
        <v>193.43999999999997</v>
      </c>
      <c r="D93" s="113">
        <f t="shared" ref="D93:AF93" si="26">SUM(D15,D18,D21:D22,D42,D44:D45,D47,D49,D94:D97,D102,D108,D114,D123,D125,D137,D144,D147:D148,D155,D157,D159,D163:D165,D167:D169,D174,D180:D181,D183:D185,D193,D198)</f>
        <v>184.93999999999997</v>
      </c>
      <c r="E93" s="113">
        <f t="shared" si="26"/>
        <v>180.14</v>
      </c>
      <c r="F93" s="113">
        <f t="shared" si="26"/>
        <v>185.93999999999994</v>
      </c>
      <c r="G93" s="112">
        <f t="shared" si="26"/>
        <v>204.14</v>
      </c>
      <c r="H93" s="112">
        <f t="shared" si="26"/>
        <v>227.23999999999995</v>
      </c>
      <c r="I93" s="112">
        <f t="shared" si="26"/>
        <v>262.24</v>
      </c>
      <c r="J93" s="112">
        <f t="shared" si="26"/>
        <v>306.24</v>
      </c>
      <c r="K93" s="112">
        <f t="shared" si="26"/>
        <v>368.14000000000004</v>
      </c>
      <c r="L93" s="112">
        <f t="shared" si="26"/>
        <v>419.74000000000007</v>
      </c>
      <c r="M93" s="112">
        <f t="shared" si="26"/>
        <v>451.24000000000007</v>
      </c>
      <c r="N93" s="112">
        <f t="shared" si="26"/>
        <v>449.54000000000008</v>
      </c>
      <c r="O93" s="112">
        <f t="shared" si="26"/>
        <v>446.14</v>
      </c>
      <c r="P93" s="112">
        <f t="shared" si="26"/>
        <v>402.94000000000005</v>
      </c>
      <c r="Q93" s="112">
        <f t="shared" si="26"/>
        <v>402.94000000000005</v>
      </c>
      <c r="R93" s="112">
        <f t="shared" si="26"/>
        <v>387.34000000000003</v>
      </c>
      <c r="S93" s="112">
        <f t="shared" si="26"/>
        <v>405.74</v>
      </c>
      <c r="T93" s="112">
        <f t="shared" si="26"/>
        <v>418.84000000000003</v>
      </c>
      <c r="U93" s="112">
        <f t="shared" si="26"/>
        <v>440.64000000000004</v>
      </c>
      <c r="V93" s="112">
        <f t="shared" si="26"/>
        <v>468.44000000000005</v>
      </c>
      <c r="W93" s="112">
        <f t="shared" si="26"/>
        <v>487.14000000000004</v>
      </c>
      <c r="X93" s="112">
        <f t="shared" si="26"/>
        <v>516.93999999999994</v>
      </c>
      <c r="Y93" s="189">
        <f t="shared" ref="Y93" si="27">SUM(Y137,Y94:Y97,Y12,Y16,Y22,Y28,Y29,Y42,Y44:Y45,Y47,Y49)</f>
        <v>507.21999999999991</v>
      </c>
      <c r="Z93" s="112">
        <f t="shared" si="26"/>
        <v>34.840000000000003</v>
      </c>
      <c r="AA93" s="112">
        <f t="shared" si="26"/>
        <v>498.94</v>
      </c>
      <c r="AB93" s="112">
        <f t="shared" si="26"/>
        <v>506.84000000000003</v>
      </c>
      <c r="AC93" s="112">
        <f t="shared" si="26"/>
        <v>486.64</v>
      </c>
      <c r="AD93" s="112">
        <f t="shared" si="26"/>
        <v>445.74</v>
      </c>
      <c r="AE93" s="112">
        <f t="shared" si="26"/>
        <v>329.74</v>
      </c>
      <c r="AF93" s="112">
        <f t="shared" si="26"/>
        <v>256.53999999999996</v>
      </c>
      <c r="AG93" s="114"/>
      <c r="AH93" s="53">
        <f>MAX(C93:AF93)</f>
        <v>516.93999999999994</v>
      </c>
      <c r="AI93" s="54">
        <f>MIN(C93:AF93)</f>
        <v>34.840000000000003</v>
      </c>
    </row>
    <row r="94" spans="1:88" x14ac:dyDescent="0.25">
      <c r="A94" s="115" t="s">
        <v>98</v>
      </c>
      <c r="B94" s="116">
        <v>-21.6</v>
      </c>
      <c r="C94" s="57">
        <v>-28.7</v>
      </c>
      <c r="D94" s="57">
        <v>-29.2</v>
      </c>
      <c r="E94" s="57">
        <v>-27.4</v>
      </c>
      <c r="F94" s="57">
        <v>-25.7</v>
      </c>
      <c r="G94" s="117">
        <v>-15.1</v>
      </c>
      <c r="H94" s="117">
        <v>0</v>
      </c>
      <c r="I94" s="117">
        <v>-2.2999999999999998</v>
      </c>
      <c r="J94" s="117">
        <v>10</v>
      </c>
      <c r="K94" s="117">
        <v>64</v>
      </c>
      <c r="L94" s="117">
        <v>52</v>
      </c>
      <c r="M94" s="118">
        <v>43.4</v>
      </c>
      <c r="N94" s="117">
        <v>42.4</v>
      </c>
      <c r="O94" s="117">
        <v>34.200000000000003</v>
      </c>
      <c r="P94" s="117">
        <v>23.5</v>
      </c>
      <c r="Q94" s="117">
        <v>18.100000000000001</v>
      </c>
      <c r="R94" s="117">
        <v>21.2</v>
      </c>
      <c r="S94" s="117">
        <v>18.5</v>
      </c>
      <c r="T94" s="117">
        <v>22.6</v>
      </c>
      <c r="U94" s="117">
        <v>26.1</v>
      </c>
      <c r="V94" s="118">
        <v>41.9</v>
      </c>
      <c r="W94" s="118">
        <v>52</v>
      </c>
      <c r="X94" s="118">
        <v>64.7</v>
      </c>
      <c r="Y94" s="59">
        <v>59.4</v>
      </c>
      <c r="Z94" s="59"/>
      <c r="AA94" s="59">
        <v>81.900000000000006</v>
      </c>
      <c r="AB94" s="59">
        <v>85</v>
      </c>
      <c r="AC94" s="59">
        <v>78</v>
      </c>
      <c r="AD94" s="59">
        <v>43.6</v>
      </c>
      <c r="AE94" s="118">
        <v>6.7</v>
      </c>
      <c r="AF94" s="118">
        <v>-9.5</v>
      </c>
      <c r="AG94" s="119">
        <v>75</v>
      </c>
      <c r="AH94" s="53">
        <f t="shared" ref="AH94:AH99" si="28">IF(ABS(MAX(C94:AF94))&gt;ABS(MIN(C94:AF94)),MAX(C94:AF94),MIN(C94:AF94))</f>
        <v>85</v>
      </c>
      <c r="AI94" s="120">
        <f t="shared" ref="AI94:AI99" si="29">INDEX($C$9:$AF$9,1,MATCH(AH94,C94:AF94,0))</f>
        <v>0.83333333333333337</v>
      </c>
    </row>
    <row r="95" spans="1:88" x14ac:dyDescent="0.25">
      <c r="A95" s="121" t="s">
        <v>99</v>
      </c>
      <c r="B95" s="122">
        <v>-30</v>
      </c>
      <c r="C95" s="59">
        <v>-33</v>
      </c>
      <c r="D95" s="59">
        <v>-38</v>
      </c>
      <c r="E95" s="59">
        <v>-38.6</v>
      </c>
      <c r="F95" s="59">
        <v>-35.6</v>
      </c>
      <c r="G95" s="59">
        <v>-32</v>
      </c>
      <c r="H95" s="59">
        <v>-26.2</v>
      </c>
      <c r="I95" s="59">
        <v>0</v>
      </c>
      <c r="J95" s="59">
        <v>12</v>
      </c>
      <c r="K95" s="59">
        <v>16</v>
      </c>
      <c r="L95" s="59">
        <v>49</v>
      </c>
      <c r="M95" s="59">
        <v>61.4</v>
      </c>
      <c r="N95" s="59">
        <v>61.1</v>
      </c>
      <c r="O95" s="59">
        <v>77.2</v>
      </c>
      <c r="P95" s="59">
        <v>46.5</v>
      </c>
      <c r="Q95" s="59">
        <v>62.3</v>
      </c>
      <c r="R95" s="59">
        <v>60.7</v>
      </c>
      <c r="S95" s="59">
        <v>54.6</v>
      </c>
      <c r="T95" s="59">
        <v>64</v>
      </c>
      <c r="U95" s="59">
        <v>62</v>
      </c>
      <c r="V95" s="59">
        <v>101.2</v>
      </c>
      <c r="W95" s="59">
        <v>99</v>
      </c>
      <c r="X95" s="59">
        <v>104</v>
      </c>
      <c r="Y95" s="59">
        <v>108.5</v>
      </c>
      <c r="Z95" s="59"/>
      <c r="AA95" s="59">
        <v>69</v>
      </c>
      <c r="AB95" s="59">
        <v>78</v>
      </c>
      <c r="AC95" s="59">
        <v>69</v>
      </c>
      <c r="AD95" s="59">
        <v>69</v>
      </c>
      <c r="AE95" s="72">
        <f>11.4+13.2</f>
        <v>24.6</v>
      </c>
      <c r="AF95" s="72">
        <f>-7.4-8.7</f>
        <v>-16.100000000000001</v>
      </c>
      <c r="AG95" s="119">
        <v>240</v>
      </c>
      <c r="AH95" s="53">
        <f t="shared" si="28"/>
        <v>108.5</v>
      </c>
      <c r="AI95" s="120">
        <f t="shared" si="29"/>
        <v>0.77083333333333337</v>
      </c>
    </row>
    <row r="96" spans="1:88" x14ac:dyDescent="0.25">
      <c r="A96" s="121" t="s">
        <v>100</v>
      </c>
      <c r="B96" s="122">
        <v>-2.8</v>
      </c>
      <c r="C96" s="59">
        <v>-5</v>
      </c>
      <c r="D96" s="59">
        <v>-5.7</v>
      </c>
      <c r="E96" s="59">
        <v>-2</v>
      </c>
      <c r="F96" s="59">
        <v>-0.9</v>
      </c>
      <c r="G96" s="59">
        <v>-2</v>
      </c>
      <c r="H96" s="59">
        <v>4.5</v>
      </c>
      <c r="I96" s="59">
        <v>9.6</v>
      </c>
      <c r="J96" s="59">
        <v>14.3</v>
      </c>
      <c r="K96" s="59">
        <v>29.1</v>
      </c>
      <c r="L96" s="59">
        <v>39.6</v>
      </c>
      <c r="M96" s="59">
        <v>56.2</v>
      </c>
      <c r="N96" s="59">
        <v>57.4</v>
      </c>
      <c r="O96" s="59">
        <v>58</v>
      </c>
      <c r="P96" s="59">
        <v>51.8</v>
      </c>
      <c r="Q96" s="59">
        <v>46.1</v>
      </c>
      <c r="R96" s="59">
        <v>31.8</v>
      </c>
      <c r="S96" s="59">
        <v>43.7</v>
      </c>
      <c r="T96" s="59">
        <v>42.3</v>
      </c>
      <c r="U96" s="59">
        <v>56.2</v>
      </c>
      <c r="V96" s="59">
        <v>61</v>
      </c>
      <c r="W96" s="59">
        <v>61.8</v>
      </c>
      <c r="X96" s="59">
        <v>61.3</v>
      </c>
      <c r="Y96" s="59">
        <v>63.1</v>
      </c>
      <c r="Z96" s="59"/>
      <c r="AA96" s="59">
        <v>58.4</v>
      </c>
      <c r="AB96" s="59">
        <v>58.4</v>
      </c>
      <c r="AC96" s="59">
        <v>58.4</v>
      </c>
      <c r="AD96" s="59">
        <v>58.4</v>
      </c>
      <c r="AE96" s="72">
        <v>24.5</v>
      </c>
      <c r="AF96" s="72">
        <v>13.1</v>
      </c>
      <c r="AG96" s="119">
        <v>60</v>
      </c>
      <c r="AH96" s="53">
        <f t="shared" si="28"/>
        <v>63.1</v>
      </c>
      <c r="AI96" s="120">
        <f t="shared" si="29"/>
        <v>0.77083333333333337</v>
      </c>
    </row>
    <row r="97" spans="1:37" x14ac:dyDescent="0.25">
      <c r="A97" s="123" t="s">
        <v>101</v>
      </c>
      <c r="B97" s="124">
        <v>94.7</v>
      </c>
      <c r="C97" s="62">
        <v>91.3</v>
      </c>
      <c r="D97" s="62">
        <v>91</v>
      </c>
      <c r="E97" s="62">
        <v>81.3</v>
      </c>
      <c r="F97" s="62">
        <v>81.3</v>
      </c>
      <c r="G97" s="62">
        <v>86.4</v>
      </c>
      <c r="H97" s="62">
        <v>82.1</v>
      </c>
      <c r="I97" s="62">
        <v>88.1</v>
      </c>
      <c r="J97" s="62">
        <v>103.1</v>
      </c>
      <c r="K97" s="62">
        <v>92.2</v>
      </c>
      <c r="L97" s="62">
        <v>112.3</v>
      </c>
      <c r="M97" s="62">
        <v>124</v>
      </c>
      <c r="N97" s="62">
        <v>120.9</v>
      </c>
      <c r="O97" s="62">
        <v>109.2</v>
      </c>
      <c r="P97" s="62">
        <v>114.8</v>
      </c>
      <c r="Q97" s="62">
        <v>111.1</v>
      </c>
      <c r="R97" s="62">
        <v>108.3</v>
      </c>
      <c r="S97" s="62">
        <v>119.4</v>
      </c>
      <c r="T97" s="62">
        <v>120.4</v>
      </c>
      <c r="U97" s="62">
        <v>125.7</v>
      </c>
      <c r="V97" s="62">
        <v>94.3</v>
      </c>
      <c r="W97" s="62">
        <v>103.8</v>
      </c>
      <c r="X97" s="62">
        <v>116.2</v>
      </c>
      <c r="Y97" s="59">
        <v>120.1</v>
      </c>
      <c r="Z97" s="59"/>
      <c r="AA97" s="59">
        <v>111.2</v>
      </c>
      <c r="AB97" s="59">
        <v>107</v>
      </c>
      <c r="AC97" s="59">
        <v>100</v>
      </c>
      <c r="AD97" s="59">
        <v>97</v>
      </c>
      <c r="AE97" s="125">
        <v>96</v>
      </c>
      <c r="AF97" s="125">
        <v>89.7</v>
      </c>
      <c r="AG97" s="126">
        <v>120</v>
      </c>
      <c r="AH97" s="53">
        <f t="shared" si="28"/>
        <v>125.7</v>
      </c>
      <c r="AI97" s="120">
        <f t="shared" si="29"/>
        <v>0.66666666666666696</v>
      </c>
    </row>
    <row r="98" spans="1:37" x14ac:dyDescent="0.25">
      <c r="A98" s="123" t="s">
        <v>102</v>
      </c>
      <c r="B98" s="124">
        <v>97.3</v>
      </c>
      <c r="C98" s="62">
        <v>93.1</v>
      </c>
      <c r="D98" s="62">
        <v>93.8</v>
      </c>
      <c r="E98" s="62">
        <v>85.3</v>
      </c>
      <c r="F98" s="62">
        <v>82.4</v>
      </c>
      <c r="G98" s="62">
        <v>86.1</v>
      </c>
      <c r="H98" s="62">
        <v>82.9</v>
      </c>
      <c r="I98" s="62">
        <v>73.900000000000006</v>
      </c>
      <c r="J98" s="62">
        <v>83</v>
      </c>
      <c r="K98" s="62">
        <v>60.1</v>
      </c>
      <c r="L98" s="62">
        <v>83.7</v>
      </c>
      <c r="M98" s="62">
        <v>89.7</v>
      </c>
      <c r="N98" s="62">
        <v>89.3</v>
      </c>
      <c r="O98" s="62">
        <v>79.8</v>
      </c>
      <c r="P98" s="62">
        <v>63.5</v>
      </c>
      <c r="Q98" s="62">
        <v>97.1</v>
      </c>
      <c r="R98" s="62">
        <v>97.7</v>
      </c>
      <c r="S98" s="62">
        <v>93.2</v>
      </c>
      <c r="T98" s="62">
        <v>104.1</v>
      </c>
      <c r="U98" s="62">
        <v>86.1</v>
      </c>
      <c r="V98" s="62">
        <v>98.1</v>
      </c>
      <c r="W98" s="62">
        <v>92.2</v>
      </c>
      <c r="X98" s="62">
        <v>102.4</v>
      </c>
      <c r="Y98" s="59">
        <v>114.5</v>
      </c>
      <c r="Z98" s="59"/>
      <c r="AA98" s="59">
        <v>55.9</v>
      </c>
      <c r="AB98" s="59">
        <v>55.9</v>
      </c>
      <c r="AC98" s="59">
        <v>55.9</v>
      </c>
      <c r="AD98" s="59">
        <v>71.2</v>
      </c>
      <c r="AE98" s="125">
        <v>77</v>
      </c>
      <c r="AF98" s="125">
        <v>89.4</v>
      </c>
      <c r="AG98" s="126"/>
      <c r="AH98" s="53">
        <f t="shared" si="28"/>
        <v>114.5</v>
      </c>
      <c r="AI98" s="120">
        <f t="shared" si="29"/>
        <v>0.77083333333333337</v>
      </c>
    </row>
    <row r="99" spans="1:37" ht="15.75" thickBot="1" x14ac:dyDescent="0.3">
      <c r="A99" s="123" t="s">
        <v>103</v>
      </c>
      <c r="B99" s="124">
        <v>73.099999999999994</v>
      </c>
      <c r="C99" s="62">
        <v>72.2</v>
      </c>
      <c r="D99" s="62">
        <v>78.3</v>
      </c>
      <c r="E99" s="62">
        <v>77.5</v>
      </c>
      <c r="F99" s="62">
        <v>75.400000000000006</v>
      </c>
      <c r="G99" s="62">
        <v>67.2</v>
      </c>
      <c r="H99" s="62">
        <v>52.4</v>
      </c>
      <c r="I99" s="62">
        <v>46.1</v>
      </c>
      <c r="J99" s="62">
        <v>48.7</v>
      </c>
      <c r="K99" s="62">
        <v>16.100000000000001</v>
      </c>
      <c r="L99" s="62">
        <v>31.3</v>
      </c>
      <c r="M99" s="62">
        <v>35.299999999999997</v>
      </c>
      <c r="N99" s="62">
        <v>30.6</v>
      </c>
      <c r="O99" s="62">
        <v>34.799999999999997</v>
      </c>
      <c r="P99" s="62">
        <v>45.7</v>
      </c>
      <c r="Q99" s="62">
        <v>35.6</v>
      </c>
      <c r="R99" s="62">
        <v>31.5</v>
      </c>
      <c r="S99" s="62">
        <v>34.4</v>
      </c>
      <c r="T99" s="62">
        <v>30.4</v>
      </c>
      <c r="U99" s="62">
        <v>30.1</v>
      </c>
      <c r="V99" s="62">
        <v>20.5</v>
      </c>
      <c r="W99" s="62">
        <v>26</v>
      </c>
      <c r="X99" s="62">
        <v>17.100000000000001</v>
      </c>
      <c r="Y99" s="59">
        <v>21.4</v>
      </c>
      <c r="Z99" s="59"/>
      <c r="AA99" s="59">
        <v>3.4</v>
      </c>
      <c r="AB99" s="59">
        <v>3.4</v>
      </c>
      <c r="AC99" s="59">
        <v>13.4</v>
      </c>
      <c r="AD99" s="59">
        <v>36.700000000000003</v>
      </c>
      <c r="AE99" s="125">
        <v>67.7</v>
      </c>
      <c r="AF99" s="125">
        <v>67.5</v>
      </c>
      <c r="AG99" s="127"/>
      <c r="AH99" s="53">
        <f t="shared" si="28"/>
        <v>78.3</v>
      </c>
      <c r="AI99" s="120">
        <f t="shared" si="29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30">AF101</f>
        <v>9.9</v>
      </c>
      <c r="C101" s="52">
        <v>9.9</v>
      </c>
      <c r="D101" s="133">
        <f t="shared" ref="D101:S106" si="31">C101</f>
        <v>9.9</v>
      </c>
      <c r="E101" s="133">
        <f t="shared" si="31"/>
        <v>9.9</v>
      </c>
      <c r="F101" s="133">
        <f t="shared" si="31"/>
        <v>9.9</v>
      </c>
      <c r="G101" s="133">
        <f t="shared" si="31"/>
        <v>9.9</v>
      </c>
      <c r="H101" s="133">
        <f t="shared" si="31"/>
        <v>9.9</v>
      </c>
      <c r="I101" s="133">
        <f t="shared" si="31"/>
        <v>9.9</v>
      </c>
      <c r="J101" s="133">
        <f t="shared" si="31"/>
        <v>9.9</v>
      </c>
      <c r="K101" s="133">
        <f t="shared" si="31"/>
        <v>9.9</v>
      </c>
      <c r="L101" s="133">
        <f t="shared" si="31"/>
        <v>9.9</v>
      </c>
      <c r="M101" s="133">
        <f t="shared" si="31"/>
        <v>9.9</v>
      </c>
      <c r="N101" s="133">
        <f t="shared" si="31"/>
        <v>9.9</v>
      </c>
      <c r="O101" s="133">
        <f t="shared" si="31"/>
        <v>9.9</v>
      </c>
      <c r="P101" s="133">
        <f t="shared" si="31"/>
        <v>9.9</v>
      </c>
      <c r="Q101" s="133">
        <f t="shared" si="31"/>
        <v>9.9</v>
      </c>
      <c r="R101" s="133">
        <f t="shared" si="31"/>
        <v>9.9</v>
      </c>
      <c r="S101" s="133">
        <f t="shared" si="31"/>
        <v>9.9</v>
      </c>
      <c r="T101" s="133">
        <f t="shared" ref="T101:AF106" si="32">S101</f>
        <v>9.9</v>
      </c>
      <c r="U101" s="133">
        <f t="shared" si="32"/>
        <v>9.9</v>
      </c>
      <c r="V101" s="133">
        <f t="shared" si="32"/>
        <v>9.9</v>
      </c>
      <c r="W101" s="133">
        <f t="shared" si="32"/>
        <v>9.9</v>
      </c>
      <c r="X101" s="133">
        <f t="shared" si="32"/>
        <v>9.9</v>
      </c>
      <c r="Y101" s="133">
        <f t="shared" si="32"/>
        <v>9.9</v>
      </c>
      <c r="Z101" s="133">
        <f t="shared" si="32"/>
        <v>9.9</v>
      </c>
      <c r="AA101" s="133">
        <f t="shared" si="32"/>
        <v>9.9</v>
      </c>
      <c r="AB101" s="133">
        <f t="shared" si="32"/>
        <v>9.9</v>
      </c>
      <c r="AC101" s="133">
        <f t="shared" si="32"/>
        <v>9.9</v>
      </c>
      <c r="AD101" s="133">
        <f t="shared" si="32"/>
        <v>9.9</v>
      </c>
      <c r="AE101" s="133">
        <f t="shared" si="32"/>
        <v>9.9</v>
      </c>
      <c r="AF101" s="133">
        <f t="shared" si="32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30"/>
        <v>9.6</v>
      </c>
      <c r="C102" s="136">
        <v>9.6</v>
      </c>
      <c r="D102" s="135">
        <f t="shared" si="31"/>
        <v>9.6</v>
      </c>
      <c r="E102" s="135">
        <f t="shared" si="31"/>
        <v>9.6</v>
      </c>
      <c r="F102" s="135">
        <f t="shared" si="31"/>
        <v>9.6</v>
      </c>
      <c r="G102" s="135">
        <f t="shared" si="31"/>
        <v>9.6</v>
      </c>
      <c r="H102" s="135">
        <f t="shared" si="31"/>
        <v>9.6</v>
      </c>
      <c r="I102" s="135">
        <f t="shared" si="31"/>
        <v>9.6</v>
      </c>
      <c r="J102" s="135">
        <f t="shared" si="31"/>
        <v>9.6</v>
      </c>
      <c r="K102" s="135">
        <f t="shared" si="31"/>
        <v>9.6</v>
      </c>
      <c r="L102" s="135">
        <f t="shared" si="31"/>
        <v>9.6</v>
      </c>
      <c r="M102" s="135">
        <f t="shared" si="31"/>
        <v>9.6</v>
      </c>
      <c r="N102" s="135">
        <f t="shared" si="31"/>
        <v>9.6</v>
      </c>
      <c r="O102" s="135">
        <f t="shared" si="31"/>
        <v>9.6</v>
      </c>
      <c r="P102" s="135">
        <f t="shared" si="31"/>
        <v>9.6</v>
      </c>
      <c r="Q102" s="135">
        <f t="shared" si="31"/>
        <v>9.6</v>
      </c>
      <c r="R102" s="135">
        <f t="shared" si="31"/>
        <v>9.6</v>
      </c>
      <c r="S102" s="135">
        <f t="shared" si="31"/>
        <v>9.6</v>
      </c>
      <c r="T102" s="135">
        <f t="shared" si="32"/>
        <v>9.6</v>
      </c>
      <c r="U102" s="135">
        <f t="shared" si="32"/>
        <v>9.6</v>
      </c>
      <c r="V102" s="135">
        <f t="shared" si="32"/>
        <v>9.6</v>
      </c>
      <c r="W102" s="135">
        <f t="shared" si="32"/>
        <v>9.6</v>
      </c>
      <c r="X102" s="135">
        <f t="shared" si="32"/>
        <v>9.6</v>
      </c>
      <c r="Y102" s="135">
        <f t="shared" si="32"/>
        <v>9.6</v>
      </c>
      <c r="Z102" s="135">
        <f t="shared" si="32"/>
        <v>9.6</v>
      </c>
      <c r="AA102" s="135">
        <f t="shared" si="32"/>
        <v>9.6</v>
      </c>
      <c r="AB102" s="135">
        <f t="shared" si="32"/>
        <v>9.6</v>
      </c>
      <c r="AC102" s="135">
        <f t="shared" si="32"/>
        <v>9.6</v>
      </c>
      <c r="AD102" s="135">
        <f t="shared" si="32"/>
        <v>9.6</v>
      </c>
      <c r="AE102" s="135">
        <f t="shared" si="32"/>
        <v>9.6</v>
      </c>
      <c r="AF102" s="135">
        <f t="shared" si="32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30"/>
        <v>9.98</v>
      </c>
      <c r="C103" s="136">
        <v>9.98</v>
      </c>
      <c r="D103" s="135">
        <f t="shared" si="31"/>
        <v>9.98</v>
      </c>
      <c r="E103" s="135">
        <f t="shared" si="31"/>
        <v>9.98</v>
      </c>
      <c r="F103" s="135">
        <f t="shared" si="31"/>
        <v>9.98</v>
      </c>
      <c r="G103" s="135">
        <f t="shared" si="31"/>
        <v>9.98</v>
      </c>
      <c r="H103" s="135">
        <f t="shared" si="31"/>
        <v>9.98</v>
      </c>
      <c r="I103" s="135">
        <f t="shared" si="31"/>
        <v>9.98</v>
      </c>
      <c r="J103" s="135">
        <f t="shared" si="31"/>
        <v>9.98</v>
      </c>
      <c r="K103" s="135">
        <f t="shared" si="31"/>
        <v>9.98</v>
      </c>
      <c r="L103" s="135">
        <f t="shared" si="31"/>
        <v>9.98</v>
      </c>
      <c r="M103" s="135">
        <f t="shared" si="31"/>
        <v>9.98</v>
      </c>
      <c r="N103" s="135">
        <f t="shared" si="31"/>
        <v>9.98</v>
      </c>
      <c r="O103" s="135">
        <f t="shared" si="31"/>
        <v>9.98</v>
      </c>
      <c r="P103" s="135">
        <f t="shared" si="31"/>
        <v>9.98</v>
      </c>
      <c r="Q103" s="135">
        <f t="shared" si="31"/>
        <v>9.98</v>
      </c>
      <c r="R103" s="135">
        <f t="shared" si="31"/>
        <v>9.98</v>
      </c>
      <c r="S103" s="135">
        <f t="shared" si="31"/>
        <v>9.98</v>
      </c>
      <c r="T103" s="135">
        <f t="shared" si="32"/>
        <v>9.98</v>
      </c>
      <c r="U103" s="135">
        <f t="shared" si="32"/>
        <v>9.98</v>
      </c>
      <c r="V103" s="135">
        <f t="shared" si="32"/>
        <v>9.98</v>
      </c>
      <c r="W103" s="135">
        <f t="shared" si="32"/>
        <v>9.98</v>
      </c>
      <c r="X103" s="135">
        <f t="shared" si="32"/>
        <v>9.98</v>
      </c>
      <c r="Y103" s="135">
        <f t="shared" si="32"/>
        <v>9.98</v>
      </c>
      <c r="Z103" s="135">
        <f t="shared" si="32"/>
        <v>9.98</v>
      </c>
      <c r="AA103" s="135">
        <f t="shared" si="32"/>
        <v>9.98</v>
      </c>
      <c r="AB103" s="135">
        <f t="shared" si="32"/>
        <v>9.98</v>
      </c>
      <c r="AC103" s="135">
        <f t="shared" si="32"/>
        <v>9.98</v>
      </c>
      <c r="AD103" s="135">
        <f t="shared" si="32"/>
        <v>9.98</v>
      </c>
      <c r="AE103" s="135">
        <f t="shared" si="32"/>
        <v>9.98</v>
      </c>
      <c r="AF103" s="135">
        <f t="shared" si="32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30"/>
        <v>9.1</v>
      </c>
      <c r="C104" s="136">
        <v>9.1</v>
      </c>
      <c r="D104" s="135">
        <f t="shared" si="31"/>
        <v>9.1</v>
      </c>
      <c r="E104" s="135">
        <f t="shared" si="31"/>
        <v>9.1</v>
      </c>
      <c r="F104" s="135">
        <f t="shared" si="31"/>
        <v>9.1</v>
      </c>
      <c r="G104" s="135">
        <f t="shared" si="31"/>
        <v>9.1</v>
      </c>
      <c r="H104" s="135">
        <f t="shared" si="31"/>
        <v>9.1</v>
      </c>
      <c r="I104" s="135">
        <f t="shared" si="31"/>
        <v>9.1</v>
      </c>
      <c r="J104" s="135">
        <f t="shared" si="31"/>
        <v>9.1</v>
      </c>
      <c r="K104" s="135">
        <f t="shared" si="31"/>
        <v>9.1</v>
      </c>
      <c r="L104" s="135">
        <f t="shared" si="31"/>
        <v>9.1</v>
      </c>
      <c r="M104" s="135">
        <f t="shared" si="31"/>
        <v>9.1</v>
      </c>
      <c r="N104" s="135">
        <f t="shared" si="31"/>
        <v>9.1</v>
      </c>
      <c r="O104" s="135">
        <f t="shared" si="31"/>
        <v>9.1</v>
      </c>
      <c r="P104" s="135">
        <f t="shared" si="31"/>
        <v>9.1</v>
      </c>
      <c r="Q104" s="135">
        <f t="shared" si="31"/>
        <v>9.1</v>
      </c>
      <c r="R104" s="135">
        <f t="shared" si="31"/>
        <v>9.1</v>
      </c>
      <c r="S104" s="135">
        <f t="shared" si="31"/>
        <v>9.1</v>
      </c>
      <c r="T104" s="135">
        <f t="shared" si="32"/>
        <v>9.1</v>
      </c>
      <c r="U104" s="135">
        <f t="shared" si="32"/>
        <v>9.1</v>
      </c>
      <c r="V104" s="135">
        <f t="shared" si="32"/>
        <v>9.1</v>
      </c>
      <c r="W104" s="135">
        <f t="shared" si="32"/>
        <v>9.1</v>
      </c>
      <c r="X104" s="135">
        <f t="shared" si="32"/>
        <v>9.1</v>
      </c>
      <c r="Y104" s="135">
        <f t="shared" si="32"/>
        <v>9.1</v>
      </c>
      <c r="Z104" s="135">
        <f t="shared" si="32"/>
        <v>9.1</v>
      </c>
      <c r="AA104" s="135">
        <f t="shared" si="32"/>
        <v>9.1</v>
      </c>
      <c r="AB104" s="135">
        <f t="shared" si="32"/>
        <v>9.1</v>
      </c>
      <c r="AC104" s="135">
        <f t="shared" si="32"/>
        <v>9.1</v>
      </c>
      <c r="AD104" s="135">
        <f t="shared" si="32"/>
        <v>9.1</v>
      </c>
      <c r="AE104" s="135">
        <f t="shared" si="32"/>
        <v>9.1</v>
      </c>
      <c r="AF104" s="135">
        <f t="shared" si="32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30"/>
        <v>9.18</v>
      </c>
      <c r="C105" s="136">
        <v>9.18</v>
      </c>
      <c r="D105" s="135">
        <f t="shared" si="31"/>
        <v>9.18</v>
      </c>
      <c r="E105" s="135">
        <f t="shared" si="31"/>
        <v>9.18</v>
      </c>
      <c r="F105" s="135">
        <f t="shared" si="31"/>
        <v>9.18</v>
      </c>
      <c r="G105" s="135">
        <f t="shared" si="31"/>
        <v>9.18</v>
      </c>
      <c r="H105" s="135">
        <f t="shared" si="31"/>
        <v>9.18</v>
      </c>
      <c r="I105" s="135">
        <f t="shared" si="31"/>
        <v>9.18</v>
      </c>
      <c r="J105" s="135">
        <f t="shared" si="31"/>
        <v>9.18</v>
      </c>
      <c r="K105" s="135">
        <f t="shared" si="31"/>
        <v>9.18</v>
      </c>
      <c r="L105" s="135">
        <f t="shared" si="31"/>
        <v>9.18</v>
      </c>
      <c r="M105" s="135">
        <f t="shared" si="31"/>
        <v>9.18</v>
      </c>
      <c r="N105" s="135">
        <f t="shared" si="31"/>
        <v>9.18</v>
      </c>
      <c r="O105" s="135">
        <f t="shared" si="31"/>
        <v>9.18</v>
      </c>
      <c r="P105" s="135">
        <f t="shared" si="31"/>
        <v>9.18</v>
      </c>
      <c r="Q105" s="135">
        <f t="shared" si="31"/>
        <v>9.18</v>
      </c>
      <c r="R105" s="135">
        <f t="shared" si="31"/>
        <v>9.18</v>
      </c>
      <c r="S105" s="135">
        <f t="shared" si="31"/>
        <v>9.18</v>
      </c>
      <c r="T105" s="135">
        <f t="shared" si="32"/>
        <v>9.18</v>
      </c>
      <c r="U105" s="135">
        <f t="shared" si="32"/>
        <v>9.18</v>
      </c>
      <c r="V105" s="135">
        <f t="shared" si="32"/>
        <v>9.18</v>
      </c>
      <c r="W105" s="135">
        <f t="shared" si="32"/>
        <v>9.18</v>
      </c>
      <c r="X105" s="135">
        <f t="shared" si="32"/>
        <v>9.18</v>
      </c>
      <c r="Y105" s="135">
        <f t="shared" si="32"/>
        <v>9.18</v>
      </c>
      <c r="Z105" s="135">
        <f t="shared" si="32"/>
        <v>9.18</v>
      </c>
      <c r="AA105" s="135">
        <f t="shared" si="32"/>
        <v>9.18</v>
      </c>
      <c r="AB105" s="135">
        <f t="shared" si="32"/>
        <v>9.18</v>
      </c>
      <c r="AC105" s="135">
        <f t="shared" si="32"/>
        <v>9.18</v>
      </c>
      <c r="AD105" s="135">
        <f t="shared" si="32"/>
        <v>9.18</v>
      </c>
      <c r="AE105" s="135">
        <f t="shared" si="32"/>
        <v>9.18</v>
      </c>
      <c r="AF105" s="135">
        <f t="shared" si="32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30"/>
        <v>7</v>
      </c>
      <c r="C106" s="136">
        <v>7</v>
      </c>
      <c r="D106" s="135">
        <f t="shared" si="31"/>
        <v>7</v>
      </c>
      <c r="E106" s="135">
        <f t="shared" si="31"/>
        <v>7</v>
      </c>
      <c r="F106" s="135">
        <f t="shared" si="31"/>
        <v>7</v>
      </c>
      <c r="G106" s="135">
        <f t="shared" si="31"/>
        <v>7</v>
      </c>
      <c r="H106" s="135">
        <f t="shared" si="31"/>
        <v>7</v>
      </c>
      <c r="I106" s="135">
        <f t="shared" si="31"/>
        <v>7</v>
      </c>
      <c r="J106" s="135">
        <f t="shared" si="31"/>
        <v>7</v>
      </c>
      <c r="K106" s="135">
        <f t="shared" si="31"/>
        <v>7</v>
      </c>
      <c r="L106" s="135">
        <f t="shared" si="31"/>
        <v>7</v>
      </c>
      <c r="M106" s="135">
        <f t="shared" si="31"/>
        <v>7</v>
      </c>
      <c r="N106" s="135">
        <f t="shared" si="31"/>
        <v>7</v>
      </c>
      <c r="O106" s="135">
        <f t="shared" si="31"/>
        <v>7</v>
      </c>
      <c r="P106" s="135">
        <f t="shared" si="31"/>
        <v>7</v>
      </c>
      <c r="Q106" s="135">
        <f t="shared" si="31"/>
        <v>7</v>
      </c>
      <c r="R106" s="135">
        <f t="shared" si="31"/>
        <v>7</v>
      </c>
      <c r="S106" s="135">
        <f t="shared" si="31"/>
        <v>7</v>
      </c>
      <c r="T106" s="135">
        <f t="shared" si="32"/>
        <v>7</v>
      </c>
      <c r="U106" s="135">
        <f t="shared" si="32"/>
        <v>7</v>
      </c>
      <c r="V106" s="135">
        <f t="shared" si="32"/>
        <v>7</v>
      </c>
      <c r="W106" s="135">
        <f t="shared" si="32"/>
        <v>7</v>
      </c>
      <c r="X106" s="135">
        <f t="shared" si="32"/>
        <v>7</v>
      </c>
      <c r="Y106" s="135">
        <f t="shared" si="32"/>
        <v>7</v>
      </c>
      <c r="Z106" s="135">
        <f t="shared" si="32"/>
        <v>7</v>
      </c>
      <c r="AA106" s="135">
        <f t="shared" si="32"/>
        <v>7</v>
      </c>
      <c r="AB106" s="135">
        <f t="shared" si="32"/>
        <v>7</v>
      </c>
      <c r="AC106" s="135">
        <f t="shared" si="32"/>
        <v>7</v>
      </c>
      <c r="AD106" s="135">
        <f t="shared" si="32"/>
        <v>7</v>
      </c>
      <c r="AE106" s="135">
        <f t="shared" si="32"/>
        <v>7</v>
      </c>
      <c r="AF106" s="135">
        <f t="shared" si="32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33">C108</f>
        <v>2.25</v>
      </c>
      <c r="E108" s="135">
        <f t="shared" si="33"/>
        <v>2.25</v>
      </c>
      <c r="F108" s="135">
        <f t="shared" si="33"/>
        <v>2.25</v>
      </c>
      <c r="G108" s="135">
        <f t="shared" si="33"/>
        <v>2.25</v>
      </c>
      <c r="H108" s="135">
        <f t="shared" si="33"/>
        <v>2.25</v>
      </c>
      <c r="I108" s="135">
        <f t="shared" si="33"/>
        <v>2.25</v>
      </c>
      <c r="J108" s="135">
        <f t="shared" si="33"/>
        <v>2.25</v>
      </c>
      <c r="K108" s="135">
        <f t="shared" si="33"/>
        <v>2.25</v>
      </c>
      <c r="L108" s="135">
        <f t="shared" si="33"/>
        <v>2.25</v>
      </c>
      <c r="M108" s="135">
        <f t="shared" si="33"/>
        <v>2.25</v>
      </c>
      <c r="N108" s="135">
        <f t="shared" si="33"/>
        <v>2.25</v>
      </c>
      <c r="O108" s="135">
        <f t="shared" si="33"/>
        <v>2.25</v>
      </c>
      <c r="P108" s="135">
        <f t="shared" si="33"/>
        <v>2.25</v>
      </c>
      <c r="Q108" s="135">
        <f t="shared" si="33"/>
        <v>2.25</v>
      </c>
      <c r="R108" s="135">
        <f t="shared" si="33"/>
        <v>2.25</v>
      </c>
      <c r="S108" s="135">
        <f t="shared" si="33"/>
        <v>2.25</v>
      </c>
      <c r="T108" s="135">
        <f t="shared" ref="T108:AF109" si="34">S108</f>
        <v>2.25</v>
      </c>
      <c r="U108" s="135">
        <f t="shared" si="34"/>
        <v>2.25</v>
      </c>
      <c r="V108" s="135">
        <f t="shared" si="34"/>
        <v>2.25</v>
      </c>
      <c r="W108" s="135">
        <f t="shared" si="34"/>
        <v>2.25</v>
      </c>
      <c r="X108" s="135">
        <f t="shared" si="34"/>
        <v>2.25</v>
      </c>
      <c r="Y108" s="135">
        <f t="shared" si="34"/>
        <v>2.25</v>
      </c>
      <c r="Z108" s="135">
        <f t="shared" si="34"/>
        <v>2.25</v>
      </c>
      <c r="AA108" s="135">
        <f t="shared" si="34"/>
        <v>2.25</v>
      </c>
      <c r="AB108" s="135">
        <f t="shared" si="34"/>
        <v>2.25</v>
      </c>
      <c r="AC108" s="135">
        <f t="shared" si="34"/>
        <v>2.25</v>
      </c>
      <c r="AD108" s="135">
        <f t="shared" si="34"/>
        <v>2.25</v>
      </c>
      <c r="AE108" s="135">
        <f t="shared" si="34"/>
        <v>2.25</v>
      </c>
      <c r="AF108" s="135">
        <f t="shared" si="34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33"/>
        <v>1.64</v>
      </c>
      <c r="E109" s="135">
        <f t="shared" si="33"/>
        <v>1.64</v>
      </c>
      <c r="F109" s="135">
        <f t="shared" si="33"/>
        <v>1.64</v>
      </c>
      <c r="G109" s="135">
        <f t="shared" si="33"/>
        <v>1.64</v>
      </c>
      <c r="H109" s="135">
        <f t="shared" si="33"/>
        <v>1.64</v>
      </c>
      <c r="I109" s="135">
        <f t="shared" si="33"/>
        <v>1.64</v>
      </c>
      <c r="J109" s="135">
        <f t="shared" si="33"/>
        <v>1.64</v>
      </c>
      <c r="K109" s="135">
        <f t="shared" si="33"/>
        <v>1.64</v>
      </c>
      <c r="L109" s="135">
        <f t="shared" si="33"/>
        <v>1.64</v>
      </c>
      <c r="M109" s="135">
        <f t="shared" si="33"/>
        <v>1.64</v>
      </c>
      <c r="N109" s="135">
        <f t="shared" si="33"/>
        <v>1.64</v>
      </c>
      <c r="O109" s="135">
        <f t="shared" si="33"/>
        <v>1.64</v>
      </c>
      <c r="P109" s="135">
        <f t="shared" si="33"/>
        <v>1.64</v>
      </c>
      <c r="Q109" s="135">
        <f t="shared" si="33"/>
        <v>1.64</v>
      </c>
      <c r="R109" s="135">
        <f t="shared" si="33"/>
        <v>1.64</v>
      </c>
      <c r="S109" s="135">
        <f t="shared" si="33"/>
        <v>1.64</v>
      </c>
      <c r="T109" s="135">
        <f t="shared" si="34"/>
        <v>1.64</v>
      </c>
      <c r="U109" s="135">
        <f t="shared" si="34"/>
        <v>1.64</v>
      </c>
      <c r="V109" s="135">
        <f t="shared" si="34"/>
        <v>1.64</v>
      </c>
      <c r="W109" s="135">
        <f t="shared" si="34"/>
        <v>1.64</v>
      </c>
      <c r="X109" s="135">
        <f t="shared" si="34"/>
        <v>1.64</v>
      </c>
      <c r="Y109" s="135">
        <f t="shared" si="34"/>
        <v>1.64</v>
      </c>
      <c r="Z109" s="135">
        <f t="shared" si="34"/>
        <v>1.64</v>
      </c>
      <c r="AA109" s="135">
        <f t="shared" si="34"/>
        <v>1.64</v>
      </c>
      <c r="AB109" s="135">
        <f t="shared" si="34"/>
        <v>1.64</v>
      </c>
      <c r="AC109" s="135">
        <f t="shared" si="34"/>
        <v>1.64</v>
      </c>
      <c r="AD109" s="135">
        <f t="shared" si="34"/>
        <v>1.64</v>
      </c>
      <c r="AE109" s="135">
        <f t="shared" si="34"/>
        <v>1.64</v>
      </c>
      <c r="AF109" s="135">
        <f t="shared" si="34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5">AF111</f>
        <v>1.62</v>
      </c>
      <c r="C111" s="136">
        <v>1.62</v>
      </c>
      <c r="D111" s="135">
        <f t="shared" ref="D111:S118" si="36">C111</f>
        <v>1.62</v>
      </c>
      <c r="E111" s="135">
        <f t="shared" si="36"/>
        <v>1.62</v>
      </c>
      <c r="F111" s="135">
        <f t="shared" si="36"/>
        <v>1.62</v>
      </c>
      <c r="G111" s="135">
        <f t="shared" si="36"/>
        <v>1.62</v>
      </c>
      <c r="H111" s="135">
        <f t="shared" si="36"/>
        <v>1.62</v>
      </c>
      <c r="I111" s="135">
        <f t="shared" si="36"/>
        <v>1.62</v>
      </c>
      <c r="J111" s="135">
        <f t="shared" si="36"/>
        <v>1.62</v>
      </c>
      <c r="K111" s="135">
        <f t="shared" si="36"/>
        <v>1.62</v>
      </c>
      <c r="L111" s="135">
        <f t="shared" si="36"/>
        <v>1.62</v>
      </c>
      <c r="M111" s="135">
        <f t="shared" si="36"/>
        <v>1.62</v>
      </c>
      <c r="N111" s="135">
        <f t="shared" si="36"/>
        <v>1.62</v>
      </c>
      <c r="O111" s="135">
        <f t="shared" si="36"/>
        <v>1.62</v>
      </c>
      <c r="P111" s="135">
        <f t="shared" si="36"/>
        <v>1.62</v>
      </c>
      <c r="Q111" s="135">
        <f t="shared" si="36"/>
        <v>1.62</v>
      </c>
      <c r="R111" s="135">
        <f t="shared" si="36"/>
        <v>1.62</v>
      </c>
      <c r="S111" s="135">
        <f t="shared" si="36"/>
        <v>1.62</v>
      </c>
      <c r="T111" s="135">
        <f t="shared" ref="T111:AF126" si="37">S111</f>
        <v>1.62</v>
      </c>
      <c r="U111" s="135">
        <f t="shared" si="37"/>
        <v>1.62</v>
      </c>
      <c r="V111" s="135">
        <f t="shared" si="37"/>
        <v>1.62</v>
      </c>
      <c r="W111" s="135">
        <f t="shared" si="37"/>
        <v>1.62</v>
      </c>
      <c r="X111" s="135">
        <f t="shared" si="37"/>
        <v>1.62</v>
      </c>
      <c r="Y111" s="135">
        <f t="shared" si="37"/>
        <v>1.62</v>
      </c>
      <c r="Z111" s="135">
        <f t="shared" si="37"/>
        <v>1.62</v>
      </c>
      <c r="AA111" s="135">
        <f t="shared" si="37"/>
        <v>1.62</v>
      </c>
      <c r="AB111" s="135">
        <f t="shared" si="37"/>
        <v>1.62</v>
      </c>
      <c r="AC111" s="135">
        <f t="shared" si="37"/>
        <v>1.62</v>
      </c>
      <c r="AD111" s="135">
        <f t="shared" si="37"/>
        <v>1.62</v>
      </c>
      <c r="AE111" s="135">
        <f t="shared" si="37"/>
        <v>1.62</v>
      </c>
      <c r="AF111" s="135">
        <f t="shared" si="37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5"/>
        <v>8.36</v>
      </c>
      <c r="C112" s="136">
        <v>8.36</v>
      </c>
      <c r="D112" s="135">
        <f t="shared" si="36"/>
        <v>8.36</v>
      </c>
      <c r="E112" s="135">
        <f t="shared" si="36"/>
        <v>8.36</v>
      </c>
      <c r="F112" s="135">
        <f t="shared" si="36"/>
        <v>8.36</v>
      </c>
      <c r="G112" s="135">
        <f t="shared" si="36"/>
        <v>8.36</v>
      </c>
      <c r="H112" s="135">
        <f t="shared" si="36"/>
        <v>8.36</v>
      </c>
      <c r="I112" s="135">
        <f t="shared" si="36"/>
        <v>8.36</v>
      </c>
      <c r="J112" s="135">
        <f t="shared" si="36"/>
        <v>8.36</v>
      </c>
      <c r="K112" s="135">
        <f t="shared" si="36"/>
        <v>8.36</v>
      </c>
      <c r="L112" s="135">
        <f t="shared" si="36"/>
        <v>8.36</v>
      </c>
      <c r="M112" s="135">
        <f t="shared" si="36"/>
        <v>8.36</v>
      </c>
      <c r="N112" s="135">
        <f t="shared" si="36"/>
        <v>8.36</v>
      </c>
      <c r="O112" s="135">
        <f t="shared" si="36"/>
        <v>8.36</v>
      </c>
      <c r="P112" s="135">
        <f t="shared" si="36"/>
        <v>8.36</v>
      </c>
      <c r="Q112" s="135">
        <f t="shared" si="36"/>
        <v>8.36</v>
      </c>
      <c r="R112" s="135">
        <f t="shared" si="36"/>
        <v>8.36</v>
      </c>
      <c r="S112" s="135">
        <f t="shared" si="36"/>
        <v>8.36</v>
      </c>
      <c r="T112" s="135">
        <f t="shared" si="37"/>
        <v>8.36</v>
      </c>
      <c r="U112" s="135">
        <f t="shared" si="37"/>
        <v>8.36</v>
      </c>
      <c r="V112" s="135">
        <f t="shared" si="37"/>
        <v>8.36</v>
      </c>
      <c r="W112" s="135">
        <f t="shared" si="37"/>
        <v>8.36</v>
      </c>
      <c r="X112" s="135">
        <f t="shared" si="37"/>
        <v>8.36</v>
      </c>
      <c r="Y112" s="135">
        <f t="shared" si="37"/>
        <v>8.36</v>
      </c>
      <c r="Z112" s="135">
        <f t="shared" si="37"/>
        <v>8.36</v>
      </c>
      <c r="AA112" s="135">
        <f t="shared" si="37"/>
        <v>8.36</v>
      </c>
      <c r="AB112" s="135">
        <f t="shared" si="37"/>
        <v>8.36</v>
      </c>
      <c r="AC112" s="135">
        <f t="shared" si="37"/>
        <v>8.36</v>
      </c>
      <c r="AD112" s="135">
        <f t="shared" si="37"/>
        <v>8.36</v>
      </c>
      <c r="AE112" s="135">
        <f t="shared" si="37"/>
        <v>8.36</v>
      </c>
      <c r="AF112" s="135">
        <f t="shared" si="37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5"/>
        <v>5.4</v>
      </c>
      <c r="C113" s="136">
        <v>8</v>
      </c>
      <c r="D113" s="135">
        <f t="shared" si="36"/>
        <v>8</v>
      </c>
      <c r="E113" s="135">
        <f t="shared" si="36"/>
        <v>8</v>
      </c>
      <c r="F113" s="135">
        <f t="shared" si="36"/>
        <v>8</v>
      </c>
      <c r="G113" s="135">
        <f t="shared" si="36"/>
        <v>8</v>
      </c>
      <c r="H113" s="135">
        <f t="shared" si="36"/>
        <v>8</v>
      </c>
      <c r="I113" s="135">
        <f t="shared" si="36"/>
        <v>8</v>
      </c>
      <c r="J113" s="135">
        <v>5.4</v>
      </c>
      <c r="K113" s="135">
        <f t="shared" si="36"/>
        <v>5.4</v>
      </c>
      <c r="L113" s="135">
        <f t="shared" si="36"/>
        <v>5.4</v>
      </c>
      <c r="M113" s="135">
        <f t="shared" si="36"/>
        <v>5.4</v>
      </c>
      <c r="N113" s="135">
        <f t="shared" si="36"/>
        <v>5.4</v>
      </c>
      <c r="O113" s="135">
        <f t="shared" si="36"/>
        <v>5.4</v>
      </c>
      <c r="P113" s="135">
        <f t="shared" si="36"/>
        <v>5.4</v>
      </c>
      <c r="Q113" s="135">
        <f t="shared" si="36"/>
        <v>5.4</v>
      </c>
      <c r="R113" s="135">
        <f t="shared" si="36"/>
        <v>5.4</v>
      </c>
      <c r="S113" s="135">
        <f t="shared" si="36"/>
        <v>5.4</v>
      </c>
      <c r="T113" s="135">
        <f t="shared" si="37"/>
        <v>5.4</v>
      </c>
      <c r="U113" s="135">
        <f t="shared" si="37"/>
        <v>5.4</v>
      </c>
      <c r="V113" s="135">
        <f t="shared" si="37"/>
        <v>5.4</v>
      </c>
      <c r="W113" s="135">
        <f t="shared" si="37"/>
        <v>5.4</v>
      </c>
      <c r="X113" s="135">
        <f t="shared" si="37"/>
        <v>5.4</v>
      </c>
      <c r="Y113" s="135">
        <f t="shared" si="37"/>
        <v>5.4</v>
      </c>
      <c r="Z113" s="135">
        <f t="shared" si="37"/>
        <v>5.4</v>
      </c>
      <c r="AA113" s="135">
        <f t="shared" si="37"/>
        <v>5.4</v>
      </c>
      <c r="AB113" s="135">
        <f t="shared" si="37"/>
        <v>5.4</v>
      </c>
      <c r="AC113" s="135">
        <f t="shared" si="37"/>
        <v>5.4</v>
      </c>
      <c r="AD113" s="135">
        <f t="shared" si="37"/>
        <v>5.4</v>
      </c>
      <c r="AE113" s="135">
        <f t="shared" si="37"/>
        <v>5.4</v>
      </c>
      <c r="AF113" s="135">
        <f t="shared" si="37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5"/>
        <v>6.57</v>
      </c>
      <c r="C114" s="136">
        <v>6.57</v>
      </c>
      <c r="D114" s="135">
        <f t="shared" si="36"/>
        <v>6.57</v>
      </c>
      <c r="E114" s="135">
        <f t="shared" si="36"/>
        <v>6.57</v>
      </c>
      <c r="F114" s="135">
        <f t="shared" si="36"/>
        <v>6.57</v>
      </c>
      <c r="G114" s="135">
        <f t="shared" si="36"/>
        <v>6.57</v>
      </c>
      <c r="H114" s="135">
        <f t="shared" si="36"/>
        <v>6.57</v>
      </c>
      <c r="I114" s="135">
        <f t="shared" si="36"/>
        <v>6.57</v>
      </c>
      <c r="J114" s="135">
        <f t="shared" si="36"/>
        <v>6.57</v>
      </c>
      <c r="K114" s="135">
        <f t="shared" si="36"/>
        <v>6.57</v>
      </c>
      <c r="L114" s="135">
        <f t="shared" si="36"/>
        <v>6.57</v>
      </c>
      <c r="M114" s="135">
        <f t="shared" si="36"/>
        <v>6.57</v>
      </c>
      <c r="N114" s="135">
        <f t="shared" si="36"/>
        <v>6.57</v>
      </c>
      <c r="O114" s="135">
        <f t="shared" si="36"/>
        <v>6.57</v>
      </c>
      <c r="P114" s="135">
        <f t="shared" si="36"/>
        <v>6.57</v>
      </c>
      <c r="Q114" s="135">
        <f t="shared" si="36"/>
        <v>6.57</v>
      </c>
      <c r="R114" s="135">
        <f t="shared" si="36"/>
        <v>6.57</v>
      </c>
      <c r="S114" s="135">
        <f t="shared" si="36"/>
        <v>6.57</v>
      </c>
      <c r="T114" s="135">
        <f t="shared" si="37"/>
        <v>6.57</v>
      </c>
      <c r="U114" s="135">
        <f t="shared" si="37"/>
        <v>6.57</v>
      </c>
      <c r="V114" s="135">
        <f t="shared" si="37"/>
        <v>6.57</v>
      </c>
      <c r="W114" s="135">
        <f t="shared" si="37"/>
        <v>6.57</v>
      </c>
      <c r="X114" s="135">
        <f t="shared" si="37"/>
        <v>6.57</v>
      </c>
      <c r="Y114" s="135">
        <f t="shared" si="37"/>
        <v>6.57</v>
      </c>
      <c r="Z114" s="135">
        <f t="shared" si="37"/>
        <v>6.57</v>
      </c>
      <c r="AA114" s="135">
        <f t="shared" si="37"/>
        <v>6.57</v>
      </c>
      <c r="AB114" s="135">
        <f t="shared" si="37"/>
        <v>6.57</v>
      </c>
      <c r="AC114" s="135">
        <f t="shared" si="37"/>
        <v>6.57</v>
      </c>
      <c r="AD114" s="135">
        <f t="shared" si="37"/>
        <v>6.57</v>
      </c>
      <c r="AE114" s="135">
        <f t="shared" si="37"/>
        <v>6.57</v>
      </c>
      <c r="AF114" s="135">
        <f t="shared" si="37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5"/>
        <v>3.43</v>
      </c>
      <c r="C115" s="136">
        <v>3.43</v>
      </c>
      <c r="D115" s="135">
        <f t="shared" si="36"/>
        <v>3.43</v>
      </c>
      <c r="E115" s="135">
        <f t="shared" si="36"/>
        <v>3.43</v>
      </c>
      <c r="F115" s="135">
        <f t="shared" si="36"/>
        <v>3.43</v>
      </c>
      <c r="G115" s="135">
        <f t="shared" si="36"/>
        <v>3.43</v>
      </c>
      <c r="H115" s="135">
        <f t="shared" si="36"/>
        <v>3.43</v>
      </c>
      <c r="I115" s="135">
        <f t="shared" si="36"/>
        <v>3.43</v>
      </c>
      <c r="J115" s="135">
        <f t="shared" si="36"/>
        <v>3.43</v>
      </c>
      <c r="K115" s="135">
        <f t="shared" si="36"/>
        <v>3.43</v>
      </c>
      <c r="L115" s="135">
        <f t="shared" si="36"/>
        <v>3.43</v>
      </c>
      <c r="M115" s="135">
        <f t="shared" si="36"/>
        <v>3.43</v>
      </c>
      <c r="N115" s="135">
        <f t="shared" si="36"/>
        <v>3.43</v>
      </c>
      <c r="O115" s="135">
        <f t="shared" si="36"/>
        <v>3.43</v>
      </c>
      <c r="P115" s="135">
        <f t="shared" si="36"/>
        <v>3.43</v>
      </c>
      <c r="Q115" s="135">
        <f t="shared" si="36"/>
        <v>3.43</v>
      </c>
      <c r="R115" s="135">
        <f t="shared" si="36"/>
        <v>3.43</v>
      </c>
      <c r="S115" s="135">
        <f t="shared" si="36"/>
        <v>3.43</v>
      </c>
      <c r="T115" s="135">
        <f t="shared" si="37"/>
        <v>3.43</v>
      </c>
      <c r="U115" s="135">
        <f t="shared" si="37"/>
        <v>3.43</v>
      </c>
      <c r="V115" s="135">
        <f t="shared" si="37"/>
        <v>3.43</v>
      </c>
      <c r="W115" s="135">
        <f t="shared" si="37"/>
        <v>3.43</v>
      </c>
      <c r="X115" s="135">
        <f t="shared" si="37"/>
        <v>3.43</v>
      </c>
      <c r="Y115" s="135">
        <f t="shared" si="37"/>
        <v>3.43</v>
      </c>
      <c r="Z115" s="135">
        <f t="shared" si="37"/>
        <v>3.43</v>
      </c>
      <c r="AA115" s="135">
        <f t="shared" si="37"/>
        <v>3.43</v>
      </c>
      <c r="AB115" s="135">
        <f t="shared" si="37"/>
        <v>3.43</v>
      </c>
      <c r="AC115" s="135">
        <f t="shared" si="37"/>
        <v>3.43</v>
      </c>
      <c r="AD115" s="135">
        <f t="shared" si="37"/>
        <v>3.43</v>
      </c>
      <c r="AE115" s="135">
        <f t="shared" si="37"/>
        <v>3.43</v>
      </c>
      <c r="AF115" s="135">
        <f t="shared" si="37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5"/>
        <v>2.96</v>
      </c>
      <c r="C116" s="136">
        <v>2.96</v>
      </c>
      <c r="D116" s="135">
        <f t="shared" si="36"/>
        <v>2.96</v>
      </c>
      <c r="E116" s="135">
        <f t="shared" si="36"/>
        <v>2.96</v>
      </c>
      <c r="F116" s="135">
        <f t="shared" si="36"/>
        <v>2.96</v>
      </c>
      <c r="G116" s="135">
        <f t="shared" si="36"/>
        <v>2.96</v>
      </c>
      <c r="H116" s="135">
        <f t="shared" si="36"/>
        <v>2.96</v>
      </c>
      <c r="I116" s="135">
        <f t="shared" si="36"/>
        <v>2.96</v>
      </c>
      <c r="J116" s="135">
        <f t="shared" si="36"/>
        <v>2.96</v>
      </c>
      <c r="K116" s="135">
        <f t="shared" si="36"/>
        <v>2.96</v>
      </c>
      <c r="L116" s="135">
        <f t="shared" si="36"/>
        <v>2.96</v>
      </c>
      <c r="M116" s="135">
        <f t="shared" si="36"/>
        <v>2.96</v>
      </c>
      <c r="N116" s="135">
        <f t="shared" si="36"/>
        <v>2.96</v>
      </c>
      <c r="O116" s="135">
        <f t="shared" si="36"/>
        <v>2.96</v>
      </c>
      <c r="P116" s="135">
        <f t="shared" si="36"/>
        <v>2.96</v>
      </c>
      <c r="Q116" s="135">
        <f t="shared" si="36"/>
        <v>2.96</v>
      </c>
      <c r="R116" s="135">
        <f t="shared" si="36"/>
        <v>2.96</v>
      </c>
      <c r="S116" s="135">
        <f t="shared" si="36"/>
        <v>2.96</v>
      </c>
      <c r="T116" s="135">
        <f t="shared" si="37"/>
        <v>2.96</v>
      </c>
      <c r="U116" s="135">
        <f t="shared" si="37"/>
        <v>2.96</v>
      </c>
      <c r="V116" s="135">
        <f t="shared" si="37"/>
        <v>2.96</v>
      </c>
      <c r="W116" s="135">
        <f t="shared" si="37"/>
        <v>2.96</v>
      </c>
      <c r="X116" s="135">
        <f t="shared" si="37"/>
        <v>2.96</v>
      </c>
      <c r="Y116" s="135">
        <f t="shared" si="37"/>
        <v>2.96</v>
      </c>
      <c r="Z116" s="135">
        <f t="shared" si="37"/>
        <v>2.96</v>
      </c>
      <c r="AA116" s="135">
        <f t="shared" si="37"/>
        <v>2.96</v>
      </c>
      <c r="AB116" s="135">
        <f t="shared" si="37"/>
        <v>2.96</v>
      </c>
      <c r="AC116" s="135">
        <f t="shared" si="37"/>
        <v>2.96</v>
      </c>
      <c r="AD116" s="135">
        <f t="shared" si="37"/>
        <v>2.96</v>
      </c>
      <c r="AE116" s="135">
        <f t="shared" si="37"/>
        <v>2.96</v>
      </c>
      <c r="AF116" s="135">
        <f t="shared" si="37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5"/>
        <v>8</v>
      </c>
      <c r="C117" s="136">
        <v>8</v>
      </c>
      <c r="D117" s="135">
        <f t="shared" si="36"/>
        <v>8</v>
      </c>
      <c r="E117" s="135">
        <f t="shared" si="36"/>
        <v>8</v>
      </c>
      <c r="F117" s="135">
        <f t="shared" si="36"/>
        <v>8</v>
      </c>
      <c r="G117" s="135">
        <f t="shared" si="36"/>
        <v>8</v>
      </c>
      <c r="H117" s="135">
        <f t="shared" si="36"/>
        <v>8</v>
      </c>
      <c r="I117" s="135">
        <f t="shared" si="36"/>
        <v>8</v>
      </c>
      <c r="J117" s="135">
        <f t="shared" si="36"/>
        <v>8</v>
      </c>
      <c r="K117" s="135">
        <f t="shared" si="36"/>
        <v>8</v>
      </c>
      <c r="L117" s="135">
        <f t="shared" si="36"/>
        <v>8</v>
      </c>
      <c r="M117" s="135">
        <f t="shared" si="36"/>
        <v>8</v>
      </c>
      <c r="N117" s="135">
        <f t="shared" si="36"/>
        <v>8</v>
      </c>
      <c r="O117" s="135">
        <f t="shared" si="36"/>
        <v>8</v>
      </c>
      <c r="P117" s="135">
        <f t="shared" si="36"/>
        <v>8</v>
      </c>
      <c r="Q117" s="135">
        <f t="shared" si="36"/>
        <v>8</v>
      </c>
      <c r="R117" s="135">
        <f t="shared" si="36"/>
        <v>8</v>
      </c>
      <c r="S117" s="135">
        <f t="shared" si="36"/>
        <v>8</v>
      </c>
      <c r="T117" s="135">
        <f t="shared" si="37"/>
        <v>8</v>
      </c>
      <c r="U117" s="135">
        <f t="shared" si="37"/>
        <v>8</v>
      </c>
      <c r="V117" s="135">
        <f t="shared" si="37"/>
        <v>8</v>
      </c>
      <c r="W117" s="135">
        <f t="shared" si="37"/>
        <v>8</v>
      </c>
      <c r="X117" s="135">
        <f t="shared" si="37"/>
        <v>8</v>
      </c>
      <c r="Y117" s="135">
        <f t="shared" si="37"/>
        <v>8</v>
      </c>
      <c r="Z117" s="135">
        <f t="shared" si="37"/>
        <v>8</v>
      </c>
      <c r="AA117" s="135">
        <f t="shared" si="37"/>
        <v>8</v>
      </c>
      <c r="AB117" s="135">
        <f t="shared" si="37"/>
        <v>8</v>
      </c>
      <c r="AC117" s="135">
        <f t="shared" si="37"/>
        <v>8</v>
      </c>
      <c r="AD117" s="135">
        <f t="shared" si="37"/>
        <v>8</v>
      </c>
      <c r="AE117" s="135">
        <f t="shared" si="37"/>
        <v>8</v>
      </c>
      <c r="AF117" s="135">
        <f t="shared" si="37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5"/>
        <v>7</v>
      </c>
      <c r="C118" s="136">
        <v>7</v>
      </c>
      <c r="D118" s="135">
        <f>C118</f>
        <v>7</v>
      </c>
      <c r="E118" s="135">
        <f t="shared" si="36"/>
        <v>7</v>
      </c>
      <c r="F118" s="135">
        <f t="shared" si="36"/>
        <v>7</v>
      </c>
      <c r="G118" s="135">
        <f t="shared" si="36"/>
        <v>7</v>
      </c>
      <c r="H118" s="135">
        <f t="shared" si="36"/>
        <v>7</v>
      </c>
      <c r="I118" s="135">
        <f t="shared" si="36"/>
        <v>7</v>
      </c>
      <c r="J118" s="135">
        <f t="shared" si="36"/>
        <v>7</v>
      </c>
      <c r="K118" s="135">
        <f t="shared" si="36"/>
        <v>7</v>
      </c>
      <c r="L118" s="135">
        <f t="shared" si="36"/>
        <v>7</v>
      </c>
      <c r="M118" s="135">
        <f t="shared" si="36"/>
        <v>7</v>
      </c>
      <c r="N118" s="135">
        <f t="shared" si="36"/>
        <v>7</v>
      </c>
      <c r="O118" s="135">
        <f t="shared" si="36"/>
        <v>7</v>
      </c>
      <c r="P118" s="135">
        <f t="shared" si="36"/>
        <v>7</v>
      </c>
      <c r="Q118" s="135">
        <f t="shared" si="36"/>
        <v>7</v>
      </c>
      <c r="R118" s="135">
        <f t="shared" si="36"/>
        <v>7</v>
      </c>
      <c r="S118" s="135">
        <f t="shared" si="36"/>
        <v>7</v>
      </c>
      <c r="T118" s="135">
        <f t="shared" si="37"/>
        <v>7</v>
      </c>
      <c r="U118" s="135">
        <f t="shared" si="37"/>
        <v>7</v>
      </c>
      <c r="V118" s="135">
        <f t="shared" si="37"/>
        <v>7</v>
      </c>
      <c r="W118" s="135">
        <f t="shared" si="37"/>
        <v>7</v>
      </c>
      <c r="X118" s="135">
        <f t="shared" si="37"/>
        <v>7</v>
      </c>
      <c r="Y118" s="135">
        <f t="shared" si="37"/>
        <v>7</v>
      </c>
      <c r="Z118" s="135">
        <f t="shared" si="37"/>
        <v>7</v>
      </c>
      <c r="AA118" s="135">
        <f t="shared" si="37"/>
        <v>7</v>
      </c>
      <c r="AB118" s="135">
        <f t="shared" si="37"/>
        <v>7</v>
      </c>
      <c r="AC118" s="135">
        <f t="shared" si="37"/>
        <v>7</v>
      </c>
      <c r="AD118" s="135">
        <f t="shared" si="37"/>
        <v>7</v>
      </c>
      <c r="AE118" s="135">
        <f t="shared" si="37"/>
        <v>7</v>
      </c>
      <c r="AF118" s="135">
        <f t="shared" si="37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5"/>
        <v>3.47</v>
      </c>
      <c r="C119" s="136">
        <v>3.47</v>
      </c>
      <c r="D119" s="135">
        <f t="shared" ref="D119:S128" si="38">C119</f>
        <v>3.47</v>
      </c>
      <c r="E119" s="135">
        <f t="shared" si="38"/>
        <v>3.47</v>
      </c>
      <c r="F119" s="135">
        <f t="shared" si="38"/>
        <v>3.47</v>
      </c>
      <c r="G119" s="135">
        <f t="shared" si="38"/>
        <v>3.47</v>
      </c>
      <c r="H119" s="135">
        <f t="shared" si="38"/>
        <v>3.47</v>
      </c>
      <c r="I119" s="135">
        <f t="shared" si="38"/>
        <v>3.47</v>
      </c>
      <c r="J119" s="135">
        <f t="shared" si="38"/>
        <v>3.47</v>
      </c>
      <c r="K119" s="135">
        <f t="shared" si="38"/>
        <v>3.47</v>
      </c>
      <c r="L119" s="135">
        <f t="shared" si="38"/>
        <v>3.47</v>
      </c>
      <c r="M119" s="135">
        <f t="shared" si="38"/>
        <v>3.47</v>
      </c>
      <c r="N119" s="135">
        <f t="shared" si="38"/>
        <v>3.47</v>
      </c>
      <c r="O119" s="135">
        <f t="shared" si="38"/>
        <v>3.47</v>
      </c>
      <c r="P119" s="135">
        <f t="shared" si="38"/>
        <v>3.47</v>
      </c>
      <c r="Q119" s="135">
        <f t="shared" si="38"/>
        <v>3.47</v>
      </c>
      <c r="R119" s="135">
        <f t="shared" si="38"/>
        <v>3.47</v>
      </c>
      <c r="S119" s="135">
        <f t="shared" si="38"/>
        <v>3.47</v>
      </c>
      <c r="T119" s="135">
        <f t="shared" si="37"/>
        <v>3.47</v>
      </c>
      <c r="U119" s="135">
        <f t="shared" si="37"/>
        <v>3.47</v>
      </c>
      <c r="V119" s="135">
        <f t="shared" si="37"/>
        <v>3.47</v>
      </c>
      <c r="W119" s="135">
        <f t="shared" si="37"/>
        <v>3.47</v>
      </c>
      <c r="X119" s="135">
        <f t="shared" si="37"/>
        <v>3.47</v>
      </c>
      <c r="Y119" s="135">
        <f t="shared" si="37"/>
        <v>3.47</v>
      </c>
      <c r="Z119" s="135">
        <f t="shared" si="37"/>
        <v>3.47</v>
      </c>
      <c r="AA119" s="135">
        <f t="shared" si="37"/>
        <v>3.47</v>
      </c>
      <c r="AB119" s="135">
        <f t="shared" si="37"/>
        <v>3.47</v>
      </c>
      <c r="AC119" s="135">
        <f t="shared" si="37"/>
        <v>3.47</v>
      </c>
      <c r="AD119" s="135">
        <f t="shared" si="37"/>
        <v>3.47</v>
      </c>
      <c r="AE119" s="135">
        <f t="shared" si="37"/>
        <v>3.47</v>
      </c>
      <c r="AF119" s="135">
        <f t="shared" si="37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5"/>
        <v>2.1</v>
      </c>
      <c r="C120" s="136">
        <v>2.1</v>
      </c>
      <c r="D120" s="135">
        <f t="shared" si="38"/>
        <v>2.1</v>
      </c>
      <c r="E120" s="135">
        <f t="shared" si="38"/>
        <v>2.1</v>
      </c>
      <c r="F120" s="135">
        <f t="shared" si="38"/>
        <v>2.1</v>
      </c>
      <c r="G120" s="135">
        <f t="shared" si="38"/>
        <v>2.1</v>
      </c>
      <c r="H120" s="135">
        <f t="shared" si="38"/>
        <v>2.1</v>
      </c>
      <c r="I120" s="135">
        <f t="shared" si="38"/>
        <v>2.1</v>
      </c>
      <c r="J120" s="135">
        <f t="shared" si="38"/>
        <v>2.1</v>
      </c>
      <c r="K120" s="135">
        <f t="shared" si="38"/>
        <v>2.1</v>
      </c>
      <c r="L120" s="135">
        <f t="shared" si="38"/>
        <v>2.1</v>
      </c>
      <c r="M120" s="135">
        <f t="shared" si="38"/>
        <v>2.1</v>
      </c>
      <c r="N120" s="135">
        <f t="shared" si="38"/>
        <v>2.1</v>
      </c>
      <c r="O120" s="135">
        <f t="shared" si="38"/>
        <v>2.1</v>
      </c>
      <c r="P120" s="135">
        <f t="shared" si="38"/>
        <v>2.1</v>
      </c>
      <c r="Q120" s="135">
        <f t="shared" si="38"/>
        <v>2.1</v>
      </c>
      <c r="R120" s="135">
        <f t="shared" si="38"/>
        <v>2.1</v>
      </c>
      <c r="S120" s="135">
        <f t="shared" si="38"/>
        <v>2.1</v>
      </c>
      <c r="T120" s="135">
        <f t="shared" si="37"/>
        <v>2.1</v>
      </c>
      <c r="U120" s="135">
        <f t="shared" si="37"/>
        <v>2.1</v>
      </c>
      <c r="V120" s="135">
        <f t="shared" si="37"/>
        <v>2.1</v>
      </c>
      <c r="W120" s="135">
        <f t="shared" si="37"/>
        <v>2.1</v>
      </c>
      <c r="X120" s="135">
        <f t="shared" si="37"/>
        <v>2.1</v>
      </c>
      <c r="Y120" s="135">
        <f t="shared" si="37"/>
        <v>2.1</v>
      </c>
      <c r="Z120" s="135">
        <f t="shared" si="37"/>
        <v>2.1</v>
      </c>
      <c r="AA120" s="135">
        <f t="shared" si="37"/>
        <v>2.1</v>
      </c>
      <c r="AB120" s="135">
        <f t="shared" si="37"/>
        <v>2.1</v>
      </c>
      <c r="AC120" s="135">
        <f t="shared" si="37"/>
        <v>2.1</v>
      </c>
      <c r="AD120" s="135">
        <f t="shared" si="37"/>
        <v>2.1</v>
      </c>
      <c r="AE120" s="135">
        <f t="shared" si="37"/>
        <v>2.1</v>
      </c>
      <c r="AF120" s="135">
        <f t="shared" si="37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5"/>
        <v>9.3000000000000007</v>
      </c>
      <c r="C121" s="136">
        <v>9.3000000000000007</v>
      </c>
      <c r="D121" s="135">
        <f t="shared" si="38"/>
        <v>9.3000000000000007</v>
      </c>
      <c r="E121" s="135">
        <f t="shared" si="38"/>
        <v>9.3000000000000007</v>
      </c>
      <c r="F121" s="135">
        <f t="shared" si="38"/>
        <v>9.3000000000000007</v>
      </c>
      <c r="G121" s="135">
        <f t="shared" si="38"/>
        <v>9.3000000000000007</v>
      </c>
      <c r="H121" s="135">
        <f t="shared" si="38"/>
        <v>9.3000000000000007</v>
      </c>
      <c r="I121" s="135">
        <f t="shared" si="38"/>
        <v>9.3000000000000007</v>
      </c>
      <c r="J121" s="135">
        <f t="shared" si="38"/>
        <v>9.3000000000000007</v>
      </c>
      <c r="K121" s="135">
        <f t="shared" si="38"/>
        <v>9.3000000000000007</v>
      </c>
      <c r="L121" s="135">
        <f t="shared" si="38"/>
        <v>9.3000000000000007</v>
      </c>
      <c r="M121" s="135">
        <f t="shared" si="38"/>
        <v>9.3000000000000007</v>
      </c>
      <c r="N121" s="135">
        <f t="shared" si="38"/>
        <v>9.3000000000000007</v>
      </c>
      <c r="O121" s="135">
        <f t="shared" si="38"/>
        <v>9.3000000000000007</v>
      </c>
      <c r="P121" s="135">
        <f t="shared" si="38"/>
        <v>9.3000000000000007</v>
      </c>
      <c r="Q121" s="135">
        <f t="shared" si="38"/>
        <v>9.3000000000000007</v>
      </c>
      <c r="R121" s="135">
        <f t="shared" si="38"/>
        <v>9.3000000000000007</v>
      </c>
      <c r="S121" s="135">
        <f t="shared" si="38"/>
        <v>9.3000000000000007</v>
      </c>
      <c r="T121" s="135">
        <f t="shared" si="37"/>
        <v>9.3000000000000007</v>
      </c>
      <c r="U121" s="135">
        <f t="shared" si="37"/>
        <v>9.3000000000000007</v>
      </c>
      <c r="V121" s="135">
        <f t="shared" si="37"/>
        <v>9.3000000000000007</v>
      </c>
      <c r="W121" s="135">
        <f t="shared" si="37"/>
        <v>9.3000000000000007</v>
      </c>
      <c r="X121" s="135">
        <f t="shared" si="37"/>
        <v>9.3000000000000007</v>
      </c>
      <c r="Y121" s="135">
        <f t="shared" si="37"/>
        <v>9.3000000000000007</v>
      </c>
      <c r="Z121" s="135">
        <f t="shared" si="37"/>
        <v>9.3000000000000007</v>
      </c>
      <c r="AA121" s="135">
        <f t="shared" si="37"/>
        <v>9.3000000000000007</v>
      </c>
      <c r="AB121" s="135">
        <f t="shared" si="37"/>
        <v>9.3000000000000007</v>
      </c>
      <c r="AC121" s="135">
        <f t="shared" si="37"/>
        <v>9.3000000000000007</v>
      </c>
      <c r="AD121" s="135">
        <f t="shared" si="37"/>
        <v>9.3000000000000007</v>
      </c>
      <c r="AE121" s="135">
        <f t="shared" si="37"/>
        <v>9.3000000000000007</v>
      </c>
      <c r="AF121" s="135">
        <f t="shared" si="37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5"/>
        <v>0</v>
      </c>
      <c r="C122" s="136">
        <v>0</v>
      </c>
      <c r="D122" s="135">
        <f t="shared" si="38"/>
        <v>0</v>
      </c>
      <c r="E122" s="135">
        <f t="shared" si="38"/>
        <v>0</v>
      </c>
      <c r="F122" s="135">
        <f t="shared" si="38"/>
        <v>0</v>
      </c>
      <c r="G122" s="135">
        <f t="shared" si="38"/>
        <v>0</v>
      </c>
      <c r="H122" s="135">
        <f t="shared" si="38"/>
        <v>0</v>
      </c>
      <c r="I122" s="135">
        <f t="shared" si="38"/>
        <v>0</v>
      </c>
      <c r="J122" s="135">
        <f t="shared" si="38"/>
        <v>0</v>
      </c>
      <c r="K122" s="135">
        <f t="shared" si="38"/>
        <v>0</v>
      </c>
      <c r="L122" s="135">
        <f t="shared" si="38"/>
        <v>0</v>
      </c>
      <c r="M122" s="135">
        <f t="shared" si="38"/>
        <v>0</v>
      </c>
      <c r="N122" s="135">
        <f t="shared" si="38"/>
        <v>0</v>
      </c>
      <c r="O122" s="135">
        <f t="shared" si="38"/>
        <v>0</v>
      </c>
      <c r="P122" s="135">
        <f t="shared" si="38"/>
        <v>0</v>
      </c>
      <c r="Q122" s="135">
        <f t="shared" si="38"/>
        <v>0</v>
      </c>
      <c r="R122" s="135">
        <f t="shared" si="38"/>
        <v>0</v>
      </c>
      <c r="S122" s="135">
        <f t="shared" si="38"/>
        <v>0</v>
      </c>
      <c r="T122" s="135">
        <f t="shared" si="37"/>
        <v>0</v>
      </c>
      <c r="U122" s="135">
        <f t="shared" si="37"/>
        <v>0</v>
      </c>
      <c r="V122" s="135">
        <f t="shared" si="37"/>
        <v>0</v>
      </c>
      <c r="W122" s="135">
        <f t="shared" si="37"/>
        <v>0</v>
      </c>
      <c r="X122" s="135">
        <f t="shared" si="37"/>
        <v>0</v>
      </c>
      <c r="Y122" s="135">
        <f t="shared" si="37"/>
        <v>0</v>
      </c>
      <c r="Z122" s="135">
        <f t="shared" si="37"/>
        <v>0</v>
      </c>
      <c r="AA122" s="135">
        <f t="shared" si="37"/>
        <v>0</v>
      </c>
      <c r="AB122" s="135">
        <f t="shared" si="37"/>
        <v>0</v>
      </c>
      <c r="AC122" s="135">
        <f t="shared" si="37"/>
        <v>0</v>
      </c>
      <c r="AD122" s="135">
        <f t="shared" si="37"/>
        <v>0</v>
      </c>
      <c r="AE122" s="135">
        <f t="shared" si="37"/>
        <v>0</v>
      </c>
      <c r="AF122" s="135">
        <f t="shared" si="37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5"/>
        <v>0</v>
      </c>
      <c r="C123" s="136">
        <v>0</v>
      </c>
      <c r="D123" s="135">
        <f t="shared" si="38"/>
        <v>0</v>
      </c>
      <c r="E123" s="135">
        <f t="shared" si="38"/>
        <v>0</v>
      </c>
      <c r="F123" s="135">
        <f t="shared" si="38"/>
        <v>0</v>
      </c>
      <c r="G123" s="135">
        <f t="shared" si="38"/>
        <v>0</v>
      </c>
      <c r="H123" s="135">
        <f t="shared" si="38"/>
        <v>0</v>
      </c>
      <c r="I123" s="135">
        <f t="shared" si="38"/>
        <v>0</v>
      </c>
      <c r="J123" s="135">
        <f t="shared" si="38"/>
        <v>0</v>
      </c>
      <c r="K123" s="135">
        <f t="shared" si="38"/>
        <v>0</v>
      </c>
      <c r="L123" s="135">
        <f t="shared" si="38"/>
        <v>0</v>
      </c>
      <c r="M123" s="135">
        <f t="shared" si="38"/>
        <v>0</v>
      </c>
      <c r="N123" s="135">
        <f t="shared" si="38"/>
        <v>0</v>
      </c>
      <c r="O123" s="135">
        <f t="shared" si="38"/>
        <v>0</v>
      </c>
      <c r="P123" s="135">
        <f t="shared" si="38"/>
        <v>0</v>
      </c>
      <c r="Q123" s="135">
        <f t="shared" si="38"/>
        <v>0</v>
      </c>
      <c r="R123" s="135">
        <f t="shared" si="38"/>
        <v>0</v>
      </c>
      <c r="S123" s="135">
        <f t="shared" si="38"/>
        <v>0</v>
      </c>
      <c r="T123" s="135">
        <f t="shared" si="37"/>
        <v>0</v>
      </c>
      <c r="U123" s="135">
        <f t="shared" si="37"/>
        <v>0</v>
      </c>
      <c r="V123" s="135">
        <f t="shared" si="37"/>
        <v>0</v>
      </c>
      <c r="W123" s="135">
        <f t="shared" si="37"/>
        <v>0</v>
      </c>
      <c r="X123" s="135">
        <f t="shared" si="37"/>
        <v>0</v>
      </c>
      <c r="Y123" s="135">
        <f t="shared" si="37"/>
        <v>0</v>
      </c>
      <c r="Z123" s="135">
        <f t="shared" si="37"/>
        <v>0</v>
      </c>
      <c r="AA123" s="135">
        <f t="shared" si="37"/>
        <v>0</v>
      </c>
      <c r="AB123" s="135">
        <f t="shared" si="37"/>
        <v>0</v>
      </c>
      <c r="AC123" s="135">
        <f t="shared" si="37"/>
        <v>0</v>
      </c>
      <c r="AD123" s="135">
        <f t="shared" si="37"/>
        <v>0</v>
      </c>
      <c r="AE123" s="135">
        <f t="shared" si="37"/>
        <v>0</v>
      </c>
      <c r="AF123" s="135">
        <f t="shared" si="37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5"/>
        <v>5</v>
      </c>
      <c r="C124" s="136">
        <v>5</v>
      </c>
      <c r="D124" s="135">
        <f t="shared" si="38"/>
        <v>5</v>
      </c>
      <c r="E124" s="135">
        <f t="shared" si="38"/>
        <v>5</v>
      </c>
      <c r="F124" s="135">
        <f t="shared" si="38"/>
        <v>5</v>
      </c>
      <c r="G124" s="135">
        <f t="shared" si="38"/>
        <v>5</v>
      </c>
      <c r="H124" s="135">
        <f t="shared" si="38"/>
        <v>5</v>
      </c>
      <c r="I124" s="135">
        <f t="shared" si="38"/>
        <v>5</v>
      </c>
      <c r="J124" s="135">
        <f t="shared" si="38"/>
        <v>5</v>
      </c>
      <c r="K124" s="135">
        <f t="shared" si="38"/>
        <v>5</v>
      </c>
      <c r="L124" s="135">
        <f t="shared" si="38"/>
        <v>5</v>
      </c>
      <c r="M124" s="135">
        <f t="shared" si="38"/>
        <v>5</v>
      </c>
      <c r="N124" s="135">
        <f t="shared" si="38"/>
        <v>5</v>
      </c>
      <c r="O124" s="135">
        <f t="shared" si="38"/>
        <v>5</v>
      </c>
      <c r="P124" s="135">
        <f t="shared" si="38"/>
        <v>5</v>
      </c>
      <c r="Q124" s="135">
        <f t="shared" si="38"/>
        <v>5</v>
      </c>
      <c r="R124" s="135">
        <f t="shared" si="38"/>
        <v>5</v>
      </c>
      <c r="S124" s="135">
        <f t="shared" si="38"/>
        <v>5</v>
      </c>
      <c r="T124" s="135">
        <f t="shared" si="37"/>
        <v>5</v>
      </c>
      <c r="U124" s="135">
        <f t="shared" si="37"/>
        <v>5</v>
      </c>
      <c r="V124" s="135">
        <f t="shared" si="37"/>
        <v>5</v>
      </c>
      <c r="W124" s="135">
        <f t="shared" si="37"/>
        <v>5</v>
      </c>
      <c r="X124" s="135">
        <f t="shared" si="37"/>
        <v>5</v>
      </c>
      <c r="Y124" s="135">
        <f t="shared" si="37"/>
        <v>5</v>
      </c>
      <c r="Z124" s="135">
        <f t="shared" si="37"/>
        <v>5</v>
      </c>
      <c r="AA124" s="135">
        <f t="shared" si="37"/>
        <v>5</v>
      </c>
      <c r="AB124" s="135">
        <f t="shared" si="37"/>
        <v>5</v>
      </c>
      <c r="AC124" s="135">
        <f t="shared" si="37"/>
        <v>5</v>
      </c>
      <c r="AD124" s="135">
        <f t="shared" si="37"/>
        <v>5</v>
      </c>
      <c r="AE124" s="135">
        <f t="shared" si="37"/>
        <v>5</v>
      </c>
      <c r="AF124" s="135">
        <f t="shared" si="37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5"/>
        <v>1</v>
      </c>
      <c r="C125" s="136">
        <v>1</v>
      </c>
      <c r="D125" s="135">
        <f t="shared" si="38"/>
        <v>1</v>
      </c>
      <c r="E125" s="135">
        <f t="shared" si="38"/>
        <v>1</v>
      </c>
      <c r="F125" s="135">
        <f t="shared" si="38"/>
        <v>1</v>
      </c>
      <c r="G125" s="135">
        <f t="shared" si="38"/>
        <v>1</v>
      </c>
      <c r="H125" s="135">
        <f t="shared" si="38"/>
        <v>1</v>
      </c>
      <c r="I125" s="135">
        <f t="shared" si="38"/>
        <v>1</v>
      </c>
      <c r="J125" s="135">
        <f t="shared" si="38"/>
        <v>1</v>
      </c>
      <c r="K125" s="135">
        <f t="shared" si="38"/>
        <v>1</v>
      </c>
      <c r="L125" s="135">
        <f t="shared" si="38"/>
        <v>1</v>
      </c>
      <c r="M125" s="135">
        <f t="shared" si="38"/>
        <v>1</v>
      </c>
      <c r="N125" s="135">
        <f t="shared" si="38"/>
        <v>1</v>
      </c>
      <c r="O125" s="135">
        <f t="shared" si="38"/>
        <v>1</v>
      </c>
      <c r="P125" s="135">
        <f t="shared" si="38"/>
        <v>1</v>
      </c>
      <c r="Q125" s="135">
        <f t="shared" si="38"/>
        <v>1</v>
      </c>
      <c r="R125" s="135">
        <f t="shared" si="38"/>
        <v>1</v>
      </c>
      <c r="S125" s="135">
        <f t="shared" si="38"/>
        <v>1</v>
      </c>
      <c r="T125" s="135">
        <f t="shared" si="37"/>
        <v>1</v>
      </c>
      <c r="U125" s="135">
        <f t="shared" si="37"/>
        <v>1</v>
      </c>
      <c r="V125" s="135">
        <f t="shared" si="37"/>
        <v>1</v>
      </c>
      <c r="W125" s="135">
        <f t="shared" si="37"/>
        <v>1</v>
      </c>
      <c r="X125" s="135">
        <f t="shared" si="37"/>
        <v>1</v>
      </c>
      <c r="Y125" s="135">
        <f t="shared" si="37"/>
        <v>1</v>
      </c>
      <c r="Z125" s="135">
        <f t="shared" si="37"/>
        <v>1</v>
      </c>
      <c r="AA125" s="135">
        <f t="shared" si="37"/>
        <v>1</v>
      </c>
      <c r="AB125" s="135">
        <f t="shared" si="37"/>
        <v>1</v>
      </c>
      <c r="AC125" s="135">
        <f t="shared" si="37"/>
        <v>1</v>
      </c>
      <c r="AD125" s="135">
        <f t="shared" si="37"/>
        <v>1</v>
      </c>
      <c r="AE125" s="135">
        <f t="shared" si="37"/>
        <v>1</v>
      </c>
      <c r="AF125" s="135">
        <f t="shared" si="37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5"/>
        <v>1.58</v>
      </c>
      <c r="C126" s="136">
        <v>1.58</v>
      </c>
      <c r="D126" s="135">
        <f t="shared" si="38"/>
        <v>1.58</v>
      </c>
      <c r="E126" s="135">
        <f t="shared" si="38"/>
        <v>1.58</v>
      </c>
      <c r="F126" s="135">
        <f t="shared" si="38"/>
        <v>1.58</v>
      </c>
      <c r="G126" s="135">
        <f t="shared" si="38"/>
        <v>1.58</v>
      </c>
      <c r="H126" s="135">
        <f t="shared" si="38"/>
        <v>1.58</v>
      </c>
      <c r="I126" s="135">
        <f t="shared" si="38"/>
        <v>1.58</v>
      </c>
      <c r="J126" s="135">
        <f t="shared" si="38"/>
        <v>1.58</v>
      </c>
      <c r="K126" s="135">
        <f t="shared" si="38"/>
        <v>1.58</v>
      </c>
      <c r="L126" s="135">
        <f t="shared" si="38"/>
        <v>1.58</v>
      </c>
      <c r="M126" s="135">
        <f t="shared" si="38"/>
        <v>1.58</v>
      </c>
      <c r="N126" s="135">
        <f t="shared" si="38"/>
        <v>1.58</v>
      </c>
      <c r="O126" s="135">
        <f t="shared" si="38"/>
        <v>1.58</v>
      </c>
      <c r="P126" s="135">
        <f t="shared" si="38"/>
        <v>1.58</v>
      </c>
      <c r="Q126" s="135">
        <f t="shared" si="38"/>
        <v>1.58</v>
      </c>
      <c r="R126" s="135">
        <f t="shared" si="38"/>
        <v>1.58</v>
      </c>
      <c r="S126" s="135">
        <f t="shared" si="38"/>
        <v>1.58</v>
      </c>
      <c r="T126" s="135">
        <f t="shared" si="37"/>
        <v>1.58</v>
      </c>
      <c r="U126" s="135">
        <f t="shared" si="37"/>
        <v>1.58</v>
      </c>
      <c r="V126" s="135">
        <f t="shared" si="37"/>
        <v>1.58</v>
      </c>
      <c r="W126" s="135">
        <f t="shared" si="37"/>
        <v>1.58</v>
      </c>
      <c r="X126" s="135">
        <f t="shared" si="37"/>
        <v>1.58</v>
      </c>
      <c r="Y126" s="135">
        <f t="shared" si="37"/>
        <v>1.58</v>
      </c>
      <c r="Z126" s="135">
        <f t="shared" si="37"/>
        <v>1.58</v>
      </c>
      <c r="AA126" s="135">
        <f t="shared" si="37"/>
        <v>1.58</v>
      </c>
      <c r="AB126" s="135">
        <f t="shared" si="37"/>
        <v>1.58</v>
      </c>
      <c r="AC126" s="135">
        <f t="shared" si="37"/>
        <v>1.58</v>
      </c>
      <c r="AD126" s="135">
        <f t="shared" si="37"/>
        <v>1.58</v>
      </c>
      <c r="AE126" s="135">
        <f t="shared" si="37"/>
        <v>1.58</v>
      </c>
      <c r="AF126" s="135">
        <f t="shared" si="37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5"/>
        <v>1.46</v>
      </c>
      <c r="C127" s="136">
        <v>1.46</v>
      </c>
      <c r="D127" s="135">
        <f t="shared" si="38"/>
        <v>1.46</v>
      </c>
      <c r="E127" s="135">
        <f t="shared" si="38"/>
        <v>1.46</v>
      </c>
      <c r="F127" s="135">
        <f t="shared" si="38"/>
        <v>1.46</v>
      </c>
      <c r="G127" s="135">
        <f t="shared" si="38"/>
        <v>1.46</v>
      </c>
      <c r="H127" s="135">
        <f t="shared" si="38"/>
        <v>1.46</v>
      </c>
      <c r="I127" s="135">
        <f t="shared" si="38"/>
        <v>1.46</v>
      </c>
      <c r="J127" s="135">
        <f t="shared" si="38"/>
        <v>1.46</v>
      </c>
      <c r="K127" s="135">
        <f t="shared" si="38"/>
        <v>1.46</v>
      </c>
      <c r="L127" s="135">
        <f t="shared" si="38"/>
        <v>1.46</v>
      </c>
      <c r="M127" s="135">
        <f t="shared" si="38"/>
        <v>1.46</v>
      </c>
      <c r="N127" s="135">
        <f t="shared" si="38"/>
        <v>1.46</v>
      </c>
      <c r="O127" s="135">
        <f t="shared" si="38"/>
        <v>1.46</v>
      </c>
      <c r="P127" s="135">
        <f t="shared" si="38"/>
        <v>1.46</v>
      </c>
      <c r="Q127" s="135">
        <f t="shared" si="38"/>
        <v>1.46</v>
      </c>
      <c r="R127" s="135">
        <f t="shared" si="38"/>
        <v>1.46</v>
      </c>
      <c r="S127" s="135">
        <f t="shared" si="38"/>
        <v>1.46</v>
      </c>
      <c r="T127" s="135">
        <f t="shared" ref="T127:AF128" si="39">S127</f>
        <v>1.46</v>
      </c>
      <c r="U127" s="135">
        <f t="shared" si="39"/>
        <v>1.46</v>
      </c>
      <c r="V127" s="135">
        <f t="shared" si="39"/>
        <v>1.46</v>
      </c>
      <c r="W127" s="135">
        <f t="shared" si="39"/>
        <v>1.46</v>
      </c>
      <c r="X127" s="135">
        <f t="shared" si="39"/>
        <v>1.46</v>
      </c>
      <c r="Y127" s="135">
        <f t="shared" si="39"/>
        <v>1.46</v>
      </c>
      <c r="Z127" s="135">
        <f t="shared" si="39"/>
        <v>1.46</v>
      </c>
      <c r="AA127" s="135">
        <f t="shared" si="39"/>
        <v>1.46</v>
      </c>
      <c r="AB127" s="135">
        <f t="shared" si="39"/>
        <v>1.46</v>
      </c>
      <c r="AC127" s="135">
        <f t="shared" si="39"/>
        <v>1.46</v>
      </c>
      <c r="AD127" s="135">
        <f t="shared" si="39"/>
        <v>1.46</v>
      </c>
      <c r="AE127" s="135">
        <f t="shared" si="39"/>
        <v>1.46</v>
      </c>
      <c r="AF127" s="135">
        <f t="shared" si="39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5"/>
        <v>1.48</v>
      </c>
      <c r="C128" s="136">
        <v>1.48</v>
      </c>
      <c r="D128" s="135">
        <f t="shared" si="38"/>
        <v>1.48</v>
      </c>
      <c r="E128" s="135">
        <f t="shared" si="38"/>
        <v>1.48</v>
      </c>
      <c r="F128" s="135">
        <f t="shared" si="38"/>
        <v>1.48</v>
      </c>
      <c r="G128" s="135">
        <f t="shared" si="38"/>
        <v>1.48</v>
      </c>
      <c r="H128" s="135">
        <f t="shared" si="38"/>
        <v>1.48</v>
      </c>
      <c r="I128" s="135">
        <f t="shared" si="38"/>
        <v>1.48</v>
      </c>
      <c r="J128" s="135">
        <f t="shared" si="38"/>
        <v>1.48</v>
      </c>
      <c r="K128" s="135">
        <f t="shared" si="38"/>
        <v>1.48</v>
      </c>
      <c r="L128" s="135">
        <f t="shared" si="38"/>
        <v>1.48</v>
      </c>
      <c r="M128" s="135">
        <f t="shared" si="38"/>
        <v>1.48</v>
      </c>
      <c r="N128" s="135">
        <f t="shared" si="38"/>
        <v>1.48</v>
      </c>
      <c r="O128" s="135">
        <f t="shared" si="38"/>
        <v>1.48</v>
      </c>
      <c r="P128" s="135">
        <f t="shared" si="38"/>
        <v>1.48</v>
      </c>
      <c r="Q128" s="135">
        <f t="shared" si="38"/>
        <v>1.48</v>
      </c>
      <c r="R128" s="135">
        <f t="shared" si="38"/>
        <v>1.48</v>
      </c>
      <c r="S128" s="135">
        <f t="shared" si="38"/>
        <v>1.48</v>
      </c>
      <c r="T128" s="135">
        <f t="shared" si="39"/>
        <v>1.48</v>
      </c>
      <c r="U128" s="135">
        <f t="shared" si="39"/>
        <v>1.48</v>
      </c>
      <c r="V128" s="135">
        <f t="shared" si="39"/>
        <v>1.48</v>
      </c>
      <c r="W128" s="135">
        <f t="shared" si="39"/>
        <v>1.48</v>
      </c>
      <c r="X128" s="135">
        <f t="shared" si="39"/>
        <v>1.48</v>
      </c>
      <c r="Y128" s="135">
        <f t="shared" si="39"/>
        <v>1.48</v>
      </c>
      <c r="Z128" s="135">
        <f t="shared" si="39"/>
        <v>1.48</v>
      </c>
      <c r="AA128" s="135">
        <f t="shared" si="39"/>
        <v>1.48</v>
      </c>
      <c r="AB128" s="135">
        <f t="shared" si="39"/>
        <v>1.48</v>
      </c>
      <c r="AC128" s="135">
        <f t="shared" si="39"/>
        <v>1.48</v>
      </c>
      <c r="AD128" s="135">
        <f t="shared" si="39"/>
        <v>1.48</v>
      </c>
      <c r="AE128" s="135">
        <f t="shared" si="39"/>
        <v>1.48</v>
      </c>
      <c r="AF128" s="135">
        <f t="shared" si="39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40">AF130</f>
        <v>2.2000000000000002</v>
      </c>
      <c r="C130" s="136">
        <v>2.2000000000000002</v>
      </c>
      <c r="D130" s="135">
        <f t="shared" ref="D130:S137" si="41">C130</f>
        <v>2.2000000000000002</v>
      </c>
      <c r="E130" s="135">
        <f t="shared" si="41"/>
        <v>2.2000000000000002</v>
      </c>
      <c r="F130" s="135">
        <f t="shared" si="41"/>
        <v>2.2000000000000002</v>
      </c>
      <c r="G130" s="135">
        <f t="shared" si="41"/>
        <v>2.2000000000000002</v>
      </c>
      <c r="H130" s="135">
        <f t="shared" si="41"/>
        <v>2.2000000000000002</v>
      </c>
      <c r="I130" s="135">
        <f t="shared" si="41"/>
        <v>2.2000000000000002</v>
      </c>
      <c r="J130" s="135">
        <f t="shared" si="41"/>
        <v>2.2000000000000002</v>
      </c>
      <c r="K130" s="135">
        <f t="shared" si="41"/>
        <v>2.2000000000000002</v>
      </c>
      <c r="L130" s="135">
        <f t="shared" si="41"/>
        <v>2.2000000000000002</v>
      </c>
      <c r="M130" s="135">
        <f t="shared" si="41"/>
        <v>2.2000000000000002</v>
      </c>
      <c r="N130" s="135">
        <f t="shared" si="41"/>
        <v>2.2000000000000002</v>
      </c>
      <c r="O130" s="135">
        <f t="shared" si="41"/>
        <v>2.2000000000000002</v>
      </c>
      <c r="P130" s="135">
        <f t="shared" si="41"/>
        <v>2.2000000000000002</v>
      </c>
      <c r="Q130" s="135">
        <f t="shared" si="41"/>
        <v>2.2000000000000002</v>
      </c>
      <c r="R130" s="135">
        <f t="shared" si="41"/>
        <v>2.2000000000000002</v>
      </c>
      <c r="S130" s="135">
        <f t="shared" si="41"/>
        <v>2.2000000000000002</v>
      </c>
      <c r="T130" s="135">
        <f t="shared" ref="T130:AF137" si="42">S130</f>
        <v>2.2000000000000002</v>
      </c>
      <c r="U130" s="135">
        <f t="shared" si="42"/>
        <v>2.2000000000000002</v>
      </c>
      <c r="V130" s="135">
        <f t="shared" si="42"/>
        <v>2.2000000000000002</v>
      </c>
      <c r="W130" s="135">
        <f t="shared" si="42"/>
        <v>2.2000000000000002</v>
      </c>
      <c r="X130" s="135">
        <f t="shared" si="42"/>
        <v>2.2000000000000002</v>
      </c>
      <c r="Y130" s="135">
        <f t="shared" si="42"/>
        <v>2.2000000000000002</v>
      </c>
      <c r="Z130" s="135">
        <f t="shared" si="42"/>
        <v>2.2000000000000002</v>
      </c>
      <c r="AA130" s="135">
        <f t="shared" si="42"/>
        <v>2.2000000000000002</v>
      </c>
      <c r="AB130" s="135">
        <f t="shared" si="42"/>
        <v>2.2000000000000002</v>
      </c>
      <c r="AC130" s="135">
        <f t="shared" si="42"/>
        <v>2.2000000000000002</v>
      </c>
      <c r="AD130" s="135">
        <f t="shared" si="42"/>
        <v>2.2000000000000002</v>
      </c>
      <c r="AE130" s="135">
        <f t="shared" si="42"/>
        <v>2.2000000000000002</v>
      </c>
      <c r="AF130" s="135">
        <f t="shared" si="42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40"/>
        <v>2</v>
      </c>
      <c r="C131" s="136">
        <v>2</v>
      </c>
      <c r="D131" s="135">
        <f t="shared" si="41"/>
        <v>2</v>
      </c>
      <c r="E131" s="135">
        <f t="shared" si="41"/>
        <v>2</v>
      </c>
      <c r="F131" s="135">
        <f t="shared" si="41"/>
        <v>2</v>
      </c>
      <c r="G131" s="135">
        <f t="shared" si="41"/>
        <v>2</v>
      </c>
      <c r="H131" s="135">
        <f t="shared" si="41"/>
        <v>2</v>
      </c>
      <c r="I131" s="135">
        <f t="shared" si="41"/>
        <v>2</v>
      </c>
      <c r="J131" s="135">
        <f t="shared" si="41"/>
        <v>2</v>
      </c>
      <c r="K131" s="135">
        <f t="shared" si="41"/>
        <v>2</v>
      </c>
      <c r="L131" s="135">
        <f t="shared" si="41"/>
        <v>2</v>
      </c>
      <c r="M131" s="135">
        <f t="shared" si="41"/>
        <v>2</v>
      </c>
      <c r="N131" s="135">
        <f t="shared" si="41"/>
        <v>2</v>
      </c>
      <c r="O131" s="135">
        <f t="shared" si="41"/>
        <v>2</v>
      </c>
      <c r="P131" s="135">
        <f t="shared" si="41"/>
        <v>2</v>
      </c>
      <c r="Q131" s="135">
        <f t="shared" si="41"/>
        <v>2</v>
      </c>
      <c r="R131" s="135">
        <f t="shared" si="41"/>
        <v>2</v>
      </c>
      <c r="S131" s="135">
        <f t="shared" si="41"/>
        <v>2</v>
      </c>
      <c r="T131" s="135">
        <f t="shared" si="42"/>
        <v>2</v>
      </c>
      <c r="U131" s="135">
        <f t="shared" si="42"/>
        <v>2</v>
      </c>
      <c r="V131" s="135">
        <f t="shared" si="42"/>
        <v>2</v>
      </c>
      <c r="W131" s="135">
        <f t="shared" si="42"/>
        <v>2</v>
      </c>
      <c r="X131" s="135">
        <f t="shared" si="42"/>
        <v>2</v>
      </c>
      <c r="Y131" s="135">
        <f t="shared" si="42"/>
        <v>2</v>
      </c>
      <c r="Z131" s="135">
        <f t="shared" si="42"/>
        <v>2</v>
      </c>
      <c r="AA131" s="135">
        <f t="shared" si="42"/>
        <v>2</v>
      </c>
      <c r="AB131" s="135">
        <f t="shared" si="42"/>
        <v>2</v>
      </c>
      <c r="AC131" s="135">
        <f t="shared" si="42"/>
        <v>2</v>
      </c>
      <c r="AD131" s="135">
        <f t="shared" si="42"/>
        <v>2</v>
      </c>
      <c r="AE131" s="135">
        <f t="shared" si="42"/>
        <v>2</v>
      </c>
      <c r="AF131" s="135">
        <f t="shared" si="42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40"/>
        <v>1.25</v>
      </c>
      <c r="C132" s="136">
        <v>1.25</v>
      </c>
      <c r="D132" s="135">
        <f t="shared" si="41"/>
        <v>1.25</v>
      </c>
      <c r="E132" s="135">
        <f t="shared" si="41"/>
        <v>1.25</v>
      </c>
      <c r="F132" s="135">
        <f t="shared" si="41"/>
        <v>1.25</v>
      </c>
      <c r="G132" s="135">
        <f t="shared" si="41"/>
        <v>1.25</v>
      </c>
      <c r="H132" s="135">
        <f t="shared" si="41"/>
        <v>1.25</v>
      </c>
      <c r="I132" s="135">
        <f t="shared" si="41"/>
        <v>1.25</v>
      </c>
      <c r="J132" s="135">
        <f t="shared" si="41"/>
        <v>1.25</v>
      </c>
      <c r="K132" s="135">
        <f t="shared" si="41"/>
        <v>1.25</v>
      </c>
      <c r="L132" s="135">
        <f t="shared" si="41"/>
        <v>1.25</v>
      </c>
      <c r="M132" s="135">
        <f t="shared" si="41"/>
        <v>1.25</v>
      </c>
      <c r="N132" s="135">
        <f t="shared" si="41"/>
        <v>1.25</v>
      </c>
      <c r="O132" s="135">
        <f t="shared" si="41"/>
        <v>1.25</v>
      </c>
      <c r="P132" s="135">
        <f t="shared" si="41"/>
        <v>1.25</v>
      </c>
      <c r="Q132" s="135">
        <f t="shared" si="41"/>
        <v>1.25</v>
      </c>
      <c r="R132" s="135">
        <f t="shared" si="41"/>
        <v>1.25</v>
      </c>
      <c r="S132" s="135">
        <f t="shared" si="41"/>
        <v>1.25</v>
      </c>
      <c r="T132" s="135">
        <f t="shared" si="42"/>
        <v>1.25</v>
      </c>
      <c r="U132" s="135">
        <f t="shared" si="42"/>
        <v>1.25</v>
      </c>
      <c r="V132" s="135">
        <f t="shared" si="42"/>
        <v>1.25</v>
      </c>
      <c r="W132" s="135">
        <f t="shared" si="42"/>
        <v>1.25</v>
      </c>
      <c r="X132" s="135">
        <f t="shared" si="42"/>
        <v>1.25</v>
      </c>
      <c r="Y132" s="135">
        <f t="shared" si="42"/>
        <v>1.25</v>
      </c>
      <c r="Z132" s="135">
        <f t="shared" si="42"/>
        <v>1.25</v>
      </c>
      <c r="AA132" s="135">
        <f t="shared" si="42"/>
        <v>1.25</v>
      </c>
      <c r="AB132" s="135">
        <f t="shared" si="42"/>
        <v>1.25</v>
      </c>
      <c r="AC132" s="135">
        <f t="shared" si="42"/>
        <v>1.25</v>
      </c>
      <c r="AD132" s="135">
        <f t="shared" si="42"/>
        <v>1.25</v>
      </c>
      <c r="AE132" s="135">
        <f t="shared" si="42"/>
        <v>1.25</v>
      </c>
      <c r="AF132" s="135">
        <f t="shared" si="42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40"/>
        <v>1.1499999999999999</v>
      </c>
      <c r="C133" s="136">
        <v>1.1499999999999999</v>
      </c>
      <c r="D133" s="135">
        <f t="shared" si="41"/>
        <v>1.1499999999999999</v>
      </c>
      <c r="E133" s="135">
        <f t="shared" si="41"/>
        <v>1.1499999999999999</v>
      </c>
      <c r="F133" s="135">
        <f t="shared" si="41"/>
        <v>1.1499999999999999</v>
      </c>
      <c r="G133" s="135">
        <f t="shared" si="41"/>
        <v>1.1499999999999999</v>
      </c>
      <c r="H133" s="135">
        <f t="shared" si="41"/>
        <v>1.1499999999999999</v>
      </c>
      <c r="I133" s="135">
        <f t="shared" si="41"/>
        <v>1.1499999999999999</v>
      </c>
      <c r="J133" s="135">
        <f t="shared" si="41"/>
        <v>1.1499999999999999</v>
      </c>
      <c r="K133" s="135">
        <f t="shared" si="41"/>
        <v>1.1499999999999999</v>
      </c>
      <c r="L133" s="135">
        <f t="shared" si="41"/>
        <v>1.1499999999999999</v>
      </c>
      <c r="M133" s="135">
        <f t="shared" si="41"/>
        <v>1.1499999999999999</v>
      </c>
      <c r="N133" s="135">
        <f t="shared" si="41"/>
        <v>1.1499999999999999</v>
      </c>
      <c r="O133" s="135">
        <f t="shared" si="41"/>
        <v>1.1499999999999999</v>
      </c>
      <c r="P133" s="135">
        <f t="shared" si="41"/>
        <v>1.1499999999999999</v>
      </c>
      <c r="Q133" s="135">
        <f t="shared" si="41"/>
        <v>1.1499999999999999</v>
      </c>
      <c r="R133" s="135">
        <f t="shared" si="41"/>
        <v>1.1499999999999999</v>
      </c>
      <c r="S133" s="135">
        <f t="shared" si="41"/>
        <v>1.1499999999999999</v>
      </c>
      <c r="T133" s="135">
        <f t="shared" si="42"/>
        <v>1.1499999999999999</v>
      </c>
      <c r="U133" s="135">
        <f t="shared" si="42"/>
        <v>1.1499999999999999</v>
      </c>
      <c r="V133" s="135">
        <f t="shared" si="42"/>
        <v>1.1499999999999999</v>
      </c>
      <c r="W133" s="135">
        <f t="shared" si="42"/>
        <v>1.1499999999999999</v>
      </c>
      <c r="X133" s="135">
        <f t="shared" si="42"/>
        <v>1.1499999999999999</v>
      </c>
      <c r="Y133" s="135">
        <f t="shared" si="42"/>
        <v>1.1499999999999999</v>
      </c>
      <c r="Z133" s="135">
        <f t="shared" si="42"/>
        <v>1.1499999999999999</v>
      </c>
      <c r="AA133" s="135">
        <f t="shared" si="42"/>
        <v>1.1499999999999999</v>
      </c>
      <c r="AB133" s="135">
        <f t="shared" si="42"/>
        <v>1.1499999999999999</v>
      </c>
      <c r="AC133" s="135">
        <f t="shared" si="42"/>
        <v>1.1499999999999999</v>
      </c>
      <c r="AD133" s="135">
        <f t="shared" si="42"/>
        <v>1.1499999999999999</v>
      </c>
      <c r="AE133" s="135">
        <f t="shared" si="42"/>
        <v>1.1499999999999999</v>
      </c>
      <c r="AF133" s="135">
        <f t="shared" si="42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40"/>
        <v>2.133</v>
      </c>
      <c r="C134" s="136">
        <v>2.133</v>
      </c>
      <c r="D134" s="135">
        <f t="shared" si="41"/>
        <v>2.133</v>
      </c>
      <c r="E134" s="135">
        <f t="shared" si="41"/>
        <v>2.133</v>
      </c>
      <c r="F134" s="135">
        <f t="shared" si="41"/>
        <v>2.133</v>
      </c>
      <c r="G134" s="135">
        <f t="shared" si="41"/>
        <v>2.133</v>
      </c>
      <c r="H134" s="135">
        <f t="shared" si="41"/>
        <v>2.133</v>
      </c>
      <c r="I134" s="135">
        <f t="shared" si="41"/>
        <v>2.133</v>
      </c>
      <c r="J134" s="135">
        <f t="shared" si="41"/>
        <v>2.133</v>
      </c>
      <c r="K134" s="135">
        <f t="shared" si="41"/>
        <v>2.133</v>
      </c>
      <c r="L134" s="135">
        <f t="shared" si="41"/>
        <v>2.133</v>
      </c>
      <c r="M134" s="135">
        <f t="shared" si="41"/>
        <v>2.133</v>
      </c>
      <c r="N134" s="135">
        <f t="shared" si="41"/>
        <v>2.133</v>
      </c>
      <c r="O134" s="135">
        <f t="shared" si="41"/>
        <v>2.133</v>
      </c>
      <c r="P134" s="135">
        <f t="shared" si="41"/>
        <v>2.133</v>
      </c>
      <c r="Q134" s="135">
        <f t="shared" si="41"/>
        <v>2.133</v>
      </c>
      <c r="R134" s="135">
        <f t="shared" si="41"/>
        <v>2.133</v>
      </c>
      <c r="S134" s="135">
        <f t="shared" si="41"/>
        <v>2.133</v>
      </c>
      <c r="T134" s="135">
        <f t="shared" si="42"/>
        <v>2.133</v>
      </c>
      <c r="U134" s="135">
        <f t="shared" si="42"/>
        <v>2.133</v>
      </c>
      <c r="V134" s="135">
        <f t="shared" si="42"/>
        <v>2.133</v>
      </c>
      <c r="W134" s="135">
        <f t="shared" si="42"/>
        <v>2.133</v>
      </c>
      <c r="X134" s="135">
        <f t="shared" si="42"/>
        <v>2.133</v>
      </c>
      <c r="Y134" s="135">
        <f t="shared" si="42"/>
        <v>2.133</v>
      </c>
      <c r="Z134" s="135">
        <f t="shared" si="42"/>
        <v>2.133</v>
      </c>
      <c r="AA134" s="135">
        <f t="shared" si="42"/>
        <v>2.133</v>
      </c>
      <c r="AB134" s="135">
        <f t="shared" si="42"/>
        <v>2.133</v>
      </c>
      <c r="AC134" s="135">
        <f t="shared" si="42"/>
        <v>2.133</v>
      </c>
      <c r="AD134" s="135">
        <f t="shared" si="42"/>
        <v>2.133</v>
      </c>
      <c r="AE134" s="135">
        <f t="shared" si="42"/>
        <v>2.133</v>
      </c>
      <c r="AF134" s="135">
        <f t="shared" si="42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40"/>
        <v>2.09</v>
      </c>
      <c r="C135" s="136">
        <v>2.09</v>
      </c>
      <c r="D135" s="135">
        <f t="shared" si="41"/>
        <v>2.09</v>
      </c>
      <c r="E135" s="135">
        <f t="shared" si="41"/>
        <v>2.09</v>
      </c>
      <c r="F135" s="135">
        <f t="shared" si="41"/>
        <v>2.09</v>
      </c>
      <c r="G135" s="135">
        <f t="shared" si="41"/>
        <v>2.09</v>
      </c>
      <c r="H135" s="135">
        <f t="shared" si="41"/>
        <v>2.09</v>
      </c>
      <c r="I135" s="135">
        <f t="shared" si="41"/>
        <v>2.09</v>
      </c>
      <c r="J135" s="135">
        <f t="shared" si="41"/>
        <v>2.09</v>
      </c>
      <c r="K135" s="135">
        <f t="shared" si="41"/>
        <v>2.09</v>
      </c>
      <c r="L135" s="135">
        <f t="shared" si="41"/>
        <v>2.09</v>
      </c>
      <c r="M135" s="135">
        <f t="shared" si="41"/>
        <v>2.09</v>
      </c>
      <c r="N135" s="135">
        <f t="shared" si="41"/>
        <v>2.09</v>
      </c>
      <c r="O135" s="135">
        <f t="shared" si="41"/>
        <v>2.09</v>
      </c>
      <c r="P135" s="135">
        <f t="shared" si="41"/>
        <v>2.09</v>
      </c>
      <c r="Q135" s="135">
        <f t="shared" si="41"/>
        <v>2.09</v>
      </c>
      <c r="R135" s="135">
        <f t="shared" si="41"/>
        <v>2.09</v>
      </c>
      <c r="S135" s="135">
        <f t="shared" si="41"/>
        <v>2.09</v>
      </c>
      <c r="T135" s="135">
        <f t="shared" si="42"/>
        <v>2.09</v>
      </c>
      <c r="U135" s="135">
        <f t="shared" si="42"/>
        <v>2.09</v>
      </c>
      <c r="V135" s="135">
        <f t="shared" si="42"/>
        <v>2.09</v>
      </c>
      <c r="W135" s="135">
        <f t="shared" si="42"/>
        <v>2.09</v>
      </c>
      <c r="X135" s="135">
        <f t="shared" si="42"/>
        <v>2.09</v>
      </c>
      <c r="Y135" s="135">
        <f t="shared" si="42"/>
        <v>2.09</v>
      </c>
      <c r="Z135" s="135">
        <f t="shared" si="42"/>
        <v>2.09</v>
      </c>
      <c r="AA135" s="135">
        <f t="shared" si="42"/>
        <v>2.09</v>
      </c>
      <c r="AB135" s="135">
        <f t="shared" si="42"/>
        <v>2.09</v>
      </c>
      <c r="AC135" s="135">
        <f t="shared" si="42"/>
        <v>2.09</v>
      </c>
      <c r="AD135" s="135">
        <f t="shared" si="42"/>
        <v>2.09</v>
      </c>
      <c r="AE135" s="135">
        <f t="shared" si="42"/>
        <v>2.09</v>
      </c>
      <c r="AF135" s="135">
        <f t="shared" si="42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40"/>
        <v>1.1399999999999999</v>
      </c>
      <c r="C136" s="136">
        <v>1.1399999999999999</v>
      </c>
      <c r="D136" s="135">
        <f t="shared" si="41"/>
        <v>1.1399999999999999</v>
      </c>
      <c r="E136" s="135">
        <f t="shared" si="41"/>
        <v>1.1399999999999999</v>
      </c>
      <c r="F136" s="135">
        <f t="shared" si="41"/>
        <v>1.1399999999999999</v>
      </c>
      <c r="G136" s="135">
        <f t="shared" si="41"/>
        <v>1.1399999999999999</v>
      </c>
      <c r="H136" s="135">
        <f t="shared" si="41"/>
        <v>1.1399999999999999</v>
      </c>
      <c r="I136" s="135">
        <f t="shared" si="41"/>
        <v>1.1399999999999999</v>
      </c>
      <c r="J136" s="135">
        <f t="shared" si="41"/>
        <v>1.1399999999999999</v>
      </c>
      <c r="K136" s="135">
        <f t="shared" si="41"/>
        <v>1.1399999999999999</v>
      </c>
      <c r="L136" s="135">
        <f t="shared" si="41"/>
        <v>1.1399999999999999</v>
      </c>
      <c r="M136" s="135">
        <f t="shared" si="41"/>
        <v>1.1399999999999999</v>
      </c>
      <c r="N136" s="135">
        <f t="shared" si="41"/>
        <v>1.1399999999999999</v>
      </c>
      <c r="O136" s="135">
        <f t="shared" si="41"/>
        <v>1.1399999999999999</v>
      </c>
      <c r="P136" s="135">
        <f t="shared" si="41"/>
        <v>1.1399999999999999</v>
      </c>
      <c r="Q136" s="135">
        <f t="shared" si="41"/>
        <v>1.1399999999999999</v>
      </c>
      <c r="R136" s="135">
        <f t="shared" si="41"/>
        <v>1.1399999999999999</v>
      </c>
      <c r="S136" s="135">
        <f t="shared" si="41"/>
        <v>1.1399999999999999</v>
      </c>
      <c r="T136" s="135">
        <f t="shared" si="42"/>
        <v>1.1399999999999999</v>
      </c>
      <c r="U136" s="135">
        <f t="shared" si="42"/>
        <v>1.1399999999999999</v>
      </c>
      <c r="V136" s="135">
        <f t="shared" si="42"/>
        <v>1.1399999999999999</v>
      </c>
      <c r="W136" s="135">
        <f t="shared" si="42"/>
        <v>1.1399999999999999</v>
      </c>
      <c r="X136" s="135">
        <f t="shared" si="42"/>
        <v>1.1399999999999999</v>
      </c>
      <c r="Y136" s="135">
        <f t="shared" si="42"/>
        <v>1.1399999999999999</v>
      </c>
      <c r="Z136" s="135">
        <f t="shared" si="42"/>
        <v>1.1399999999999999</v>
      </c>
      <c r="AA136" s="135">
        <f t="shared" si="42"/>
        <v>1.1399999999999999</v>
      </c>
      <c r="AB136" s="135">
        <f t="shared" si="42"/>
        <v>1.1399999999999999</v>
      </c>
      <c r="AC136" s="135">
        <f t="shared" si="42"/>
        <v>1.1399999999999999</v>
      </c>
      <c r="AD136" s="135">
        <f t="shared" si="42"/>
        <v>1.1399999999999999</v>
      </c>
      <c r="AE136" s="135">
        <f t="shared" si="42"/>
        <v>1.1399999999999999</v>
      </c>
      <c r="AF136" s="135">
        <f t="shared" si="42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40"/>
        <v>0.82</v>
      </c>
      <c r="C137" s="136">
        <v>0.82</v>
      </c>
      <c r="D137" s="135">
        <f t="shared" si="41"/>
        <v>0.82</v>
      </c>
      <c r="E137" s="135">
        <f t="shared" si="41"/>
        <v>0.82</v>
      </c>
      <c r="F137" s="135">
        <f t="shared" si="41"/>
        <v>0.82</v>
      </c>
      <c r="G137" s="135">
        <f t="shared" si="41"/>
        <v>0.82</v>
      </c>
      <c r="H137" s="135">
        <f t="shared" si="41"/>
        <v>0.82</v>
      </c>
      <c r="I137" s="135">
        <f t="shared" si="41"/>
        <v>0.82</v>
      </c>
      <c r="J137" s="135">
        <f t="shared" si="41"/>
        <v>0.82</v>
      </c>
      <c r="K137" s="135">
        <f t="shared" si="41"/>
        <v>0.82</v>
      </c>
      <c r="L137" s="135">
        <f t="shared" si="41"/>
        <v>0.82</v>
      </c>
      <c r="M137" s="135">
        <f t="shared" si="41"/>
        <v>0.82</v>
      </c>
      <c r="N137" s="135">
        <f t="shared" si="41"/>
        <v>0.82</v>
      </c>
      <c r="O137" s="135">
        <f t="shared" si="41"/>
        <v>0.82</v>
      </c>
      <c r="P137" s="135">
        <f t="shared" si="41"/>
        <v>0.82</v>
      </c>
      <c r="Q137" s="135">
        <f t="shared" si="41"/>
        <v>0.82</v>
      </c>
      <c r="R137" s="135">
        <f t="shared" si="41"/>
        <v>0.82</v>
      </c>
      <c r="S137" s="135">
        <f t="shared" si="41"/>
        <v>0.82</v>
      </c>
      <c r="T137" s="135">
        <f t="shared" si="42"/>
        <v>0.82</v>
      </c>
      <c r="U137" s="135">
        <f t="shared" si="42"/>
        <v>0.82</v>
      </c>
      <c r="V137" s="135">
        <f t="shared" si="42"/>
        <v>0.82</v>
      </c>
      <c r="W137" s="135">
        <f t="shared" si="42"/>
        <v>0.82</v>
      </c>
      <c r="X137" s="135">
        <f t="shared" si="42"/>
        <v>0.82</v>
      </c>
      <c r="Y137" s="135">
        <f t="shared" si="42"/>
        <v>0.82</v>
      </c>
      <c r="Z137" s="135">
        <f t="shared" si="42"/>
        <v>0.82</v>
      </c>
      <c r="AA137" s="135">
        <f t="shared" si="42"/>
        <v>0.82</v>
      </c>
      <c r="AB137" s="135">
        <f t="shared" si="42"/>
        <v>0.82</v>
      </c>
      <c r="AC137" s="135">
        <f t="shared" si="42"/>
        <v>0.82</v>
      </c>
      <c r="AD137" s="135">
        <f t="shared" si="42"/>
        <v>0.82</v>
      </c>
      <c r="AE137" s="135">
        <f t="shared" si="42"/>
        <v>0.82</v>
      </c>
      <c r="AF137" s="135">
        <f t="shared" si="42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43">AF139</f>
        <v>2</v>
      </c>
      <c r="C139" s="136">
        <v>2</v>
      </c>
      <c r="D139" s="135">
        <f t="shared" ref="D139:S145" si="44">C139</f>
        <v>2</v>
      </c>
      <c r="E139" s="135">
        <f t="shared" si="44"/>
        <v>2</v>
      </c>
      <c r="F139" s="135">
        <f t="shared" si="44"/>
        <v>2</v>
      </c>
      <c r="G139" s="135">
        <f t="shared" si="44"/>
        <v>2</v>
      </c>
      <c r="H139" s="135">
        <f t="shared" si="44"/>
        <v>2</v>
      </c>
      <c r="I139" s="135">
        <f t="shared" si="44"/>
        <v>2</v>
      </c>
      <c r="J139" s="135">
        <f t="shared" si="44"/>
        <v>2</v>
      </c>
      <c r="K139" s="135">
        <f t="shared" si="44"/>
        <v>2</v>
      </c>
      <c r="L139" s="135">
        <f t="shared" si="44"/>
        <v>2</v>
      </c>
      <c r="M139" s="135">
        <f t="shared" si="44"/>
        <v>2</v>
      </c>
      <c r="N139" s="135">
        <f t="shared" si="44"/>
        <v>2</v>
      </c>
      <c r="O139" s="135">
        <f t="shared" si="44"/>
        <v>2</v>
      </c>
      <c r="P139" s="135">
        <f t="shared" si="44"/>
        <v>2</v>
      </c>
      <c r="Q139" s="135">
        <f t="shared" si="44"/>
        <v>2</v>
      </c>
      <c r="R139" s="135">
        <f t="shared" si="44"/>
        <v>2</v>
      </c>
      <c r="S139" s="135">
        <f t="shared" si="44"/>
        <v>2</v>
      </c>
      <c r="T139" s="135">
        <f t="shared" ref="T139:AF145" si="45">S139</f>
        <v>2</v>
      </c>
      <c r="U139" s="135">
        <f t="shared" si="45"/>
        <v>2</v>
      </c>
      <c r="V139" s="135">
        <f t="shared" si="45"/>
        <v>2</v>
      </c>
      <c r="W139" s="135">
        <f t="shared" si="45"/>
        <v>2</v>
      </c>
      <c r="X139" s="135">
        <f t="shared" si="45"/>
        <v>2</v>
      </c>
      <c r="Y139" s="135">
        <f t="shared" si="45"/>
        <v>2</v>
      </c>
      <c r="Z139" s="135">
        <f t="shared" si="45"/>
        <v>2</v>
      </c>
      <c r="AA139" s="135">
        <f t="shared" si="45"/>
        <v>2</v>
      </c>
      <c r="AB139" s="135">
        <f t="shared" si="45"/>
        <v>2</v>
      </c>
      <c r="AC139" s="135">
        <f t="shared" si="45"/>
        <v>2</v>
      </c>
      <c r="AD139" s="135">
        <f t="shared" si="45"/>
        <v>2</v>
      </c>
      <c r="AE139" s="135">
        <f t="shared" si="45"/>
        <v>2</v>
      </c>
      <c r="AF139" s="135">
        <f t="shared" si="45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43"/>
        <v>5.61</v>
      </c>
      <c r="C140" s="136">
        <v>5.61</v>
      </c>
      <c r="D140" s="135">
        <f t="shared" si="44"/>
        <v>5.61</v>
      </c>
      <c r="E140" s="135">
        <f t="shared" si="44"/>
        <v>5.61</v>
      </c>
      <c r="F140" s="135">
        <f t="shared" si="44"/>
        <v>5.61</v>
      </c>
      <c r="G140" s="135">
        <f t="shared" si="44"/>
        <v>5.61</v>
      </c>
      <c r="H140" s="135">
        <f t="shared" si="44"/>
        <v>5.61</v>
      </c>
      <c r="I140" s="135">
        <f t="shared" si="44"/>
        <v>5.61</v>
      </c>
      <c r="J140" s="135">
        <f t="shared" si="44"/>
        <v>5.61</v>
      </c>
      <c r="K140" s="135">
        <f t="shared" si="44"/>
        <v>5.61</v>
      </c>
      <c r="L140" s="135">
        <f t="shared" si="44"/>
        <v>5.61</v>
      </c>
      <c r="M140" s="135">
        <f t="shared" si="44"/>
        <v>5.61</v>
      </c>
      <c r="N140" s="135">
        <f t="shared" si="44"/>
        <v>5.61</v>
      </c>
      <c r="O140" s="135">
        <f t="shared" si="44"/>
        <v>5.61</v>
      </c>
      <c r="P140" s="135">
        <f t="shared" si="44"/>
        <v>5.61</v>
      </c>
      <c r="Q140" s="135">
        <f t="shared" si="44"/>
        <v>5.61</v>
      </c>
      <c r="R140" s="135">
        <f t="shared" si="44"/>
        <v>5.61</v>
      </c>
      <c r="S140" s="135">
        <f t="shared" si="44"/>
        <v>5.61</v>
      </c>
      <c r="T140" s="135">
        <f t="shared" si="45"/>
        <v>5.61</v>
      </c>
      <c r="U140" s="135">
        <f t="shared" si="45"/>
        <v>5.61</v>
      </c>
      <c r="V140" s="135">
        <f t="shared" si="45"/>
        <v>5.61</v>
      </c>
      <c r="W140" s="135">
        <f t="shared" si="45"/>
        <v>5.61</v>
      </c>
      <c r="X140" s="135">
        <f t="shared" si="45"/>
        <v>5.61</v>
      </c>
      <c r="Y140" s="135">
        <f t="shared" si="45"/>
        <v>5.61</v>
      </c>
      <c r="Z140" s="135">
        <f t="shared" si="45"/>
        <v>5.61</v>
      </c>
      <c r="AA140" s="135">
        <f t="shared" si="45"/>
        <v>5.61</v>
      </c>
      <c r="AB140" s="135">
        <f t="shared" si="45"/>
        <v>5.61</v>
      </c>
      <c r="AC140" s="135">
        <f t="shared" si="45"/>
        <v>5.61</v>
      </c>
      <c r="AD140" s="135">
        <f t="shared" si="45"/>
        <v>5.61</v>
      </c>
      <c r="AE140" s="135">
        <f t="shared" si="45"/>
        <v>5.61</v>
      </c>
      <c r="AF140" s="135">
        <f t="shared" si="45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43"/>
        <v>1.25</v>
      </c>
      <c r="C141" s="136">
        <v>1.25</v>
      </c>
      <c r="D141" s="135">
        <f t="shared" si="44"/>
        <v>1.25</v>
      </c>
      <c r="E141" s="135">
        <f t="shared" si="44"/>
        <v>1.25</v>
      </c>
      <c r="F141" s="135">
        <f t="shared" si="44"/>
        <v>1.25</v>
      </c>
      <c r="G141" s="135">
        <f t="shared" si="44"/>
        <v>1.25</v>
      </c>
      <c r="H141" s="135">
        <f t="shared" si="44"/>
        <v>1.25</v>
      </c>
      <c r="I141" s="135">
        <f t="shared" si="44"/>
        <v>1.25</v>
      </c>
      <c r="J141" s="135">
        <f t="shared" si="44"/>
        <v>1.25</v>
      </c>
      <c r="K141" s="135">
        <f t="shared" si="44"/>
        <v>1.25</v>
      </c>
      <c r="L141" s="135">
        <f t="shared" si="44"/>
        <v>1.25</v>
      </c>
      <c r="M141" s="135">
        <f t="shared" si="44"/>
        <v>1.25</v>
      </c>
      <c r="N141" s="135">
        <f t="shared" si="44"/>
        <v>1.25</v>
      </c>
      <c r="O141" s="135">
        <f t="shared" si="44"/>
        <v>1.25</v>
      </c>
      <c r="P141" s="135">
        <f t="shared" si="44"/>
        <v>1.25</v>
      </c>
      <c r="Q141" s="135">
        <f t="shared" si="44"/>
        <v>1.25</v>
      </c>
      <c r="R141" s="135">
        <f t="shared" si="44"/>
        <v>1.25</v>
      </c>
      <c r="S141" s="135">
        <f t="shared" si="44"/>
        <v>1.25</v>
      </c>
      <c r="T141" s="135">
        <f t="shared" si="45"/>
        <v>1.25</v>
      </c>
      <c r="U141" s="135">
        <f t="shared" si="45"/>
        <v>1.25</v>
      </c>
      <c r="V141" s="135">
        <f t="shared" si="45"/>
        <v>1.25</v>
      </c>
      <c r="W141" s="135">
        <f t="shared" si="45"/>
        <v>1.25</v>
      </c>
      <c r="X141" s="135">
        <f t="shared" si="45"/>
        <v>1.25</v>
      </c>
      <c r="Y141" s="135">
        <f t="shared" si="45"/>
        <v>1.25</v>
      </c>
      <c r="Z141" s="135">
        <f t="shared" si="45"/>
        <v>1.25</v>
      </c>
      <c r="AA141" s="135">
        <f t="shared" si="45"/>
        <v>1.25</v>
      </c>
      <c r="AB141" s="135">
        <f t="shared" si="45"/>
        <v>1.25</v>
      </c>
      <c r="AC141" s="135">
        <f t="shared" si="45"/>
        <v>1.25</v>
      </c>
      <c r="AD141" s="135">
        <f t="shared" si="45"/>
        <v>1.25</v>
      </c>
      <c r="AE141" s="135">
        <f t="shared" si="45"/>
        <v>1.25</v>
      </c>
      <c r="AF141" s="135">
        <f t="shared" si="45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43"/>
        <v>1.25</v>
      </c>
      <c r="C142" s="136">
        <v>1.25</v>
      </c>
      <c r="D142" s="135">
        <f t="shared" si="44"/>
        <v>1.25</v>
      </c>
      <c r="E142" s="135">
        <f t="shared" si="44"/>
        <v>1.25</v>
      </c>
      <c r="F142" s="135">
        <f t="shared" si="44"/>
        <v>1.25</v>
      </c>
      <c r="G142" s="135">
        <f t="shared" si="44"/>
        <v>1.25</v>
      </c>
      <c r="H142" s="135">
        <f t="shared" si="44"/>
        <v>1.25</v>
      </c>
      <c r="I142" s="135">
        <f t="shared" si="44"/>
        <v>1.25</v>
      </c>
      <c r="J142" s="135">
        <f t="shared" si="44"/>
        <v>1.25</v>
      </c>
      <c r="K142" s="135">
        <f t="shared" si="44"/>
        <v>1.25</v>
      </c>
      <c r="L142" s="135">
        <f t="shared" si="44"/>
        <v>1.25</v>
      </c>
      <c r="M142" s="135">
        <f t="shared" si="44"/>
        <v>1.25</v>
      </c>
      <c r="N142" s="135">
        <f t="shared" si="44"/>
        <v>1.25</v>
      </c>
      <c r="O142" s="135">
        <f t="shared" si="44"/>
        <v>1.25</v>
      </c>
      <c r="P142" s="135">
        <f t="shared" si="44"/>
        <v>1.25</v>
      </c>
      <c r="Q142" s="135">
        <f t="shared" si="44"/>
        <v>1.25</v>
      </c>
      <c r="R142" s="135">
        <f t="shared" si="44"/>
        <v>1.25</v>
      </c>
      <c r="S142" s="135">
        <f t="shared" si="44"/>
        <v>1.25</v>
      </c>
      <c r="T142" s="135">
        <f t="shared" si="45"/>
        <v>1.25</v>
      </c>
      <c r="U142" s="135">
        <f t="shared" si="45"/>
        <v>1.25</v>
      </c>
      <c r="V142" s="135">
        <f t="shared" si="45"/>
        <v>1.25</v>
      </c>
      <c r="W142" s="135">
        <f t="shared" si="45"/>
        <v>1.25</v>
      </c>
      <c r="X142" s="135">
        <f t="shared" si="45"/>
        <v>1.25</v>
      </c>
      <c r="Y142" s="135">
        <f t="shared" si="45"/>
        <v>1.25</v>
      </c>
      <c r="Z142" s="135">
        <f t="shared" si="45"/>
        <v>1.25</v>
      </c>
      <c r="AA142" s="135">
        <f t="shared" si="45"/>
        <v>1.25</v>
      </c>
      <c r="AB142" s="135">
        <f t="shared" si="45"/>
        <v>1.25</v>
      </c>
      <c r="AC142" s="135">
        <f t="shared" si="45"/>
        <v>1.25</v>
      </c>
      <c r="AD142" s="135">
        <f t="shared" si="45"/>
        <v>1.25</v>
      </c>
      <c r="AE142" s="135">
        <f t="shared" si="45"/>
        <v>1.25</v>
      </c>
      <c r="AF142" s="135">
        <f t="shared" si="45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43"/>
        <v>1.46</v>
      </c>
      <c r="C143" s="136">
        <v>1.46</v>
      </c>
      <c r="D143" s="135">
        <f t="shared" si="44"/>
        <v>1.46</v>
      </c>
      <c r="E143" s="135">
        <f t="shared" si="44"/>
        <v>1.46</v>
      </c>
      <c r="F143" s="135">
        <f t="shared" si="44"/>
        <v>1.46</v>
      </c>
      <c r="G143" s="135">
        <f t="shared" si="44"/>
        <v>1.46</v>
      </c>
      <c r="H143" s="135">
        <f t="shared" si="44"/>
        <v>1.46</v>
      </c>
      <c r="I143" s="135">
        <f t="shared" si="44"/>
        <v>1.46</v>
      </c>
      <c r="J143" s="135">
        <f t="shared" si="44"/>
        <v>1.46</v>
      </c>
      <c r="K143" s="135">
        <f t="shared" si="44"/>
        <v>1.46</v>
      </c>
      <c r="L143" s="135">
        <f t="shared" si="44"/>
        <v>1.46</v>
      </c>
      <c r="M143" s="135">
        <f t="shared" si="44"/>
        <v>1.46</v>
      </c>
      <c r="N143" s="135">
        <f t="shared" si="44"/>
        <v>1.46</v>
      </c>
      <c r="O143" s="135">
        <f t="shared" si="44"/>
        <v>1.46</v>
      </c>
      <c r="P143" s="135">
        <f t="shared" si="44"/>
        <v>1.46</v>
      </c>
      <c r="Q143" s="135">
        <f t="shared" si="44"/>
        <v>1.46</v>
      </c>
      <c r="R143" s="135">
        <f t="shared" si="44"/>
        <v>1.46</v>
      </c>
      <c r="S143" s="135">
        <f t="shared" si="44"/>
        <v>1.46</v>
      </c>
      <c r="T143" s="135">
        <f t="shared" si="45"/>
        <v>1.46</v>
      </c>
      <c r="U143" s="135">
        <f t="shared" si="45"/>
        <v>1.46</v>
      </c>
      <c r="V143" s="135">
        <f t="shared" si="45"/>
        <v>1.46</v>
      </c>
      <c r="W143" s="135">
        <f t="shared" si="45"/>
        <v>1.46</v>
      </c>
      <c r="X143" s="135">
        <f t="shared" si="45"/>
        <v>1.46</v>
      </c>
      <c r="Y143" s="135">
        <f t="shared" si="45"/>
        <v>1.46</v>
      </c>
      <c r="Z143" s="135">
        <f t="shared" si="45"/>
        <v>1.46</v>
      </c>
      <c r="AA143" s="135">
        <f t="shared" si="45"/>
        <v>1.46</v>
      </c>
      <c r="AB143" s="135">
        <f t="shared" si="45"/>
        <v>1.46</v>
      </c>
      <c r="AC143" s="135">
        <f t="shared" si="45"/>
        <v>1.46</v>
      </c>
      <c r="AD143" s="135">
        <f t="shared" si="45"/>
        <v>1.46</v>
      </c>
      <c r="AE143" s="135">
        <f t="shared" si="45"/>
        <v>1.46</v>
      </c>
      <c r="AF143" s="135">
        <f t="shared" si="45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43"/>
        <v>3</v>
      </c>
      <c r="C144" s="136">
        <v>3</v>
      </c>
      <c r="D144" s="135">
        <f t="shared" si="44"/>
        <v>3</v>
      </c>
      <c r="E144" s="135">
        <f t="shared" si="44"/>
        <v>3</v>
      </c>
      <c r="F144" s="135">
        <f t="shared" si="44"/>
        <v>3</v>
      </c>
      <c r="G144" s="135">
        <f t="shared" si="44"/>
        <v>3</v>
      </c>
      <c r="H144" s="135">
        <f t="shared" si="44"/>
        <v>3</v>
      </c>
      <c r="I144" s="135">
        <f t="shared" si="44"/>
        <v>3</v>
      </c>
      <c r="J144" s="135">
        <f t="shared" si="44"/>
        <v>3</v>
      </c>
      <c r="K144" s="135">
        <f t="shared" si="44"/>
        <v>3</v>
      </c>
      <c r="L144" s="135">
        <f t="shared" si="44"/>
        <v>3</v>
      </c>
      <c r="M144" s="135">
        <f t="shared" si="44"/>
        <v>3</v>
      </c>
      <c r="N144" s="135">
        <f t="shared" si="44"/>
        <v>3</v>
      </c>
      <c r="O144" s="135">
        <f t="shared" si="44"/>
        <v>3</v>
      </c>
      <c r="P144" s="135">
        <f t="shared" si="44"/>
        <v>3</v>
      </c>
      <c r="Q144" s="135">
        <f t="shared" si="44"/>
        <v>3</v>
      </c>
      <c r="R144" s="135">
        <f t="shared" si="44"/>
        <v>3</v>
      </c>
      <c r="S144" s="135">
        <f t="shared" si="44"/>
        <v>3</v>
      </c>
      <c r="T144" s="135">
        <f t="shared" si="45"/>
        <v>3</v>
      </c>
      <c r="U144" s="135">
        <f t="shared" si="45"/>
        <v>3</v>
      </c>
      <c r="V144" s="135">
        <f t="shared" si="45"/>
        <v>3</v>
      </c>
      <c r="W144" s="135">
        <f t="shared" si="45"/>
        <v>3</v>
      </c>
      <c r="X144" s="135">
        <f t="shared" si="45"/>
        <v>3</v>
      </c>
      <c r="Y144" s="135">
        <f t="shared" si="45"/>
        <v>3</v>
      </c>
      <c r="Z144" s="135">
        <f t="shared" si="45"/>
        <v>3</v>
      </c>
      <c r="AA144" s="135">
        <f t="shared" si="45"/>
        <v>3</v>
      </c>
      <c r="AB144" s="135">
        <f t="shared" si="45"/>
        <v>3</v>
      </c>
      <c r="AC144" s="135">
        <f t="shared" si="45"/>
        <v>3</v>
      </c>
      <c r="AD144" s="135">
        <f t="shared" si="45"/>
        <v>3</v>
      </c>
      <c r="AE144" s="135">
        <f t="shared" si="45"/>
        <v>3</v>
      </c>
      <c r="AF144" s="135">
        <f t="shared" si="45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43"/>
        <v>3.3</v>
      </c>
      <c r="C145" s="136">
        <v>3.3</v>
      </c>
      <c r="D145" s="135">
        <f t="shared" si="44"/>
        <v>3.3</v>
      </c>
      <c r="E145" s="135">
        <f t="shared" si="44"/>
        <v>3.3</v>
      </c>
      <c r="F145" s="135">
        <f t="shared" si="44"/>
        <v>3.3</v>
      </c>
      <c r="G145" s="135">
        <f t="shared" si="44"/>
        <v>3.3</v>
      </c>
      <c r="H145" s="135">
        <f t="shared" si="44"/>
        <v>3.3</v>
      </c>
      <c r="I145" s="135">
        <f t="shared" si="44"/>
        <v>3.3</v>
      </c>
      <c r="J145" s="135">
        <f t="shared" si="44"/>
        <v>3.3</v>
      </c>
      <c r="K145" s="135">
        <f t="shared" si="44"/>
        <v>3.3</v>
      </c>
      <c r="L145" s="135">
        <f t="shared" si="44"/>
        <v>3.3</v>
      </c>
      <c r="M145" s="135">
        <f t="shared" si="44"/>
        <v>3.3</v>
      </c>
      <c r="N145" s="135">
        <f t="shared" si="44"/>
        <v>3.3</v>
      </c>
      <c r="O145" s="135">
        <f t="shared" si="44"/>
        <v>3.3</v>
      </c>
      <c r="P145" s="135">
        <f t="shared" si="44"/>
        <v>3.3</v>
      </c>
      <c r="Q145" s="135">
        <f t="shared" si="44"/>
        <v>3.3</v>
      </c>
      <c r="R145" s="135">
        <f t="shared" si="44"/>
        <v>3.3</v>
      </c>
      <c r="S145" s="135">
        <f t="shared" si="44"/>
        <v>3.3</v>
      </c>
      <c r="T145" s="135">
        <f t="shared" si="45"/>
        <v>3.3</v>
      </c>
      <c r="U145" s="135">
        <f t="shared" si="45"/>
        <v>3.3</v>
      </c>
      <c r="V145" s="135">
        <f t="shared" si="45"/>
        <v>3.3</v>
      </c>
      <c r="W145" s="135">
        <f t="shared" si="45"/>
        <v>3.3</v>
      </c>
      <c r="X145" s="135">
        <f t="shared" si="45"/>
        <v>3.3</v>
      </c>
      <c r="Y145" s="135">
        <f t="shared" si="45"/>
        <v>3.3</v>
      </c>
      <c r="Z145" s="135">
        <f t="shared" si="45"/>
        <v>3.3</v>
      </c>
      <c r="AA145" s="135">
        <f t="shared" si="45"/>
        <v>3.3</v>
      </c>
      <c r="AB145" s="135">
        <f t="shared" si="45"/>
        <v>3.3</v>
      </c>
      <c r="AC145" s="135">
        <f t="shared" si="45"/>
        <v>3.3</v>
      </c>
      <c r="AD145" s="135">
        <f t="shared" si="45"/>
        <v>3.3</v>
      </c>
      <c r="AE145" s="135">
        <f t="shared" si="45"/>
        <v>3.3</v>
      </c>
      <c r="AF145" s="135">
        <f t="shared" si="45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6">C147</f>
        <v>1.76</v>
      </c>
      <c r="E147" s="135">
        <f t="shared" si="46"/>
        <v>1.76</v>
      </c>
      <c r="F147" s="135">
        <f t="shared" si="46"/>
        <v>1.76</v>
      </c>
      <c r="G147" s="135">
        <f t="shared" si="46"/>
        <v>1.76</v>
      </c>
      <c r="H147" s="135">
        <f t="shared" si="46"/>
        <v>1.76</v>
      </c>
      <c r="I147" s="135">
        <f t="shared" si="46"/>
        <v>1.76</v>
      </c>
      <c r="J147" s="135">
        <f t="shared" si="46"/>
        <v>1.76</v>
      </c>
      <c r="K147" s="135">
        <f t="shared" si="46"/>
        <v>1.76</v>
      </c>
      <c r="L147" s="135">
        <f t="shared" si="46"/>
        <v>1.76</v>
      </c>
      <c r="M147" s="135">
        <f t="shared" si="46"/>
        <v>1.76</v>
      </c>
      <c r="N147" s="135">
        <f t="shared" si="46"/>
        <v>1.76</v>
      </c>
      <c r="O147" s="135">
        <f t="shared" si="46"/>
        <v>1.76</v>
      </c>
      <c r="P147" s="135">
        <f t="shared" si="46"/>
        <v>1.76</v>
      </c>
      <c r="Q147" s="135">
        <f t="shared" si="46"/>
        <v>1.76</v>
      </c>
      <c r="R147" s="135">
        <f t="shared" si="46"/>
        <v>1.76</v>
      </c>
      <c r="S147" s="135">
        <f t="shared" si="46"/>
        <v>1.76</v>
      </c>
      <c r="T147" s="135">
        <f t="shared" ref="T147:AF148" si="47">S147</f>
        <v>1.76</v>
      </c>
      <c r="U147" s="135">
        <f t="shared" si="47"/>
        <v>1.76</v>
      </c>
      <c r="V147" s="135">
        <f t="shared" si="47"/>
        <v>1.76</v>
      </c>
      <c r="W147" s="135">
        <f t="shared" si="47"/>
        <v>1.76</v>
      </c>
      <c r="X147" s="135">
        <f t="shared" si="47"/>
        <v>1.76</v>
      </c>
      <c r="Y147" s="135">
        <f t="shared" si="47"/>
        <v>1.76</v>
      </c>
      <c r="Z147" s="135">
        <f t="shared" si="47"/>
        <v>1.76</v>
      </c>
      <c r="AA147" s="135">
        <f t="shared" si="47"/>
        <v>1.76</v>
      </c>
      <c r="AB147" s="135">
        <f t="shared" si="47"/>
        <v>1.76</v>
      </c>
      <c r="AC147" s="135">
        <f t="shared" si="47"/>
        <v>1.76</v>
      </c>
      <c r="AD147" s="135">
        <f t="shared" si="47"/>
        <v>1.76</v>
      </c>
      <c r="AE147" s="135">
        <f t="shared" si="47"/>
        <v>1.76</v>
      </c>
      <c r="AF147" s="135">
        <f t="shared" si="47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6"/>
        <v>0</v>
      </c>
      <c r="E148" s="135">
        <f t="shared" si="46"/>
        <v>0</v>
      </c>
      <c r="F148" s="135">
        <f t="shared" si="46"/>
        <v>0</v>
      </c>
      <c r="G148" s="135">
        <f t="shared" si="46"/>
        <v>0</v>
      </c>
      <c r="H148" s="135">
        <f t="shared" si="46"/>
        <v>0</v>
      </c>
      <c r="I148" s="135">
        <f t="shared" si="46"/>
        <v>0</v>
      </c>
      <c r="J148" s="135">
        <f t="shared" si="46"/>
        <v>0</v>
      </c>
      <c r="K148" s="135">
        <f t="shared" si="46"/>
        <v>0</v>
      </c>
      <c r="L148" s="135">
        <f t="shared" si="46"/>
        <v>0</v>
      </c>
      <c r="M148" s="135">
        <f t="shared" si="46"/>
        <v>0</v>
      </c>
      <c r="N148" s="135">
        <f t="shared" si="46"/>
        <v>0</v>
      </c>
      <c r="O148" s="135">
        <f t="shared" si="46"/>
        <v>0</v>
      </c>
      <c r="P148" s="135">
        <f t="shared" si="46"/>
        <v>0</v>
      </c>
      <c r="Q148" s="135">
        <f t="shared" si="46"/>
        <v>0</v>
      </c>
      <c r="R148" s="135">
        <f t="shared" si="46"/>
        <v>0</v>
      </c>
      <c r="S148" s="135">
        <f t="shared" si="46"/>
        <v>0</v>
      </c>
      <c r="T148" s="135">
        <f t="shared" si="47"/>
        <v>0</v>
      </c>
      <c r="U148" s="135">
        <f t="shared" si="47"/>
        <v>0</v>
      </c>
      <c r="V148" s="135">
        <f t="shared" si="47"/>
        <v>0</v>
      </c>
      <c r="W148" s="135">
        <f t="shared" si="47"/>
        <v>0</v>
      </c>
      <c r="X148" s="135">
        <f t="shared" si="47"/>
        <v>0</v>
      </c>
      <c r="Y148" s="135">
        <f t="shared" si="47"/>
        <v>0</v>
      </c>
      <c r="Z148" s="135">
        <f t="shared" si="47"/>
        <v>0</v>
      </c>
      <c r="AA148" s="135">
        <f t="shared" si="47"/>
        <v>0</v>
      </c>
      <c r="AB148" s="135">
        <f t="shared" si="47"/>
        <v>0</v>
      </c>
      <c r="AC148" s="135">
        <f t="shared" si="47"/>
        <v>0</v>
      </c>
      <c r="AD148" s="135">
        <f t="shared" si="47"/>
        <v>0</v>
      </c>
      <c r="AE148" s="135">
        <f t="shared" si="47"/>
        <v>0</v>
      </c>
      <c r="AF148" s="135">
        <f t="shared" si="47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8">C150</f>
        <v>0.1</v>
      </c>
      <c r="E150" s="135">
        <f t="shared" si="48"/>
        <v>0.1</v>
      </c>
      <c r="F150" s="135">
        <f t="shared" si="48"/>
        <v>0.1</v>
      </c>
      <c r="G150" s="135">
        <f t="shared" si="48"/>
        <v>0.1</v>
      </c>
      <c r="H150" s="135">
        <f t="shared" si="48"/>
        <v>0.1</v>
      </c>
      <c r="I150" s="135">
        <f t="shared" si="48"/>
        <v>0.1</v>
      </c>
      <c r="J150" s="135">
        <f t="shared" si="48"/>
        <v>0.1</v>
      </c>
      <c r="K150" s="135">
        <f t="shared" si="48"/>
        <v>0.1</v>
      </c>
      <c r="L150" s="135">
        <f t="shared" si="48"/>
        <v>0.1</v>
      </c>
      <c r="M150" s="135">
        <f t="shared" si="48"/>
        <v>0.1</v>
      </c>
      <c r="N150" s="135">
        <f t="shared" si="48"/>
        <v>0.1</v>
      </c>
      <c r="O150" s="135">
        <f t="shared" si="48"/>
        <v>0.1</v>
      </c>
      <c r="P150" s="135">
        <f t="shared" si="48"/>
        <v>0.1</v>
      </c>
      <c r="Q150" s="135">
        <f t="shared" si="48"/>
        <v>0.1</v>
      </c>
      <c r="R150" s="135">
        <f t="shared" si="48"/>
        <v>0.1</v>
      </c>
      <c r="S150" s="135">
        <f t="shared" si="48"/>
        <v>0.1</v>
      </c>
      <c r="T150" s="135">
        <f t="shared" ref="T150:AF153" si="49">S150</f>
        <v>0.1</v>
      </c>
      <c r="U150" s="135">
        <f t="shared" si="49"/>
        <v>0.1</v>
      </c>
      <c r="V150" s="135">
        <f t="shared" si="49"/>
        <v>0.1</v>
      </c>
      <c r="W150" s="135">
        <f t="shared" si="49"/>
        <v>0.1</v>
      </c>
      <c r="X150" s="135">
        <f t="shared" si="49"/>
        <v>0.1</v>
      </c>
      <c r="Y150" s="135">
        <f t="shared" si="49"/>
        <v>0.1</v>
      </c>
      <c r="Z150" s="135">
        <f t="shared" si="49"/>
        <v>0.1</v>
      </c>
      <c r="AA150" s="135">
        <f t="shared" si="49"/>
        <v>0.1</v>
      </c>
      <c r="AB150" s="135">
        <f t="shared" si="49"/>
        <v>0.1</v>
      </c>
      <c r="AC150" s="135">
        <f t="shared" si="49"/>
        <v>0.1</v>
      </c>
      <c r="AD150" s="135">
        <f t="shared" si="49"/>
        <v>0.1</v>
      </c>
      <c r="AE150" s="135">
        <f t="shared" si="49"/>
        <v>0.1</v>
      </c>
      <c r="AF150" s="135">
        <f t="shared" si="49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8"/>
        <v>2.0499999999999998</v>
      </c>
      <c r="E151" s="135">
        <f t="shared" si="48"/>
        <v>2.0499999999999998</v>
      </c>
      <c r="F151" s="135">
        <f t="shared" si="48"/>
        <v>2.0499999999999998</v>
      </c>
      <c r="G151" s="135">
        <f t="shared" si="48"/>
        <v>2.0499999999999998</v>
      </c>
      <c r="H151" s="135">
        <f t="shared" si="48"/>
        <v>2.0499999999999998</v>
      </c>
      <c r="I151" s="135">
        <f t="shared" si="48"/>
        <v>2.0499999999999998</v>
      </c>
      <c r="J151" s="135">
        <f t="shared" si="48"/>
        <v>2.0499999999999998</v>
      </c>
      <c r="K151" s="135">
        <f t="shared" si="48"/>
        <v>2.0499999999999998</v>
      </c>
      <c r="L151" s="135">
        <f t="shared" si="48"/>
        <v>2.0499999999999998</v>
      </c>
      <c r="M151" s="135">
        <f t="shared" si="48"/>
        <v>2.0499999999999998</v>
      </c>
      <c r="N151" s="135">
        <f t="shared" si="48"/>
        <v>2.0499999999999998</v>
      </c>
      <c r="O151" s="135">
        <f t="shared" si="48"/>
        <v>2.0499999999999998</v>
      </c>
      <c r="P151" s="135">
        <f t="shared" si="48"/>
        <v>2.0499999999999998</v>
      </c>
      <c r="Q151" s="135">
        <f t="shared" si="48"/>
        <v>2.0499999999999998</v>
      </c>
      <c r="R151" s="135">
        <f t="shared" si="48"/>
        <v>2.0499999999999998</v>
      </c>
      <c r="S151" s="135">
        <f t="shared" si="48"/>
        <v>2.0499999999999998</v>
      </c>
      <c r="T151" s="135">
        <f t="shared" si="49"/>
        <v>2.0499999999999998</v>
      </c>
      <c r="U151" s="135">
        <f t="shared" si="49"/>
        <v>2.0499999999999998</v>
      </c>
      <c r="V151" s="135">
        <f t="shared" si="49"/>
        <v>2.0499999999999998</v>
      </c>
      <c r="W151" s="135">
        <f t="shared" si="49"/>
        <v>2.0499999999999998</v>
      </c>
      <c r="X151" s="135">
        <f t="shared" si="49"/>
        <v>2.0499999999999998</v>
      </c>
      <c r="Y151" s="135">
        <f t="shared" si="49"/>
        <v>2.0499999999999998</v>
      </c>
      <c r="Z151" s="135">
        <f t="shared" si="49"/>
        <v>2.0499999999999998</v>
      </c>
      <c r="AA151" s="135">
        <f t="shared" si="49"/>
        <v>2.0499999999999998</v>
      </c>
      <c r="AB151" s="135">
        <f t="shared" si="49"/>
        <v>2.0499999999999998</v>
      </c>
      <c r="AC151" s="135">
        <f t="shared" si="49"/>
        <v>2.0499999999999998</v>
      </c>
      <c r="AD151" s="135">
        <f t="shared" si="49"/>
        <v>2.0499999999999998</v>
      </c>
      <c r="AE151" s="135">
        <f t="shared" si="49"/>
        <v>2.0499999999999998</v>
      </c>
      <c r="AF151" s="135">
        <f t="shared" si="49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8"/>
        <v>2.7</v>
      </c>
      <c r="E152" s="135">
        <f t="shared" si="48"/>
        <v>2.7</v>
      </c>
      <c r="F152" s="135">
        <f t="shared" si="48"/>
        <v>2.7</v>
      </c>
      <c r="G152" s="135">
        <f t="shared" si="48"/>
        <v>2.7</v>
      </c>
      <c r="H152" s="135">
        <f t="shared" si="48"/>
        <v>2.7</v>
      </c>
      <c r="I152" s="135">
        <f t="shared" si="48"/>
        <v>2.7</v>
      </c>
      <c r="J152" s="135">
        <f t="shared" si="48"/>
        <v>2.7</v>
      </c>
      <c r="K152" s="135">
        <f t="shared" si="48"/>
        <v>2.7</v>
      </c>
      <c r="L152" s="135">
        <f t="shared" si="48"/>
        <v>2.7</v>
      </c>
      <c r="M152" s="135">
        <f t="shared" si="48"/>
        <v>2.7</v>
      </c>
      <c r="N152" s="135">
        <f t="shared" si="48"/>
        <v>2.7</v>
      </c>
      <c r="O152" s="135">
        <f t="shared" si="48"/>
        <v>2.7</v>
      </c>
      <c r="P152" s="135">
        <f t="shared" si="48"/>
        <v>2.7</v>
      </c>
      <c r="Q152" s="135">
        <f t="shared" si="48"/>
        <v>2.7</v>
      </c>
      <c r="R152" s="135">
        <f t="shared" si="48"/>
        <v>2.7</v>
      </c>
      <c r="S152" s="135">
        <f t="shared" si="48"/>
        <v>2.7</v>
      </c>
      <c r="T152" s="135">
        <f t="shared" si="49"/>
        <v>2.7</v>
      </c>
      <c r="U152" s="135">
        <f t="shared" si="49"/>
        <v>2.7</v>
      </c>
      <c r="V152" s="135">
        <f t="shared" si="49"/>
        <v>2.7</v>
      </c>
      <c r="W152" s="135">
        <f t="shared" si="49"/>
        <v>2.7</v>
      </c>
      <c r="X152" s="135">
        <f t="shared" si="49"/>
        <v>2.7</v>
      </c>
      <c r="Y152" s="135">
        <f t="shared" si="49"/>
        <v>2.7</v>
      </c>
      <c r="Z152" s="135">
        <f t="shared" si="49"/>
        <v>2.7</v>
      </c>
      <c r="AA152" s="135">
        <f t="shared" si="49"/>
        <v>2.7</v>
      </c>
      <c r="AB152" s="135">
        <f t="shared" si="49"/>
        <v>2.7</v>
      </c>
      <c r="AC152" s="135">
        <f t="shared" si="49"/>
        <v>2.7</v>
      </c>
      <c r="AD152" s="135">
        <f t="shared" si="49"/>
        <v>2.7</v>
      </c>
      <c r="AE152" s="135">
        <f t="shared" si="49"/>
        <v>2.7</v>
      </c>
      <c r="AF152" s="135">
        <f t="shared" si="49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8"/>
        <v>2.15</v>
      </c>
      <c r="E153" s="135">
        <f t="shared" si="48"/>
        <v>2.15</v>
      </c>
      <c r="F153" s="135">
        <f t="shared" si="48"/>
        <v>2.15</v>
      </c>
      <c r="G153" s="135">
        <f t="shared" si="48"/>
        <v>2.15</v>
      </c>
      <c r="H153" s="135">
        <f t="shared" si="48"/>
        <v>2.15</v>
      </c>
      <c r="I153" s="135">
        <f t="shared" si="48"/>
        <v>2.15</v>
      </c>
      <c r="J153" s="135">
        <f t="shared" si="48"/>
        <v>2.15</v>
      </c>
      <c r="K153" s="135">
        <f t="shared" si="48"/>
        <v>2.15</v>
      </c>
      <c r="L153" s="135">
        <f t="shared" si="48"/>
        <v>2.15</v>
      </c>
      <c r="M153" s="135">
        <f t="shared" si="48"/>
        <v>2.15</v>
      </c>
      <c r="N153" s="135">
        <f t="shared" si="48"/>
        <v>2.15</v>
      </c>
      <c r="O153" s="135">
        <f t="shared" si="48"/>
        <v>2.15</v>
      </c>
      <c r="P153" s="135">
        <f t="shared" si="48"/>
        <v>2.15</v>
      </c>
      <c r="Q153" s="135">
        <f t="shared" si="48"/>
        <v>2.15</v>
      </c>
      <c r="R153" s="135">
        <f t="shared" si="48"/>
        <v>2.15</v>
      </c>
      <c r="S153" s="135">
        <f t="shared" si="48"/>
        <v>2.15</v>
      </c>
      <c r="T153" s="135">
        <f t="shared" si="49"/>
        <v>2.15</v>
      </c>
      <c r="U153" s="135">
        <f t="shared" si="49"/>
        <v>2.15</v>
      </c>
      <c r="V153" s="135">
        <f t="shared" si="49"/>
        <v>2.15</v>
      </c>
      <c r="W153" s="135">
        <f t="shared" si="49"/>
        <v>2.15</v>
      </c>
      <c r="X153" s="135">
        <f t="shared" si="49"/>
        <v>2.15</v>
      </c>
      <c r="Y153" s="135">
        <f t="shared" si="49"/>
        <v>2.15</v>
      </c>
      <c r="Z153" s="135">
        <f t="shared" si="49"/>
        <v>2.15</v>
      </c>
      <c r="AA153" s="135">
        <f t="shared" si="49"/>
        <v>2.15</v>
      </c>
      <c r="AB153" s="135">
        <f t="shared" si="49"/>
        <v>2.15</v>
      </c>
      <c r="AC153" s="135">
        <f t="shared" si="49"/>
        <v>2.15</v>
      </c>
      <c r="AD153" s="135">
        <f t="shared" si="49"/>
        <v>2.15</v>
      </c>
      <c r="AE153" s="135">
        <f t="shared" si="49"/>
        <v>2.15</v>
      </c>
      <c r="AF153" s="135">
        <f t="shared" si="49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50">AF155</f>
        <v>0.9</v>
      </c>
      <c r="C155" s="136">
        <v>0.9</v>
      </c>
      <c r="D155" s="135">
        <f t="shared" ref="D155:S167" si="51">C155</f>
        <v>0.9</v>
      </c>
      <c r="E155" s="135">
        <f t="shared" si="51"/>
        <v>0.9</v>
      </c>
      <c r="F155" s="135">
        <f t="shared" si="51"/>
        <v>0.9</v>
      </c>
      <c r="G155" s="135">
        <f t="shared" si="51"/>
        <v>0.9</v>
      </c>
      <c r="H155" s="135">
        <f t="shared" si="51"/>
        <v>0.9</v>
      </c>
      <c r="I155" s="135">
        <f t="shared" si="51"/>
        <v>0.9</v>
      </c>
      <c r="J155" s="135">
        <f t="shared" si="51"/>
        <v>0.9</v>
      </c>
      <c r="K155" s="135">
        <f t="shared" si="51"/>
        <v>0.9</v>
      </c>
      <c r="L155" s="135">
        <f t="shared" si="51"/>
        <v>0.9</v>
      </c>
      <c r="M155" s="135">
        <f t="shared" si="51"/>
        <v>0.9</v>
      </c>
      <c r="N155" s="135">
        <f t="shared" si="51"/>
        <v>0.9</v>
      </c>
      <c r="O155" s="135">
        <f t="shared" si="51"/>
        <v>0.9</v>
      </c>
      <c r="P155" s="135">
        <f t="shared" si="51"/>
        <v>0.9</v>
      </c>
      <c r="Q155" s="135">
        <f t="shared" si="51"/>
        <v>0.9</v>
      </c>
      <c r="R155" s="135">
        <f t="shared" si="51"/>
        <v>0.9</v>
      </c>
      <c r="S155" s="135">
        <f t="shared" si="51"/>
        <v>0.9</v>
      </c>
      <c r="T155" s="135">
        <f t="shared" ref="S155:AF167" si="52">S155</f>
        <v>0.9</v>
      </c>
      <c r="U155" s="135">
        <f t="shared" si="52"/>
        <v>0.9</v>
      </c>
      <c r="V155" s="135">
        <f t="shared" si="52"/>
        <v>0.9</v>
      </c>
      <c r="W155" s="135">
        <f t="shared" si="52"/>
        <v>0.9</v>
      </c>
      <c r="X155" s="135">
        <f t="shared" si="52"/>
        <v>0.9</v>
      </c>
      <c r="Y155" s="135">
        <f t="shared" si="52"/>
        <v>0.9</v>
      </c>
      <c r="Z155" s="135">
        <f t="shared" si="52"/>
        <v>0.9</v>
      </c>
      <c r="AA155" s="135">
        <f t="shared" si="52"/>
        <v>0.9</v>
      </c>
      <c r="AB155" s="135">
        <f t="shared" si="52"/>
        <v>0.9</v>
      </c>
      <c r="AC155" s="135">
        <f t="shared" si="52"/>
        <v>0.9</v>
      </c>
      <c r="AD155" s="135">
        <f t="shared" si="52"/>
        <v>0.9</v>
      </c>
      <c r="AE155" s="135">
        <f t="shared" si="52"/>
        <v>0.9</v>
      </c>
      <c r="AF155" s="135">
        <f t="shared" si="52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50"/>
        <v>1.08</v>
      </c>
      <c r="C156" s="136">
        <v>1.08</v>
      </c>
      <c r="D156" s="135">
        <f t="shared" si="51"/>
        <v>1.08</v>
      </c>
      <c r="E156" s="135">
        <f t="shared" si="51"/>
        <v>1.08</v>
      </c>
      <c r="F156" s="135">
        <f t="shared" si="51"/>
        <v>1.08</v>
      </c>
      <c r="G156" s="135">
        <f t="shared" si="51"/>
        <v>1.08</v>
      </c>
      <c r="H156" s="135">
        <f t="shared" si="51"/>
        <v>1.08</v>
      </c>
      <c r="I156" s="135">
        <f t="shared" si="51"/>
        <v>1.08</v>
      </c>
      <c r="J156" s="135">
        <f t="shared" si="51"/>
        <v>1.08</v>
      </c>
      <c r="K156" s="135">
        <f t="shared" si="51"/>
        <v>1.08</v>
      </c>
      <c r="L156" s="135">
        <f t="shared" si="51"/>
        <v>1.08</v>
      </c>
      <c r="M156" s="135">
        <f t="shared" si="51"/>
        <v>1.08</v>
      </c>
      <c r="N156" s="135">
        <f t="shared" si="51"/>
        <v>1.08</v>
      </c>
      <c r="O156" s="135">
        <f t="shared" si="51"/>
        <v>1.08</v>
      </c>
      <c r="P156" s="135">
        <f t="shared" si="51"/>
        <v>1.08</v>
      </c>
      <c r="Q156" s="135">
        <f t="shared" si="51"/>
        <v>1.08</v>
      </c>
      <c r="R156" s="135">
        <f t="shared" si="51"/>
        <v>1.08</v>
      </c>
      <c r="S156" s="135">
        <f t="shared" si="51"/>
        <v>1.08</v>
      </c>
      <c r="T156" s="135">
        <f t="shared" si="52"/>
        <v>1.08</v>
      </c>
      <c r="U156" s="135">
        <f t="shared" si="52"/>
        <v>1.08</v>
      </c>
      <c r="V156" s="135">
        <f t="shared" si="52"/>
        <v>1.08</v>
      </c>
      <c r="W156" s="135">
        <f t="shared" si="52"/>
        <v>1.08</v>
      </c>
      <c r="X156" s="135">
        <f t="shared" si="52"/>
        <v>1.08</v>
      </c>
      <c r="Y156" s="135">
        <f t="shared" si="52"/>
        <v>1.08</v>
      </c>
      <c r="Z156" s="135">
        <f t="shared" si="52"/>
        <v>1.08</v>
      </c>
      <c r="AA156" s="135">
        <f t="shared" si="52"/>
        <v>1.08</v>
      </c>
      <c r="AB156" s="135">
        <f t="shared" si="52"/>
        <v>1.08</v>
      </c>
      <c r="AC156" s="135">
        <f t="shared" si="52"/>
        <v>1.08</v>
      </c>
      <c r="AD156" s="135">
        <f t="shared" si="52"/>
        <v>1.08</v>
      </c>
      <c r="AE156" s="135">
        <f t="shared" si="52"/>
        <v>1.08</v>
      </c>
      <c r="AF156" s="135">
        <f t="shared" si="52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50"/>
        <v>2.37</v>
      </c>
      <c r="C157" s="136">
        <v>2.37</v>
      </c>
      <c r="D157" s="135">
        <f t="shared" si="51"/>
        <v>2.37</v>
      </c>
      <c r="E157" s="135">
        <f t="shared" si="51"/>
        <v>2.37</v>
      </c>
      <c r="F157" s="135">
        <f t="shared" si="51"/>
        <v>2.37</v>
      </c>
      <c r="G157" s="135">
        <f t="shared" si="51"/>
        <v>2.37</v>
      </c>
      <c r="H157" s="135">
        <f t="shared" si="51"/>
        <v>2.37</v>
      </c>
      <c r="I157" s="135">
        <f t="shared" si="51"/>
        <v>2.37</v>
      </c>
      <c r="J157" s="135">
        <f t="shared" si="51"/>
        <v>2.37</v>
      </c>
      <c r="K157" s="135">
        <f t="shared" si="51"/>
        <v>2.37</v>
      </c>
      <c r="L157" s="135">
        <f t="shared" si="51"/>
        <v>2.37</v>
      </c>
      <c r="M157" s="135">
        <f t="shared" si="51"/>
        <v>2.37</v>
      </c>
      <c r="N157" s="135">
        <f t="shared" si="51"/>
        <v>2.37</v>
      </c>
      <c r="O157" s="135">
        <f t="shared" si="51"/>
        <v>2.37</v>
      </c>
      <c r="P157" s="135">
        <f t="shared" si="51"/>
        <v>2.37</v>
      </c>
      <c r="Q157" s="135">
        <f t="shared" si="51"/>
        <v>2.37</v>
      </c>
      <c r="R157" s="135">
        <f t="shared" si="51"/>
        <v>2.37</v>
      </c>
      <c r="S157" s="135">
        <f t="shared" si="51"/>
        <v>2.37</v>
      </c>
      <c r="T157" s="135">
        <f t="shared" si="52"/>
        <v>2.37</v>
      </c>
      <c r="U157" s="135">
        <f t="shared" si="52"/>
        <v>2.37</v>
      </c>
      <c r="V157" s="135">
        <f t="shared" si="52"/>
        <v>2.37</v>
      </c>
      <c r="W157" s="135">
        <f t="shared" si="52"/>
        <v>2.37</v>
      </c>
      <c r="X157" s="135">
        <f t="shared" si="52"/>
        <v>2.37</v>
      </c>
      <c r="Y157" s="135">
        <f t="shared" si="52"/>
        <v>2.37</v>
      </c>
      <c r="Z157" s="135">
        <f t="shared" si="52"/>
        <v>2.37</v>
      </c>
      <c r="AA157" s="135">
        <f t="shared" si="52"/>
        <v>2.37</v>
      </c>
      <c r="AB157" s="135">
        <f t="shared" si="52"/>
        <v>2.37</v>
      </c>
      <c r="AC157" s="135">
        <f t="shared" si="52"/>
        <v>2.37</v>
      </c>
      <c r="AD157" s="135">
        <f t="shared" si="52"/>
        <v>2.37</v>
      </c>
      <c r="AE157" s="135">
        <f t="shared" si="52"/>
        <v>2.37</v>
      </c>
      <c r="AF157" s="135">
        <f t="shared" si="52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50"/>
        <v>1.81</v>
      </c>
      <c r="C158" s="136">
        <v>1.81</v>
      </c>
      <c r="D158" s="135">
        <f t="shared" si="51"/>
        <v>1.81</v>
      </c>
      <c r="E158" s="135">
        <f t="shared" si="51"/>
        <v>1.81</v>
      </c>
      <c r="F158" s="135">
        <f t="shared" si="51"/>
        <v>1.81</v>
      </c>
      <c r="G158" s="135">
        <f t="shared" si="51"/>
        <v>1.81</v>
      </c>
      <c r="H158" s="135">
        <f t="shared" si="51"/>
        <v>1.81</v>
      </c>
      <c r="I158" s="135">
        <f t="shared" si="51"/>
        <v>1.81</v>
      </c>
      <c r="J158" s="135">
        <f t="shared" si="51"/>
        <v>1.81</v>
      </c>
      <c r="K158" s="135">
        <f t="shared" si="51"/>
        <v>1.81</v>
      </c>
      <c r="L158" s="135">
        <f t="shared" si="51"/>
        <v>1.81</v>
      </c>
      <c r="M158" s="135">
        <f t="shared" si="51"/>
        <v>1.81</v>
      </c>
      <c r="N158" s="135">
        <f t="shared" si="51"/>
        <v>1.81</v>
      </c>
      <c r="O158" s="135">
        <f t="shared" si="51"/>
        <v>1.81</v>
      </c>
      <c r="P158" s="135">
        <f t="shared" si="51"/>
        <v>1.81</v>
      </c>
      <c r="Q158" s="135">
        <f t="shared" si="51"/>
        <v>1.81</v>
      </c>
      <c r="R158" s="135">
        <f t="shared" si="51"/>
        <v>1.81</v>
      </c>
      <c r="S158" s="135">
        <f t="shared" si="51"/>
        <v>1.81</v>
      </c>
      <c r="T158" s="135">
        <f t="shared" si="52"/>
        <v>1.81</v>
      </c>
      <c r="U158" s="135">
        <f t="shared" si="52"/>
        <v>1.81</v>
      </c>
      <c r="V158" s="135">
        <f t="shared" si="52"/>
        <v>1.81</v>
      </c>
      <c r="W158" s="135">
        <f t="shared" si="52"/>
        <v>1.81</v>
      </c>
      <c r="X158" s="135">
        <f t="shared" si="52"/>
        <v>1.81</v>
      </c>
      <c r="Y158" s="135">
        <f t="shared" si="52"/>
        <v>1.81</v>
      </c>
      <c r="Z158" s="135">
        <f t="shared" si="52"/>
        <v>1.81</v>
      </c>
      <c r="AA158" s="135">
        <f t="shared" si="52"/>
        <v>1.81</v>
      </c>
      <c r="AB158" s="135">
        <f t="shared" si="52"/>
        <v>1.81</v>
      </c>
      <c r="AC158" s="135">
        <f t="shared" si="52"/>
        <v>1.81</v>
      </c>
      <c r="AD158" s="135">
        <f t="shared" si="52"/>
        <v>1.81</v>
      </c>
      <c r="AE158" s="135">
        <f t="shared" si="52"/>
        <v>1.81</v>
      </c>
      <c r="AF158" s="135">
        <f t="shared" si="52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50"/>
        <v>1.0900000000000001</v>
      </c>
      <c r="C159" s="136">
        <v>1.0900000000000001</v>
      </c>
      <c r="D159" s="135">
        <f t="shared" si="51"/>
        <v>1.0900000000000001</v>
      </c>
      <c r="E159" s="135">
        <f t="shared" si="51"/>
        <v>1.0900000000000001</v>
      </c>
      <c r="F159" s="135">
        <f t="shared" si="51"/>
        <v>1.0900000000000001</v>
      </c>
      <c r="G159" s="135">
        <f t="shared" si="51"/>
        <v>1.0900000000000001</v>
      </c>
      <c r="H159" s="135">
        <f t="shared" si="51"/>
        <v>1.0900000000000001</v>
      </c>
      <c r="I159" s="135">
        <f t="shared" si="51"/>
        <v>1.0900000000000001</v>
      </c>
      <c r="J159" s="135">
        <f t="shared" si="51"/>
        <v>1.0900000000000001</v>
      </c>
      <c r="K159" s="135">
        <f t="shared" si="51"/>
        <v>1.0900000000000001</v>
      </c>
      <c r="L159" s="135">
        <f t="shared" si="51"/>
        <v>1.0900000000000001</v>
      </c>
      <c r="M159" s="135">
        <f t="shared" si="51"/>
        <v>1.0900000000000001</v>
      </c>
      <c r="N159" s="135">
        <f t="shared" si="51"/>
        <v>1.0900000000000001</v>
      </c>
      <c r="O159" s="135">
        <f t="shared" si="51"/>
        <v>1.0900000000000001</v>
      </c>
      <c r="P159" s="135">
        <f t="shared" si="51"/>
        <v>1.0900000000000001</v>
      </c>
      <c r="Q159" s="135">
        <f t="shared" si="51"/>
        <v>1.0900000000000001</v>
      </c>
      <c r="R159" s="135">
        <f t="shared" si="51"/>
        <v>1.0900000000000001</v>
      </c>
      <c r="S159" s="135">
        <f t="shared" si="51"/>
        <v>1.0900000000000001</v>
      </c>
      <c r="T159" s="135">
        <f t="shared" si="52"/>
        <v>1.0900000000000001</v>
      </c>
      <c r="U159" s="135">
        <f t="shared" si="52"/>
        <v>1.0900000000000001</v>
      </c>
      <c r="V159" s="135">
        <f t="shared" si="52"/>
        <v>1.0900000000000001</v>
      </c>
      <c r="W159" s="135">
        <f t="shared" si="52"/>
        <v>1.0900000000000001</v>
      </c>
      <c r="X159" s="135">
        <f t="shared" si="52"/>
        <v>1.0900000000000001</v>
      </c>
      <c r="Y159" s="135">
        <f t="shared" si="52"/>
        <v>1.0900000000000001</v>
      </c>
      <c r="Z159" s="135">
        <f t="shared" si="52"/>
        <v>1.0900000000000001</v>
      </c>
      <c r="AA159" s="135">
        <f t="shared" si="52"/>
        <v>1.0900000000000001</v>
      </c>
      <c r="AB159" s="135">
        <f t="shared" si="52"/>
        <v>1.0900000000000001</v>
      </c>
      <c r="AC159" s="135">
        <f t="shared" si="52"/>
        <v>1.0900000000000001</v>
      </c>
      <c r="AD159" s="135">
        <f t="shared" si="52"/>
        <v>1.0900000000000001</v>
      </c>
      <c r="AE159" s="135">
        <f t="shared" si="52"/>
        <v>1.0900000000000001</v>
      </c>
      <c r="AF159" s="135">
        <f t="shared" si="52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50"/>
        <v>1.58</v>
      </c>
      <c r="C160" s="136">
        <v>1.58</v>
      </c>
      <c r="D160" s="135">
        <f t="shared" si="51"/>
        <v>1.58</v>
      </c>
      <c r="E160" s="135">
        <f t="shared" si="51"/>
        <v>1.58</v>
      </c>
      <c r="F160" s="135">
        <f t="shared" si="51"/>
        <v>1.58</v>
      </c>
      <c r="G160" s="135">
        <f t="shared" si="51"/>
        <v>1.58</v>
      </c>
      <c r="H160" s="135">
        <f t="shared" si="51"/>
        <v>1.58</v>
      </c>
      <c r="I160" s="135">
        <f t="shared" si="51"/>
        <v>1.58</v>
      </c>
      <c r="J160" s="135">
        <f t="shared" si="51"/>
        <v>1.58</v>
      </c>
      <c r="K160" s="135">
        <f t="shared" si="51"/>
        <v>1.58</v>
      </c>
      <c r="L160" s="135">
        <f t="shared" si="51"/>
        <v>1.58</v>
      </c>
      <c r="M160" s="135">
        <f t="shared" si="51"/>
        <v>1.58</v>
      </c>
      <c r="N160" s="135">
        <f t="shared" si="51"/>
        <v>1.58</v>
      </c>
      <c r="O160" s="135">
        <f t="shared" si="51"/>
        <v>1.58</v>
      </c>
      <c r="P160" s="135">
        <f t="shared" si="51"/>
        <v>1.58</v>
      </c>
      <c r="Q160" s="135">
        <f t="shared" si="51"/>
        <v>1.58</v>
      </c>
      <c r="R160" s="135">
        <f t="shared" si="51"/>
        <v>1.58</v>
      </c>
      <c r="S160" s="135">
        <f t="shared" si="51"/>
        <v>1.58</v>
      </c>
      <c r="T160" s="135">
        <f t="shared" si="52"/>
        <v>1.58</v>
      </c>
      <c r="U160" s="135">
        <f t="shared" si="52"/>
        <v>1.58</v>
      </c>
      <c r="V160" s="135">
        <f t="shared" si="52"/>
        <v>1.58</v>
      </c>
      <c r="W160" s="135">
        <f t="shared" si="52"/>
        <v>1.58</v>
      </c>
      <c r="X160" s="135">
        <f t="shared" si="52"/>
        <v>1.58</v>
      </c>
      <c r="Y160" s="135">
        <f t="shared" si="52"/>
        <v>1.58</v>
      </c>
      <c r="Z160" s="135">
        <f t="shared" si="52"/>
        <v>1.58</v>
      </c>
      <c r="AA160" s="135">
        <f t="shared" si="52"/>
        <v>1.58</v>
      </c>
      <c r="AB160" s="135">
        <f t="shared" si="52"/>
        <v>1.58</v>
      </c>
      <c r="AC160" s="135">
        <f t="shared" si="52"/>
        <v>1.58</v>
      </c>
      <c r="AD160" s="135">
        <f t="shared" si="52"/>
        <v>1.58</v>
      </c>
      <c r="AE160" s="135">
        <f t="shared" si="52"/>
        <v>1.58</v>
      </c>
      <c r="AF160" s="135">
        <f t="shared" si="52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50"/>
        <v>2</v>
      </c>
      <c r="C161" s="136">
        <v>2</v>
      </c>
      <c r="D161" s="135">
        <f t="shared" si="51"/>
        <v>2</v>
      </c>
      <c r="E161" s="135">
        <f t="shared" si="51"/>
        <v>2</v>
      </c>
      <c r="F161" s="135">
        <f t="shared" si="51"/>
        <v>2</v>
      </c>
      <c r="G161" s="135">
        <f t="shared" si="51"/>
        <v>2</v>
      </c>
      <c r="H161" s="135">
        <f t="shared" si="51"/>
        <v>2</v>
      </c>
      <c r="I161" s="135">
        <f t="shared" si="51"/>
        <v>2</v>
      </c>
      <c r="J161" s="135">
        <f t="shared" si="51"/>
        <v>2</v>
      </c>
      <c r="K161" s="135">
        <f t="shared" si="51"/>
        <v>2</v>
      </c>
      <c r="L161" s="135">
        <f t="shared" si="51"/>
        <v>2</v>
      </c>
      <c r="M161" s="135">
        <f t="shared" si="51"/>
        <v>2</v>
      </c>
      <c r="N161" s="135">
        <f t="shared" si="51"/>
        <v>2</v>
      </c>
      <c r="O161" s="135">
        <f t="shared" si="51"/>
        <v>2</v>
      </c>
      <c r="P161" s="135">
        <f t="shared" si="51"/>
        <v>2</v>
      </c>
      <c r="Q161" s="135">
        <f t="shared" si="51"/>
        <v>2</v>
      </c>
      <c r="R161" s="135">
        <f t="shared" si="51"/>
        <v>2</v>
      </c>
      <c r="S161" s="135">
        <f t="shared" si="51"/>
        <v>2</v>
      </c>
      <c r="T161" s="135">
        <f t="shared" si="52"/>
        <v>2</v>
      </c>
      <c r="U161" s="135">
        <f t="shared" si="52"/>
        <v>2</v>
      </c>
      <c r="V161" s="135">
        <f t="shared" si="52"/>
        <v>2</v>
      </c>
      <c r="W161" s="135">
        <f t="shared" si="52"/>
        <v>2</v>
      </c>
      <c r="X161" s="135">
        <f t="shared" si="52"/>
        <v>2</v>
      </c>
      <c r="Y161" s="135">
        <f t="shared" si="52"/>
        <v>2</v>
      </c>
      <c r="Z161" s="135">
        <f t="shared" si="52"/>
        <v>2</v>
      </c>
      <c r="AA161" s="135">
        <f t="shared" si="52"/>
        <v>2</v>
      </c>
      <c r="AB161" s="135">
        <f t="shared" si="52"/>
        <v>2</v>
      </c>
      <c r="AC161" s="135">
        <f t="shared" si="52"/>
        <v>2</v>
      </c>
      <c r="AD161" s="135">
        <f t="shared" si="52"/>
        <v>2</v>
      </c>
      <c r="AE161" s="135">
        <f t="shared" si="52"/>
        <v>2</v>
      </c>
      <c r="AF161" s="135">
        <f t="shared" si="52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50"/>
        <v>0.47</v>
      </c>
      <c r="C162" s="136">
        <v>0.47</v>
      </c>
      <c r="D162" s="135">
        <f t="shared" si="51"/>
        <v>0.47</v>
      </c>
      <c r="E162" s="135">
        <f t="shared" si="51"/>
        <v>0.47</v>
      </c>
      <c r="F162" s="135">
        <f t="shared" si="51"/>
        <v>0.47</v>
      </c>
      <c r="G162" s="135">
        <f t="shared" si="51"/>
        <v>0.47</v>
      </c>
      <c r="H162" s="135">
        <f t="shared" si="51"/>
        <v>0.47</v>
      </c>
      <c r="I162" s="135">
        <f t="shared" si="51"/>
        <v>0.47</v>
      </c>
      <c r="J162" s="135">
        <f t="shared" si="51"/>
        <v>0.47</v>
      </c>
      <c r="K162" s="135">
        <f t="shared" si="51"/>
        <v>0.47</v>
      </c>
      <c r="L162" s="135">
        <f t="shared" si="51"/>
        <v>0.47</v>
      </c>
      <c r="M162" s="135">
        <f t="shared" si="51"/>
        <v>0.47</v>
      </c>
      <c r="N162" s="135">
        <f t="shared" si="51"/>
        <v>0.47</v>
      </c>
      <c r="O162" s="135">
        <f t="shared" si="51"/>
        <v>0.47</v>
      </c>
      <c r="P162" s="135">
        <f t="shared" si="51"/>
        <v>0.47</v>
      </c>
      <c r="Q162" s="135">
        <f t="shared" si="51"/>
        <v>0.47</v>
      </c>
      <c r="R162" s="135">
        <f t="shared" si="51"/>
        <v>0.47</v>
      </c>
      <c r="S162" s="135">
        <f t="shared" si="51"/>
        <v>0.47</v>
      </c>
      <c r="T162" s="135">
        <f t="shared" si="52"/>
        <v>0.47</v>
      </c>
      <c r="U162" s="135">
        <f t="shared" si="52"/>
        <v>0.47</v>
      </c>
      <c r="V162" s="135">
        <f t="shared" si="52"/>
        <v>0.47</v>
      </c>
      <c r="W162" s="135">
        <f t="shared" si="52"/>
        <v>0.47</v>
      </c>
      <c r="X162" s="135">
        <f t="shared" si="52"/>
        <v>0.47</v>
      </c>
      <c r="Y162" s="135">
        <f t="shared" si="52"/>
        <v>0.47</v>
      </c>
      <c r="Z162" s="135">
        <f t="shared" si="52"/>
        <v>0.47</v>
      </c>
      <c r="AA162" s="135">
        <f t="shared" si="52"/>
        <v>0.47</v>
      </c>
      <c r="AB162" s="135">
        <f t="shared" si="52"/>
        <v>0.47</v>
      </c>
      <c r="AC162" s="135">
        <f t="shared" si="52"/>
        <v>0.47</v>
      </c>
      <c r="AD162" s="135">
        <f t="shared" si="52"/>
        <v>0.47</v>
      </c>
      <c r="AE162" s="135">
        <f t="shared" si="52"/>
        <v>0.47</v>
      </c>
      <c r="AF162" s="135">
        <f t="shared" si="52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50"/>
        <v>0</v>
      </c>
      <c r="C163" s="136">
        <v>0</v>
      </c>
      <c r="D163" s="135">
        <f t="shared" si="51"/>
        <v>0</v>
      </c>
      <c r="E163" s="135">
        <f t="shared" si="51"/>
        <v>0</v>
      </c>
      <c r="F163" s="135">
        <f t="shared" si="51"/>
        <v>0</v>
      </c>
      <c r="G163" s="135">
        <f t="shared" si="51"/>
        <v>0</v>
      </c>
      <c r="H163" s="135">
        <f t="shared" si="51"/>
        <v>0</v>
      </c>
      <c r="I163" s="135">
        <f t="shared" si="51"/>
        <v>0</v>
      </c>
      <c r="J163" s="135">
        <f t="shared" si="51"/>
        <v>0</v>
      </c>
      <c r="K163" s="135">
        <f t="shared" si="51"/>
        <v>0</v>
      </c>
      <c r="L163" s="135">
        <f t="shared" si="51"/>
        <v>0</v>
      </c>
      <c r="M163" s="135">
        <f t="shared" si="51"/>
        <v>0</v>
      </c>
      <c r="N163" s="135">
        <f t="shared" si="51"/>
        <v>0</v>
      </c>
      <c r="O163" s="135">
        <f t="shared" si="51"/>
        <v>0</v>
      </c>
      <c r="P163" s="135">
        <f t="shared" si="51"/>
        <v>0</v>
      </c>
      <c r="Q163" s="135">
        <f t="shared" si="51"/>
        <v>0</v>
      </c>
      <c r="R163" s="135">
        <f t="shared" si="51"/>
        <v>0</v>
      </c>
      <c r="S163" s="135">
        <f t="shared" si="51"/>
        <v>0</v>
      </c>
      <c r="T163" s="135">
        <f t="shared" si="52"/>
        <v>0</v>
      </c>
      <c r="U163" s="135">
        <f t="shared" si="52"/>
        <v>0</v>
      </c>
      <c r="V163" s="135">
        <f t="shared" si="52"/>
        <v>0</v>
      </c>
      <c r="W163" s="135">
        <f t="shared" si="52"/>
        <v>0</v>
      </c>
      <c r="X163" s="135">
        <f t="shared" si="52"/>
        <v>0</v>
      </c>
      <c r="Y163" s="135">
        <f t="shared" si="52"/>
        <v>0</v>
      </c>
      <c r="Z163" s="135">
        <f t="shared" si="52"/>
        <v>0</v>
      </c>
      <c r="AA163" s="135">
        <f t="shared" si="52"/>
        <v>0</v>
      </c>
      <c r="AB163" s="135">
        <f t="shared" si="52"/>
        <v>0</v>
      </c>
      <c r="AC163" s="135">
        <f t="shared" si="52"/>
        <v>0</v>
      </c>
      <c r="AD163" s="135">
        <f t="shared" si="52"/>
        <v>0</v>
      </c>
      <c r="AE163" s="135">
        <f t="shared" si="52"/>
        <v>0</v>
      </c>
      <c r="AF163" s="135">
        <f t="shared" si="52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50"/>
        <v>0</v>
      </c>
      <c r="C164" s="136">
        <v>0</v>
      </c>
      <c r="D164" s="135">
        <f t="shared" si="51"/>
        <v>0</v>
      </c>
      <c r="E164" s="135">
        <f t="shared" si="51"/>
        <v>0</v>
      </c>
      <c r="F164" s="135">
        <f t="shared" si="51"/>
        <v>0</v>
      </c>
      <c r="G164" s="135">
        <f t="shared" si="51"/>
        <v>0</v>
      </c>
      <c r="H164" s="135">
        <f t="shared" si="51"/>
        <v>0</v>
      </c>
      <c r="I164" s="135">
        <f t="shared" si="51"/>
        <v>0</v>
      </c>
      <c r="J164" s="135">
        <f t="shared" si="51"/>
        <v>0</v>
      </c>
      <c r="K164" s="135">
        <f t="shared" si="51"/>
        <v>0</v>
      </c>
      <c r="L164" s="135">
        <f t="shared" si="51"/>
        <v>0</v>
      </c>
      <c r="M164" s="135">
        <f t="shared" si="51"/>
        <v>0</v>
      </c>
      <c r="N164" s="135">
        <f t="shared" si="51"/>
        <v>0</v>
      </c>
      <c r="O164" s="135">
        <f t="shared" si="51"/>
        <v>0</v>
      </c>
      <c r="P164" s="135">
        <f t="shared" si="51"/>
        <v>0</v>
      </c>
      <c r="Q164" s="135">
        <f t="shared" si="51"/>
        <v>0</v>
      </c>
      <c r="R164" s="135">
        <f t="shared" si="51"/>
        <v>0</v>
      </c>
      <c r="S164" s="135">
        <f t="shared" si="52"/>
        <v>0</v>
      </c>
      <c r="T164" s="135">
        <f t="shared" si="52"/>
        <v>0</v>
      </c>
      <c r="U164" s="135">
        <f t="shared" si="52"/>
        <v>0</v>
      </c>
      <c r="V164" s="135">
        <f t="shared" si="52"/>
        <v>0</v>
      </c>
      <c r="W164" s="135">
        <f t="shared" si="52"/>
        <v>0</v>
      </c>
      <c r="X164" s="135">
        <f t="shared" si="52"/>
        <v>0</v>
      </c>
      <c r="Y164" s="135">
        <f t="shared" si="52"/>
        <v>0</v>
      </c>
      <c r="Z164" s="135">
        <f t="shared" si="52"/>
        <v>0</v>
      </c>
      <c r="AA164" s="135">
        <f t="shared" si="52"/>
        <v>0</v>
      </c>
      <c r="AB164" s="135">
        <f t="shared" si="52"/>
        <v>0</v>
      </c>
      <c r="AC164" s="135">
        <f t="shared" si="52"/>
        <v>0</v>
      </c>
      <c r="AD164" s="135">
        <f t="shared" si="52"/>
        <v>0</v>
      </c>
      <c r="AE164" s="135">
        <f t="shared" si="52"/>
        <v>0</v>
      </c>
      <c r="AF164" s="135">
        <f t="shared" si="52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50"/>
        <v>0.8</v>
      </c>
      <c r="C165" s="136">
        <v>0.8</v>
      </c>
      <c r="D165" s="135">
        <f t="shared" si="51"/>
        <v>0.8</v>
      </c>
      <c r="E165" s="135">
        <f t="shared" si="51"/>
        <v>0.8</v>
      </c>
      <c r="F165" s="135">
        <f t="shared" si="51"/>
        <v>0.8</v>
      </c>
      <c r="G165" s="135">
        <f t="shared" si="51"/>
        <v>0.8</v>
      </c>
      <c r="H165" s="135">
        <f t="shared" si="51"/>
        <v>0.8</v>
      </c>
      <c r="I165" s="135">
        <f t="shared" si="51"/>
        <v>0.8</v>
      </c>
      <c r="J165" s="135">
        <f t="shared" si="51"/>
        <v>0.8</v>
      </c>
      <c r="K165" s="135">
        <f t="shared" si="51"/>
        <v>0.8</v>
      </c>
      <c r="L165" s="135">
        <f t="shared" si="51"/>
        <v>0.8</v>
      </c>
      <c r="M165" s="135">
        <f t="shared" si="51"/>
        <v>0.8</v>
      </c>
      <c r="N165" s="135">
        <f t="shared" si="51"/>
        <v>0.8</v>
      </c>
      <c r="O165" s="135">
        <f t="shared" si="51"/>
        <v>0.8</v>
      </c>
      <c r="P165" s="135">
        <f t="shared" si="51"/>
        <v>0.8</v>
      </c>
      <c r="Q165" s="135">
        <f t="shared" si="51"/>
        <v>0.8</v>
      </c>
      <c r="R165" s="135">
        <f t="shared" si="51"/>
        <v>0.8</v>
      </c>
      <c r="S165" s="135">
        <f t="shared" si="52"/>
        <v>0.8</v>
      </c>
      <c r="T165" s="135">
        <f t="shared" si="52"/>
        <v>0.8</v>
      </c>
      <c r="U165" s="135">
        <f t="shared" si="52"/>
        <v>0.8</v>
      </c>
      <c r="V165" s="135">
        <f t="shared" si="52"/>
        <v>0.8</v>
      </c>
      <c r="W165" s="135">
        <f t="shared" si="52"/>
        <v>0.8</v>
      </c>
      <c r="X165" s="135">
        <f t="shared" si="52"/>
        <v>0.8</v>
      </c>
      <c r="Y165" s="135">
        <f t="shared" si="52"/>
        <v>0.8</v>
      </c>
      <c r="Z165" s="135">
        <f t="shared" si="52"/>
        <v>0.8</v>
      </c>
      <c r="AA165" s="135">
        <f t="shared" si="52"/>
        <v>0.8</v>
      </c>
      <c r="AB165" s="135">
        <f t="shared" si="52"/>
        <v>0.8</v>
      </c>
      <c r="AC165" s="135">
        <f t="shared" si="52"/>
        <v>0.8</v>
      </c>
      <c r="AD165" s="135">
        <f t="shared" si="52"/>
        <v>0.8</v>
      </c>
      <c r="AE165" s="135">
        <f t="shared" si="52"/>
        <v>0.8</v>
      </c>
      <c r="AF165" s="135">
        <f t="shared" si="52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50"/>
        <v>1.5</v>
      </c>
      <c r="C166" s="136">
        <v>1.5</v>
      </c>
      <c r="D166" s="135">
        <f t="shared" si="51"/>
        <v>1.5</v>
      </c>
      <c r="E166" s="135">
        <f t="shared" si="51"/>
        <v>1.5</v>
      </c>
      <c r="F166" s="135">
        <f t="shared" si="51"/>
        <v>1.5</v>
      </c>
      <c r="G166" s="135">
        <f t="shared" si="51"/>
        <v>1.5</v>
      </c>
      <c r="H166" s="135">
        <f t="shared" si="51"/>
        <v>1.5</v>
      </c>
      <c r="I166" s="135">
        <f t="shared" si="51"/>
        <v>1.5</v>
      </c>
      <c r="J166" s="135">
        <f t="shared" si="51"/>
        <v>1.5</v>
      </c>
      <c r="K166" s="135">
        <f t="shared" si="51"/>
        <v>1.5</v>
      </c>
      <c r="L166" s="135">
        <f t="shared" si="51"/>
        <v>1.5</v>
      </c>
      <c r="M166" s="135">
        <f t="shared" si="51"/>
        <v>1.5</v>
      </c>
      <c r="N166" s="135">
        <f t="shared" si="51"/>
        <v>1.5</v>
      </c>
      <c r="O166" s="135">
        <f t="shared" si="51"/>
        <v>1.5</v>
      </c>
      <c r="P166" s="135">
        <f t="shared" si="51"/>
        <v>1.5</v>
      </c>
      <c r="Q166" s="135">
        <f t="shared" si="51"/>
        <v>1.5</v>
      </c>
      <c r="R166" s="135">
        <f t="shared" si="51"/>
        <v>1.5</v>
      </c>
      <c r="S166" s="135">
        <f t="shared" si="52"/>
        <v>1.5</v>
      </c>
      <c r="T166" s="135">
        <f t="shared" si="52"/>
        <v>1.5</v>
      </c>
      <c r="U166" s="135">
        <f t="shared" si="52"/>
        <v>1.5</v>
      </c>
      <c r="V166" s="135">
        <f t="shared" si="52"/>
        <v>1.5</v>
      </c>
      <c r="W166" s="135">
        <f t="shared" si="52"/>
        <v>1.5</v>
      </c>
      <c r="X166" s="135">
        <f t="shared" si="52"/>
        <v>1.5</v>
      </c>
      <c r="Y166" s="135">
        <f t="shared" si="52"/>
        <v>1.5</v>
      </c>
      <c r="Z166" s="135">
        <f t="shared" si="52"/>
        <v>1.5</v>
      </c>
      <c r="AA166" s="135">
        <f t="shared" si="52"/>
        <v>1.5</v>
      </c>
      <c r="AB166" s="135">
        <f t="shared" si="52"/>
        <v>1.5</v>
      </c>
      <c r="AC166" s="135">
        <f t="shared" si="52"/>
        <v>1.5</v>
      </c>
      <c r="AD166" s="135">
        <f t="shared" si="52"/>
        <v>1.5</v>
      </c>
      <c r="AE166" s="135">
        <f t="shared" si="52"/>
        <v>1.5</v>
      </c>
      <c r="AF166" s="135">
        <f t="shared" si="52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50"/>
        <v>1</v>
      </c>
      <c r="C167" s="136">
        <v>1</v>
      </c>
      <c r="D167" s="135">
        <f t="shared" si="51"/>
        <v>1</v>
      </c>
      <c r="E167" s="135">
        <f t="shared" si="51"/>
        <v>1</v>
      </c>
      <c r="F167" s="135">
        <f t="shared" si="51"/>
        <v>1</v>
      </c>
      <c r="G167" s="135">
        <f t="shared" si="51"/>
        <v>1</v>
      </c>
      <c r="H167" s="135">
        <f t="shared" si="51"/>
        <v>1</v>
      </c>
      <c r="I167" s="135">
        <f t="shared" si="51"/>
        <v>1</v>
      </c>
      <c r="J167" s="135">
        <f t="shared" si="51"/>
        <v>1</v>
      </c>
      <c r="K167" s="135">
        <f t="shared" si="51"/>
        <v>1</v>
      </c>
      <c r="L167" s="135">
        <f t="shared" si="51"/>
        <v>1</v>
      </c>
      <c r="M167" s="135">
        <f t="shared" si="51"/>
        <v>1</v>
      </c>
      <c r="N167" s="135">
        <f t="shared" si="51"/>
        <v>1</v>
      </c>
      <c r="O167" s="135">
        <f t="shared" si="51"/>
        <v>1</v>
      </c>
      <c r="P167" s="135">
        <f t="shared" si="51"/>
        <v>1</v>
      </c>
      <c r="Q167" s="135">
        <f t="shared" si="51"/>
        <v>1</v>
      </c>
      <c r="R167" s="135">
        <f t="shared" si="51"/>
        <v>1</v>
      </c>
      <c r="S167" s="135">
        <f t="shared" si="52"/>
        <v>1</v>
      </c>
      <c r="T167" s="135">
        <f t="shared" si="52"/>
        <v>1</v>
      </c>
      <c r="U167" s="135">
        <f t="shared" si="52"/>
        <v>1</v>
      </c>
      <c r="V167" s="135">
        <f t="shared" si="52"/>
        <v>1</v>
      </c>
      <c r="W167" s="135">
        <f t="shared" si="52"/>
        <v>1</v>
      </c>
      <c r="X167" s="135">
        <f t="shared" si="52"/>
        <v>1</v>
      </c>
      <c r="Y167" s="135">
        <f t="shared" si="52"/>
        <v>1</v>
      </c>
      <c r="Z167" s="135">
        <f t="shared" si="52"/>
        <v>1</v>
      </c>
      <c r="AA167" s="135">
        <f t="shared" si="52"/>
        <v>1</v>
      </c>
      <c r="AB167" s="135">
        <f t="shared" si="52"/>
        <v>1</v>
      </c>
      <c r="AC167" s="135">
        <f t="shared" si="52"/>
        <v>1</v>
      </c>
      <c r="AD167" s="135">
        <f t="shared" si="52"/>
        <v>1</v>
      </c>
      <c r="AE167" s="135">
        <f t="shared" si="52"/>
        <v>1</v>
      </c>
      <c r="AF167" s="135">
        <f t="shared" si="52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53">AF169</f>
        <v>1</v>
      </c>
      <c r="C169" s="136">
        <v>1</v>
      </c>
      <c r="D169" s="135">
        <f t="shared" ref="D169:S176" si="54">C169</f>
        <v>1</v>
      </c>
      <c r="E169" s="135">
        <f t="shared" si="54"/>
        <v>1</v>
      </c>
      <c r="F169" s="135">
        <f t="shared" si="54"/>
        <v>1</v>
      </c>
      <c r="G169" s="135">
        <f t="shared" si="54"/>
        <v>1</v>
      </c>
      <c r="H169" s="135">
        <f t="shared" si="54"/>
        <v>1</v>
      </c>
      <c r="I169" s="135">
        <f t="shared" si="54"/>
        <v>1</v>
      </c>
      <c r="J169" s="135">
        <f t="shared" si="54"/>
        <v>1</v>
      </c>
      <c r="K169" s="135">
        <f t="shared" si="54"/>
        <v>1</v>
      </c>
      <c r="L169" s="135">
        <f t="shared" si="54"/>
        <v>1</v>
      </c>
      <c r="M169" s="135">
        <f t="shared" si="54"/>
        <v>1</v>
      </c>
      <c r="N169" s="135">
        <f t="shared" si="54"/>
        <v>1</v>
      </c>
      <c r="O169" s="135">
        <f t="shared" si="54"/>
        <v>1</v>
      </c>
      <c r="P169" s="135">
        <f t="shared" si="54"/>
        <v>1</v>
      </c>
      <c r="Q169" s="135">
        <f t="shared" si="54"/>
        <v>1</v>
      </c>
      <c r="R169" s="135">
        <f t="shared" si="54"/>
        <v>1</v>
      </c>
      <c r="S169" s="135">
        <f t="shared" si="54"/>
        <v>1</v>
      </c>
      <c r="T169" s="135">
        <f t="shared" ref="S169:AF176" si="55">S169</f>
        <v>1</v>
      </c>
      <c r="U169" s="135">
        <f t="shared" si="55"/>
        <v>1</v>
      </c>
      <c r="V169" s="135">
        <f t="shared" si="55"/>
        <v>1</v>
      </c>
      <c r="W169" s="135">
        <f t="shared" si="55"/>
        <v>1</v>
      </c>
      <c r="X169" s="135">
        <f t="shared" si="55"/>
        <v>1</v>
      </c>
      <c r="Y169" s="135">
        <f t="shared" si="55"/>
        <v>1</v>
      </c>
      <c r="Z169" s="135">
        <f t="shared" si="55"/>
        <v>1</v>
      </c>
      <c r="AA169" s="135">
        <f t="shared" si="55"/>
        <v>1</v>
      </c>
      <c r="AB169" s="135">
        <f t="shared" si="55"/>
        <v>1</v>
      </c>
      <c r="AC169" s="135">
        <f t="shared" si="55"/>
        <v>1</v>
      </c>
      <c r="AD169" s="135">
        <f t="shared" si="55"/>
        <v>1</v>
      </c>
      <c r="AE169" s="135">
        <f t="shared" si="55"/>
        <v>1</v>
      </c>
      <c r="AF169" s="135">
        <f t="shared" si="55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53"/>
        <v>0.42</v>
      </c>
      <c r="C170" s="136">
        <v>0.42</v>
      </c>
      <c r="D170" s="135">
        <f t="shared" si="54"/>
        <v>0.42</v>
      </c>
      <c r="E170" s="135">
        <f t="shared" si="54"/>
        <v>0.42</v>
      </c>
      <c r="F170" s="135">
        <f t="shared" si="54"/>
        <v>0.42</v>
      </c>
      <c r="G170" s="135">
        <f t="shared" si="54"/>
        <v>0.42</v>
      </c>
      <c r="H170" s="135">
        <f t="shared" si="54"/>
        <v>0.42</v>
      </c>
      <c r="I170" s="135">
        <f t="shared" si="54"/>
        <v>0.42</v>
      </c>
      <c r="J170" s="135">
        <f t="shared" si="54"/>
        <v>0.42</v>
      </c>
      <c r="K170" s="135">
        <f t="shared" si="54"/>
        <v>0.42</v>
      </c>
      <c r="L170" s="135">
        <f t="shared" si="54"/>
        <v>0.42</v>
      </c>
      <c r="M170" s="135">
        <f t="shared" si="54"/>
        <v>0.42</v>
      </c>
      <c r="N170" s="135">
        <f t="shared" si="54"/>
        <v>0.42</v>
      </c>
      <c r="O170" s="135">
        <f t="shared" si="54"/>
        <v>0.42</v>
      </c>
      <c r="P170" s="135">
        <f t="shared" si="54"/>
        <v>0.42</v>
      </c>
      <c r="Q170" s="135">
        <f t="shared" si="54"/>
        <v>0.42</v>
      </c>
      <c r="R170" s="135">
        <f t="shared" si="54"/>
        <v>0.42</v>
      </c>
      <c r="S170" s="135">
        <f t="shared" si="55"/>
        <v>0.42</v>
      </c>
      <c r="T170" s="135">
        <f t="shared" si="55"/>
        <v>0.42</v>
      </c>
      <c r="U170" s="135">
        <f t="shared" si="55"/>
        <v>0.42</v>
      </c>
      <c r="V170" s="135">
        <f t="shared" si="55"/>
        <v>0.42</v>
      </c>
      <c r="W170" s="135">
        <f t="shared" si="55"/>
        <v>0.42</v>
      </c>
      <c r="X170" s="135">
        <f t="shared" si="55"/>
        <v>0.42</v>
      </c>
      <c r="Y170" s="135">
        <f t="shared" si="55"/>
        <v>0.42</v>
      </c>
      <c r="Z170" s="135">
        <f t="shared" si="55"/>
        <v>0.42</v>
      </c>
      <c r="AA170" s="135">
        <f t="shared" si="55"/>
        <v>0.42</v>
      </c>
      <c r="AB170" s="135">
        <f t="shared" si="55"/>
        <v>0.42</v>
      </c>
      <c r="AC170" s="135">
        <f t="shared" si="55"/>
        <v>0.42</v>
      </c>
      <c r="AD170" s="135">
        <f t="shared" si="55"/>
        <v>0.42</v>
      </c>
      <c r="AE170" s="135">
        <f t="shared" si="55"/>
        <v>0.42</v>
      </c>
      <c r="AF170" s="135">
        <f t="shared" si="55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53"/>
        <v>0.46</v>
      </c>
      <c r="C171" s="136">
        <v>0.46</v>
      </c>
      <c r="D171" s="135">
        <f t="shared" si="54"/>
        <v>0.46</v>
      </c>
      <c r="E171" s="135">
        <f t="shared" si="54"/>
        <v>0.46</v>
      </c>
      <c r="F171" s="135">
        <f t="shared" si="54"/>
        <v>0.46</v>
      </c>
      <c r="G171" s="135">
        <f t="shared" si="54"/>
        <v>0.46</v>
      </c>
      <c r="H171" s="135">
        <f t="shared" si="54"/>
        <v>0.46</v>
      </c>
      <c r="I171" s="135">
        <f t="shared" si="54"/>
        <v>0.46</v>
      </c>
      <c r="J171" s="135">
        <f t="shared" si="54"/>
        <v>0.46</v>
      </c>
      <c r="K171" s="135">
        <f t="shared" si="54"/>
        <v>0.46</v>
      </c>
      <c r="L171" s="135">
        <f t="shared" si="54"/>
        <v>0.46</v>
      </c>
      <c r="M171" s="135">
        <f t="shared" si="54"/>
        <v>0.46</v>
      </c>
      <c r="N171" s="135">
        <f t="shared" si="54"/>
        <v>0.46</v>
      </c>
      <c r="O171" s="135">
        <f t="shared" si="54"/>
        <v>0.46</v>
      </c>
      <c r="P171" s="135">
        <f t="shared" si="54"/>
        <v>0.46</v>
      </c>
      <c r="Q171" s="135">
        <f t="shared" si="54"/>
        <v>0.46</v>
      </c>
      <c r="R171" s="135">
        <f t="shared" si="54"/>
        <v>0.46</v>
      </c>
      <c r="S171" s="135">
        <f t="shared" si="55"/>
        <v>0.46</v>
      </c>
      <c r="T171" s="135">
        <f t="shared" si="55"/>
        <v>0.46</v>
      </c>
      <c r="U171" s="135">
        <f t="shared" si="55"/>
        <v>0.46</v>
      </c>
      <c r="V171" s="135">
        <f t="shared" si="55"/>
        <v>0.46</v>
      </c>
      <c r="W171" s="135">
        <f t="shared" si="55"/>
        <v>0.46</v>
      </c>
      <c r="X171" s="135">
        <f t="shared" si="55"/>
        <v>0.46</v>
      </c>
      <c r="Y171" s="135">
        <f t="shared" si="55"/>
        <v>0.46</v>
      </c>
      <c r="Z171" s="135">
        <f t="shared" si="55"/>
        <v>0.46</v>
      </c>
      <c r="AA171" s="135">
        <f t="shared" si="55"/>
        <v>0.46</v>
      </c>
      <c r="AB171" s="135">
        <f t="shared" si="55"/>
        <v>0.46</v>
      </c>
      <c r="AC171" s="135">
        <f t="shared" si="55"/>
        <v>0.46</v>
      </c>
      <c r="AD171" s="135">
        <f t="shared" si="55"/>
        <v>0.46</v>
      </c>
      <c r="AE171" s="135">
        <f t="shared" si="55"/>
        <v>0.46</v>
      </c>
      <c r="AF171" s="135">
        <f t="shared" si="55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53"/>
        <v>0.85</v>
      </c>
      <c r="C172" s="136">
        <v>0.85</v>
      </c>
      <c r="D172" s="135">
        <f t="shared" si="54"/>
        <v>0.85</v>
      </c>
      <c r="E172" s="135">
        <f t="shared" si="54"/>
        <v>0.85</v>
      </c>
      <c r="F172" s="135">
        <f t="shared" si="54"/>
        <v>0.85</v>
      </c>
      <c r="G172" s="135">
        <f t="shared" si="54"/>
        <v>0.85</v>
      </c>
      <c r="H172" s="135">
        <f t="shared" si="54"/>
        <v>0.85</v>
      </c>
      <c r="I172" s="135">
        <f t="shared" si="54"/>
        <v>0.85</v>
      </c>
      <c r="J172" s="135">
        <f t="shared" si="54"/>
        <v>0.85</v>
      </c>
      <c r="K172" s="135">
        <f t="shared" si="54"/>
        <v>0.85</v>
      </c>
      <c r="L172" s="135">
        <f t="shared" si="54"/>
        <v>0.85</v>
      </c>
      <c r="M172" s="135">
        <f t="shared" si="54"/>
        <v>0.85</v>
      </c>
      <c r="N172" s="135">
        <f t="shared" si="54"/>
        <v>0.85</v>
      </c>
      <c r="O172" s="135">
        <f t="shared" si="54"/>
        <v>0.85</v>
      </c>
      <c r="P172" s="135">
        <f t="shared" si="54"/>
        <v>0.85</v>
      </c>
      <c r="Q172" s="135">
        <f t="shared" si="54"/>
        <v>0.85</v>
      </c>
      <c r="R172" s="135">
        <f t="shared" si="54"/>
        <v>0.85</v>
      </c>
      <c r="S172" s="135">
        <f t="shared" si="55"/>
        <v>0.85</v>
      </c>
      <c r="T172" s="135">
        <f t="shared" si="55"/>
        <v>0.85</v>
      </c>
      <c r="U172" s="135">
        <f t="shared" si="55"/>
        <v>0.85</v>
      </c>
      <c r="V172" s="135">
        <f t="shared" si="55"/>
        <v>0.85</v>
      </c>
      <c r="W172" s="135">
        <f t="shared" si="55"/>
        <v>0.85</v>
      </c>
      <c r="X172" s="135">
        <f t="shared" si="55"/>
        <v>0.85</v>
      </c>
      <c r="Y172" s="135">
        <f t="shared" si="55"/>
        <v>0.85</v>
      </c>
      <c r="Z172" s="135">
        <f t="shared" si="55"/>
        <v>0.85</v>
      </c>
      <c r="AA172" s="135">
        <f t="shared" si="55"/>
        <v>0.85</v>
      </c>
      <c r="AB172" s="135">
        <f t="shared" si="55"/>
        <v>0.85</v>
      </c>
      <c r="AC172" s="135">
        <f t="shared" si="55"/>
        <v>0.85</v>
      </c>
      <c r="AD172" s="135">
        <f t="shared" si="55"/>
        <v>0.85</v>
      </c>
      <c r="AE172" s="135">
        <f t="shared" si="55"/>
        <v>0.85</v>
      </c>
      <c r="AF172" s="135">
        <f t="shared" si="55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53"/>
        <v>0.9</v>
      </c>
      <c r="C173" s="136">
        <v>0.9</v>
      </c>
      <c r="D173" s="135">
        <f t="shared" si="54"/>
        <v>0.9</v>
      </c>
      <c r="E173" s="135">
        <f t="shared" si="54"/>
        <v>0.9</v>
      </c>
      <c r="F173" s="135">
        <f t="shared" si="54"/>
        <v>0.9</v>
      </c>
      <c r="G173" s="135">
        <f t="shared" si="54"/>
        <v>0.9</v>
      </c>
      <c r="H173" s="135">
        <f t="shared" si="54"/>
        <v>0.9</v>
      </c>
      <c r="I173" s="135">
        <f t="shared" si="54"/>
        <v>0.9</v>
      </c>
      <c r="J173" s="135">
        <f t="shared" si="54"/>
        <v>0.9</v>
      </c>
      <c r="K173" s="135">
        <f t="shared" si="54"/>
        <v>0.9</v>
      </c>
      <c r="L173" s="135">
        <f t="shared" si="54"/>
        <v>0.9</v>
      </c>
      <c r="M173" s="135">
        <f t="shared" si="54"/>
        <v>0.9</v>
      </c>
      <c r="N173" s="135">
        <f t="shared" si="54"/>
        <v>0.9</v>
      </c>
      <c r="O173" s="135">
        <f t="shared" si="54"/>
        <v>0.9</v>
      </c>
      <c r="P173" s="135">
        <f t="shared" si="54"/>
        <v>0.9</v>
      </c>
      <c r="Q173" s="135">
        <f t="shared" si="54"/>
        <v>0.9</v>
      </c>
      <c r="R173" s="135">
        <f t="shared" si="54"/>
        <v>0.9</v>
      </c>
      <c r="S173" s="135">
        <f t="shared" si="55"/>
        <v>0.9</v>
      </c>
      <c r="T173" s="135">
        <f t="shared" si="55"/>
        <v>0.9</v>
      </c>
      <c r="U173" s="135">
        <f t="shared" si="55"/>
        <v>0.9</v>
      </c>
      <c r="V173" s="135">
        <f t="shared" si="55"/>
        <v>0.9</v>
      </c>
      <c r="W173" s="135">
        <f t="shared" si="55"/>
        <v>0.9</v>
      </c>
      <c r="X173" s="135">
        <f t="shared" si="55"/>
        <v>0.9</v>
      </c>
      <c r="Y173" s="135">
        <f t="shared" si="55"/>
        <v>0.9</v>
      </c>
      <c r="Z173" s="135">
        <f t="shared" si="55"/>
        <v>0.9</v>
      </c>
      <c r="AA173" s="135">
        <f t="shared" si="55"/>
        <v>0.9</v>
      </c>
      <c r="AB173" s="135">
        <f t="shared" si="55"/>
        <v>0.9</v>
      </c>
      <c r="AC173" s="135">
        <f t="shared" si="55"/>
        <v>0.9</v>
      </c>
      <c r="AD173" s="135">
        <f t="shared" si="55"/>
        <v>0.9</v>
      </c>
      <c r="AE173" s="135">
        <f t="shared" si="55"/>
        <v>0.9</v>
      </c>
      <c r="AF173" s="135">
        <f t="shared" si="55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53"/>
        <v>0.44</v>
      </c>
      <c r="C174" s="136">
        <v>0.44</v>
      </c>
      <c r="D174" s="135">
        <f t="shared" si="54"/>
        <v>0.44</v>
      </c>
      <c r="E174" s="135">
        <f t="shared" si="54"/>
        <v>0.44</v>
      </c>
      <c r="F174" s="135">
        <f t="shared" si="54"/>
        <v>0.44</v>
      </c>
      <c r="G174" s="135">
        <f t="shared" si="54"/>
        <v>0.44</v>
      </c>
      <c r="H174" s="135">
        <f t="shared" si="54"/>
        <v>0.44</v>
      </c>
      <c r="I174" s="135">
        <f t="shared" si="54"/>
        <v>0.44</v>
      </c>
      <c r="J174" s="135">
        <f t="shared" si="54"/>
        <v>0.44</v>
      </c>
      <c r="K174" s="135">
        <f t="shared" si="54"/>
        <v>0.44</v>
      </c>
      <c r="L174" s="135">
        <f t="shared" si="54"/>
        <v>0.44</v>
      </c>
      <c r="M174" s="135">
        <f t="shared" si="54"/>
        <v>0.44</v>
      </c>
      <c r="N174" s="135">
        <f t="shared" si="54"/>
        <v>0.44</v>
      </c>
      <c r="O174" s="135">
        <f t="shared" si="54"/>
        <v>0.44</v>
      </c>
      <c r="P174" s="135">
        <f t="shared" si="54"/>
        <v>0.44</v>
      </c>
      <c r="Q174" s="135">
        <f t="shared" si="54"/>
        <v>0.44</v>
      </c>
      <c r="R174" s="135">
        <f t="shared" si="54"/>
        <v>0.44</v>
      </c>
      <c r="S174" s="135">
        <f t="shared" si="55"/>
        <v>0.44</v>
      </c>
      <c r="T174" s="135">
        <f t="shared" si="55"/>
        <v>0.44</v>
      </c>
      <c r="U174" s="135">
        <f t="shared" si="55"/>
        <v>0.44</v>
      </c>
      <c r="V174" s="135">
        <f t="shared" si="55"/>
        <v>0.44</v>
      </c>
      <c r="W174" s="135">
        <f t="shared" si="55"/>
        <v>0.44</v>
      </c>
      <c r="X174" s="135">
        <f t="shared" si="55"/>
        <v>0.44</v>
      </c>
      <c r="Y174" s="135">
        <f t="shared" si="55"/>
        <v>0.44</v>
      </c>
      <c r="Z174" s="135">
        <f t="shared" si="55"/>
        <v>0.44</v>
      </c>
      <c r="AA174" s="135">
        <f t="shared" si="55"/>
        <v>0.44</v>
      </c>
      <c r="AB174" s="135">
        <f t="shared" si="55"/>
        <v>0.44</v>
      </c>
      <c r="AC174" s="135">
        <f t="shared" si="55"/>
        <v>0.44</v>
      </c>
      <c r="AD174" s="135">
        <f t="shared" si="55"/>
        <v>0.44</v>
      </c>
      <c r="AE174" s="135">
        <f t="shared" si="55"/>
        <v>0.44</v>
      </c>
      <c r="AF174" s="135">
        <f t="shared" si="55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53"/>
        <v>2.1</v>
      </c>
      <c r="C175" s="136">
        <v>2.1</v>
      </c>
      <c r="D175" s="135">
        <f t="shared" si="54"/>
        <v>2.1</v>
      </c>
      <c r="E175" s="135">
        <f t="shared" si="54"/>
        <v>2.1</v>
      </c>
      <c r="F175" s="135">
        <f t="shared" si="54"/>
        <v>2.1</v>
      </c>
      <c r="G175" s="135">
        <f t="shared" si="54"/>
        <v>2.1</v>
      </c>
      <c r="H175" s="135">
        <f t="shared" si="54"/>
        <v>2.1</v>
      </c>
      <c r="I175" s="135">
        <f t="shared" si="54"/>
        <v>2.1</v>
      </c>
      <c r="J175" s="135">
        <f t="shared" si="54"/>
        <v>2.1</v>
      </c>
      <c r="K175" s="135">
        <f t="shared" si="54"/>
        <v>2.1</v>
      </c>
      <c r="L175" s="135">
        <f t="shared" si="54"/>
        <v>2.1</v>
      </c>
      <c r="M175" s="135">
        <f t="shared" si="54"/>
        <v>2.1</v>
      </c>
      <c r="N175" s="135">
        <f t="shared" si="54"/>
        <v>2.1</v>
      </c>
      <c r="O175" s="135">
        <f t="shared" si="54"/>
        <v>2.1</v>
      </c>
      <c r="P175" s="135">
        <f t="shared" si="54"/>
        <v>2.1</v>
      </c>
      <c r="Q175" s="135">
        <f t="shared" si="54"/>
        <v>2.1</v>
      </c>
      <c r="R175" s="135">
        <f t="shared" si="54"/>
        <v>2.1</v>
      </c>
      <c r="S175" s="135">
        <f t="shared" si="55"/>
        <v>2.1</v>
      </c>
      <c r="T175" s="135">
        <f t="shared" si="55"/>
        <v>2.1</v>
      </c>
      <c r="U175" s="135">
        <f t="shared" si="55"/>
        <v>2.1</v>
      </c>
      <c r="V175" s="135">
        <f t="shared" si="55"/>
        <v>2.1</v>
      </c>
      <c r="W175" s="135">
        <f t="shared" si="55"/>
        <v>2.1</v>
      </c>
      <c r="X175" s="135">
        <f t="shared" si="55"/>
        <v>2.1</v>
      </c>
      <c r="Y175" s="135">
        <f t="shared" si="55"/>
        <v>2.1</v>
      </c>
      <c r="Z175" s="135">
        <f t="shared" si="55"/>
        <v>2.1</v>
      </c>
      <c r="AA175" s="135">
        <f t="shared" si="55"/>
        <v>2.1</v>
      </c>
      <c r="AB175" s="135">
        <f t="shared" si="55"/>
        <v>2.1</v>
      </c>
      <c r="AC175" s="135">
        <f t="shared" si="55"/>
        <v>2.1</v>
      </c>
      <c r="AD175" s="135">
        <f t="shared" si="55"/>
        <v>2.1</v>
      </c>
      <c r="AE175" s="135">
        <f t="shared" si="55"/>
        <v>2.1</v>
      </c>
      <c r="AF175" s="135">
        <f t="shared" si="55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53"/>
        <v>0.9</v>
      </c>
      <c r="C176" s="136">
        <v>0.9</v>
      </c>
      <c r="D176" s="135">
        <f t="shared" si="54"/>
        <v>0.9</v>
      </c>
      <c r="E176" s="135">
        <f t="shared" si="54"/>
        <v>0.9</v>
      </c>
      <c r="F176" s="135">
        <f t="shared" si="54"/>
        <v>0.9</v>
      </c>
      <c r="G176" s="135">
        <f t="shared" si="54"/>
        <v>0.9</v>
      </c>
      <c r="H176" s="135">
        <f t="shared" si="54"/>
        <v>0.9</v>
      </c>
      <c r="I176" s="135">
        <f t="shared" si="54"/>
        <v>0.9</v>
      </c>
      <c r="J176" s="135">
        <f t="shared" si="54"/>
        <v>0.9</v>
      </c>
      <c r="K176" s="135">
        <f t="shared" si="54"/>
        <v>0.9</v>
      </c>
      <c r="L176" s="135">
        <f t="shared" si="54"/>
        <v>0.9</v>
      </c>
      <c r="M176" s="135">
        <f t="shared" si="54"/>
        <v>0.9</v>
      </c>
      <c r="N176" s="135">
        <f t="shared" si="54"/>
        <v>0.9</v>
      </c>
      <c r="O176" s="135">
        <f t="shared" si="54"/>
        <v>0.9</v>
      </c>
      <c r="P176" s="135">
        <f t="shared" si="54"/>
        <v>0.9</v>
      </c>
      <c r="Q176" s="135">
        <f t="shared" si="54"/>
        <v>0.9</v>
      </c>
      <c r="R176" s="135">
        <f t="shared" si="54"/>
        <v>0.9</v>
      </c>
      <c r="S176" s="135">
        <f t="shared" si="55"/>
        <v>0.9</v>
      </c>
      <c r="T176" s="135">
        <f t="shared" si="55"/>
        <v>0.9</v>
      </c>
      <c r="U176" s="135">
        <f t="shared" si="55"/>
        <v>0.9</v>
      </c>
      <c r="V176" s="135">
        <f t="shared" si="55"/>
        <v>0.9</v>
      </c>
      <c r="W176" s="135">
        <f t="shared" si="55"/>
        <v>0.9</v>
      </c>
      <c r="X176" s="135">
        <f t="shared" si="55"/>
        <v>0.9</v>
      </c>
      <c r="Y176" s="135">
        <f t="shared" si="55"/>
        <v>0.9</v>
      </c>
      <c r="Z176" s="135">
        <f t="shared" si="55"/>
        <v>0.9</v>
      </c>
      <c r="AA176" s="135">
        <f t="shared" si="55"/>
        <v>0.9</v>
      </c>
      <c r="AB176" s="135">
        <f t="shared" si="55"/>
        <v>0.9</v>
      </c>
      <c r="AC176" s="135">
        <f t="shared" si="55"/>
        <v>0.9</v>
      </c>
      <c r="AD176" s="135">
        <f t="shared" si="55"/>
        <v>0.9</v>
      </c>
      <c r="AE176" s="135">
        <f t="shared" si="55"/>
        <v>0.9</v>
      </c>
      <c r="AF176" s="135">
        <f t="shared" si="55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6">AF178</f>
        <v>0.57999999999999996</v>
      </c>
      <c r="C178" s="136">
        <v>0.57999999999999996</v>
      </c>
      <c r="D178" s="135">
        <f t="shared" ref="D178:S190" si="57">C178</f>
        <v>0.57999999999999996</v>
      </c>
      <c r="E178" s="135">
        <f t="shared" si="57"/>
        <v>0.57999999999999996</v>
      </c>
      <c r="F178" s="135">
        <f t="shared" si="57"/>
        <v>0.57999999999999996</v>
      </c>
      <c r="G178" s="135">
        <f t="shared" si="57"/>
        <v>0.57999999999999996</v>
      </c>
      <c r="H178" s="135">
        <f t="shared" si="57"/>
        <v>0.57999999999999996</v>
      </c>
      <c r="I178" s="135">
        <f t="shared" si="57"/>
        <v>0.57999999999999996</v>
      </c>
      <c r="J178" s="135">
        <f t="shared" si="57"/>
        <v>0.57999999999999996</v>
      </c>
      <c r="K178" s="135">
        <f t="shared" si="57"/>
        <v>0.57999999999999996</v>
      </c>
      <c r="L178" s="135">
        <f t="shared" si="57"/>
        <v>0.57999999999999996</v>
      </c>
      <c r="M178" s="135">
        <f t="shared" si="57"/>
        <v>0.57999999999999996</v>
      </c>
      <c r="N178" s="135">
        <f t="shared" si="57"/>
        <v>0.57999999999999996</v>
      </c>
      <c r="O178" s="135">
        <f t="shared" si="57"/>
        <v>0.57999999999999996</v>
      </c>
      <c r="P178" s="135">
        <f t="shared" si="57"/>
        <v>0.57999999999999996</v>
      </c>
      <c r="Q178" s="135">
        <f t="shared" si="57"/>
        <v>0.57999999999999996</v>
      </c>
      <c r="R178" s="135">
        <f t="shared" si="57"/>
        <v>0.57999999999999996</v>
      </c>
      <c r="S178" s="135">
        <f t="shared" si="57"/>
        <v>0.57999999999999996</v>
      </c>
      <c r="T178" s="135">
        <f t="shared" ref="S178:AF190" si="58">S178</f>
        <v>0.57999999999999996</v>
      </c>
      <c r="U178" s="135">
        <f t="shared" si="58"/>
        <v>0.57999999999999996</v>
      </c>
      <c r="V178" s="135">
        <f t="shared" si="58"/>
        <v>0.57999999999999996</v>
      </c>
      <c r="W178" s="135">
        <f t="shared" si="58"/>
        <v>0.57999999999999996</v>
      </c>
      <c r="X178" s="135">
        <f t="shared" si="58"/>
        <v>0.57999999999999996</v>
      </c>
      <c r="Y178" s="135">
        <f t="shared" si="58"/>
        <v>0.57999999999999996</v>
      </c>
      <c r="Z178" s="135">
        <f t="shared" si="58"/>
        <v>0.57999999999999996</v>
      </c>
      <c r="AA178" s="135">
        <f t="shared" si="58"/>
        <v>0.57999999999999996</v>
      </c>
      <c r="AB178" s="135">
        <f t="shared" si="58"/>
        <v>0.57999999999999996</v>
      </c>
      <c r="AC178" s="135">
        <f t="shared" si="58"/>
        <v>0.57999999999999996</v>
      </c>
      <c r="AD178" s="135">
        <f t="shared" si="58"/>
        <v>0.57999999999999996</v>
      </c>
      <c r="AE178" s="135">
        <f t="shared" si="58"/>
        <v>0.57999999999999996</v>
      </c>
      <c r="AF178" s="135">
        <f t="shared" si="58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6"/>
        <v>0.8</v>
      </c>
      <c r="C179" s="136">
        <v>0.8</v>
      </c>
      <c r="D179" s="135">
        <f t="shared" si="57"/>
        <v>0.8</v>
      </c>
      <c r="E179" s="135">
        <f t="shared" si="57"/>
        <v>0.8</v>
      </c>
      <c r="F179" s="135">
        <f t="shared" si="57"/>
        <v>0.8</v>
      </c>
      <c r="G179" s="135">
        <f t="shared" si="57"/>
        <v>0.8</v>
      </c>
      <c r="H179" s="135">
        <f t="shared" si="57"/>
        <v>0.8</v>
      </c>
      <c r="I179" s="135">
        <f t="shared" si="57"/>
        <v>0.8</v>
      </c>
      <c r="J179" s="135">
        <f t="shared" si="57"/>
        <v>0.8</v>
      </c>
      <c r="K179" s="135">
        <f t="shared" si="57"/>
        <v>0.8</v>
      </c>
      <c r="L179" s="135">
        <f t="shared" si="57"/>
        <v>0.8</v>
      </c>
      <c r="M179" s="135">
        <f t="shared" si="57"/>
        <v>0.8</v>
      </c>
      <c r="N179" s="135">
        <f t="shared" si="57"/>
        <v>0.8</v>
      </c>
      <c r="O179" s="135">
        <f t="shared" si="57"/>
        <v>0.8</v>
      </c>
      <c r="P179" s="135">
        <f t="shared" si="57"/>
        <v>0.8</v>
      </c>
      <c r="Q179" s="135">
        <f t="shared" si="57"/>
        <v>0.8</v>
      </c>
      <c r="R179" s="135">
        <f t="shared" si="57"/>
        <v>0.8</v>
      </c>
      <c r="S179" s="135">
        <f t="shared" si="57"/>
        <v>0.8</v>
      </c>
      <c r="T179" s="135">
        <f t="shared" si="58"/>
        <v>0.8</v>
      </c>
      <c r="U179" s="135">
        <f t="shared" si="58"/>
        <v>0.8</v>
      </c>
      <c r="V179" s="135">
        <f t="shared" si="58"/>
        <v>0.8</v>
      </c>
      <c r="W179" s="135">
        <f t="shared" si="58"/>
        <v>0.8</v>
      </c>
      <c r="X179" s="135">
        <f t="shared" si="58"/>
        <v>0.8</v>
      </c>
      <c r="Y179" s="135">
        <f t="shared" si="58"/>
        <v>0.8</v>
      </c>
      <c r="Z179" s="135">
        <f t="shared" si="58"/>
        <v>0.8</v>
      </c>
      <c r="AA179" s="135">
        <f t="shared" si="58"/>
        <v>0.8</v>
      </c>
      <c r="AB179" s="135">
        <f t="shared" si="58"/>
        <v>0.8</v>
      </c>
      <c r="AC179" s="135">
        <f t="shared" si="58"/>
        <v>0.8</v>
      </c>
      <c r="AD179" s="135">
        <f t="shared" si="58"/>
        <v>0.8</v>
      </c>
      <c r="AE179" s="135">
        <f t="shared" si="58"/>
        <v>0.8</v>
      </c>
      <c r="AF179" s="135">
        <f t="shared" si="58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6"/>
        <v>0</v>
      </c>
      <c r="C180" s="136">
        <v>0</v>
      </c>
      <c r="D180" s="135">
        <f t="shared" si="57"/>
        <v>0</v>
      </c>
      <c r="E180" s="135">
        <f t="shared" si="57"/>
        <v>0</v>
      </c>
      <c r="F180" s="135">
        <f t="shared" si="57"/>
        <v>0</v>
      </c>
      <c r="G180" s="135">
        <f t="shared" si="57"/>
        <v>0</v>
      </c>
      <c r="H180" s="135">
        <f t="shared" si="57"/>
        <v>0</v>
      </c>
      <c r="I180" s="135">
        <f t="shared" si="57"/>
        <v>0</v>
      </c>
      <c r="J180" s="135">
        <f t="shared" si="57"/>
        <v>0</v>
      </c>
      <c r="K180" s="135">
        <f t="shared" si="57"/>
        <v>0</v>
      </c>
      <c r="L180" s="135">
        <f t="shared" si="57"/>
        <v>0</v>
      </c>
      <c r="M180" s="135">
        <f t="shared" si="57"/>
        <v>0</v>
      </c>
      <c r="N180" s="135">
        <f t="shared" si="57"/>
        <v>0</v>
      </c>
      <c r="O180" s="135">
        <f t="shared" si="57"/>
        <v>0</v>
      </c>
      <c r="P180" s="135">
        <f t="shared" si="57"/>
        <v>0</v>
      </c>
      <c r="Q180" s="135">
        <f t="shared" si="57"/>
        <v>0</v>
      </c>
      <c r="R180" s="135">
        <f t="shared" si="57"/>
        <v>0</v>
      </c>
      <c r="S180" s="135">
        <f t="shared" si="57"/>
        <v>0</v>
      </c>
      <c r="T180" s="135">
        <f t="shared" si="58"/>
        <v>0</v>
      </c>
      <c r="U180" s="135">
        <f t="shared" si="58"/>
        <v>0</v>
      </c>
      <c r="V180" s="135">
        <f t="shared" si="58"/>
        <v>0</v>
      </c>
      <c r="W180" s="135">
        <f t="shared" si="58"/>
        <v>0</v>
      </c>
      <c r="X180" s="135">
        <f t="shared" si="58"/>
        <v>0</v>
      </c>
      <c r="Y180" s="135">
        <f t="shared" si="58"/>
        <v>0</v>
      </c>
      <c r="Z180" s="135">
        <f t="shared" si="58"/>
        <v>0</v>
      </c>
      <c r="AA180" s="135">
        <f t="shared" si="58"/>
        <v>0</v>
      </c>
      <c r="AB180" s="135">
        <f t="shared" si="58"/>
        <v>0</v>
      </c>
      <c r="AC180" s="135">
        <f t="shared" si="58"/>
        <v>0</v>
      </c>
      <c r="AD180" s="135">
        <f t="shared" si="58"/>
        <v>0</v>
      </c>
      <c r="AE180" s="135">
        <f t="shared" si="58"/>
        <v>0</v>
      </c>
      <c r="AF180" s="135">
        <f t="shared" si="58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6"/>
        <v>0.6</v>
      </c>
      <c r="C181" s="136">
        <v>0.6</v>
      </c>
      <c r="D181" s="135">
        <f t="shared" si="57"/>
        <v>0.6</v>
      </c>
      <c r="E181" s="135">
        <f t="shared" si="57"/>
        <v>0.6</v>
      </c>
      <c r="F181" s="135">
        <f t="shared" si="57"/>
        <v>0.6</v>
      </c>
      <c r="G181" s="135">
        <f t="shared" si="57"/>
        <v>0.6</v>
      </c>
      <c r="H181" s="135">
        <f t="shared" si="57"/>
        <v>0.6</v>
      </c>
      <c r="I181" s="135">
        <f t="shared" si="57"/>
        <v>0.6</v>
      </c>
      <c r="J181" s="135">
        <f t="shared" si="57"/>
        <v>0.6</v>
      </c>
      <c r="K181" s="135">
        <f t="shared" si="57"/>
        <v>0.6</v>
      </c>
      <c r="L181" s="135">
        <f t="shared" si="57"/>
        <v>0.6</v>
      </c>
      <c r="M181" s="135">
        <f t="shared" si="57"/>
        <v>0.6</v>
      </c>
      <c r="N181" s="135">
        <f t="shared" si="57"/>
        <v>0.6</v>
      </c>
      <c r="O181" s="135">
        <f t="shared" si="57"/>
        <v>0.6</v>
      </c>
      <c r="P181" s="135">
        <f t="shared" si="57"/>
        <v>0.6</v>
      </c>
      <c r="Q181" s="135">
        <f t="shared" si="57"/>
        <v>0.6</v>
      </c>
      <c r="R181" s="135">
        <f t="shared" si="57"/>
        <v>0.6</v>
      </c>
      <c r="S181" s="135">
        <f t="shared" si="57"/>
        <v>0.6</v>
      </c>
      <c r="T181" s="135">
        <f t="shared" si="58"/>
        <v>0.6</v>
      </c>
      <c r="U181" s="135">
        <f t="shared" si="58"/>
        <v>0.6</v>
      </c>
      <c r="V181" s="135">
        <f t="shared" si="58"/>
        <v>0.6</v>
      </c>
      <c r="W181" s="135">
        <f t="shared" si="58"/>
        <v>0.6</v>
      </c>
      <c r="X181" s="135">
        <f t="shared" si="58"/>
        <v>0.6</v>
      </c>
      <c r="Y181" s="135">
        <f t="shared" si="58"/>
        <v>0.6</v>
      </c>
      <c r="Z181" s="135">
        <f t="shared" si="58"/>
        <v>0.6</v>
      </c>
      <c r="AA181" s="135">
        <f t="shared" si="58"/>
        <v>0.6</v>
      </c>
      <c r="AB181" s="135">
        <f t="shared" si="58"/>
        <v>0.6</v>
      </c>
      <c r="AC181" s="135">
        <f t="shared" si="58"/>
        <v>0.6</v>
      </c>
      <c r="AD181" s="135">
        <f t="shared" si="58"/>
        <v>0.6</v>
      </c>
      <c r="AE181" s="135">
        <f t="shared" si="58"/>
        <v>0.6</v>
      </c>
      <c r="AF181" s="135">
        <f t="shared" si="58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6"/>
        <v>0.6</v>
      </c>
      <c r="C182" s="136">
        <v>0.6</v>
      </c>
      <c r="D182" s="135">
        <f t="shared" si="57"/>
        <v>0.6</v>
      </c>
      <c r="E182" s="135">
        <f t="shared" si="57"/>
        <v>0.6</v>
      </c>
      <c r="F182" s="135">
        <f t="shared" si="57"/>
        <v>0.6</v>
      </c>
      <c r="G182" s="135">
        <f t="shared" si="57"/>
        <v>0.6</v>
      </c>
      <c r="H182" s="135">
        <f t="shared" si="57"/>
        <v>0.6</v>
      </c>
      <c r="I182" s="135">
        <f t="shared" si="57"/>
        <v>0.6</v>
      </c>
      <c r="J182" s="135">
        <f t="shared" si="57"/>
        <v>0.6</v>
      </c>
      <c r="K182" s="135">
        <f t="shared" si="57"/>
        <v>0.6</v>
      </c>
      <c r="L182" s="135">
        <f t="shared" si="57"/>
        <v>0.6</v>
      </c>
      <c r="M182" s="135">
        <f t="shared" si="57"/>
        <v>0.6</v>
      </c>
      <c r="N182" s="135">
        <f t="shared" si="57"/>
        <v>0.6</v>
      </c>
      <c r="O182" s="135">
        <f t="shared" si="57"/>
        <v>0.6</v>
      </c>
      <c r="P182" s="135">
        <f t="shared" si="57"/>
        <v>0.6</v>
      </c>
      <c r="Q182" s="135">
        <f t="shared" si="57"/>
        <v>0.6</v>
      </c>
      <c r="R182" s="135">
        <f t="shared" si="57"/>
        <v>0.6</v>
      </c>
      <c r="S182" s="135">
        <f t="shared" si="57"/>
        <v>0.6</v>
      </c>
      <c r="T182" s="135">
        <f t="shared" si="58"/>
        <v>0.6</v>
      </c>
      <c r="U182" s="135">
        <f t="shared" si="58"/>
        <v>0.6</v>
      </c>
      <c r="V182" s="135">
        <f t="shared" si="58"/>
        <v>0.6</v>
      </c>
      <c r="W182" s="135">
        <f t="shared" si="58"/>
        <v>0.6</v>
      </c>
      <c r="X182" s="135">
        <f t="shared" si="58"/>
        <v>0.6</v>
      </c>
      <c r="Y182" s="135">
        <f t="shared" si="58"/>
        <v>0.6</v>
      </c>
      <c r="Z182" s="135">
        <f t="shared" si="58"/>
        <v>0.6</v>
      </c>
      <c r="AA182" s="135">
        <f t="shared" si="58"/>
        <v>0.6</v>
      </c>
      <c r="AB182" s="135">
        <f t="shared" si="58"/>
        <v>0.6</v>
      </c>
      <c r="AC182" s="135">
        <f t="shared" si="58"/>
        <v>0.6</v>
      </c>
      <c r="AD182" s="135">
        <f t="shared" si="58"/>
        <v>0.6</v>
      </c>
      <c r="AE182" s="135">
        <f t="shared" si="58"/>
        <v>0.6</v>
      </c>
      <c r="AF182" s="135">
        <f t="shared" si="58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6"/>
        <v>0.35</v>
      </c>
      <c r="C183" s="136">
        <v>0.35</v>
      </c>
      <c r="D183" s="135">
        <f t="shared" si="57"/>
        <v>0.35</v>
      </c>
      <c r="E183" s="135">
        <f t="shared" si="57"/>
        <v>0.35</v>
      </c>
      <c r="F183" s="135">
        <f t="shared" si="57"/>
        <v>0.35</v>
      </c>
      <c r="G183" s="135">
        <f t="shared" si="57"/>
        <v>0.35</v>
      </c>
      <c r="H183" s="135">
        <f t="shared" si="57"/>
        <v>0.35</v>
      </c>
      <c r="I183" s="135">
        <f t="shared" si="57"/>
        <v>0.35</v>
      </c>
      <c r="J183" s="135">
        <f t="shared" si="57"/>
        <v>0.35</v>
      </c>
      <c r="K183" s="135">
        <f t="shared" si="57"/>
        <v>0.35</v>
      </c>
      <c r="L183" s="135">
        <f t="shared" si="57"/>
        <v>0.35</v>
      </c>
      <c r="M183" s="135">
        <f t="shared" si="57"/>
        <v>0.35</v>
      </c>
      <c r="N183" s="135">
        <f t="shared" si="57"/>
        <v>0.35</v>
      </c>
      <c r="O183" s="135">
        <f t="shared" si="57"/>
        <v>0.35</v>
      </c>
      <c r="P183" s="135">
        <f t="shared" si="57"/>
        <v>0.35</v>
      </c>
      <c r="Q183" s="135">
        <f t="shared" si="57"/>
        <v>0.35</v>
      </c>
      <c r="R183" s="135">
        <f t="shared" si="57"/>
        <v>0.35</v>
      </c>
      <c r="S183" s="135">
        <f t="shared" si="57"/>
        <v>0.35</v>
      </c>
      <c r="T183" s="135">
        <f t="shared" si="58"/>
        <v>0.35</v>
      </c>
      <c r="U183" s="135">
        <f t="shared" si="58"/>
        <v>0.35</v>
      </c>
      <c r="V183" s="135">
        <f t="shared" si="58"/>
        <v>0.35</v>
      </c>
      <c r="W183" s="135">
        <f t="shared" si="58"/>
        <v>0.35</v>
      </c>
      <c r="X183" s="135">
        <f t="shared" si="58"/>
        <v>0.35</v>
      </c>
      <c r="Y183" s="135">
        <f t="shared" si="58"/>
        <v>0.35</v>
      </c>
      <c r="Z183" s="135">
        <f t="shared" si="58"/>
        <v>0.35</v>
      </c>
      <c r="AA183" s="135">
        <f t="shared" si="58"/>
        <v>0.35</v>
      </c>
      <c r="AB183" s="135">
        <f t="shared" si="58"/>
        <v>0.35</v>
      </c>
      <c r="AC183" s="135">
        <f t="shared" si="58"/>
        <v>0.35</v>
      </c>
      <c r="AD183" s="135">
        <f t="shared" si="58"/>
        <v>0.35</v>
      </c>
      <c r="AE183" s="135">
        <f t="shared" si="58"/>
        <v>0.35</v>
      </c>
      <c r="AF183" s="135">
        <f t="shared" si="58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6"/>
        <v>0.28999999999999998</v>
      </c>
      <c r="C184" s="136">
        <v>0.28999999999999998</v>
      </c>
      <c r="D184" s="135">
        <f t="shared" si="57"/>
        <v>0.28999999999999998</v>
      </c>
      <c r="E184" s="135">
        <f t="shared" si="57"/>
        <v>0.28999999999999998</v>
      </c>
      <c r="F184" s="135">
        <f t="shared" si="57"/>
        <v>0.28999999999999998</v>
      </c>
      <c r="G184" s="135">
        <f t="shared" si="57"/>
        <v>0.28999999999999998</v>
      </c>
      <c r="H184" s="135">
        <f t="shared" si="57"/>
        <v>0.28999999999999998</v>
      </c>
      <c r="I184" s="135">
        <f t="shared" si="57"/>
        <v>0.28999999999999998</v>
      </c>
      <c r="J184" s="135">
        <f t="shared" si="57"/>
        <v>0.28999999999999998</v>
      </c>
      <c r="K184" s="135">
        <f t="shared" si="57"/>
        <v>0.28999999999999998</v>
      </c>
      <c r="L184" s="135">
        <f t="shared" si="57"/>
        <v>0.28999999999999998</v>
      </c>
      <c r="M184" s="135">
        <f t="shared" si="57"/>
        <v>0.28999999999999998</v>
      </c>
      <c r="N184" s="135">
        <f t="shared" si="57"/>
        <v>0.28999999999999998</v>
      </c>
      <c r="O184" s="135">
        <f t="shared" si="57"/>
        <v>0.28999999999999998</v>
      </c>
      <c r="P184" s="135">
        <f t="shared" si="57"/>
        <v>0.28999999999999998</v>
      </c>
      <c r="Q184" s="135">
        <f t="shared" si="57"/>
        <v>0.28999999999999998</v>
      </c>
      <c r="R184" s="135">
        <f t="shared" si="57"/>
        <v>0.28999999999999998</v>
      </c>
      <c r="S184" s="135">
        <f t="shared" si="57"/>
        <v>0.28999999999999998</v>
      </c>
      <c r="T184" s="135">
        <f t="shared" si="58"/>
        <v>0.28999999999999998</v>
      </c>
      <c r="U184" s="135">
        <f t="shared" si="58"/>
        <v>0.28999999999999998</v>
      </c>
      <c r="V184" s="135">
        <f t="shared" si="58"/>
        <v>0.28999999999999998</v>
      </c>
      <c r="W184" s="135">
        <f t="shared" si="58"/>
        <v>0.28999999999999998</v>
      </c>
      <c r="X184" s="135">
        <f t="shared" si="58"/>
        <v>0.28999999999999998</v>
      </c>
      <c r="Y184" s="135">
        <f t="shared" si="58"/>
        <v>0.28999999999999998</v>
      </c>
      <c r="Z184" s="135">
        <f t="shared" si="58"/>
        <v>0.28999999999999998</v>
      </c>
      <c r="AA184" s="135">
        <f t="shared" si="58"/>
        <v>0.28999999999999998</v>
      </c>
      <c r="AB184" s="135">
        <f t="shared" si="58"/>
        <v>0.28999999999999998</v>
      </c>
      <c r="AC184" s="135">
        <f t="shared" si="58"/>
        <v>0.28999999999999998</v>
      </c>
      <c r="AD184" s="135">
        <f t="shared" si="58"/>
        <v>0.28999999999999998</v>
      </c>
      <c r="AE184" s="135">
        <f t="shared" si="58"/>
        <v>0.28999999999999998</v>
      </c>
      <c r="AF184" s="135">
        <f t="shared" si="58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6"/>
        <v>0.06</v>
      </c>
      <c r="C185" s="136">
        <v>0.06</v>
      </c>
      <c r="D185" s="135">
        <f t="shared" si="57"/>
        <v>0.06</v>
      </c>
      <c r="E185" s="135">
        <f t="shared" si="57"/>
        <v>0.06</v>
      </c>
      <c r="F185" s="135">
        <f t="shared" si="57"/>
        <v>0.06</v>
      </c>
      <c r="G185" s="135">
        <f t="shared" si="57"/>
        <v>0.06</v>
      </c>
      <c r="H185" s="135">
        <f t="shared" si="57"/>
        <v>0.06</v>
      </c>
      <c r="I185" s="135">
        <f t="shared" si="57"/>
        <v>0.06</v>
      </c>
      <c r="J185" s="135">
        <f t="shared" si="57"/>
        <v>0.06</v>
      </c>
      <c r="K185" s="135">
        <f t="shared" si="57"/>
        <v>0.06</v>
      </c>
      <c r="L185" s="135">
        <f t="shared" si="57"/>
        <v>0.06</v>
      </c>
      <c r="M185" s="135">
        <f t="shared" si="57"/>
        <v>0.06</v>
      </c>
      <c r="N185" s="135">
        <f t="shared" si="57"/>
        <v>0.06</v>
      </c>
      <c r="O185" s="135">
        <f t="shared" si="57"/>
        <v>0.06</v>
      </c>
      <c r="P185" s="135">
        <f t="shared" si="57"/>
        <v>0.06</v>
      </c>
      <c r="Q185" s="135">
        <f t="shared" si="57"/>
        <v>0.06</v>
      </c>
      <c r="R185" s="135">
        <f t="shared" si="57"/>
        <v>0.06</v>
      </c>
      <c r="S185" s="135">
        <f t="shared" si="57"/>
        <v>0.06</v>
      </c>
      <c r="T185" s="135">
        <f t="shared" si="58"/>
        <v>0.06</v>
      </c>
      <c r="U185" s="135">
        <f t="shared" si="58"/>
        <v>0.06</v>
      </c>
      <c r="V185" s="135">
        <f t="shared" si="58"/>
        <v>0.06</v>
      </c>
      <c r="W185" s="135">
        <f t="shared" si="58"/>
        <v>0.06</v>
      </c>
      <c r="X185" s="135">
        <f t="shared" si="58"/>
        <v>0.06</v>
      </c>
      <c r="Y185" s="135">
        <f t="shared" si="58"/>
        <v>0.06</v>
      </c>
      <c r="Z185" s="135">
        <f t="shared" si="58"/>
        <v>0.06</v>
      </c>
      <c r="AA185" s="135">
        <f t="shared" si="58"/>
        <v>0.06</v>
      </c>
      <c r="AB185" s="135">
        <f t="shared" si="58"/>
        <v>0.06</v>
      </c>
      <c r="AC185" s="135">
        <f t="shared" si="58"/>
        <v>0.06</v>
      </c>
      <c r="AD185" s="135">
        <f t="shared" si="58"/>
        <v>0.06</v>
      </c>
      <c r="AE185" s="135">
        <f t="shared" si="58"/>
        <v>0.06</v>
      </c>
      <c r="AF185" s="135">
        <f t="shared" si="58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6"/>
        <v>0.11</v>
      </c>
      <c r="C186" s="136">
        <v>0.11</v>
      </c>
      <c r="D186" s="135">
        <f t="shared" si="57"/>
        <v>0.11</v>
      </c>
      <c r="E186" s="135">
        <f t="shared" si="57"/>
        <v>0.11</v>
      </c>
      <c r="F186" s="135">
        <f t="shared" si="57"/>
        <v>0.11</v>
      </c>
      <c r="G186" s="135">
        <f t="shared" si="57"/>
        <v>0.11</v>
      </c>
      <c r="H186" s="135">
        <f t="shared" si="57"/>
        <v>0.11</v>
      </c>
      <c r="I186" s="135">
        <f t="shared" si="57"/>
        <v>0.11</v>
      </c>
      <c r="J186" s="135">
        <f t="shared" si="57"/>
        <v>0.11</v>
      </c>
      <c r="K186" s="135">
        <f t="shared" si="57"/>
        <v>0.11</v>
      </c>
      <c r="L186" s="135">
        <f t="shared" si="57"/>
        <v>0.11</v>
      </c>
      <c r="M186" s="135">
        <f t="shared" si="57"/>
        <v>0.11</v>
      </c>
      <c r="N186" s="135">
        <f t="shared" si="57"/>
        <v>0.11</v>
      </c>
      <c r="O186" s="135">
        <f t="shared" si="57"/>
        <v>0.11</v>
      </c>
      <c r="P186" s="135">
        <f t="shared" si="57"/>
        <v>0.11</v>
      </c>
      <c r="Q186" s="135">
        <f t="shared" si="57"/>
        <v>0.11</v>
      </c>
      <c r="R186" s="135">
        <f t="shared" si="57"/>
        <v>0.11</v>
      </c>
      <c r="S186" s="135">
        <f t="shared" si="57"/>
        <v>0.11</v>
      </c>
      <c r="T186" s="135">
        <f t="shared" si="58"/>
        <v>0.11</v>
      </c>
      <c r="U186" s="135">
        <f t="shared" si="58"/>
        <v>0.11</v>
      </c>
      <c r="V186" s="135">
        <f t="shared" si="58"/>
        <v>0.11</v>
      </c>
      <c r="W186" s="135">
        <f t="shared" si="58"/>
        <v>0.11</v>
      </c>
      <c r="X186" s="135">
        <f t="shared" si="58"/>
        <v>0.11</v>
      </c>
      <c r="Y186" s="135">
        <f t="shared" si="58"/>
        <v>0.11</v>
      </c>
      <c r="Z186" s="135">
        <f t="shared" si="58"/>
        <v>0.11</v>
      </c>
      <c r="AA186" s="135">
        <f t="shared" si="58"/>
        <v>0.11</v>
      </c>
      <c r="AB186" s="135">
        <f t="shared" si="58"/>
        <v>0.11</v>
      </c>
      <c r="AC186" s="135">
        <f t="shared" si="58"/>
        <v>0.11</v>
      </c>
      <c r="AD186" s="135">
        <f t="shared" si="58"/>
        <v>0.11</v>
      </c>
      <c r="AE186" s="135">
        <f t="shared" si="58"/>
        <v>0.11</v>
      </c>
      <c r="AF186" s="135">
        <f t="shared" si="58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6"/>
        <v>0.1</v>
      </c>
      <c r="C187" s="136">
        <v>0.1</v>
      </c>
      <c r="D187" s="135">
        <f t="shared" si="57"/>
        <v>0.1</v>
      </c>
      <c r="E187" s="135">
        <f t="shared" si="57"/>
        <v>0.1</v>
      </c>
      <c r="F187" s="135">
        <f t="shared" si="57"/>
        <v>0.1</v>
      </c>
      <c r="G187" s="135">
        <f t="shared" si="57"/>
        <v>0.1</v>
      </c>
      <c r="H187" s="135">
        <f t="shared" si="57"/>
        <v>0.1</v>
      </c>
      <c r="I187" s="135">
        <f t="shared" si="57"/>
        <v>0.1</v>
      </c>
      <c r="J187" s="135">
        <f t="shared" si="57"/>
        <v>0.1</v>
      </c>
      <c r="K187" s="135">
        <f t="shared" si="57"/>
        <v>0.1</v>
      </c>
      <c r="L187" s="135">
        <f t="shared" si="57"/>
        <v>0.1</v>
      </c>
      <c r="M187" s="135">
        <f t="shared" si="57"/>
        <v>0.1</v>
      </c>
      <c r="N187" s="135">
        <f t="shared" si="57"/>
        <v>0.1</v>
      </c>
      <c r="O187" s="135">
        <f t="shared" si="57"/>
        <v>0.1</v>
      </c>
      <c r="P187" s="135">
        <f t="shared" si="57"/>
        <v>0.1</v>
      </c>
      <c r="Q187" s="135">
        <f t="shared" si="57"/>
        <v>0.1</v>
      </c>
      <c r="R187" s="135">
        <f t="shared" si="57"/>
        <v>0.1</v>
      </c>
      <c r="S187" s="135">
        <f t="shared" si="58"/>
        <v>0.1</v>
      </c>
      <c r="T187" s="135">
        <f t="shared" si="58"/>
        <v>0.1</v>
      </c>
      <c r="U187" s="135">
        <f t="shared" si="58"/>
        <v>0.1</v>
      </c>
      <c r="V187" s="135">
        <f t="shared" si="58"/>
        <v>0.1</v>
      </c>
      <c r="W187" s="135">
        <f t="shared" si="58"/>
        <v>0.1</v>
      </c>
      <c r="X187" s="135">
        <f t="shared" si="58"/>
        <v>0.1</v>
      </c>
      <c r="Y187" s="135">
        <f t="shared" si="58"/>
        <v>0.1</v>
      </c>
      <c r="Z187" s="135">
        <f t="shared" si="58"/>
        <v>0.1</v>
      </c>
      <c r="AA187" s="135">
        <f t="shared" si="58"/>
        <v>0.1</v>
      </c>
      <c r="AB187" s="135">
        <f t="shared" si="58"/>
        <v>0.1</v>
      </c>
      <c r="AC187" s="135">
        <f t="shared" si="58"/>
        <v>0.1</v>
      </c>
      <c r="AD187" s="135">
        <f t="shared" si="58"/>
        <v>0.1</v>
      </c>
      <c r="AE187" s="135">
        <f t="shared" si="58"/>
        <v>0.1</v>
      </c>
      <c r="AF187" s="135">
        <f t="shared" si="58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6"/>
        <v>0.09</v>
      </c>
      <c r="C188" s="136">
        <v>0.09</v>
      </c>
      <c r="D188" s="135">
        <f t="shared" si="57"/>
        <v>0.09</v>
      </c>
      <c r="E188" s="135">
        <f t="shared" si="57"/>
        <v>0.09</v>
      </c>
      <c r="F188" s="135">
        <f t="shared" si="57"/>
        <v>0.09</v>
      </c>
      <c r="G188" s="135">
        <f t="shared" si="57"/>
        <v>0.09</v>
      </c>
      <c r="H188" s="135">
        <f t="shared" si="57"/>
        <v>0.09</v>
      </c>
      <c r="I188" s="135">
        <f t="shared" si="57"/>
        <v>0.09</v>
      </c>
      <c r="J188" s="135">
        <f t="shared" si="57"/>
        <v>0.09</v>
      </c>
      <c r="K188" s="135">
        <f t="shared" si="57"/>
        <v>0.09</v>
      </c>
      <c r="L188" s="135">
        <f t="shared" si="57"/>
        <v>0.09</v>
      </c>
      <c r="M188" s="135">
        <f t="shared" si="57"/>
        <v>0.09</v>
      </c>
      <c r="N188" s="135">
        <f t="shared" si="57"/>
        <v>0.09</v>
      </c>
      <c r="O188" s="135">
        <f t="shared" si="57"/>
        <v>0.09</v>
      </c>
      <c r="P188" s="135">
        <f t="shared" si="57"/>
        <v>0.09</v>
      </c>
      <c r="Q188" s="135">
        <f t="shared" si="57"/>
        <v>0.09</v>
      </c>
      <c r="R188" s="135">
        <f t="shared" si="57"/>
        <v>0.09</v>
      </c>
      <c r="S188" s="135">
        <f t="shared" si="58"/>
        <v>0.09</v>
      </c>
      <c r="T188" s="135">
        <f t="shared" si="58"/>
        <v>0.09</v>
      </c>
      <c r="U188" s="135">
        <f t="shared" si="58"/>
        <v>0.09</v>
      </c>
      <c r="V188" s="135">
        <f t="shared" si="58"/>
        <v>0.09</v>
      </c>
      <c r="W188" s="135">
        <f t="shared" si="58"/>
        <v>0.09</v>
      </c>
      <c r="X188" s="135">
        <f t="shared" si="58"/>
        <v>0.09</v>
      </c>
      <c r="Y188" s="135">
        <f t="shared" si="58"/>
        <v>0.09</v>
      </c>
      <c r="Z188" s="135">
        <f t="shared" si="58"/>
        <v>0.09</v>
      </c>
      <c r="AA188" s="135">
        <f t="shared" si="58"/>
        <v>0.09</v>
      </c>
      <c r="AB188" s="135">
        <f t="shared" si="58"/>
        <v>0.09</v>
      </c>
      <c r="AC188" s="135">
        <f t="shared" si="58"/>
        <v>0.09</v>
      </c>
      <c r="AD188" s="135">
        <f t="shared" si="58"/>
        <v>0.09</v>
      </c>
      <c r="AE188" s="135">
        <f t="shared" si="58"/>
        <v>0.09</v>
      </c>
      <c r="AF188" s="135">
        <f t="shared" si="58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6"/>
        <v>0.04</v>
      </c>
      <c r="C189" s="52">
        <v>0.04</v>
      </c>
      <c r="D189" s="135">
        <f t="shared" si="57"/>
        <v>0.04</v>
      </c>
      <c r="E189" s="135">
        <f t="shared" si="57"/>
        <v>0.04</v>
      </c>
      <c r="F189" s="135">
        <f t="shared" si="57"/>
        <v>0.04</v>
      </c>
      <c r="G189" s="135">
        <f t="shared" si="57"/>
        <v>0.04</v>
      </c>
      <c r="H189" s="135">
        <f t="shared" si="57"/>
        <v>0.04</v>
      </c>
      <c r="I189" s="135">
        <f t="shared" si="57"/>
        <v>0.04</v>
      </c>
      <c r="J189" s="135">
        <f t="shared" si="57"/>
        <v>0.04</v>
      </c>
      <c r="K189" s="135">
        <f t="shared" si="57"/>
        <v>0.04</v>
      </c>
      <c r="L189" s="135">
        <f t="shared" si="57"/>
        <v>0.04</v>
      </c>
      <c r="M189" s="135">
        <f t="shared" si="57"/>
        <v>0.04</v>
      </c>
      <c r="N189" s="135">
        <f t="shared" si="57"/>
        <v>0.04</v>
      </c>
      <c r="O189" s="135">
        <f t="shared" si="57"/>
        <v>0.04</v>
      </c>
      <c r="P189" s="135">
        <f t="shared" si="57"/>
        <v>0.04</v>
      </c>
      <c r="Q189" s="135">
        <f t="shared" si="57"/>
        <v>0.04</v>
      </c>
      <c r="R189" s="135">
        <f t="shared" si="57"/>
        <v>0.04</v>
      </c>
      <c r="S189" s="135">
        <f t="shared" si="58"/>
        <v>0.04</v>
      </c>
      <c r="T189" s="135">
        <f t="shared" si="58"/>
        <v>0.04</v>
      </c>
      <c r="U189" s="135">
        <f t="shared" si="58"/>
        <v>0.04</v>
      </c>
      <c r="V189" s="135">
        <f t="shared" si="58"/>
        <v>0.04</v>
      </c>
      <c r="W189" s="135">
        <f t="shared" si="58"/>
        <v>0.04</v>
      </c>
      <c r="X189" s="135">
        <f t="shared" si="58"/>
        <v>0.04</v>
      </c>
      <c r="Y189" s="135">
        <f t="shared" si="58"/>
        <v>0.04</v>
      </c>
      <c r="Z189" s="135">
        <f t="shared" si="58"/>
        <v>0.04</v>
      </c>
      <c r="AA189" s="135">
        <f t="shared" si="58"/>
        <v>0.04</v>
      </c>
      <c r="AB189" s="135">
        <f t="shared" si="58"/>
        <v>0.04</v>
      </c>
      <c r="AC189" s="135">
        <f t="shared" si="58"/>
        <v>0.04</v>
      </c>
      <c r="AD189" s="135">
        <f t="shared" si="58"/>
        <v>0.04</v>
      </c>
      <c r="AE189" s="135">
        <f t="shared" si="58"/>
        <v>0.04</v>
      </c>
      <c r="AF189" s="135">
        <f t="shared" si="58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6"/>
        <v>2.3E-2</v>
      </c>
      <c r="C190" s="52">
        <v>2.3E-2</v>
      </c>
      <c r="D190" s="135">
        <f>C190</f>
        <v>2.3E-2</v>
      </c>
      <c r="E190" s="135">
        <f t="shared" si="57"/>
        <v>2.3E-2</v>
      </c>
      <c r="F190" s="135">
        <f t="shared" si="57"/>
        <v>2.3E-2</v>
      </c>
      <c r="G190" s="135">
        <f t="shared" si="57"/>
        <v>2.3E-2</v>
      </c>
      <c r="H190" s="135">
        <f t="shared" si="57"/>
        <v>2.3E-2</v>
      </c>
      <c r="I190" s="135">
        <f t="shared" si="57"/>
        <v>2.3E-2</v>
      </c>
      <c r="J190" s="135">
        <f t="shared" si="57"/>
        <v>2.3E-2</v>
      </c>
      <c r="K190" s="135">
        <f t="shared" si="57"/>
        <v>2.3E-2</v>
      </c>
      <c r="L190" s="135">
        <f t="shared" si="57"/>
        <v>2.3E-2</v>
      </c>
      <c r="M190" s="135">
        <f t="shared" si="57"/>
        <v>2.3E-2</v>
      </c>
      <c r="N190" s="135">
        <f t="shared" si="57"/>
        <v>2.3E-2</v>
      </c>
      <c r="O190" s="135">
        <f t="shared" si="57"/>
        <v>2.3E-2</v>
      </c>
      <c r="P190" s="135">
        <f t="shared" si="57"/>
        <v>2.3E-2</v>
      </c>
      <c r="Q190" s="135">
        <f t="shared" si="57"/>
        <v>2.3E-2</v>
      </c>
      <c r="R190" s="135">
        <f t="shared" si="57"/>
        <v>2.3E-2</v>
      </c>
      <c r="S190" s="135">
        <f t="shared" si="58"/>
        <v>2.3E-2</v>
      </c>
      <c r="T190" s="135">
        <f t="shared" si="58"/>
        <v>2.3E-2</v>
      </c>
      <c r="U190" s="135">
        <f t="shared" si="58"/>
        <v>2.3E-2</v>
      </c>
      <c r="V190" s="135">
        <f t="shared" si="58"/>
        <v>2.3E-2</v>
      </c>
      <c r="W190" s="135">
        <f t="shared" si="58"/>
        <v>2.3E-2</v>
      </c>
      <c r="X190" s="135">
        <f t="shared" si="58"/>
        <v>2.3E-2</v>
      </c>
      <c r="Y190" s="135">
        <f t="shared" si="58"/>
        <v>2.3E-2</v>
      </c>
      <c r="Z190" s="135">
        <f t="shared" si="58"/>
        <v>2.3E-2</v>
      </c>
      <c r="AA190" s="135">
        <f t="shared" si="58"/>
        <v>2.3E-2</v>
      </c>
      <c r="AB190" s="135">
        <f t="shared" si="58"/>
        <v>2.3E-2</v>
      </c>
      <c r="AC190" s="135">
        <f t="shared" si="58"/>
        <v>2.3E-2</v>
      </c>
      <c r="AD190" s="135">
        <f t="shared" si="58"/>
        <v>2.3E-2</v>
      </c>
      <c r="AE190" s="135">
        <f t="shared" si="58"/>
        <v>2.3E-2</v>
      </c>
      <c r="AF190" s="135">
        <f t="shared" si="58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9">SUM(C101:C190)</f>
        <v>194.70600000000002</v>
      </c>
      <c r="D191" s="140">
        <f t="shared" si="59"/>
        <v>194.70600000000002</v>
      </c>
      <c r="E191" s="140">
        <f t="shared" si="59"/>
        <v>194.70600000000002</v>
      </c>
      <c r="F191" s="140">
        <f t="shared" si="59"/>
        <v>194.70600000000002</v>
      </c>
      <c r="G191" s="140">
        <f t="shared" si="59"/>
        <v>194.70600000000002</v>
      </c>
      <c r="H191" s="140">
        <f t="shared" si="59"/>
        <v>194.70600000000002</v>
      </c>
      <c r="I191" s="140">
        <f t="shared" si="59"/>
        <v>194.70600000000002</v>
      </c>
      <c r="J191" s="140">
        <f t="shared" si="59"/>
        <v>192.10600000000005</v>
      </c>
      <c r="K191" s="140">
        <f t="shared" si="59"/>
        <v>192.10600000000005</v>
      </c>
      <c r="L191" s="140">
        <f t="shared" si="59"/>
        <v>192.10600000000005</v>
      </c>
      <c r="M191" s="140">
        <f t="shared" si="59"/>
        <v>192.10600000000005</v>
      </c>
      <c r="N191" s="140">
        <f t="shared" si="59"/>
        <v>192.10600000000005</v>
      </c>
      <c r="O191" s="140">
        <f t="shared" si="59"/>
        <v>192.10600000000005</v>
      </c>
      <c r="P191" s="140">
        <f t="shared" si="59"/>
        <v>192.10600000000005</v>
      </c>
      <c r="Q191" s="140">
        <f t="shared" si="59"/>
        <v>192.10600000000005</v>
      </c>
      <c r="R191" s="140">
        <f t="shared" si="59"/>
        <v>192.10600000000005</v>
      </c>
      <c r="S191" s="140">
        <f t="shared" si="59"/>
        <v>192.10600000000005</v>
      </c>
      <c r="T191" s="140">
        <f t="shared" si="59"/>
        <v>192.10600000000005</v>
      </c>
      <c r="U191" s="140">
        <f t="shared" si="59"/>
        <v>192.10600000000005</v>
      </c>
      <c r="V191" s="140">
        <f t="shared" si="59"/>
        <v>192.10600000000005</v>
      </c>
      <c r="W191" s="140">
        <f t="shared" si="59"/>
        <v>192.10600000000005</v>
      </c>
      <c r="X191" s="140">
        <f t="shared" si="59"/>
        <v>192.10600000000005</v>
      </c>
      <c r="Y191" s="140">
        <f t="shared" si="59"/>
        <v>192.10600000000005</v>
      </c>
      <c r="Z191" s="140">
        <f t="shared" si="59"/>
        <v>192.10600000000005</v>
      </c>
      <c r="AA191" s="140">
        <f t="shared" si="59"/>
        <v>192.10600000000005</v>
      </c>
      <c r="AB191" s="140">
        <f t="shared" si="59"/>
        <v>192.10600000000005</v>
      </c>
      <c r="AC191" s="140">
        <f t="shared" si="59"/>
        <v>192.10600000000005</v>
      </c>
      <c r="AD191" s="140">
        <f t="shared" si="59"/>
        <v>192.10600000000005</v>
      </c>
      <c r="AE191" s="140">
        <f t="shared" si="59"/>
        <v>192.10600000000005</v>
      </c>
      <c r="AF191" s="140">
        <f t="shared" si="59"/>
        <v>192.10600000000005</v>
      </c>
      <c r="AG191" s="141">
        <f t="shared" si="59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60">AF193</f>
        <v>0.3</v>
      </c>
      <c r="C193" s="142">
        <v>0.3</v>
      </c>
      <c r="D193" s="142">
        <f t="shared" ref="D193:S198" si="61">C193</f>
        <v>0.3</v>
      </c>
      <c r="E193" s="142">
        <f t="shared" si="61"/>
        <v>0.3</v>
      </c>
      <c r="F193" s="142">
        <f t="shared" si="61"/>
        <v>0.3</v>
      </c>
      <c r="G193" s="142">
        <f t="shared" si="61"/>
        <v>0.3</v>
      </c>
      <c r="H193" s="142">
        <f t="shared" si="61"/>
        <v>0.3</v>
      </c>
      <c r="I193" s="142">
        <f t="shared" si="61"/>
        <v>0.3</v>
      </c>
      <c r="J193" s="142">
        <f t="shared" si="61"/>
        <v>0.3</v>
      </c>
      <c r="K193" s="142">
        <f t="shared" si="61"/>
        <v>0.3</v>
      </c>
      <c r="L193" s="142">
        <f t="shared" si="61"/>
        <v>0.3</v>
      </c>
      <c r="M193" s="142">
        <f t="shared" si="61"/>
        <v>0.3</v>
      </c>
      <c r="N193" s="142">
        <f t="shared" si="61"/>
        <v>0.3</v>
      </c>
      <c r="O193" s="142">
        <f t="shared" si="61"/>
        <v>0.3</v>
      </c>
      <c r="P193" s="142">
        <f t="shared" si="61"/>
        <v>0.3</v>
      </c>
      <c r="Q193" s="142">
        <f t="shared" si="61"/>
        <v>0.3</v>
      </c>
      <c r="R193" s="142">
        <f t="shared" si="61"/>
        <v>0.3</v>
      </c>
      <c r="S193" s="142">
        <f t="shared" si="61"/>
        <v>0.3</v>
      </c>
      <c r="T193" s="142">
        <f t="shared" ref="T193:AF198" si="62">S193</f>
        <v>0.3</v>
      </c>
      <c r="U193" s="142">
        <f t="shared" si="62"/>
        <v>0.3</v>
      </c>
      <c r="V193" s="142">
        <f t="shared" si="62"/>
        <v>0.3</v>
      </c>
      <c r="W193" s="142">
        <f t="shared" si="62"/>
        <v>0.3</v>
      </c>
      <c r="X193" s="142">
        <f t="shared" si="62"/>
        <v>0.3</v>
      </c>
      <c r="Y193" s="142">
        <f t="shared" si="62"/>
        <v>0.3</v>
      </c>
      <c r="Z193" s="142">
        <f t="shared" si="62"/>
        <v>0.3</v>
      </c>
      <c r="AA193" s="142">
        <f t="shared" si="62"/>
        <v>0.3</v>
      </c>
      <c r="AB193" s="142">
        <f t="shared" si="62"/>
        <v>0.3</v>
      </c>
      <c r="AC193" s="142">
        <f t="shared" si="62"/>
        <v>0.3</v>
      </c>
      <c r="AD193" s="142">
        <f t="shared" si="62"/>
        <v>0.3</v>
      </c>
      <c r="AE193" s="142">
        <f t="shared" si="62"/>
        <v>0.3</v>
      </c>
      <c r="AF193" s="142">
        <f t="shared" si="62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60"/>
        <v>0.4</v>
      </c>
      <c r="C194" s="135">
        <v>0.4</v>
      </c>
      <c r="D194" s="135">
        <f t="shared" si="61"/>
        <v>0.4</v>
      </c>
      <c r="E194" s="135">
        <f t="shared" si="61"/>
        <v>0.4</v>
      </c>
      <c r="F194" s="135">
        <f t="shared" si="61"/>
        <v>0.4</v>
      </c>
      <c r="G194" s="135">
        <f t="shared" si="61"/>
        <v>0.4</v>
      </c>
      <c r="H194" s="135">
        <f t="shared" si="61"/>
        <v>0.4</v>
      </c>
      <c r="I194" s="135">
        <f t="shared" si="61"/>
        <v>0.4</v>
      </c>
      <c r="J194" s="135">
        <f t="shared" si="61"/>
        <v>0.4</v>
      </c>
      <c r="K194" s="135">
        <f t="shared" si="61"/>
        <v>0.4</v>
      </c>
      <c r="L194" s="135">
        <f t="shared" si="61"/>
        <v>0.4</v>
      </c>
      <c r="M194" s="135">
        <f t="shared" si="61"/>
        <v>0.4</v>
      </c>
      <c r="N194" s="135">
        <f t="shared" si="61"/>
        <v>0.4</v>
      </c>
      <c r="O194" s="135">
        <f t="shared" si="61"/>
        <v>0.4</v>
      </c>
      <c r="P194" s="135">
        <f t="shared" si="61"/>
        <v>0.4</v>
      </c>
      <c r="Q194" s="135">
        <f t="shared" si="61"/>
        <v>0.4</v>
      </c>
      <c r="R194" s="135">
        <f t="shared" si="61"/>
        <v>0.4</v>
      </c>
      <c r="S194" s="135">
        <f t="shared" si="61"/>
        <v>0.4</v>
      </c>
      <c r="T194" s="135">
        <f t="shared" si="62"/>
        <v>0.4</v>
      </c>
      <c r="U194" s="135">
        <f t="shared" si="62"/>
        <v>0.4</v>
      </c>
      <c r="V194" s="135">
        <f t="shared" si="62"/>
        <v>0.4</v>
      </c>
      <c r="W194" s="135">
        <f>V194</f>
        <v>0.4</v>
      </c>
      <c r="X194" s="135">
        <f>W194</f>
        <v>0.4</v>
      </c>
      <c r="Y194" s="135">
        <f t="shared" si="62"/>
        <v>0.4</v>
      </c>
      <c r="Z194" s="135">
        <f t="shared" si="62"/>
        <v>0.4</v>
      </c>
      <c r="AA194" s="135">
        <f t="shared" si="62"/>
        <v>0.4</v>
      </c>
      <c r="AB194" s="135">
        <f t="shared" si="62"/>
        <v>0.4</v>
      </c>
      <c r="AC194" s="135">
        <f t="shared" si="62"/>
        <v>0.4</v>
      </c>
      <c r="AD194" s="135">
        <f t="shared" si="62"/>
        <v>0.4</v>
      </c>
      <c r="AE194" s="135">
        <f t="shared" si="62"/>
        <v>0.4</v>
      </c>
      <c r="AF194" s="135">
        <f t="shared" si="62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60"/>
        <v>1.5</v>
      </c>
      <c r="C195" s="135">
        <v>1.5</v>
      </c>
      <c r="D195" s="135">
        <f t="shared" si="61"/>
        <v>1.5</v>
      </c>
      <c r="E195" s="135">
        <f t="shared" si="61"/>
        <v>1.5</v>
      </c>
      <c r="F195" s="135">
        <f t="shared" si="61"/>
        <v>1.5</v>
      </c>
      <c r="G195" s="135">
        <f t="shared" si="61"/>
        <v>1.5</v>
      </c>
      <c r="H195" s="135">
        <f t="shared" si="61"/>
        <v>1.5</v>
      </c>
      <c r="I195" s="135">
        <f t="shared" si="61"/>
        <v>1.5</v>
      </c>
      <c r="J195" s="135">
        <f t="shared" si="61"/>
        <v>1.5</v>
      </c>
      <c r="K195" s="135">
        <f t="shared" si="61"/>
        <v>1.5</v>
      </c>
      <c r="L195" s="135">
        <f t="shared" si="61"/>
        <v>1.5</v>
      </c>
      <c r="M195" s="135">
        <f t="shared" si="61"/>
        <v>1.5</v>
      </c>
      <c r="N195" s="135">
        <f t="shared" si="61"/>
        <v>1.5</v>
      </c>
      <c r="O195" s="135">
        <f t="shared" si="61"/>
        <v>1.5</v>
      </c>
      <c r="P195" s="135">
        <f t="shared" si="61"/>
        <v>1.5</v>
      </c>
      <c r="Q195" s="135">
        <f t="shared" si="61"/>
        <v>1.5</v>
      </c>
      <c r="R195" s="135">
        <f t="shared" si="61"/>
        <v>1.5</v>
      </c>
      <c r="S195" s="135">
        <f t="shared" si="61"/>
        <v>1.5</v>
      </c>
      <c r="T195" s="135">
        <f t="shared" si="62"/>
        <v>1.5</v>
      </c>
      <c r="U195" s="135">
        <f t="shared" si="62"/>
        <v>1.5</v>
      </c>
      <c r="V195" s="135">
        <f t="shared" si="62"/>
        <v>1.5</v>
      </c>
      <c r="W195" s="135">
        <f t="shared" si="62"/>
        <v>1.5</v>
      </c>
      <c r="X195" s="135">
        <f t="shared" si="62"/>
        <v>1.5</v>
      </c>
      <c r="Y195" s="135">
        <f t="shared" si="62"/>
        <v>1.5</v>
      </c>
      <c r="Z195" s="135">
        <f t="shared" si="62"/>
        <v>1.5</v>
      </c>
      <c r="AA195" s="135">
        <f t="shared" si="62"/>
        <v>1.5</v>
      </c>
      <c r="AB195" s="135">
        <f t="shared" si="62"/>
        <v>1.5</v>
      </c>
      <c r="AC195" s="135">
        <f t="shared" si="62"/>
        <v>1.5</v>
      </c>
      <c r="AD195" s="135">
        <f t="shared" si="62"/>
        <v>1.5</v>
      </c>
      <c r="AE195" s="135">
        <f t="shared" si="62"/>
        <v>1.5</v>
      </c>
      <c r="AF195" s="135">
        <f t="shared" si="62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60"/>
        <v>0.3</v>
      </c>
      <c r="C196" s="135">
        <v>0.3</v>
      </c>
      <c r="D196" s="135">
        <f t="shared" si="61"/>
        <v>0.3</v>
      </c>
      <c r="E196" s="135">
        <f t="shared" si="61"/>
        <v>0.3</v>
      </c>
      <c r="F196" s="135">
        <f t="shared" si="61"/>
        <v>0.3</v>
      </c>
      <c r="G196" s="135">
        <f t="shared" si="61"/>
        <v>0.3</v>
      </c>
      <c r="H196" s="135">
        <f t="shared" si="61"/>
        <v>0.3</v>
      </c>
      <c r="I196" s="135">
        <f t="shared" si="61"/>
        <v>0.3</v>
      </c>
      <c r="J196" s="135">
        <f t="shared" si="61"/>
        <v>0.3</v>
      </c>
      <c r="K196" s="135">
        <f t="shared" si="61"/>
        <v>0.3</v>
      </c>
      <c r="L196" s="135">
        <f t="shared" si="61"/>
        <v>0.3</v>
      </c>
      <c r="M196" s="135">
        <f t="shared" si="61"/>
        <v>0.3</v>
      </c>
      <c r="N196" s="135">
        <f t="shared" si="61"/>
        <v>0.3</v>
      </c>
      <c r="O196" s="135">
        <f t="shared" si="61"/>
        <v>0.3</v>
      </c>
      <c r="P196" s="135">
        <f t="shared" si="61"/>
        <v>0.3</v>
      </c>
      <c r="Q196" s="135">
        <f t="shared" si="61"/>
        <v>0.3</v>
      </c>
      <c r="R196" s="135">
        <f t="shared" si="61"/>
        <v>0.3</v>
      </c>
      <c r="S196" s="135">
        <f t="shared" si="61"/>
        <v>0.3</v>
      </c>
      <c r="T196" s="135">
        <f t="shared" si="62"/>
        <v>0.3</v>
      </c>
      <c r="U196" s="135">
        <f t="shared" si="62"/>
        <v>0.3</v>
      </c>
      <c r="V196" s="135">
        <f t="shared" si="62"/>
        <v>0.3</v>
      </c>
      <c r="W196" s="135">
        <f t="shared" si="62"/>
        <v>0.3</v>
      </c>
      <c r="X196" s="135">
        <f t="shared" si="62"/>
        <v>0.3</v>
      </c>
      <c r="Y196" s="135">
        <f t="shared" si="62"/>
        <v>0.3</v>
      </c>
      <c r="Z196" s="135">
        <f t="shared" si="62"/>
        <v>0.3</v>
      </c>
      <c r="AA196" s="135">
        <f t="shared" si="62"/>
        <v>0.3</v>
      </c>
      <c r="AB196" s="135">
        <f t="shared" si="62"/>
        <v>0.3</v>
      </c>
      <c r="AC196" s="135">
        <f t="shared" si="62"/>
        <v>0.3</v>
      </c>
      <c r="AD196" s="135">
        <f t="shared" si="62"/>
        <v>0.3</v>
      </c>
      <c r="AE196" s="135">
        <f t="shared" si="62"/>
        <v>0.3</v>
      </c>
      <c r="AF196" s="135">
        <f t="shared" si="62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60"/>
        <v>0.4</v>
      </c>
      <c r="C197" s="135">
        <v>0.4</v>
      </c>
      <c r="D197" s="135">
        <f t="shared" si="61"/>
        <v>0.4</v>
      </c>
      <c r="E197" s="135">
        <f t="shared" si="61"/>
        <v>0.4</v>
      </c>
      <c r="F197" s="135">
        <f t="shared" si="61"/>
        <v>0.4</v>
      </c>
      <c r="G197" s="135">
        <f t="shared" si="61"/>
        <v>0.4</v>
      </c>
      <c r="H197" s="135">
        <f t="shared" si="61"/>
        <v>0.4</v>
      </c>
      <c r="I197" s="135">
        <f t="shared" si="61"/>
        <v>0.4</v>
      </c>
      <c r="J197" s="135">
        <f t="shared" si="61"/>
        <v>0.4</v>
      </c>
      <c r="K197" s="135">
        <f t="shared" si="61"/>
        <v>0.4</v>
      </c>
      <c r="L197" s="135">
        <f t="shared" si="61"/>
        <v>0.4</v>
      </c>
      <c r="M197" s="135">
        <f t="shared" si="61"/>
        <v>0.4</v>
      </c>
      <c r="N197" s="135">
        <f t="shared" si="61"/>
        <v>0.4</v>
      </c>
      <c r="O197" s="135">
        <f t="shared" si="61"/>
        <v>0.4</v>
      </c>
      <c r="P197" s="135">
        <f t="shared" si="61"/>
        <v>0.4</v>
      </c>
      <c r="Q197" s="135">
        <f t="shared" si="61"/>
        <v>0.4</v>
      </c>
      <c r="R197" s="135">
        <f t="shared" si="61"/>
        <v>0.4</v>
      </c>
      <c r="S197" s="135">
        <f t="shared" si="61"/>
        <v>0.4</v>
      </c>
      <c r="T197" s="135">
        <f t="shared" si="62"/>
        <v>0.4</v>
      </c>
      <c r="U197" s="135">
        <f t="shared" si="62"/>
        <v>0.4</v>
      </c>
      <c r="V197" s="135">
        <f t="shared" si="62"/>
        <v>0.4</v>
      </c>
      <c r="W197" s="135">
        <f t="shared" si="62"/>
        <v>0.4</v>
      </c>
      <c r="X197" s="135">
        <f t="shared" si="62"/>
        <v>0.4</v>
      </c>
      <c r="Y197" s="135">
        <f t="shared" si="62"/>
        <v>0.4</v>
      </c>
      <c r="Z197" s="135">
        <f t="shared" si="62"/>
        <v>0.4</v>
      </c>
      <c r="AA197" s="135">
        <f t="shared" si="62"/>
        <v>0.4</v>
      </c>
      <c r="AB197" s="135">
        <f t="shared" si="62"/>
        <v>0.4</v>
      </c>
      <c r="AC197" s="135">
        <f t="shared" si="62"/>
        <v>0.4</v>
      </c>
      <c r="AD197" s="135">
        <f t="shared" si="62"/>
        <v>0.4</v>
      </c>
      <c r="AE197" s="135">
        <f t="shared" si="62"/>
        <v>0.4</v>
      </c>
      <c r="AF197" s="135">
        <f t="shared" si="62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60"/>
        <v>0.64</v>
      </c>
      <c r="C198" s="145">
        <v>0.64</v>
      </c>
      <c r="D198" s="145">
        <f t="shared" si="61"/>
        <v>0.64</v>
      </c>
      <c r="E198" s="145">
        <f t="shared" si="61"/>
        <v>0.64</v>
      </c>
      <c r="F198" s="145">
        <f t="shared" si="61"/>
        <v>0.64</v>
      </c>
      <c r="G198" s="145">
        <f t="shared" si="61"/>
        <v>0.64</v>
      </c>
      <c r="H198" s="145">
        <f t="shared" si="61"/>
        <v>0.64</v>
      </c>
      <c r="I198" s="145">
        <f t="shared" si="61"/>
        <v>0.64</v>
      </c>
      <c r="J198" s="145">
        <f t="shared" si="61"/>
        <v>0.64</v>
      </c>
      <c r="K198" s="145">
        <f t="shared" si="61"/>
        <v>0.64</v>
      </c>
      <c r="L198" s="145">
        <f t="shared" si="61"/>
        <v>0.64</v>
      </c>
      <c r="M198" s="145">
        <f t="shared" si="61"/>
        <v>0.64</v>
      </c>
      <c r="N198" s="145">
        <f t="shared" si="61"/>
        <v>0.64</v>
      </c>
      <c r="O198" s="145">
        <f t="shared" si="61"/>
        <v>0.64</v>
      </c>
      <c r="P198" s="145">
        <f t="shared" si="61"/>
        <v>0.64</v>
      </c>
      <c r="Q198" s="145">
        <f t="shared" si="61"/>
        <v>0.64</v>
      </c>
      <c r="R198" s="145">
        <f t="shared" si="61"/>
        <v>0.64</v>
      </c>
      <c r="S198" s="145">
        <f t="shared" si="61"/>
        <v>0.64</v>
      </c>
      <c r="T198" s="145">
        <f t="shared" si="62"/>
        <v>0.64</v>
      </c>
      <c r="U198" s="145">
        <f t="shared" si="62"/>
        <v>0.64</v>
      </c>
      <c r="V198" s="145">
        <f t="shared" si="62"/>
        <v>0.64</v>
      </c>
      <c r="W198" s="145">
        <f t="shared" si="62"/>
        <v>0.64</v>
      </c>
      <c r="X198" s="145">
        <f t="shared" si="62"/>
        <v>0.64</v>
      </c>
      <c r="Y198" s="145">
        <f t="shared" si="62"/>
        <v>0.64</v>
      </c>
      <c r="Z198" s="145">
        <f t="shared" si="62"/>
        <v>0.64</v>
      </c>
      <c r="AA198" s="145">
        <f t="shared" si="62"/>
        <v>0.64</v>
      </c>
      <c r="AB198" s="145">
        <f t="shared" si="62"/>
        <v>0.64</v>
      </c>
      <c r="AC198" s="145">
        <f t="shared" si="62"/>
        <v>0.64</v>
      </c>
      <c r="AD198" s="145">
        <f t="shared" si="62"/>
        <v>0.64</v>
      </c>
      <c r="AE198" s="145">
        <f t="shared" si="62"/>
        <v>0.64</v>
      </c>
      <c r="AF198" s="145">
        <f t="shared" si="62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63">SUM(D193:D198)</f>
        <v>3.54</v>
      </c>
      <c r="E199" s="148">
        <f t="shared" si="63"/>
        <v>3.54</v>
      </c>
      <c r="F199" s="148">
        <f t="shared" si="63"/>
        <v>3.54</v>
      </c>
      <c r="G199" s="148">
        <f t="shared" si="63"/>
        <v>3.54</v>
      </c>
      <c r="H199" s="148">
        <f t="shared" si="63"/>
        <v>3.54</v>
      </c>
      <c r="I199" s="148">
        <f t="shared" si="63"/>
        <v>3.54</v>
      </c>
      <c r="J199" s="148">
        <f t="shared" si="63"/>
        <v>3.54</v>
      </c>
      <c r="K199" s="148">
        <f t="shared" si="63"/>
        <v>3.54</v>
      </c>
      <c r="L199" s="148">
        <f t="shared" si="63"/>
        <v>3.54</v>
      </c>
      <c r="M199" s="148">
        <f>SUM(M193:M198)</f>
        <v>3.54</v>
      </c>
      <c r="N199" s="148">
        <f t="shared" ref="N199:S199" si="64">SUM(N193:N198)</f>
        <v>3.54</v>
      </c>
      <c r="O199" s="148">
        <f t="shared" si="64"/>
        <v>3.54</v>
      </c>
      <c r="P199" s="148">
        <f t="shared" si="64"/>
        <v>3.54</v>
      </c>
      <c r="Q199" s="148">
        <f t="shared" si="64"/>
        <v>3.54</v>
      </c>
      <c r="R199" s="148">
        <f t="shared" si="64"/>
        <v>3.54</v>
      </c>
      <c r="S199" s="148">
        <f t="shared" si="64"/>
        <v>3.54</v>
      </c>
      <c r="T199" s="148">
        <f>SUM(T193:T198)</f>
        <v>3.54</v>
      </c>
      <c r="U199" s="148">
        <f t="shared" ref="U199:AG199" si="65">SUM(U193:U198)</f>
        <v>3.54</v>
      </c>
      <c r="V199" s="148">
        <f t="shared" si="65"/>
        <v>3.54</v>
      </c>
      <c r="W199" s="148">
        <f t="shared" si="65"/>
        <v>3.54</v>
      </c>
      <c r="X199" s="148">
        <f t="shared" si="65"/>
        <v>3.54</v>
      </c>
      <c r="Y199" s="148">
        <f t="shared" si="65"/>
        <v>3.54</v>
      </c>
      <c r="Z199" s="148">
        <f t="shared" si="65"/>
        <v>3.54</v>
      </c>
      <c r="AA199" s="148">
        <f t="shared" si="65"/>
        <v>3.54</v>
      </c>
      <c r="AB199" s="148">
        <f t="shared" si="65"/>
        <v>3.54</v>
      </c>
      <c r="AC199" s="148">
        <f t="shared" si="65"/>
        <v>3.54</v>
      </c>
      <c r="AD199" s="148">
        <f t="shared" si="65"/>
        <v>3.54</v>
      </c>
      <c r="AE199" s="148">
        <f t="shared" si="65"/>
        <v>3.54</v>
      </c>
      <c r="AF199" s="148">
        <f t="shared" si="65"/>
        <v>3.54</v>
      </c>
      <c r="AG199" s="149">
        <f t="shared" si="65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1613.1399999999999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2078/10/18)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6">B75</f>
        <v>1004.54</v>
      </c>
      <c r="U213" s="173">
        <f t="shared" si="66"/>
        <v>964.94</v>
      </c>
      <c r="V213" s="173">
        <f t="shared" si="66"/>
        <v>957.04</v>
      </c>
      <c r="W213" s="173">
        <f t="shared" si="66"/>
        <v>919.04</v>
      </c>
      <c r="X213" s="173">
        <f t="shared" si="66"/>
        <v>923.84</v>
      </c>
      <c r="Y213" s="173">
        <f t="shared" si="66"/>
        <v>981.04</v>
      </c>
      <c r="Z213" s="173">
        <f t="shared" si="66"/>
        <v>1026.3399999999999</v>
      </c>
      <c r="AA213" s="173">
        <f t="shared" si="66"/>
        <v>1094.54</v>
      </c>
      <c r="AB213" s="173">
        <f t="shared" si="66"/>
        <v>1244.3400000000001</v>
      </c>
      <c r="AC213" s="173">
        <f t="shared" si="66"/>
        <v>1406.04</v>
      </c>
      <c r="AD213" s="173">
        <f t="shared" si="66"/>
        <v>1505.3400000000001</v>
      </c>
      <c r="AE213" s="173">
        <f t="shared" si="66"/>
        <v>1613.1399999999999</v>
      </c>
      <c r="AF213" s="173">
        <f t="shared" si="66"/>
        <v>1575.7400000000002</v>
      </c>
      <c r="AG213" s="173">
        <f t="shared" si="66"/>
        <v>1486.94</v>
      </c>
      <c r="AH213" s="173">
        <f t="shared" si="66"/>
        <v>1325.94</v>
      </c>
      <c r="AI213" s="173">
        <f t="shared" si="66"/>
        <v>1307.9399999999998</v>
      </c>
      <c r="AJ213" s="173">
        <f t="shared" si="66"/>
        <v>1256.6400000000001</v>
      </c>
      <c r="AK213" s="173">
        <f t="shared" si="66"/>
        <v>1322.04</v>
      </c>
      <c r="AL213" s="173">
        <f t="shared" si="66"/>
        <v>1353.3400000000001</v>
      </c>
      <c r="AM213" s="173">
        <f t="shared" si="66"/>
        <v>1393.04</v>
      </c>
      <c r="AN213" s="173">
        <f t="shared" si="66"/>
        <v>1427.84</v>
      </c>
      <c r="AO213" s="173">
        <f t="shared" si="66"/>
        <v>1512.8400000000001</v>
      </c>
      <c r="AP213" s="173">
        <f t="shared" si="66"/>
        <v>1598.3400000000001</v>
      </c>
      <c r="AQ213" s="173">
        <f t="shared" si="66"/>
        <v>1708.2400000000002</v>
      </c>
      <c r="AR213" s="173">
        <f t="shared" si="66"/>
        <v>3.54</v>
      </c>
      <c r="AS213" s="173">
        <f t="shared" si="66"/>
        <v>1518.44</v>
      </c>
      <c r="AT213" s="173">
        <f t="shared" si="66"/>
        <v>1501.1399999999999</v>
      </c>
      <c r="AU213" s="173">
        <f t="shared" si="66"/>
        <v>1257.2399999999998</v>
      </c>
      <c r="AV213" s="173">
        <f t="shared" si="66"/>
        <v>1242.04</v>
      </c>
      <c r="AW213" s="173">
        <f t="shared" si="66"/>
        <v>1129.44</v>
      </c>
      <c r="AX213" s="173">
        <f t="shared" si="66"/>
        <v>1007.94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7">C198</f>
        <v>0.64</v>
      </c>
      <c r="C234" s="176">
        <f t="shared" si="67"/>
        <v>0.64</v>
      </c>
      <c r="D234" s="176">
        <f t="shared" si="67"/>
        <v>0.64</v>
      </c>
      <c r="E234" s="176">
        <f t="shared" si="67"/>
        <v>0.64</v>
      </c>
      <c r="F234" s="176">
        <f t="shared" si="67"/>
        <v>0.64</v>
      </c>
      <c r="G234" s="176">
        <f t="shared" si="67"/>
        <v>0.64</v>
      </c>
      <c r="H234" s="176">
        <f t="shared" si="67"/>
        <v>0.64</v>
      </c>
      <c r="I234" s="176">
        <f t="shared" si="67"/>
        <v>0.64</v>
      </c>
      <c r="J234" s="176">
        <f t="shared" si="67"/>
        <v>0.64</v>
      </c>
      <c r="K234" s="176">
        <f t="shared" si="67"/>
        <v>0.64</v>
      </c>
      <c r="L234" s="176">
        <f t="shared" si="67"/>
        <v>0.64</v>
      </c>
      <c r="M234" s="176">
        <f t="shared" si="67"/>
        <v>0.64</v>
      </c>
      <c r="N234" s="176">
        <f t="shared" si="67"/>
        <v>0.64</v>
      </c>
      <c r="O234" s="176">
        <f t="shared" si="67"/>
        <v>0.64</v>
      </c>
      <c r="P234" s="176">
        <f t="shared" si="67"/>
        <v>0.64</v>
      </c>
      <c r="Q234" s="176">
        <f t="shared" si="67"/>
        <v>0.64</v>
      </c>
      <c r="R234" s="176">
        <f t="shared" si="67"/>
        <v>0.64</v>
      </c>
      <c r="S234" s="176">
        <f t="shared" si="67"/>
        <v>0.64</v>
      </c>
      <c r="T234" s="176">
        <f t="shared" si="67"/>
        <v>0.64</v>
      </c>
      <c r="U234" s="176">
        <f t="shared" si="67"/>
        <v>0.64</v>
      </c>
      <c r="V234" s="176">
        <f t="shared" si="67"/>
        <v>0.64</v>
      </c>
      <c r="W234" s="176">
        <f t="shared" si="67"/>
        <v>0.64</v>
      </c>
      <c r="X234" s="176">
        <f t="shared" si="67"/>
        <v>0.64</v>
      </c>
      <c r="Y234" s="176">
        <f t="shared" si="67"/>
        <v>0.64</v>
      </c>
      <c r="Z234" s="176">
        <f t="shared" si="67"/>
        <v>0.64</v>
      </c>
      <c r="AA234" s="176">
        <f t="shared" si="67"/>
        <v>0.64</v>
      </c>
      <c r="AB234" s="176">
        <f t="shared" si="67"/>
        <v>0.64</v>
      </c>
      <c r="AC234" s="176">
        <f t="shared" si="67"/>
        <v>0.64</v>
      </c>
      <c r="AD234" s="176">
        <f t="shared" si="67"/>
        <v>0.64</v>
      </c>
      <c r="AE234" s="176">
        <f t="shared" si="67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8">IF(C202&lt;100,"",C202-520)</f>
        <v/>
      </c>
      <c r="D235" s="119" t="str">
        <f t="shared" si="68"/>
        <v/>
      </c>
      <c r="E235" s="119" t="str">
        <f t="shared" si="68"/>
        <v/>
      </c>
      <c r="F235" s="119" t="str">
        <f t="shared" si="68"/>
        <v/>
      </c>
      <c r="G235" s="119" t="str">
        <f t="shared" si="68"/>
        <v/>
      </c>
      <c r="H235" s="119" t="str">
        <f t="shared" si="68"/>
        <v/>
      </c>
      <c r="I235" s="119" t="str">
        <f t="shared" si="68"/>
        <v/>
      </c>
      <c r="J235" s="119" t="str">
        <f t="shared" si="68"/>
        <v/>
      </c>
      <c r="K235" s="119" t="str">
        <f t="shared" si="68"/>
        <v/>
      </c>
      <c r="L235" s="119" t="str">
        <f t="shared" si="68"/>
        <v/>
      </c>
      <c r="M235" s="119" t="str">
        <f t="shared" si="68"/>
        <v/>
      </c>
      <c r="N235" s="119" t="str">
        <f t="shared" si="68"/>
        <v/>
      </c>
      <c r="O235" s="119" t="str">
        <f t="shared" si="68"/>
        <v/>
      </c>
      <c r="P235" s="119" t="str">
        <f t="shared" si="68"/>
        <v/>
      </c>
      <c r="Q235" s="119" t="str">
        <f t="shared" si="68"/>
        <v/>
      </c>
      <c r="R235" s="119" t="str">
        <f t="shared" si="68"/>
        <v/>
      </c>
      <c r="S235" s="119" t="str">
        <f t="shared" si="68"/>
        <v/>
      </c>
      <c r="T235" s="119" t="str">
        <f t="shared" si="68"/>
        <v/>
      </c>
      <c r="U235" s="119" t="str">
        <f t="shared" si="68"/>
        <v/>
      </c>
      <c r="V235" s="119" t="str">
        <f t="shared" si="68"/>
        <v/>
      </c>
      <c r="W235" s="119" t="str">
        <f t="shared" si="68"/>
        <v/>
      </c>
      <c r="X235" s="119" t="str">
        <f t="shared" si="68"/>
        <v/>
      </c>
      <c r="Y235" s="119" t="str">
        <f t="shared" si="68"/>
        <v/>
      </c>
      <c r="Z235" s="119" t="str">
        <f t="shared" si="68"/>
        <v/>
      </c>
      <c r="AA235" s="119" t="str">
        <f t="shared" si="68"/>
        <v/>
      </c>
      <c r="AB235" s="119" t="str">
        <f t="shared" si="68"/>
        <v/>
      </c>
      <c r="AC235" s="119" t="str">
        <f t="shared" si="68"/>
        <v/>
      </c>
      <c r="AD235" s="119" t="str">
        <f t="shared" si="68"/>
        <v/>
      </c>
      <c r="AE235" s="119" t="str">
        <f t="shared" si="68"/>
        <v/>
      </c>
      <c r="AF235" s="119" t="str">
        <f t="shared" si="68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9">IF(B203&lt;100,"",B203-620)</f>
        <v/>
      </c>
      <c r="C236" s="119" t="str">
        <f t="shared" si="69"/>
        <v/>
      </c>
      <c r="D236" s="119" t="str">
        <f t="shared" si="69"/>
        <v/>
      </c>
      <c r="E236" s="119" t="str">
        <f t="shared" si="69"/>
        <v/>
      </c>
      <c r="F236" s="119" t="str">
        <f t="shared" si="69"/>
        <v/>
      </c>
      <c r="G236" s="119" t="str">
        <f t="shared" si="69"/>
        <v/>
      </c>
      <c r="H236" s="119" t="str">
        <f t="shared" si="69"/>
        <v/>
      </c>
      <c r="I236" s="119" t="str">
        <f t="shared" si="69"/>
        <v/>
      </c>
      <c r="J236" s="119" t="str">
        <f t="shared" si="69"/>
        <v/>
      </c>
      <c r="K236" s="119" t="str">
        <f t="shared" si="69"/>
        <v/>
      </c>
      <c r="L236" s="119" t="str">
        <f t="shared" si="69"/>
        <v/>
      </c>
      <c r="M236" s="119" t="str">
        <f t="shared" si="69"/>
        <v/>
      </c>
      <c r="N236" s="119" t="str">
        <f t="shared" si="69"/>
        <v/>
      </c>
      <c r="O236" s="119" t="str">
        <f t="shared" si="69"/>
        <v/>
      </c>
      <c r="P236" s="119" t="str">
        <f t="shared" si="69"/>
        <v/>
      </c>
      <c r="Q236" s="119" t="str">
        <f t="shared" si="69"/>
        <v/>
      </c>
      <c r="R236" s="119" t="str">
        <f t="shared" si="69"/>
        <v/>
      </c>
      <c r="S236" s="119" t="str">
        <f t="shared" si="69"/>
        <v/>
      </c>
      <c r="T236" s="119" t="str">
        <f t="shared" si="69"/>
        <v/>
      </c>
      <c r="U236" s="119" t="str">
        <f t="shared" si="69"/>
        <v/>
      </c>
      <c r="V236" s="119" t="str">
        <f t="shared" si="69"/>
        <v/>
      </c>
      <c r="W236" s="119" t="str">
        <f t="shared" si="69"/>
        <v/>
      </c>
      <c r="X236" s="119" t="str">
        <f t="shared" si="69"/>
        <v/>
      </c>
      <c r="Y236" s="119" t="str">
        <f t="shared" si="69"/>
        <v/>
      </c>
      <c r="Z236" s="119" t="str">
        <f t="shared" si="69"/>
        <v/>
      </c>
      <c r="AA236" s="119" t="str">
        <f t="shared" si="69"/>
        <v/>
      </c>
      <c r="AB236" s="119" t="str">
        <f t="shared" si="69"/>
        <v/>
      </c>
      <c r="AC236" s="119" t="str">
        <f t="shared" si="69"/>
        <v/>
      </c>
      <c r="AD236" s="119" t="str">
        <f t="shared" si="69"/>
        <v/>
      </c>
      <c r="AE236" s="119" t="str">
        <f t="shared" si="69"/>
        <v/>
      </c>
      <c r="AF236" s="119" t="str">
        <f t="shared" si="69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70">IF(B204&lt;100,"",B204-330)</f>
        <v/>
      </c>
      <c r="C237" s="119" t="str">
        <f t="shared" si="70"/>
        <v/>
      </c>
      <c r="D237" s="119" t="str">
        <f t="shared" si="70"/>
        <v/>
      </c>
      <c r="E237" s="119" t="str">
        <f t="shared" si="70"/>
        <v/>
      </c>
      <c r="F237" s="119" t="str">
        <f t="shared" si="70"/>
        <v/>
      </c>
      <c r="G237" s="119" t="str">
        <f t="shared" si="70"/>
        <v/>
      </c>
      <c r="H237" s="119" t="str">
        <f t="shared" si="70"/>
        <v/>
      </c>
      <c r="I237" s="119" t="str">
        <f t="shared" si="70"/>
        <v/>
      </c>
      <c r="J237" s="119" t="str">
        <f t="shared" si="70"/>
        <v/>
      </c>
      <c r="K237" s="119" t="str">
        <f t="shared" si="70"/>
        <v/>
      </c>
      <c r="L237" s="119" t="str">
        <f t="shared" si="70"/>
        <v/>
      </c>
      <c r="M237" s="119" t="str">
        <f t="shared" si="70"/>
        <v/>
      </c>
      <c r="N237" s="119" t="str">
        <f t="shared" si="70"/>
        <v/>
      </c>
      <c r="O237" s="119" t="str">
        <f t="shared" si="70"/>
        <v/>
      </c>
      <c r="P237" s="119" t="str">
        <f t="shared" si="70"/>
        <v/>
      </c>
      <c r="Q237" s="119" t="str">
        <f t="shared" si="70"/>
        <v/>
      </c>
      <c r="R237" s="119" t="str">
        <f t="shared" si="70"/>
        <v/>
      </c>
      <c r="S237" s="119" t="str">
        <f t="shared" si="70"/>
        <v/>
      </c>
      <c r="T237" s="119" t="str">
        <f t="shared" si="70"/>
        <v/>
      </c>
      <c r="U237" s="119" t="str">
        <f t="shared" si="70"/>
        <v/>
      </c>
      <c r="V237" s="119" t="str">
        <f t="shared" si="70"/>
        <v/>
      </c>
      <c r="W237" s="119" t="str">
        <f t="shared" si="70"/>
        <v/>
      </c>
      <c r="X237" s="119" t="str">
        <f t="shared" si="70"/>
        <v/>
      </c>
      <c r="Y237" s="119" t="str">
        <f t="shared" si="70"/>
        <v/>
      </c>
      <c r="Z237" s="119" t="str">
        <f t="shared" si="70"/>
        <v/>
      </c>
      <c r="AA237" s="119" t="str">
        <f t="shared" si="70"/>
        <v/>
      </c>
      <c r="AB237" s="119" t="str">
        <f t="shared" si="70"/>
        <v/>
      </c>
      <c r="AC237" s="119" t="str">
        <f t="shared" si="70"/>
        <v/>
      </c>
      <c r="AD237" s="119" t="str">
        <f t="shared" si="70"/>
        <v/>
      </c>
      <c r="AE237" s="119" t="str">
        <f t="shared" si="70"/>
        <v/>
      </c>
      <c r="AF237" s="119" t="str">
        <f t="shared" si="70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71">IF(C205&lt;100,"",C205-1500)</f>
        <v/>
      </c>
      <c r="D238" s="119" t="str">
        <f t="shared" si="71"/>
        <v/>
      </c>
      <c r="E238" s="119" t="str">
        <f t="shared" si="71"/>
        <v/>
      </c>
      <c r="F238" s="119" t="str">
        <f t="shared" si="71"/>
        <v/>
      </c>
      <c r="G238" s="119" t="str">
        <f t="shared" si="71"/>
        <v/>
      </c>
      <c r="H238" s="119" t="str">
        <f t="shared" si="71"/>
        <v/>
      </c>
      <c r="I238" s="119" t="str">
        <f t="shared" si="71"/>
        <v/>
      </c>
      <c r="J238" s="119" t="str">
        <f t="shared" si="71"/>
        <v/>
      </c>
      <c r="K238" s="119" t="str">
        <f t="shared" si="71"/>
        <v/>
      </c>
      <c r="L238" s="119" t="str">
        <f t="shared" si="71"/>
        <v/>
      </c>
      <c r="M238" s="119" t="str">
        <f t="shared" si="71"/>
        <v/>
      </c>
      <c r="N238" s="119" t="str">
        <f t="shared" si="71"/>
        <v/>
      </c>
      <c r="O238" s="119" t="str">
        <f t="shared" si="71"/>
        <v/>
      </c>
      <c r="P238" s="119" t="str">
        <f t="shared" si="71"/>
        <v/>
      </c>
      <c r="Q238" s="119" t="str">
        <f t="shared" si="71"/>
        <v/>
      </c>
      <c r="R238" s="119" t="str">
        <f t="shared" si="71"/>
        <v/>
      </c>
      <c r="S238" s="119" t="str">
        <f t="shared" si="71"/>
        <v/>
      </c>
      <c r="T238" s="119" t="str">
        <f t="shared" si="71"/>
        <v/>
      </c>
      <c r="U238" s="119" t="str">
        <f t="shared" si="71"/>
        <v/>
      </c>
      <c r="V238" s="119" t="str">
        <f t="shared" si="71"/>
        <v/>
      </c>
      <c r="W238" s="119" t="str">
        <f t="shared" si="71"/>
        <v/>
      </c>
      <c r="X238" s="119" t="str">
        <f t="shared" si="71"/>
        <v/>
      </c>
      <c r="Y238" s="119" t="str">
        <f t="shared" si="71"/>
        <v/>
      </c>
      <c r="Z238" s="119" t="str">
        <f t="shared" si="71"/>
        <v/>
      </c>
      <c r="AA238" s="119" t="str">
        <f t="shared" si="71"/>
        <v/>
      </c>
      <c r="AB238" s="119" t="str">
        <f t="shared" si="71"/>
        <v/>
      </c>
      <c r="AC238" s="119" t="str">
        <f t="shared" si="71"/>
        <v/>
      </c>
      <c r="AD238" s="119" t="str">
        <f t="shared" si="71"/>
        <v/>
      </c>
      <c r="AE238" s="119" t="str">
        <f t="shared" si="71"/>
        <v/>
      </c>
      <c r="AF238" s="119" t="str">
        <f t="shared" si="7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6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53">
      <iconSet iconSet="3TrafficLights2" reverse="1">
        <cfvo type="percent" val="0"/>
        <cfvo type="num" val="1"/>
        <cfvo type="num" val="1"/>
      </iconSet>
    </cfRule>
  </conditionalFormatting>
  <conditionalFormatting sqref="C57:L57 P39:R39 M39:O42 P40:Q42 R42 M12:O13 AB81:AF81 B81:R81 D193:AF199 B193:B199 M53:X55 C9:AF10 B191:AF191 AF57:AF62 AG73 AE94:AF99 B94:B99 U212:AF212 B68:X80 C61:C67 C58:G60 I61:N61 I60:O60 I58:R59 H58:H61 O45 R40:U41 S58:U67 M11:X11 U42 V40:X42 V58:X59 V62:X67 Z68:AF80 C56:X56 B82:X83 Z82:AF83 Z56:AF56 D61:G61 D63:L67 N62:N67 M14:N14 O61:O67 Q12:Q13 Q45:Q46 P60:R67 M37:X37 S18:X30 AA53:AF55">
    <cfRule type="expression" dxfId="5691" priority="649">
      <formula>B$9&gt;=20/24</formula>
    </cfRule>
    <cfRule type="expression" dxfId="5690" priority="650">
      <formula>AND(B$9&gt;=14/24,B$9&lt;20/24)</formula>
    </cfRule>
    <cfRule type="expression" dxfId="5689" priority="651">
      <formula>AND(B$9&gt;=8/24,B$9&lt;14/24)</formula>
    </cfRule>
    <cfRule type="expression" dxfId="5688" priority="652">
      <formula>B$9&lt;8/24</formula>
    </cfRule>
  </conditionalFormatting>
  <conditionalFormatting sqref="AL4:AL6">
    <cfRule type="iconSet" priority="648">
      <iconSet iconSet="3TrafficLights2" reverse="1">
        <cfvo type="percent" val="0"/>
        <cfvo type="num" val="1"/>
        <cfvo type="num" val="1"/>
      </iconSet>
    </cfRule>
  </conditionalFormatting>
  <conditionalFormatting sqref="M57:U57">
    <cfRule type="expression" dxfId="5687" priority="644">
      <formula>M$9&gt;=20/24</formula>
    </cfRule>
    <cfRule type="expression" dxfId="5686" priority="645">
      <formula>AND(M$9&gt;=14/24,M$9&lt;20/24)</formula>
    </cfRule>
    <cfRule type="expression" dxfId="5685" priority="646">
      <formula>AND(M$9&gt;=8/24,M$9&lt;14/24)</formula>
    </cfRule>
    <cfRule type="expression" dxfId="5684" priority="647">
      <formula>M$9&lt;8/24</formula>
    </cfRule>
  </conditionalFormatting>
  <conditionalFormatting sqref="M43:R43">
    <cfRule type="expression" dxfId="5683" priority="640">
      <formula>M$9&gt;=20/24</formula>
    </cfRule>
    <cfRule type="expression" dxfId="5682" priority="641">
      <formula>AND(M$9&gt;=14/24,M$9&lt;20/24)</formula>
    </cfRule>
    <cfRule type="expression" dxfId="5681" priority="642">
      <formula>AND(M$9&gt;=8/24,M$9&lt;14/24)</formula>
    </cfRule>
    <cfRule type="expression" dxfId="5680" priority="643">
      <formula>M$9&lt;8/24</formula>
    </cfRule>
  </conditionalFormatting>
  <conditionalFormatting sqref="S39:X39">
    <cfRule type="expression" dxfId="5679" priority="636">
      <formula>S$9&gt;=20/24</formula>
    </cfRule>
    <cfRule type="expression" dxfId="5678" priority="637">
      <formula>AND(S$9&gt;=14/24,S$9&lt;20/24)</formula>
    </cfRule>
    <cfRule type="expression" dxfId="5677" priority="638">
      <formula>AND(S$9&gt;=8/24,S$9&lt;14/24)</formula>
    </cfRule>
    <cfRule type="expression" dxfId="5676" priority="639">
      <formula>S$9&lt;8/24</formula>
    </cfRule>
  </conditionalFormatting>
  <conditionalFormatting sqref="V57:X57 AE57">
    <cfRule type="expression" dxfId="5675" priority="632">
      <formula>V$9&gt;=20/24</formula>
    </cfRule>
    <cfRule type="expression" dxfId="5674" priority="633">
      <formula>AND(V$9&gt;=14/24,V$9&lt;20/24)</formula>
    </cfRule>
    <cfRule type="expression" dxfId="5673" priority="634">
      <formula>AND(V$9&gt;=8/24,V$9&lt;14/24)</formula>
    </cfRule>
    <cfRule type="expression" dxfId="5672" priority="635">
      <formula>V$9&lt;8/24</formula>
    </cfRule>
  </conditionalFormatting>
  <conditionalFormatting sqref="S81:X81 Z81:AA81">
    <cfRule type="expression" dxfId="5671" priority="628">
      <formula>S$9&gt;=20/24</formula>
    </cfRule>
    <cfRule type="expression" dxfId="5670" priority="629">
      <formula>AND(S$9&gt;=14/24,S$9&lt;20/24)</formula>
    </cfRule>
    <cfRule type="expression" dxfId="5669" priority="630">
      <formula>AND(S$9&gt;=8/24,S$9&lt;14/24)</formula>
    </cfRule>
    <cfRule type="expression" dxfId="5668" priority="631">
      <formula>S$9&lt;8/24</formula>
    </cfRule>
  </conditionalFormatting>
  <conditionalFormatting sqref="V84:X84">
    <cfRule type="expression" dxfId="5667" priority="624">
      <formula>V$9&gt;=20/24</formula>
    </cfRule>
    <cfRule type="expression" dxfId="5666" priority="625">
      <formula>AND(V$9&gt;=14/24,V$9&lt;20/24)</formula>
    </cfRule>
    <cfRule type="expression" dxfId="5665" priority="626">
      <formula>AND(V$9&gt;=8/24,V$9&lt;14/24)</formula>
    </cfRule>
    <cfRule type="expression" dxfId="5664" priority="627">
      <formula>V$9&lt;8/24</formula>
    </cfRule>
  </conditionalFormatting>
  <conditionalFormatting sqref="S49:X49">
    <cfRule type="expression" dxfId="5663" priority="620">
      <formula>S$9&gt;=20/24</formula>
    </cfRule>
    <cfRule type="expression" dxfId="5662" priority="621">
      <formula>AND(S$9&gt;=14/24,S$9&lt;20/24)</formula>
    </cfRule>
    <cfRule type="expression" dxfId="5661" priority="622">
      <formula>AND(S$9&gt;=8/24,S$9&lt;14/24)</formula>
    </cfRule>
    <cfRule type="expression" dxfId="5660" priority="623">
      <formula>S$9&lt;8/24</formula>
    </cfRule>
  </conditionalFormatting>
  <conditionalFormatting sqref="M45:M47 O45 Q45:Q46">
    <cfRule type="expression" dxfId="5659" priority="612">
      <formula>M$9&gt;=20/24</formula>
    </cfRule>
    <cfRule type="expression" dxfId="5658" priority="613">
      <formula>AND(M$9&gt;=14/24,M$9&lt;20/24)</formula>
    </cfRule>
    <cfRule type="expression" dxfId="5657" priority="614">
      <formula>AND(M$9&gt;=8/24,M$9&lt;14/24)</formula>
    </cfRule>
    <cfRule type="expression" dxfId="5656" priority="615">
      <formula>M$9&lt;8/24</formula>
    </cfRule>
  </conditionalFormatting>
  <conditionalFormatting sqref="S31:X32 S35:X35">
    <cfRule type="expression" dxfId="5655" priority="604">
      <formula>S$9&gt;=20/24</formula>
    </cfRule>
    <cfRule type="expression" dxfId="5654" priority="605">
      <formula>AND(S$9&gt;=14/24,S$9&lt;20/24)</formula>
    </cfRule>
    <cfRule type="expression" dxfId="5653" priority="606">
      <formula>AND(S$9&gt;=8/24,S$9&lt;14/24)</formula>
    </cfRule>
    <cfRule type="expression" dxfId="5652" priority="607">
      <formula>S$9&lt;8/24</formula>
    </cfRule>
  </conditionalFormatting>
  <conditionalFormatting sqref="S42:X43 S47:W48 W46 X46:X48 S45:X45">
    <cfRule type="expression" dxfId="5651" priority="600">
      <formula>S$9&gt;=20/24</formula>
    </cfRule>
    <cfRule type="expression" dxfId="5650" priority="601">
      <formula>AND(S$9&gt;=14/24,S$9&lt;20/24)</formula>
    </cfRule>
    <cfRule type="expression" dxfId="5649" priority="602">
      <formula>AND(S$9&gt;=8/24,S$9&lt;14/24)</formula>
    </cfRule>
    <cfRule type="expression" dxfId="5648" priority="603">
      <formula>S$9&lt;8/24</formula>
    </cfRule>
  </conditionalFormatting>
  <conditionalFormatting sqref="S49:X49">
    <cfRule type="expression" dxfId="5647" priority="596">
      <formula>S$9&gt;=20/24</formula>
    </cfRule>
    <cfRule type="expression" dxfId="5646" priority="597">
      <formula>AND(S$9&gt;=14/24,S$9&lt;20/24)</formula>
    </cfRule>
    <cfRule type="expression" dxfId="5645" priority="598">
      <formula>AND(S$9&gt;=8/24,S$9&lt;14/24)</formula>
    </cfRule>
    <cfRule type="expression" dxfId="5644" priority="599">
      <formula>S$9&lt;8/24</formula>
    </cfRule>
  </conditionalFormatting>
  <conditionalFormatting sqref="S50:X50">
    <cfRule type="expression" dxfId="5643" priority="592">
      <formula>S$9&gt;=20/24</formula>
    </cfRule>
    <cfRule type="expression" dxfId="5642" priority="593">
      <formula>AND(S$9&gt;=14/24,S$9&lt;20/24)</formula>
    </cfRule>
    <cfRule type="expression" dxfId="5641" priority="594">
      <formula>AND(S$9&gt;=8/24,S$9&lt;14/24)</formula>
    </cfRule>
    <cfRule type="expression" dxfId="5640" priority="595">
      <formula>S$9&lt;8/24</formula>
    </cfRule>
  </conditionalFormatting>
  <conditionalFormatting sqref="AE60:AE67 AF63:AF67">
    <cfRule type="expression" dxfId="5639" priority="588">
      <formula>AE$9&gt;=20/24</formula>
    </cfRule>
    <cfRule type="expression" dxfId="5638" priority="589">
      <formula>AND(AE$9&gt;=14/24,AE$9&lt;20/24)</formula>
    </cfRule>
    <cfRule type="expression" dxfId="5637" priority="590">
      <formula>AND(AE$9&gt;=8/24,AE$9&lt;14/24)</formula>
    </cfRule>
    <cfRule type="expression" dxfId="5636" priority="591">
      <formula>AE$9&lt;8/24</formula>
    </cfRule>
  </conditionalFormatting>
  <conditionalFormatting sqref="D62:L62">
    <cfRule type="expression" dxfId="5635" priority="584">
      <formula>D$9&gt;=20/24</formula>
    </cfRule>
    <cfRule type="expression" dxfId="5634" priority="585">
      <formula>AND(D$9&gt;=14/24,D$9&lt;20/24)</formula>
    </cfRule>
    <cfRule type="expression" dxfId="5633" priority="586">
      <formula>AND(D$9&gt;=8/24,D$9&lt;14/24)</formula>
    </cfRule>
    <cfRule type="expression" dxfId="5632" priority="587">
      <formula>D$9&lt;8/24</formula>
    </cfRule>
  </conditionalFormatting>
  <conditionalFormatting sqref="V94:X97">
    <cfRule type="expression" dxfId="5631" priority="580">
      <formula>V$9&gt;=20/24</formula>
    </cfRule>
    <cfRule type="expression" dxfId="5630" priority="581">
      <formula>AND(V$9&gt;=14/24,V$9&lt;20/24)</formula>
    </cfRule>
    <cfRule type="expression" dxfId="5629" priority="582">
      <formula>AND(V$9&gt;=8/24,V$9&lt;14/24)</formula>
    </cfRule>
    <cfRule type="expression" dxfId="5628" priority="583">
      <formula>V$9&lt;8/24</formula>
    </cfRule>
  </conditionalFormatting>
  <conditionalFormatting sqref="AG51 M12:O13 F11:X11 C38:X38 Z38:AF38 Z51:AF52 Z56:AF56 C51:X52 C56:X56 F53:X55 G42:H43 C42:F42 C39:H41 I39:X43 M44:O44 M45:M47 O45 M14:N14 Q12:Q13 Q45:Q46 Q44:X44 W46 S47:W50 E37:X37 S18:X32 S34:X35 X46:X50 S45:X45 AA53:AF55">
    <cfRule type="expression" dxfId="5627" priority="579">
      <formula>C11&gt;$AG11</formula>
    </cfRule>
  </conditionalFormatting>
  <conditionalFormatting sqref="A100:A156 A84:A97 A11:A14 A16:A32 A45:A72 A80:A82 A74:A78 A35:A43 A169:A199">
    <cfRule type="expression" dxfId="5626" priority="578">
      <formula>$AH11=0</formula>
    </cfRule>
  </conditionalFormatting>
  <conditionalFormatting sqref="V98:X98">
    <cfRule type="expression" dxfId="5625" priority="574">
      <formula>V$9&gt;=20/24</formula>
    </cfRule>
    <cfRule type="expression" dxfId="5624" priority="575">
      <formula>AND(V$9&gt;=14/24,V$9&lt;20/24)</formula>
    </cfRule>
    <cfRule type="expression" dxfId="5623" priority="576">
      <formula>AND(V$9&gt;=8/24,V$9&lt;14/24)</formula>
    </cfRule>
    <cfRule type="expression" dxfId="5622" priority="577">
      <formula>V$9&lt;8/24</formula>
    </cfRule>
  </conditionalFormatting>
  <conditionalFormatting sqref="A98">
    <cfRule type="expression" dxfId="5621" priority="573">
      <formula>$AH98=0</formula>
    </cfRule>
  </conditionalFormatting>
  <conditionalFormatting sqref="M62:M67">
    <cfRule type="expression" dxfId="5620" priority="569">
      <formula>M$9&gt;=20/24</formula>
    </cfRule>
    <cfRule type="expression" dxfId="5619" priority="570">
      <formula>AND(M$9&gt;=14/24,M$9&lt;20/24)</formula>
    </cfRule>
    <cfRule type="expression" dxfId="5618" priority="571">
      <formula>AND(M$9&gt;=8/24,M$9&lt;14/24)</formula>
    </cfRule>
    <cfRule type="expression" dxfId="5617" priority="572">
      <formula>M$9&lt;8/24</formula>
    </cfRule>
  </conditionalFormatting>
  <conditionalFormatting sqref="AL32">
    <cfRule type="iconSet" priority="568">
      <iconSet iconSet="3TrafficLights2" reverse="1">
        <cfvo type="percent" val="0"/>
        <cfvo type="num" val="1"/>
        <cfvo type="num" val="1"/>
      </iconSet>
    </cfRule>
  </conditionalFormatting>
  <conditionalFormatting sqref="S34:X34">
    <cfRule type="expression" dxfId="5616" priority="564">
      <formula>S$9&gt;=20/24</formula>
    </cfRule>
    <cfRule type="expression" dxfId="5615" priority="565">
      <formula>AND(S$9&gt;=14/24,S$9&lt;20/24)</formula>
    </cfRule>
    <cfRule type="expression" dxfId="5614" priority="566">
      <formula>AND(S$9&gt;=8/24,S$9&lt;14/24)</formula>
    </cfRule>
    <cfRule type="expression" dxfId="5613" priority="567">
      <formula>S$9&lt;8/24</formula>
    </cfRule>
  </conditionalFormatting>
  <conditionalFormatting sqref="A34">
    <cfRule type="expression" dxfId="5612" priority="563">
      <formula>$AH34=0</formula>
    </cfRule>
  </conditionalFormatting>
  <conditionalFormatting sqref="A83">
    <cfRule type="expression" dxfId="5611" priority="562">
      <formula>$AH83=0</formula>
    </cfRule>
  </conditionalFormatting>
  <conditionalFormatting sqref="M15:N15">
    <cfRule type="expression" dxfId="5610" priority="558">
      <formula>M$9&gt;=20/24</formula>
    </cfRule>
    <cfRule type="expression" dxfId="5609" priority="559">
      <formula>AND(M$9&gt;=14/24,M$9&lt;20/24)</formula>
    </cfRule>
    <cfRule type="expression" dxfId="5608" priority="560">
      <formula>AND(M$9&gt;=8/24,M$9&lt;14/24)</formula>
    </cfRule>
    <cfRule type="expression" dxfId="5607" priority="561">
      <formula>M$9&lt;8/24</formula>
    </cfRule>
  </conditionalFormatting>
  <conditionalFormatting sqref="M15:N15">
    <cfRule type="expression" dxfId="5606" priority="557">
      <formula>M15&gt;$AG15</formula>
    </cfRule>
  </conditionalFormatting>
  <conditionalFormatting sqref="A15">
    <cfRule type="expression" dxfId="5605" priority="556">
      <formula>$AH15=0</formula>
    </cfRule>
  </conditionalFormatting>
  <conditionalFormatting sqref="A163:A168">
    <cfRule type="expression" dxfId="5604" priority="555">
      <formula>$AH163=0</formula>
    </cfRule>
  </conditionalFormatting>
  <conditionalFormatting sqref="A157:A162">
    <cfRule type="expression" dxfId="5603" priority="554">
      <formula>$AH157=0</formula>
    </cfRule>
  </conditionalFormatting>
  <conditionalFormatting sqref="M44:O44 Q44:R44">
    <cfRule type="expression" dxfId="5602" priority="546">
      <formula>M$9&gt;=20/24</formula>
    </cfRule>
    <cfRule type="expression" dxfId="5601" priority="547">
      <formula>AND(M$9&gt;=14/24,M$9&lt;20/24)</formula>
    </cfRule>
    <cfRule type="expression" dxfId="5600" priority="548">
      <formula>AND(M$9&gt;=8/24,M$9&lt;14/24)</formula>
    </cfRule>
    <cfRule type="expression" dxfId="5599" priority="549">
      <formula>M$9&lt;8/24</formula>
    </cfRule>
  </conditionalFormatting>
  <conditionalFormatting sqref="S44:X44">
    <cfRule type="expression" dxfId="5598" priority="542">
      <formula>S$9&gt;=20/24</formula>
    </cfRule>
    <cfRule type="expression" dxfId="5597" priority="543">
      <formula>AND(S$9&gt;=14/24,S$9&lt;20/24)</formula>
    </cfRule>
    <cfRule type="expression" dxfId="5596" priority="544">
      <formula>AND(S$9&gt;=8/24,S$9&lt;14/24)</formula>
    </cfRule>
    <cfRule type="expression" dxfId="5595" priority="545">
      <formula>S$9&lt;8/24</formula>
    </cfRule>
  </conditionalFormatting>
  <conditionalFormatting sqref="A44">
    <cfRule type="expression" dxfId="5594" priority="541">
      <formula>$AH44=0</formula>
    </cfRule>
  </conditionalFormatting>
  <conditionalFormatting sqref="A79">
    <cfRule type="expression" dxfId="5593" priority="540">
      <formula>$AH79=0</formula>
    </cfRule>
  </conditionalFormatting>
  <conditionalFormatting sqref="A73">
    <cfRule type="expression" dxfId="5592" priority="539">
      <formula>$AH73=0</formula>
    </cfRule>
  </conditionalFormatting>
  <conditionalFormatting sqref="AL34:AL35 AL7:AL31">
    <cfRule type="iconSet" priority="655">
      <iconSet iconSet="3TrafficLights2" reverse="1">
        <cfvo type="percent" val="0"/>
        <cfvo type="num" val="1"/>
        <cfvo type="num" val="1"/>
      </iconSet>
    </cfRule>
  </conditionalFormatting>
  <conditionalFormatting sqref="V60:X61">
    <cfRule type="expression" dxfId="5591" priority="535">
      <formula>V$9&gt;=20/24</formula>
    </cfRule>
    <cfRule type="expression" dxfId="5590" priority="536">
      <formula>AND(V$9&gt;=14/24,V$9&lt;20/24)</formula>
    </cfRule>
    <cfRule type="expression" dxfId="5589" priority="537">
      <formula>AND(V$9&gt;=8/24,V$9&lt;14/24)</formula>
    </cfRule>
    <cfRule type="expression" dxfId="5588" priority="538">
      <formula>V$9&lt;8/24</formula>
    </cfRule>
  </conditionalFormatting>
  <conditionalFormatting sqref="V85:X91">
    <cfRule type="expression" dxfId="5587" priority="531">
      <formula>V$9&gt;=20/24</formula>
    </cfRule>
    <cfRule type="expression" dxfId="5586" priority="532">
      <formula>AND(V$9&gt;=14/24,V$9&lt;20/24)</formula>
    </cfRule>
    <cfRule type="expression" dxfId="5585" priority="533">
      <formula>AND(V$9&gt;=8/24,V$9&lt;14/24)</formula>
    </cfRule>
    <cfRule type="expression" dxfId="5584" priority="534">
      <formula>V$9&lt;8/24</formula>
    </cfRule>
  </conditionalFormatting>
  <conditionalFormatting sqref="C84:R91 S85:U91">
    <cfRule type="expression" dxfId="5583" priority="527">
      <formula>C$9&gt;=20/24</formula>
    </cfRule>
    <cfRule type="expression" dxfId="5582" priority="528">
      <formula>AND(C$9&gt;=14/24,C$9&lt;20/24)</formula>
    </cfRule>
    <cfRule type="expression" dxfId="5581" priority="529">
      <formula>AND(C$9&gt;=8/24,C$9&lt;14/24)</formula>
    </cfRule>
    <cfRule type="expression" dxfId="5580" priority="530">
      <formula>C$9&lt;8/24</formula>
    </cfRule>
  </conditionalFormatting>
  <conditionalFormatting sqref="S84:U84">
    <cfRule type="expression" dxfId="5579" priority="523">
      <formula>S$9&gt;=20/24</formula>
    </cfRule>
    <cfRule type="expression" dxfId="5578" priority="524">
      <formula>AND(S$9&gt;=14/24,S$9&lt;20/24)</formula>
    </cfRule>
    <cfRule type="expression" dxfId="5577" priority="525">
      <formula>AND(S$9&gt;=8/24,S$9&lt;14/24)</formula>
    </cfRule>
    <cfRule type="expression" dxfId="5576" priority="526">
      <formula>S$9&lt;8/24</formula>
    </cfRule>
  </conditionalFormatting>
  <conditionalFormatting sqref="C95:M97 C94:F94">
    <cfRule type="expression" dxfId="5575" priority="519">
      <formula>C$9&gt;=20/24</formula>
    </cfRule>
    <cfRule type="expression" dxfId="5574" priority="520">
      <formula>AND(C$9&gt;=14/24,C$9&lt;20/24)</formula>
    </cfRule>
    <cfRule type="expression" dxfId="5573" priority="521">
      <formula>AND(C$9&gt;=8/24,C$9&lt;14/24)</formula>
    </cfRule>
    <cfRule type="expression" dxfId="5572" priority="522">
      <formula>C$9&lt;8/24</formula>
    </cfRule>
  </conditionalFormatting>
  <conditionalFormatting sqref="N95:R97 O94:R94 S94:S97">
    <cfRule type="expression" dxfId="5571" priority="515">
      <formula>N$9&gt;=20/24</formula>
    </cfRule>
    <cfRule type="expression" dxfId="5570" priority="516">
      <formula>AND(N$9&gt;=14/24,N$9&lt;20/24)</formula>
    </cfRule>
    <cfRule type="expression" dxfId="5569" priority="517">
      <formula>AND(N$9&gt;=8/24,N$9&lt;14/24)</formula>
    </cfRule>
    <cfRule type="expression" dxfId="5568" priority="518">
      <formula>N$9&lt;8/24</formula>
    </cfRule>
  </conditionalFormatting>
  <conditionalFormatting sqref="T94:U97">
    <cfRule type="expression" dxfId="5567" priority="511">
      <formula>T$9&gt;=20/24</formula>
    </cfRule>
    <cfRule type="expression" dxfId="5566" priority="512">
      <formula>AND(T$9&gt;=14/24,T$9&lt;20/24)</formula>
    </cfRule>
    <cfRule type="expression" dxfId="5565" priority="513">
      <formula>AND(T$9&gt;=8/24,T$9&lt;14/24)</formula>
    </cfRule>
    <cfRule type="expression" dxfId="5564" priority="514">
      <formula>T$9&lt;8/24</formula>
    </cfRule>
  </conditionalFormatting>
  <conditionalFormatting sqref="C98:M98">
    <cfRule type="expression" dxfId="5563" priority="507">
      <formula>C$9&gt;=20/24</formula>
    </cfRule>
    <cfRule type="expression" dxfId="5562" priority="508">
      <formula>AND(C$9&gt;=14/24,C$9&lt;20/24)</formula>
    </cfRule>
    <cfRule type="expression" dxfId="5561" priority="509">
      <formula>AND(C$9&gt;=8/24,C$9&lt;14/24)</formula>
    </cfRule>
    <cfRule type="expression" dxfId="5560" priority="510">
      <formula>C$9&lt;8/24</formula>
    </cfRule>
  </conditionalFormatting>
  <conditionalFormatting sqref="N98:S98">
    <cfRule type="expression" dxfId="5559" priority="503">
      <formula>N$9&gt;=20/24</formula>
    </cfRule>
    <cfRule type="expression" dxfId="5558" priority="504">
      <formula>AND(N$9&gt;=14/24,N$9&lt;20/24)</formula>
    </cfRule>
    <cfRule type="expression" dxfId="5557" priority="505">
      <formula>AND(N$9&gt;=8/24,N$9&lt;14/24)</formula>
    </cfRule>
    <cfRule type="expression" dxfId="5556" priority="506">
      <formula>N$9&lt;8/24</formula>
    </cfRule>
  </conditionalFormatting>
  <conditionalFormatting sqref="T98:U98">
    <cfRule type="expression" dxfId="5555" priority="499">
      <formula>T$9&gt;=20/24</formula>
    </cfRule>
    <cfRule type="expression" dxfId="5554" priority="500">
      <formula>AND(T$9&gt;=14/24,T$9&lt;20/24)</formula>
    </cfRule>
    <cfRule type="expression" dxfId="5553" priority="501">
      <formula>AND(T$9&gt;=8/24,T$9&lt;14/24)</formula>
    </cfRule>
    <cfRule type="expression" dxfId="5552" priority="502">
      <formula>T$9&lt;8/24</formula>
    </cfRule>
  </conditionalFormatting>
  <conditionalFormatting sqref="M94:N94">
    <cfRule type="expression" dxfId="5551" priority="495">
      <formula>M$9&gt;=20/24</formula>
    </cfRule>
    <cfRule type="expression" dxfId="5550" priority="496">
      <formula>AND(M$9&gt;=14/24,M$9&lt;20/24)</formula>
    </cfRule>
    <cfRule type="expression" dxfId="5549" priority="497">
      <formula>AND(M$9&gt;=8/24,M$9&lt;14/24)</formula>
    </cfRule>
    <cfRule type="expression" dxfId="5548" priority="498">
      <formula>M$9&lt;8/24</formula>
    </cfRule>
  </conditionalFormatting>
  <conditionalFormatting sqref="G94:L94">
    <cfRule type="expression" dxfId="5547" priority="491">
      <formula>G$9&gt;=20/24</formula>
    </cfRule>
    <cfRule type="expression" dxfId="5546" priority="492">
      <formula>AND(G$9&gt;=14/24,G$9&lt;20/24)</formula>
    </cfRule>
    <cfRule type="expression" dxfId="5545" priority="493">
      <formula>AND(G$9&gt;=8/24,G$9&lt;14/24)</formula>
    </cfRule>
    <cfRule type="expression" dxfId="5544" priority="494">
      <formula>G$9&lt;8/24</formula>
    </cfRule>
  </conditionalFormatting>
  <conditionalFormatting sqref="V94:X94">
    <cfRule type="expression" dxfId="5543" priority="487">
      <formula>V$9&gt;=20/24</formula>
    </cfRule>
    <cfRule type="expression" dxfId="5542" priority="488">
      <formula>AND(V$9&gt;=14/24,V$9&lt;20/24)</formula>
    </cfRule>
    <cfRule type="expression" dxfId="5541" priority="489">
      <formula>AND(V$9&gt;=8/24,V$9&lt;14/24)</formula>
    </cfRule>
    <cfRule type="expression" dxfId="5540" priority="490">
      <formula>V$9&lt;8/24</formula>
    </cfRule>
  </conditionalFormatting>
  <conditionalFormatting sqref="N94:U94">
    <cfRule type="expression" dxfId="5539" priority="483">
      <formula>N$9&gt;=20/24</formula>
    </cfRule>
    <cfRule type="expression" dxfId="5538" priority="484">
      <formula>AND(N$9&gt;=14/24,N$9&lt;20/24)</formula>
    </cfRule>
    <cfRule type="expression" dxfId="5537" priority="485">
      <formula>AND(N$9&gt;=8/24,N$9&lt;14/24)</formula>
    </cfRule>
    <cfRule type="expression" dxfId="5536" priority="486">
      <formula>N$9&lt;8/24</formula>
    </cfRule>
  </conditionalFormatting>
  <conditionalFormatting sqref="V99:X99">
    <cfRule type="expression" dxfId="5535" priority="479">
      <formula>V$9&gt;=20/24</formula>
    </cfRule>
    <cfRule type="expression" dxfId="5534" priority="480">
      <formula>AND(V$9&gt;=14/24,V$9&lt;20/24)</formula>
    </cfRule>
    <cfRule type="expression" dxfId="5533" priority="481">
      <formula>AND(V$9&gt;=8/24,V$9&lt;14/24)</formula>
    </cfRule>
    <cfRule type="expression" dxfId="5532" priority="482">
      <formula>V$9&lt;8/24</formula>
    </cfRule>
  </conditionalFormatting>
  <conditionalFormatting sqref="C99:M99">
    <cfRule type="expression" dxfId="5531" priority="475">
      <formula>C$9&gt;=20/24</formula>
    </cfRule>
    <cfRule type="expression" dxfId="5530" priority="476">
      <formula>AND(C$9&gt;=14/24,C$9&lt;20/24)</formula>
    </cfRule>
    <cfRule type="expression" dxfId="5529" priority="477">
      <formula>AND(C$9&gt;=8/24,C$9&lt;14/24)</formula>
    </cfRule>
    <cfRule type="expression" dxfId="5528" priority="478">
      <formula>C$9&lt;8/24</formula>
    </cfRule>
  </conditionalFormatting>
  <conditionalFormatting sqref="N99:S99">
    <cfRule type="expression" dxfId="5527" priority="471">
      <formula>N$9&gt;=20/24</formula>
    </cfRule>
    <cfRule type="expression" dxfId="5526" priority="472">
      <formula>AND(N$9&gt;=14/24,N$9&lt;20/24)</formula>
    </cfRule>
    <cfRule type="expression" dxfId="5525" priority="473">
      <formula>AND(N$9&gt;=8/24,N$9&lt;14/24)</formula>
    </cfRule>
    <cfRule type="expression" dxfId="5524" priority="474">
      <formula>N$9&lt;8/24</formula>
    </cfRule>
  </conditionalFormatting>
  <conditionalFormatting sqref="T99:U99">
    <cfRule type="expression" dxfId="5523" priority="467">
      <formula>T$9&gt;=20/24</formula>
    </cfRule>
    <cfRule type="expression" dxfId="5522" priority="468">
      <formula>AND(T$9&gt;=14/24,T$9&lt;20/24)</formula>
    </cfRule>
    <cfRule type="expression" dxfId="5521" priority="469">
      <formula>AND(T$9&gt;=8/24,T$9&lt;14/24)</formula>
    </cfRule>
    <cfRule type="expression" dxfId="5520" priority="470">
      <formula>T$9&lt;8/24</formula>
    </cfRule>
  </conditionalFormatting>
  <conditionalFormatting sqref="S16:X16">
    <cfRule type="expression" dxfId="5519" priority="463">
      <formula>S$9&gt;=20/24</formula>
    </cfRule>
    <cfRule type="expression" dxfId="5518" priority="464">
      <formula>AND(S$9&gt;=14/24,S$9&lt;20/24)</formula>
    </cfRule>
    <cfRule type="expression" dxfId="5517" priority="465">
      <formula>AND(S$9&gt;=8/24,S$9&lt;14/24)</formula>
    </cfRule>
    <cfRule type="expression" dxfId="5516" priority="466">
      <formula>S$9&lt;8/24</formula>
    </cfRule>
  </conditionalFormatting>
  <conditionalFormatting sqref="S17:X17">
    <cfRule type="expression" dxfId="5515" priority="459">
      <formula>S$9&gt;=20/24</formula>
    </cfRule>
    <cfRule type="expression" dxfId="5514" priority="460">
      <formula>AND(S$9&gt;=14/24,S$9&lt;20/24)</formula>
    </cfRule>
    <cfRule type="expression" dxfId="5513" priority="461">
      <formula>AND(S$9&gt;=8/24,S$9&lt;14/24)</formula>
    </cfRule>
    <cfRule type="expression" dxfId="5512" priority="462">
      <formula>S$9&lt;8/24</formula>
    </cfRule>
  </conditionalFormatting>
  <conditionalFormatting sqref="AE58:AE59">
    <cfRule type="expression" dxfId="5511" priority="455">
      <formula>AE$9&gt;=20/24</formula>
    </cfRule>
    <cfRule type="expression" dxfId="5510" priority="456">
      <formula>AND(AE$9&gt;=14/24,AE$9&lt;20/24)</formula>
    </cfRule>
    <cfRule type="expression" dxfId="5509" priority="457">
      <formula>AND(AE$9&gt;=8/24,AE$9&lt;14/24)</formula>
    </cfRule>
    <cfRule type="expression" dxfId="5508" priority="458">
      <formula>AE$9&lt;8/24</formula>
    </cfRule>
  </conditionalFormatting>
  <conditionalFormatting sqref="AL33">
    <cfRule type="iconSet" priority="45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07" priority="656">
      <formula>C$9&gt;=20/24</formula>
    </cfRule>
    <cfRule type="expression" dxfId="5506" priority="657">
      <formula>AND(C$9&gt;=14/24,C$9&lt;20/24)</formula>
    </cfRule>
    <cfRule type="expression" dxfId="5505" priority="658">
      <formula>AND(C$9&gt;=8/24,C$9&lt;14/24)</formula>
    </cfRule>
    <cfRule type="expression" dxfId="5504" priority="659">
      <formula>C$9&lt;8/24</formula>
    </cfRule>
  </conditionalFormatting>
  <conditionalFormatting sqref="A200">
    <cfRule type="expression" dxfId="5503" priority="660">
      <formula>$AH200=0</formula>
    </cfRule>
  </conditionalFormatting>
  <conditionalFormatting sqref="AG212">
    <cfRule type="expression" dxfId="5502" priority="661">
      <formula>B$9&gt;=20/24</formula>
    </cfRule>
    <cfRule type="expression" dxfId="5501" priority="662">
      <formula>AND(B$9&gt;=14/24,B$9&lt;20/24)</formula>
    </cfRule>
    <cfRule type="expression" dxfId="5500" priority="663">
      <formula>AND(B$9&gt;=8/24,B$9&lt;14/24)</formula>
    </cfRule>
    <cfRule type="expression" dxfId="5499" priority="664">
      <formula>B$9&lt;8/24</formula>
    </cfRule>
  </conditionalFormatting>
  <conditionalFormatting sqref="S8">
    <cfRule type="expression" dxfId="5498" priority="449">
      <formula>U$9&gt;=20/24</formula>
    </cfRule>
    <cfRule type="expression" dxfId="5497" priority="450">
      <formula>AND(U$9&gt;=14/24,U$9&lt;20/24)</formula>
    </cfRule>
    <cfRule type="expression" dxfId="5496" priority="451">
      <formula>AND(U$9&gt;=8/24,U$9&lt;14/24)</formula>
    </cfRule>
    <cfRule type="expression" dxfId="5495" priority="452">
      <formula>U$9&lt;8/24</formula>
    </cfRule>
  </conditionalFormatting>
  <conditionalFormatting sqref="AB8">
    <cfRule type="expression" dxfId="5494" priority="445">
      <formula>AD$9&gt;=20/24</formula>
    </cfRule>
    <cfRule type="expression" dxfId="5493" priority="446">
      <formula>AND(AD$9&gt;=14/24,AD$9&lt;20/24)</formula>
    </cfRule>
    <cfRule type="expression" dxfId="5492" priority="447">
      <formula>AND(AD$9&gt;=8/24,AD$9&lt;14/24)</formula>
    </cfRule>
    <cfRule type="expression" dxfId="5491" priority="448">
      <formula>AD$9&lt;8/24</formula>
    </cfRule>
  </conditionalFormatting>
  <conditionalFormatting sqref="AH212:AX212">
    <cfRule type="expression" dxfId="5490" priority="665">
      <formula>AG$9&gt;=20/24</formula>
    </cfRule>
    <cfRule type="expression" dxfId="5489" priority="666">
      <formula>AND(AG$9&gt;=14/24,AG$9&lt;20/24)</formula>
    </cfRule>
    <cfRule type="expression" dxfId="5488" priority="667">
      <formula>AND(AG$9&gt;=8/24,AG$9&lt;14/24)</formula>
    </cfRule>
    <cfRule type="expression" dxfId="5487" priority="668">
      <formula>AG$9&lt;8/24</formula>
    </cfRule>
  </conditionalFormatting>
  <conditionalFormatting sqref="T212">
    <cfRule type="expression" dxfId="5486" priority="669">
      <formula>AX$9&gt;=20/24</formula>
    </cfRule>
    <cfRule type="expression" dxfId="5485" priority="670">
      <formula>AND(AX$9&gt;=14/24,AX$9&lt;20/24)</formula>
    </cfRule>
    <cfRule type="expression" dxfId="5484" priority="671">
      <formula>AND(AX$9&gt;=8/24,AX$9&lt;14/24)</formula>
    </cfRule>
    <cfRule type="expression" dxfId="5483" priority="672">
      <formula>AX$9&lt;8/24</formula>
    </cfRule>
  </conditionalFormatting>
  <conditionalFormatting sqref="A99">
    <cfRule type="expression" dxfId="5482" priority="444">
      <formula>$AH99=0</formula>
    </cfRule>
  </conditionalFormatting>
  <conditionalFormatting sqref="S33:X33">
    <cfRule type="expression" dxfId="5481" priority="440">
      <formula>S$9&gt;=20/24</formula>
    </cfRule>
    <cfRule type="expression" dxfId="5480" priority="441">
      <formula>AND(S$9&gt;=14/24,S$9&lt;20/24)</formula>
    </cfRule>
    <cfRule type="expression" dxfId="5479" priority="442">
      <formula>AND(S$9&gt;=8/24,S$9&lt;14/24)</formula>
    </cfRule>
    <cfRule type="expression" dxfId="5478" priority="443">
      <formula>S$9&lt;8/24</formula>
    </cfRule>
  </conditionalFormatting>
  <conditionalFormatting sqref="S33:X33">
    <cfRule type="expression" dxfId="5477" priority="439">
      <formula>S33&gt;$AG33</formula>
    </cfRule>
  </conditionalFormatting>
  <conditionalFormatting sqref="M16">
    <cfRule type="expression" dxfId="5476" priority="434">
      <formula>M16&gt;$AG16</formula>
    </cfRule>
  </conditionalFormatting>
  <conditionalFormatting sqref="S12:X14">
    <cfRule type="expression" dxfId="5475" priority="405">
      <formula>S$9&gt;=20/24</formula>
    </cfRule>
    <cfRule type="expression" dxfId="5474" priority="406">
      <formula>AND(S$9&gt;=14/24,S$9&lt;20/24)</formula>
    </cfRule>
    <cfRule type="expression" dxfId="5473" priority="407">
      <formula>AND(S$9&gt;=8/24,S$9&lt;14/24)</formula>
    </cfRule>
    <cfRule type="expression" dxfId="5472" priority="408">
      <formula>S$9&lt;8/24</formula>
    </cfRule>
  </conditionalFormatting>
  <conditionalFormatting sqref="S12:X14">
    <cfRule type="expression" dxfId="5471" priority="404">
      <formula>S12&gt;$AG12</formula>
    </cfRule>
  </conditionalFormatting>
  <conditionalFormatting sqref="S15:X15">
    <cfRule type="expression" dxfId="5470" priority="400">
      <formula>S$9&gt;=20/24</formula>
    </cfRule>
    <cfRule type="expression" dxfId="5469" priority="401">
      <formula>AND(S$9&gt;=14/24,S$9&lt;20/24)</formula>
    </cfRule>
    <cfRule type="expression" dxfId="5468" priority="402">
      <formula>AND(S$9&gt;=8/24,S$9&lt;14/24)</formula>
    </cfRule>
    <cfRule type="expression" dxfId="5467" priority="403">
      <formula>S$9&lt;8/24</formula>
    </cfRule>
  </conditionalFormatting>
  <conditionalFormatting sqref="S15:X15">
    <cfRule type="expression" dxfId="5466" priority="399">
      <formula>S15&gt;$AG15</formula>
    </cfRule>
  </conditionalFormatting>
  <conditionalFormatting sqref="S36:X36">
    <cfRule type="expression" dxfId="5465" priority="395">
      <formula>S$9&gt;=20/24</formula>
    </cfRule>
    <cfRule type="expression" dxfId="5464" priority="396">
      <formula>AND(S$9&gt;=14/24,S$9&lt;20/24)</formula>
    </cfRule>
    <cfRule type="expression" dxfId="5463" priority="397">
      <formula>AND(S$9&gt;=8/24,S$9&lt;14/24)</formula>
    </cfRule>
    <cfRule type="expression" dxfId="5462" priority="398">
      <formula>S$9&lt;8/24</formula>
    </cfRule>
  </conditionalFormatting>
  <conditionalFormatting sqref="S36:X36">
    <cfRule type="expression" dxfId="5461" priority="394">
      <formula>S36&gt;$AG36</formula>
    </cfRule>
  </conditionalFormatting>
  <conditionalFormatting sqref="X53:X55 AA53:AB55">
    <cfRule type="expression" dxfId="5460" priority="392">
      <formula>X$9="PEAK"</formula>
    </cfRule>
  </conditionalFormatting>
  <conditionalFormatting sqref="Y94:AD99">
    <cfRule type="expression" dxfId="5459" priority="388">
      <formula>Y$9&gt;=20/24</formula>
    </cfRule>
    <cfRule type="expression" dxfId="5458" priority="389">
      <formula>AND(Y$9&gt;=14/24,Y$9&lt;20/24)</formula>
    </cfRule>
    <cfRule type="expression" dxfId="5457" priority="390">
      <formula>AND(Y$9&gt;=8/24,Y$9&lt;14/24)</formula>
    </cfRule>
    <cfRule type="expression" dxfId="5456" priority="391">
      <formula>Y$9&lt;8/24</formula>
    </cfRule>
  </conditionalFormatting>
  <conditionalFormatting sqref="Z84:AF90">
    <cfRule type="expression" dxfId="5455" priority="384">
      <formula>Z$9&gt;=20/24</formula>
    </cfRule>
    <cfRule type="expression" dxfId="5454" priority="385">
      <formula>AND(Z$9&gt;=14/24,Z$9&lt;20/24)</formula>
    </cfRule>
    <cfRule type="expression" dxfId="5453" priority="386">
      <formula>AND(Z$9&gt;=8/24,Z$9&lt;14/24)</formula>
    </cfRule>
    <cfRule type="expression" dxfId="5452" priority="387">
      <formula>Z$9&lt;8/24</formula>
    </cfRule>
  </conditionalFormatting>
  <conditionalFormatting sqref="Z91:AF91">
    <cfRule type="expression" dxfId="5451" priority="380">
      <formula>Z$9&gt;=20/24</formula>
    </cfRule>
    <cfRule type="expression" dxfId="5450" priority="381">
      <formula>AND(Z$9&gt;=14/24,Z$9&lt;20/24)</formula>
    </cfRule>
    <cfRule type="expression" dxfId="5449" priority="382">
      <formula>AND(Z$9&gt;=8/24,Z$9&lt;14/24)</formula>
    </cfRule>
    <cfRule type="expression" dxfId="5448" priority="383">
      <formula>Z$9&lt;8/24</formula>
    </cfRule>
  </conditionalFormatting>
  <conditionalFormatting sqref="Z11:AF37">
    <cfRule type="expression" dxfId="5447" priority="376">
      <formula>Z$9&gt;=20/24</formula>
    </cfRule>
    <cfRule type="expression" dxfId="5446" priority="377">
      <formula>AND(Z$9&gt;=14/24,Z$9&lt;20/24)</formula>
    </cfRule>
    <cfRule type="expression" dxfId="5445" priority="378">
      <formula>AND(Z$9&gt;=8/24,Z$9&lt;14/24)</formula>
    </cfRule>
    <cfRule type="expression" dxfId="5444" priority="379">
      <formula>Z$9&lt;8/24</formula>
    </cfRule>
  </conditionalFormatting>
  <conditionalFormatting sqref="Z11:AF37">
    <cfRule type="expression" dxfId="5443" priority="375">
      <formula>Z11&gt;$AG11</formula>
    </cfRule>
  </conditionalFormatting>
  <conditionalFormatting sqref="Z39:AF50">
    <cfRule type="expression" dxfId="5442" priority="371">
      <formula>Z$9&gt;=20/24</formula>
    </cfRule>
    <cfRule type="expression" dxfId="5441" priority="372">
      <formula>AND(Z$9&gt;=14/24,Z$9&lt;20/24)</formula>
    </cfRule>
    <cfRule type="expression" dxfId="5440" priority="373">
      <formula>AND(Z$9&gt;=8/24,Z$9&lt;14/24)</formula>
    </cfRule>
    <cfRule type="expression" dxfId="5439" priority="374">
      <formula>Z$9&lt;8/24</formula>
    </cfRule>
  </conditionalFormatting>
  <conditionalFormatting sqref="Z39:AF50">
    <cfRule type="expression" dxfId="5438" priority="370">
      <formula>Z39&gt;$AG39</formula>
    </cfRule>
  </conditionalFormatting>
  <conditionalFormatting sqref="Z53:Z55">
    <cfRule type="expression" dxfId="5437" priority="366">
      <formula>Z$9&gt;=20/24</formula>
    </cfRule>
    <cfRule type="expression" dxfId="5436" priority="367">
      <formula>AND(Z$9&gt;=14/24,Z$9&lt;20/24)</formula>
    </cfRule>
    <cfRule type="expression" dxfId="5435" priority="368">
      <formula>AND(Z$9&gt;=8/24,Z$9&lt;14/24)</formula>
    </cfRule>
    <cfRule type="expression" dxfId="5434" priority="369">
      <formula>Z$9&lt;8/24</formula>
    </cfRule>
  </conditionalFormatting>
  <conditionalFormatting sqref="Z53:Z55">
    <cfRule type="expression" dxfId="5433" priority="365">
      <formula>Z53&gt;$AG53</formula>
    </cfRule>
  </conditionalFormatting>
  <conditionalFormatting sqref="Z57:AD67">
    <cfRule type="expression" dxfId="5432" priority="361">
      <formula>Z$9&gt;=20/24</formula>
    </cfRule>
    <cfRule type="expression" dxfId="5431" priority="362">
      <formula>AND(Z$9&gt;=14/24,Z$9&lt;20/24)</formula>
    </cfRule>
    <cfRule type="expression" dxfId="5430" priority="363">
      <formula>AND(Z$9&gt;=8/24,Z$9&lt;14/24)</formula>
    </cfRule>
    <cfRule type="expression" dxfId="5429" priority="364">
      <formula>Z$9&lt;8/24</formula>
    </cfRule>
  </conditionalFormatting>
  <conditionalFormatting sqref="Y11 Y37 Y18:Y30 Y40:Y42 Y58:Y59 Y62:Y80 Y53:Y56 Y82:Y83">
    <cfRule type="expression" dxfId="5428" priority="357">
      <formula>Y$9&gt;=20/24</formula>
    </cfRule>
    <cfRule type="expression" dxfId="5427" priority="358">
      <formula>AND(Y$9&gt;=14/24,Y$9&lt;20/24)</formula>
    </cfRule>
    <cfRule type="expression" dxfId="5426" priority="359">
      <formula>AND(Y$9&gt;=8/24,Y$9&lt;14/24)</formula>
    </cfRule>
    <cfRule type="expression" dxfId="5425" priority="360">
      <formula>Y$9&lt;8/24</formula>
    </cfRule>
  </conditionalFormatting>
  <conditionalFormatting sqref="Y39">
    <cfRule type="expression" dxfId="5424" priority="353">
      <formula>Y$9&gt;=20/24</formula>
    </cfRule>
    <cfRule type="expression" dxfId="5423" priority="354">
      <formula>AND(Y$9&gt;=14/24,Y$9&lt;20/24)</formula>
    </cfRule>
    <cfRule type="expression" dxfId="5422" priority="355">
      <formula>AND(Y$9&gt;=8/24,Y$9&lt;14/24)</formula>
    </cfRule>
    <cfRule type="expression" dxfId="5421" priority="356">
      <formula>Y$9&lt;8/24</formula>
    </cfRule>
  </conditionalFormatting>
  <conditionalFormatting sqref="Y57">
    <cfRule type="expression" dxfId="5420" priority="349">
      <formula>Y$9&gt;=20/24</formula>
    </cfRule>
    <cfRule type="expression" dxfId="5419" priority="350">
      <formula>AND(Y$9&gt;=14/24,Y$9&lt;20/24)</formula>
    </cfRule>
    <cfRule type="expression" dxfId="5418" priority="351">
      <formula>AND(Y$9&gt;=8/24,Y$9&lt;14/24)</formula>
    </cfRule>
    <cfRule type="expression" dxfId="5417" priority="352">
      <formula>Y$9&lt;8/24</formula>
    </cfRule>
  </conditionalFormatting>
  <conditionalFormatting sqref="Y81">
    <cfRule type="expression" dxfId="5416" priority="345">
      <formula>Y$9&gt;=20/24</formula>
    </cfRule>
    <cfRule type="expression" dxfId="5415" priority="346">
      <formula>AND(Y$9&gt;=14/24,Y$9&lt;20/24)</formula>
    </cfRule>
    <cfRule type="expression" dxfId="5414" priority="347">
      <formula>AND(Y$9&gt;=8/24,Y$9&lt;14/24)</formula>
    </cfRule>
    <cfRule type="expression" dxfId="5413" priority="348">
      <formula>Y$9&lt;8/24</formula>
    </cfRule>
  </conditionalFormatting>
  <conditionalFormatting sqref="Y84">
    <cfRule type="expression" dxfId="5412" priority="341">
      <formula>Y$9&gt;=20/24</formula>
    </cfRule>
    <cfRule type="expression" dxfId="5411" priority="342">
      <formula>AND(Y$9&gt;=14/24,Y$9&lt;20/24)</formula>
    </cfRule>
    <cfRule type="expression" dxfId="5410" priority="343">
      <formula>AND(Y$9&gt;=8/24,Y$9&lt;14/24)</formula>
    </cfRule>
    <cfRule type="expression" dxfId="5409" priority="344">
      <formula>Y$9&lt;8/24</formula>
    </cfRule>
  </conditionalFormatting>
  <conditionalFormatting sqref="Y49">
    <cfRule type="expression" dxfId="5408" priority="337">
      <formula>Y$9&gt;=20/24</formula>
    </cfRule>
    <cfRule type="expression" dxfId="5407" priority="338">
      <formula>AND(Y$9&gt;=14/24,Y$9&lt;20/24)</formula>
    </cfRule>
    <cfRule type="expression" dxfId="5406" priority="339">
      <formula>AND(Y$9&gt;=8/24,Y$9&lt;14/24)</formula>
    </cfRule>
    <cfRule type="expression" dxfId="5405" priority="340">
      <formula>Y$9&lt;8/24</formula>
    </cfRule>
  </conditionalFormatting>
  <conditionalFormatting sqref="Y31:Y32 Y35">
    <cfRule type="expression" dxfId="5404" priority="333">
      <formula>Y$9&gt;=20/24</formula>
    </cfRule>
    <cfRule type="expression" dxfId="5403" priority="334">
      <formula>AND(Y$9&gt;=14/24,Y$9&lt;20/24)</formula>
    </cfRule>
    <cfRule type="expression" dxfId="5402" priority="335">
      <formula>AND(Y$9&gt;=8/24,Y$9&lt;14/24)</formula>
    </cfRule>
    <cfRule type="expression" dxfId="5401" priority="336">
      <formula>Y$9&lt;8/24</formula>
    </cfRule>
  </conditionalFormatting>
  <conditionalFormatting sqref="Y42:Y43 Y45:Y48">
    <cfRule type="expression" dxfId="5400" priority="329">
      <formula>Y$9&gt;=20/24</formula>
    </cfRule>
    <cfRule type="expression" dxfId="5399" priority="330">
      <formula>AND(Y$9&gt;=14/24,Y$9&lt;20/24)</formula>
    </cfRule>
    <cfRule type="expression" dxfId="5398" priority="331">
      <formula>AND(Y$9&gt;=8/24,Y$9&lt;14/24)</formula>
    </cfRule>
    <cfRule type="expression" dxfId="5397" priority="332">
      <formula>Y$9&lt;8/24</formula>
    </cfRule>
  </conditionalFormatting>
  <conditionalFormatting sqref="Y49">
    <cfRule type="expression" dxfId="5396" priority="325">
      <formula>Y$9&gt;=20/24</formula>
    </cfRule>
    <cfRule type="expression" dxfId="5395" priority="326">
      <formula>AND(Y$9&gt;=14/24,Y$9&lt;20/24)</formula>
    </cfRule>
    <cfRule type="expression" dxfId="5394" priority="327">
      <formula>AND(Y$9&gt;=8/24,Y$9&lt;14/24)</formula>
    </cfRule>
    <cfRule type="expression" dxfId="5393" priority="328">
      <formula>Y$9&lt;8/24</formula>
    </cfRule>
  </conditionalFormatting>
  <conditionalFormatting sqref="Y50">
    <cfRule type="expression" dxfId="5392" priority="321">
      <formula>Y$9&gt;=20/24</formula>
    </cfRule>
    <cfRule type="expression" dxfId="5391" priority="322">
      <formula>AND(Y$9&gt;=14/24,Y$9&lt;20/24)</formula>
    </cfRule>
    <cfRule type="expression" dxfId="5390" priority="323">
      <formula>AND(Y$9&gt;=8/24,Y$9&lt;14/24)</formula>
    </cfRule>
    <cfRule type="expression" dxfId="5389" priority="324">
      <formula>Y$9&lt;8/24</formula>
    </cfRule>
  </conditionalFormatting>
  <conditionalFormatting sqref="Y11 Y18:Y32 Y34:Y35 Y37:Y56">
    <cfRule type="expression" dxfId="5388" priority="320">
      <formula>Y11&gt;$AG11</formula>
    </cfRule>
  </conditionalFormatting>
  <conditionalFormatting sqref="Y34">
    <cfRule type="expression" dxfId="5387" priority="316">
      <formula>Y$9&gt;=20/24</formula>
    </cfRule>
    <cfRule type="expression" dxfId="5386" priority="317">
      <formula>AND(Y$9&gt;=14/24,Y$9&lt;20/24)</formula>
    </cfRule>
    <cfRule type="expression" dxfId="5385" priority="318">
      <formula>AND(Y$9&gt;=8/24,Y$9&lt;14/24)</formula>
    </cfRule>
    <cfRule type="expression" dxfId="5384" priority="319">
      <formula>Y$9&lt;8/24</formula>
    </cfRule>
  </conditionalFormatting>
  <conditionalFormatting sqref="Y44">
    <cfRule type="expression" dxfId="5383" priority="312">
      <formula>Y$9&gt;=20/24</formula>
    </cfRule>
    <cfRule type="expression" dxfId="5382" priority="313">
      <formula>AND(Y$9&gt;=14/24,Y$9&lt;20/24)</formula>
    </cfRule>
    <cfRule type="expression" dxfId="5381" priority="314">
      <formula>AND(Y$9&gt;=8/24,Y$9&lt;14/24)</formula>
    </cfRule>
    <cfRule type="expression" dxfId="5380" priority="315">
      <formula>Y$9&lt;8/24</formula>
    </cfRule>
  </conditionalFormatting>
  <conditionalFormatting sqref="Y60:Y61">
    <cfRule type="expression" dxfId="5379" priority="308">
      <formula>Y$9&gt;=20/24</formula>
    </cfRule>
    <cfRule type="expression" dxfId="5378" priority="309">
      <formula>AND(Y$9&gt;=14/24,Y$9&lt;20/24)</formula>
    </cfRule>
    <cfRule type="expression" dxfId="5377" priority="310">
      <formula>AND(Y$9&gt;=8/24,Y$9&lt;14/24)</formula>
    </cfRule>
    <cfRule type="expression" dxfId="5376" priority="311">
      <formula>Y$9&lt;8/24</formula>
    </cfRule>
  </conditionalFormatting>
  <conditionalFormatting sqref="Y85:Y91">
    <cfRule type="expression" dxfId="5375" priority="304">
      <formula>Y$9&gt;=20/24</formula>
    </cfRule>
    <cfRule type="expression" dxfId="5374" priority="305">
      <formula>AND(Y$9&gt;=14/24,Y$9&lt;20/24)</formula>
    </cfRule>
    <cfRule type="expression" dxfId="5373" priority="306">
      <formula>AND(Y$9&gt;=8/24,Y$9&lt;14/24)</formula>
    </cfRule>
    <cfRule type="expression" dxfId="5372" priority="307">
      <formula>Y$9&lt;8/24</formula>
    </cfRule>
  </conditionalFormatting>
  <conditionalFormatting sqref="Y16">
    <cfRule type="expression" dxfId="5371" priority="300">
      <formula>Y$9&gt;=20/24</formula>
    </cfRule>
    <cfRule type="expression" dxfId="5370" priority="301">
      <formula>AND(Y$9&gt;=14/24,Y$9&lt;20/24)</formula>
    </cfRule>
    <cfRule type="expression" dxfId="5369" priority="302">
      <formula>AND(Y$9&gt;=8/24,Y$9&lt;14/24)</formula>
    </cfRule>
    <cfRule type="expression" dxfId="5368" priority="303">
      <formula>Y$9&lt;8/24</formula>
    </cfRule>
  </conditionalFormatting>
  <conditionalFormatting sqref="Y17">
    <cfRule type="expression" dxfId="5367" priority="296">
      <formula>Y$9&gt;=20/24</formula>
    </cfRule>
    <cfRule type="expression" dxfId="5366" priority="297">
      <formula>AND(Y$9&gt;=14/24,Y$9&lt;20/24)</formula>
    </cfRule>
    <cfRule type="expression" dxfId="5365" priority="298">
      <formula>AND(Y$9&gt;=8/24,Y$9&lt;14/24)</formula>
    </cfRule>
    <cfRule type="expression" dxfId="5364" priority="299">
      <formula>Y$9&lt;8/24</formula>
    </cfRule>
  </conditionalFormatting>
  <conditionalFormatting sqref="Y33">
    <cfRule type="expression" dxfId="5363" priority="292">
      <formula>Y$9&gt;=20/24</formula>
    </cfRule>
    <cfRule type="expression" dxfId="5362" priority="293">
      <formula>AND(Y$9&gt;=14/24,Y$9&lt;20/24)</formula>
    </cfRule>
    <cfRule type="expression" dxfId="5361" priority="294">
      <formula>AND(Y$9&gt;=8/24,Y$9&lt;14/24)</formula>
    </cfRule>
    <cfRule type="expression" dxfId="5360" priority="295">
      <formula>Y$9&lt;8/24</formula>
    </cfRule>
  </conditionalFormatting>
  <conditionalFormatting sqref="Y33">
    <cfRule type="expression" dxfId="5359" priority="291">
      <formula>Y33&gt;$AG33</formula>
    </cfRule>
  </conditionalFormatting>
  <conditionalFormatting sqref="Y12:Y14">
    <cfRule type="expression" dxfId="5358" priority="287">
      <formula>Y$9&gt;=20/24</formula>
    </cfRule>
    <cfRule type="expression" dxfId="5357" priority="288">
      <formula>AND(Y$9&gt;=14/24,Y$9&lt;20/24)</formula>
    </cfRule>
    <cfRule type="expression" dxfId="5356" priority="289">
      <formula>AND(Y$9&gt;=8/24,Y$9&lt;14/24)</formula>
    </cfRule>
    <cfRule type="expression" dxfId="5355" priority="290">
      <formula>Y$9&lt;8/24</formula>
    </cfRule>
  </conditionalFormatting>
  <conditionalFormatting sqref="Y12:Y14">
    <cfRule type="expression" dxfId="5354" priority="286">
      <formula>Y12&gt;$AG12</formula>
    </cfRule>
  </conditionalFormatting>
  <conditionalFormatting sqref="Y15">
    <cfRule type="expression" dxfId="5353" priority="282">
      <formula>Y$9&gt;=20/24</formula>
    </cfRule>
    <cfRule type="expression" dxfId="5352" priority="283">
      <formula>AND(Y$9&gt;=14/24,Y$9&lt;20/24)</formula>
    </cfRule>
    <cfRule type="expression" dxfId="5351" priority="284">
      <formula>AND(Y$9&gt;=8/24,Y$9&lt;14/24)</formula>
    </cfRule>
    <cfRule type="expression" dxfId="5350" priority="285">
      <formula>Y$9&lt;8/24</formula>
    </cfRule>
  </conditionalFormatting>
  <conditionalFormatting sqref="Y15">
    <cfRule type="expression" dxfId="5349" priority="281">
      <formula>Y15&gt;$AG15</formula>
    </cfRule>
  </conditionalFormatting>
  <conditionalFormatting sqref="Y36">
    <cfRule type="expression" dxfId="5348" priority="277">
      <formula>Y$9&gt;=20/24</formula>
    </cfRule>
    <cfRule type="expression" dxfId="5347" priority="278">
      <formula>AND(Y$9&gt;=14/24,Y$9&lt;20/24)</formula>
    </cfRule>
    <cfRule type="expression" dxfId="5346" priority="279">
      <formula>AND(Y$9&gt;=8/24,Y$9&lt;14/24)</formula>
    </cfRule>
    <cfRule type="expression" dxfId="5345" priority="280">
      <formula>Y$9&lt;8/24</formula>
    </cfRule>
  </conditionalFormatting>
  <conditionalFormatting sqref="Y36">
    <cfRule type="expression" dxfId="5344" priority="276">
      <formula>Y36&gt;$AG36</formula>
    </cfRule>
  </conditionalFormatting>
  <conditionalFormatting sqref="Y53:Y55">
    <cfRule type="expression" dxfId="5343" priority="275">
      <formula>Y$9="PEAK"</formula>
    </cfRule>
  </conditionalFormatting>
  <conditionalFormatting sqref="B53:B67 B11:E11 C53:E55 B36:L36">
    <cfRule type="expression" dxfId="5342" priority="271">
      <formula>B$9&gt;=20/24</formula>
    </cfRule>
    <cfRule type="expression" dxfId="5341" priority="272">
      <formula>AND(B$9&gt;=14/24,B$9&lt;20/24)</formula>
    </cfRule>
    <cfRule type="expression" dxfId="5340" priority="273">
      <formula>AND(B$9&gt;=8/24,B$9&lt;14/24)</formula>
    </cfRule>
    <cfRule type="expression" dxfId="5339" priority="274">
      <formula>B$9&lt;8/24</formula>
    </cfRule>
  </conditionalFormatting>
  <conditionalFormatting sqref="B37:D37">
    <cfRule type="expression" dxfId="5338" priority="267">
      <formula>B$9&gt;=20/24</formula>
    </cfRule>
    <cfRule type="expression" dxfId="5337" priority="268">
      <formula>AND(B$9&gt;=14/24,B$9&lt;20/24)</formula>
    </cfRule>
    <cfRule type="expression" dxfId="5336" priority="269">
      <formula>AND(B$9&gt;=8/24,B$9&lt;14/24)</formula>
    </cfRule>
    <cfRule type="expression" dxfId="5335" priority="270">
      <formula>B$9&lt;8/24</formula>
    </cfRule>
  </conditionalFormatting>
  <conditionalFormatting sqref="B46:L48">
    <cfRule type="expression" dxfId="5334" priority="263">
      <formula>B$9&gt;=20/24</formula>
    </cfRule>
    <cfRule type="expression" dxfId="5333" priority="264">
      <formula>AND(B$9&gt;=14/24,B$9&lt;20/24)</formula>
    </cfRule>
    <cfRule type="expression" dxfId="5332" priority="265">
      <formula>AND(B$9&gt;=8/24,B$9&lt;14/24)</formula>
    </cfRule>
    <cfRule type="expression" dxfId="5331" priority="266">
      <formula>B$9&lt;8/24</formula>
    </cfRule>
  </conditionalFormatting>
  <conditionalFormatting sqref="B49:L49">
    <cfRule type="expression" dxfId="5330" priority="259">
      <formula>B$9&gt;=20/24</formula>
    </cfRule>
    <cfRule type="expression" dxfId="5329" priority="260">
      <formula>AND(B$9&gt;=14/24,B$9&lt;20/24)</formula>
    </cfRule>
    <cfRule type="expression" dxfId="5328" priority="261">
      <formula>AND(B$9&gt;=8/24,B$9&lt;14/24)</formula>
    </cfRule>
    <cfRule type="expression" dxfId="5327" priority="262">
      <formula>B$9&lt;8/24</formula>
    </cfRule>
  </conditionalFormatting>
  <conditionalFormatting sqref="B50:L50">
    <cfRule type="expression" dxfId="5326" priority="255">
      <formula>B$9&gt;=20/24</formula>
    </cfRule>
    <cfRule type="expression" dxfId="5325" priority="256">
      <formula>AND(B$9&gt;=14/24,B$9&lt;20/24)</formula>
    </cfRule>
    <cfRule type="expression" dxfId="5324" priority="257">
      <formula>AND(B$9&gt;=8/24,B$9&lt;14/24)</formula>
    </cfRule>
    <cfRule type="expression" dxfId="5323" priority="258">
      <formula>B$9&lt;8/24</formula>
    </cfRule>
  </conditionalFormatting>
  <conditionalFormatting sqref="B36:B56 C36:D37 B11:E11 C53:E55 C43:F50 E36:L36 G44:L50">
    <cfRule type="expression" dxfId="5322" priority="254">
      <formula>B11&gt;$AG11</formula>
    </cfRule>
  </conditionalFormatting>
  <conditionalFormatting sqref="B12:L35">
    <cfRule type="expression" dxfId="5321" priority="250">
      <formula>B$9&gt;=20/24</formula>
    </cfRule>
    <cfRule type="expression" dxfId="5320" priority="251">
      <formula>AND(B$9&gt;=14/24,B$9&lt;20/24)</formula>
    </cfRule>
    <cfRule type="expression" dxfId="5319" priority="252">
      <formula>AND(B$9&gt;=8/24,B$9&lt;14/24)</formula>
    </cfRule>
    <cfRule type="expression" dxfId="5318" priority="253">
      <formula>B$9&lt;8/24</formula>
    </cfRule>
  </conditionalFormatting>
  <conditionalFormatting sqref="B12:L35">
    <cfRule type="expression" dxfId="5317" priority="249">
      <formula>B12&gt;$AG12</formula>
    </cfRule>
  </conditionalFormatting>
  <conditionalFormatting sqref="B84:B91">
    <cfRule type="expression" dxfId="5316" priority="245">
      <formula>B$9&gt;=20/24</formula>
    </cfRule>
    <cfRule type="expression" dxfId="5315" priority="246">
      <formula>AND(B$9&gt;=14/24,B$9&lt;20/24)</formula>
    </cfRule>
    <cfRule type="expression" dxfId="5314" priority="247">
      <formula>AND(B$9&gt;=8/24,B$9&lt;14/24)</formula>
    </cfRule>
    <cfRule type="expression" dxfId="5313" priority="248">
      <formula>B$9&lt;8/24</formula>
    </cfRule>
  </conditionalFormatting>
  <conditionalFormatting sqref="B9:B10">
    <cfRule type="expression" dxfId="5312" priority="241">
      <formula>B$9&gt;=20/24</formula>
    </cfRule>
    <cfRule type="expression" dxfId="5311" priority="242">
      <formula>AND(B$9&gt;=14/24,B$9&lt;20/24)</formula>
    </cfRule>
    <cfRule type="expression" dxfId="5310" priority="243">
      <formula>AND(B$9&gt;=8/24,B$9&lt;14/24)</formula>
    </cfRule>
    <cfRule type="expression" dxfId="5309" priority="244">
      <formula>B$9&lt;8/24</formula>
    </cfRule>
  </conditionalFormatting>
  <conditionalFormatting sqref="M36">
    <cfRule type="expression" dxfId="5308" priority="237">
      <formula>M$9&gt;=20/24</formula>
    </cfRule>
    <cfRule type="expression" dxfId="5307" priority="238">
      <formula>AND(M$9&gt;=14/24,M$9&lt;20/24)</formula>
    </cfRule>
    <cfRule type="expression" dxfId="5306" priority="239">
      <formula>AND(M$9&gt;=8/24,M$9&lt;14/24)</formula>
    </cfRule>
    <cfRule type="expression" dxfId="5305" priority="240">
      <formula>M$9&lt;8/24</formula>
    </cfRule>
  </conditionalFormatting>
  <conditionalFormatting sqref="M36">
    <cfRule type="expression" dxfId="5304" priority="236">
      <formula>M36&gt;$AG36</formula>
    </cfRule>
  </conditionalFormatting>
  <conditionalFormatting sqref="M17:M35">
    <cfRule type="expression" dxfId="5303" priority="232">
      <formula>M$9&gt;=20/24</formula>
    </cfRule>
    <cfRule type="expression" dxfId="5302" priority="233">
      <formula>AND(M$9&gt;=14/24,M$9&lt;20/24)</formula>
    </cfRule>
    <cfRule type="expression" dxfId="5301" priority="234">
      <formula>AND(M$9&gt;=8/24,M$9&lt;14/24)</formula>
    </cfRule>
    <cfRule type="expression" dxfId="5300" priority="235">
      <formula>M$9&lt;8/24</formula>
    </cfRule>
  </conditionalFormatting>
  <conditionalFormatting sqref="M17:M35">
    <cfRule type="expression" dxfId="5299" priority="231">
      <formula>M17&gt;$AG17</formula>
    </cfRule>
  </conditionalFormatting>
  <conditionalFormatting sqref="M48">
    <cfRule type="expression" dxfId="5298" priority="227">
      <formula>M$9&gt;=20/24</formula>
    </cfRule>
    <cfRule type="expression" dxfId="5297" priority="228">
      <formula>AND(M$9&gt;=14/24,M$9&lt;20/24)</formula>
    </cfRule>
    <cfRule type="expression" dxfId="5296" priority="229">
      <formula>AND(M$9&gt;=8/24,M$9&lt;14/24)</formula>
    </cfRule>
    <cfRule type="expression" dxfId="5295" priority="230">
      <formula>M$9&lt;8/24</formula>
    </cfRule>
  </conditionalFormatting>
  <conditionalFormatting sqref="M49">
    <cfRule type="expression" dxfId="5294" priority="223">
      <formula>M$9&gt;=20/24</formula>
    </cfRule>
    <cfRule type="expression" dxfId="5293" priority="224">
      <formula>AND(M$9&gt;=14/24,M$9&lt;20/24)</formula>
    </cfRule>
    <cfRule type="expression" dxfId="5292" priority="225">
      <formula>AND(M$9&gt;=8/24,M$9&lt;14/24)</formula>
    </cfRule>
    <cfRule type="expression" dxfId="5291" priority="226">
      <formula>M$9&lt;8/24</formula>
    </cfRule>
  </conditionalFormatting>
  <conditionalFormatting sqref="M50">
    <cfRule type="expression" dxfId="5290" priority="219">
      <formula>M$9&gt;=20/24</formula>
    </cfRule>
    <cfRule type="expression" dxfId="5289" priority="220">
      <formula>AND(M$9&gt;=14/24,M$9&lt;20/24)</formula>
    </cfRule>
    <cfRule type="expression" dxfId="5288" priority="221">
      <formula>AND(M$9&gt;=8/24,M$9&lt;14/24)</formula>
    </cfRule>
    <cfRule type="expression" dxfId="5287" priority="222">
      <formula>M$9&lt;8/24</formula>
    </cfRule>
  </conditionalFormatting>
  <conditionalFormatting sqref="M48:M50">
    <cfRule type="expression" dxfId="5286" priority="218">
      <formula>M48&gt;$AG48</formula>
    </cfRule>
  </conditionalFormatting>
  <conditionalFormatting sqref="N16">
    <cfRule type="expression" dxfId="5285" priority="217">
      <formula>N16&gt;$AG16</formula>
    </cfRule>
  </conditionalFormatting>
  <conditionalFormatting sqref="N36">
    <cfRule type="expression" dxfId="5284" priority="213">
      <formula>N$9&gt;=20/24</formula>
    </cfRule>
    <cfRule type="expression" dxfId="5283" priority="214">
      <formula>AND(N$9&gt;=14/24,N$9&lt;20/24)</formula>
    </cfRule>
    <cfRule type="expression" dxfId="5282" priority="215">
      <formula>AND(N$9&gt;=8/24,N$9&lt;14/24)</formula>
    </cfRule>
    <cfRule type="expression" dxfId="5281" priority="216">
      <formula>N$9&lt;8/24</formula>
    </cfRule>
  </conditionalFormatting>
  <conditionalFormatting sqref="N36">
    <cfRule type="expression" dxfId="5280" priority="212">
      <formula>N36&gt;$AG36</formula>
    </cfRule>
  </conditionalFormatting>
  <conditionalFormatting sqref="N17:N35">
    <cfRule type="expression" dxfId="5279" priority="208">
      <formula>N$9&gt;=20/24</formula>
    </cfRule>
    <cfRule type="expression" dxfId="5278" priority="209">
      <formula>AND(N$9&gt;=14/24,N$9&lt;20/24)</formula>
    </cfRule>
    <cfRule type="expression" dxfId="5277" priority="210">
      <formula>AND(N$9&gt;=8/24,N$9&lt;14/24)</formula>
    </cfRule>
    <cfRule type="expression" dxfId="5276" priority="211">
      <formula>N$9&lt;8/24</formula>
    </cfRule>
  </conditionalFormatting>
  <conditionalFormatting sqref="N17:N35">
    <cfRule type="expression" dxfId="5275" priority="207">
      <formula>N17&gt;$AG17</formula>
    </cfRule>
  </conditionalFormatting>
  <conditionalFormatting sqref="N45:N47">
    <cfRule type="expression" dxfId="5274" priority="203">
      <formula>N$9&gt;=20/24</formula>
    </cfRule>
    <cfRule type="expression" dxfId="5273" priority="204">
      <formula>AND(N$9&gt;=14/24,N$9&lt;20/24)</formula>
    </cfRule>
    <cfRule type="expression" dxfId="5272" priority="205">
      <formula>AND(N$9&gt;=8/24,N$9&lt;14/24)</formula>
    </cfRule>
    <cfRule type="expression" dxfId="5271" priority="206">
      <formula>N$9&lt;8/24</formula>
    </cfRule>
  </conditionalFormatting>
  <conditionalFormatting sqref="N45:N47">
    <cfRule type="expression" dxfId="5270" priority="202">
      <formula>N45&gt;$AG45</formula>
    </cfRule>
  </conditionalFormatting>
  <conditionalFormatting sqref="N48">
    <cfRule type="expression" dxfId="5269" priority="198">
      <formula>N$9&gt;=20/24</formula>
    </cfRule>
    <cfRule type="expression" dxfId="5268" priority="199">
      <formula>AND(N$9&gt;=14/24,N$9&lt;20/24)</formula>
    </cfRule>
    <cfRule type="expression" dxfId="5267" priority="200">
      <formula>AND(N$9&gt;=8/24,N$9&lt;14/24)</formula>
    </cfRule>
    <cfRule type="expression" dxfId="5266" priority="201">
      <formula>N$9&lt;8/24</formula>
    </cfRule>
  </conditionalFormatting>
  <conditionalFormatting sqref="N49">
    <cfRule type="expression" dxfId="5265" priority="194">
      <formula>N$9&gt;=20/24</formula>
    </cfRule>
    <cfRule type="expression" dxfId="5264" priority="195">
      <formula>AND(N$9&gt;=14/24,N$9&lt;20/24)</formula>
    </cfRule>
    <cfRule type="expression" dxfId="5263" priority="196">
      <formula>AND(N$9&gt;=8/24,N$9&lt;14/24)</formula>
    </cfRule>
    <cfRule type="expression" dxfId="5262" priority="197">
      <formula>N$9&lt;8/24</formula>
    </cfRule>
  </conditionalFormatting>
  <conditionalFormatting sqref="N50">
    <cfRule type="expression" dxfId="5261" priority="190">
      <formula>N$9&gt;=20/24</formula>
    </cfRule>
    <cfRule type="expression" dxfId="5260" priority="191">
      <formula>AND(N$9&gt;=14/24,N$9&lt;20/24)</formula>
    </cfRule>
    <cfRule type="expression" dxfId="5259" priority="192">
      <formula>AND(N$9&gt;=8/24,N$9&lt;14/24)</formula>
    </cfRule>
    <cfRule type="expression" dxfId="5258" priority="193">
      <formula>N$9&lt;8/24</formula>
    </cfRule>
  </conditionalFormatting>
  <conditionalFormatting sqref="N48:N50">
    <cfRule type="expression" dxfId="5257" priority="189">
      <formula>N48&gt;$AG48</formula>
    </cfRule>
  </conditionalFormatting>
  <conditionalFormatting sqref="O14">
    <cfRule type="expression" dxfId="5256" priority="185">
      <formula>O$9&gt;=20/24</formula>
    </cfRule>
    <cfRule type="expression" dxfId="5255" priority="186">
      <formula>AND(O$9&gt;=14/24,O$9&lt;20/24)</formula>
    </cfRule>
    <cfRule type="expression" dxfId="5254" priority="187">
      <formula>AND(O$9&gt;=8/24,O$9&lt;14/24)</formula>
    </cfRule>
    <cfRule type="expression" dxfId="5253" priority="188">
      <formula>O$9&lt;8/24</formula>
    </cfRule>
  </conditionalFormatting>
  <conditionalFormatting sqref="O14">
    <cfRule type="expression" dxfId="5252" priority="184">
      <formula>O14&gt;$AG14</formula>
    </cfRule>
  </conditionalFormatting>
  <conditionalFormatting sqref="O15">
    <cfRule type="expression" dxfId="5251" priority="180">
      <formula>O$9&gt;=20/24</formula>
    </cfRule>
    <cfRule type="expression" dxfId="5250" priority="181">
      <formula>AND(O$9&gt;=14/24,O$9&lt;20/24)</formula>
    </cfRule>
    <cfRule type="expression" dxfId="5249" priority="182">
      <formula>AND(O$9&gt;=8/24,O$9&lt;14/24)</formula>
    </cfRule>
    <cfRule type="expression" dxfId="5248" priority="183">
      <formula>O$9&lt;8/24</formula>
    </cfRule>
  </conditionalFormatting>
  <conditionalFormatting sqref="O15">
    <cfRule type="expression" dxfId="5247" priority="179">
      <formula>O15&gt;$AG15</formula>
    </cfRule>
  </conditionalFormatting>
  <conditionalFormatting sqref="O16">
    <cfRule type="expression" dxfId="5246" priority="178">
      <formula>O16&gt;$AG16</formula>
    </cfRule>
  </conditionalFormatting>
  <conditionalFormatting sqref="O36">
    <cfRule type="expression" dxfId="5245" priority="174">
      <formula>O$9&gt;=20/24</formula>
    </cfRule>
    <cfRule type="expression" dxfId="5244" priority="175">
      <formula>AND(O$9&gt;=14/24,O$9&lt;20/24)</formula>
    </cfRule>
    <cfRule type="expression" dxfId="5243" priority="176">
      <formula>AND(O$9&gt;=8/24,O$9&lt;14/24)</formula>
    </cfRule>
    <cfRule type="expression" dxfId="5242" priority="177">
      <formula>O$9&lt;8/24</formula>
    </cfRule>
  </conditionalFormatting>
  <conditionalFormatting sqref="O36">
    <cfRule type="expression" dxfId="5241" priority="173">
      <formula>O36&gt;$AG36</formula>
    </cfRule>
  </conditionalFormatting>
  <conditionalFormatting sqref="O17:O35">
    <cfRule type="expression" dxfId="5240" priority="169">
      <formula>O$9&gt;=20/24</formula>
    </cfRule>
    <cfRule type="expression" dxfId="5239" priority="170">
      <formula>AND(O$9&gt;=14/24,O$9&lt;20/24)</formula>
    </cfRule>
    <cfRule type="expression" dxfId="5238" priority="171">
      <formula>AND(O$9&gt;=8/24,O$9&lt;14/24)</formula>
    </cfRule>
    <cfRule type="expression" dxfId="5237" priority="172">
      <formula>O$9&lt;8/24</formula>
    </cfRule>
  </conditionalFormatting>
  <conditionalFormatting sqref="O17:O35">
    <cfRule type="expression" dxfId="5236" priority="168">
      <formula>O17&gt;$AG17</formula>
    </cfRule>
  </conditionalFormatting>
  <conditionalFormatting sqref="O46:O47">
    <cfRule type="expression" dxfId="5235" priority="164">
      <formula>O$9&gt;=20/24</formula>
    </cfRule>
    <cfRule type="expression" dxfId="5234" priority="165">
      <formula>AND(O$9&gt;=14/24,O$9&lt;20/24)</formula>
    </cfRule>
    <cfRule type="expression" dxfId="5233" priority="166">
      <formula>AND(O$9&gt;=8/24,O$9&lt;14/24)</formula>
    </cfRule>
    <cfRule type="expression" dxfId="5232" priority="167">
      <formula>O$9&lt;8/24</formula>
    </cfRule>
  </conditionalFormatting>
  <conditionalFormatting sqref="O46:O47">
    <cfRule type="expression" dxfId="5231" priority="163">
      <formula>O46&gt;$AG46</formula>
    </cfRule>
  </conditionalFormatting>
  <conditionalFormatting sqref="O48">
    <cfRule type="expression" dxfId="5230" priority="159">
      <formula>O$9&gt;=20/24</formula>
    </cfRule>
    <cfRule type="expression" dxfId="5229" priority="160">
      <formula>AND(O$9&gt;=14/24,O$9&lt;20/24)</formula>
    </cfRule>
    <cfRule type="expression" dxfId="5228" priority="161">
      <formula>AND(O$9&gt;=8/24,O$9&lt;14/24)</formula>
    </cfRule>
    <cfRule type="expression" dxfId="5227" priority="162">
      <formula>O$9&lt;8/24</formula>
    </cfRule>
  </conditionalFormatting>
  <conditionalFormatting sqref="O49">
    <cfRule type="expression" dxfId="5226" priority="155">
      <formula>O$9&gt;=20/24</formula>
    </cfRule>
    <cfRule type="expression" dxfId="5225" priority="156">
      <formula>AND(O$9&gt;=14/24,O$9&lt;20/24)</formula>
    </cfRule>
    <cfRule type="expression" dxfId="5224" priority="157">
      <formula>AND(O$9&gt;=8/24,O$9&lt;14/24)</formula>
    </cfRule>
    <cfRule type="expression" dxfId="5223" priority="158">
      <formula>O$9&lt;8/24</formula>
    </cfRule>
  </conditionalFormatting>
  <conditionalFormatting sqref="O50">
    <cfRule type="expression" dxfId="5222" priority="151">
      <formula>O$9&gt;=20/24</formula>
    </cfRule>
    <cfRule type="expression" dxfId="5221" priority="152">
      <formula>AND(O$9&gt;=14/24,O$9&lt;20/24)</formula>
    </cfRule>
    <cfRule type="expression" dxfId="5220" priority="153">
      <formula>AND(O$9&gt;=8/24,O$9&lt;14/24)</formula>
    </cfRule>
    <cfRule type="expression" dxfId="5219" priority="154">
      <formula>O$9&lt;8/24</formula>
    </cfRule>
  </conditionalFormatting>
  <conditionalFormatting sqref="O48:O50">
    <cfRule type="expression" dxfId="5218" priority="150">
      <formula>O48&gt;$AG48</formula>
    </cfRule>
  </conditionalFormatting>
  <conditionalFormatting sqref="P12:P13">
    <cfRule type="expression" dxfId="5217" priority="146">
      <formula>P$9&gt;=20/24</formula>
    </cfRule>
    <cfRule type="expression" dxfId="5216" priority="147">
      <formula>AND(P$9&gt;=14/24,P$9&lt;20/24)</formula>
    </cfRule>
    <cfRule type="expression" dxfId="5215" priority="148">
      <formula>AND(P$9&gt;=8/24,P$9&lt;14/24)</formula>
    </cfRule>
    <cfRule type="expression" dxfId="5214" priority="149">
      <formula>P$9&lt;8/24</formula>
    </cfRule>
  </conditionalFormatting>
  <conditionalFormatting sqref="P12:P13">
    <cfRule type="expression" dxfId="5213" priority="145">
      <formula>P12&gt;$AG12</formula>
    </cfRule>
  </conditionalFormatting>
  <conditionalFormatting sqref="P14">
    <cfRule type="expression" dxfId="5212" priority="141">
      <formula>P$9&gt;=20/24</formula>
    </cfRule>
    <cfRule type="expression" dxfId="5211" priority="142">
      <formula>AND(P$9&gt;=14/24,P$9&lt;20/24)</formula>
    </cfRule>
    <cfRule type="expression" dxfId="5210" priority="143">
      <formula>AND(P$9&gt;=8/24,P$9&lt;14/24)</formula>
    </cfRule>
    <cfRule type="expression" dxfId="5209" priority="144">
      <formula>P$9&lt;8/24</formula>
    </cfRule>
  </conditionalFormatting>
  <conditionalFormatting sqref="P14">
    <cfRule type="expression" dxfId="5208" priority="140">
      <formula>P14&gt;$AG14</formula>
    </cfRule>
  </conditionalFormatting>
  <conditionalFormatting sqref="P15">
    <cfRule type="expression" dxfId="5207" priority="136">
      <formula>P$9&gt;=20/24</formula>
    </cfRule>
    <cfRule type="expression" dxfId="5206" priority="137">
      <formula>AND(P$9&gt;=14/24,P$9&lt;20/24)</formula>
    </cfRule>
    <cfRule type="expression" dxfId="5205" priority="138">
      <formula>AND(P$9&gt;=8/24,P$9&lt;14/24)</formula>
    </cfRule>
    <cfRule type="expression" dxfId="5204" priority="139">
      <formula>P$9&lt;8/24</formula>
    </cfRule>
  </conditionalFormatting>
  <conditionalFormatting sqref="P15">
    <cfRule type="expression" dxfId="5203" priority="135">
      <formula>P15&gt;$AG15</formula>
    </cfRule>
  </conditionalFormatting>
  <conditionalFormatting sqref="P16">
    <cfRule type="expression" dxfId="5202" priority="134">
      <formula>P16&gt;$AG16</formula>
    </cfRule>
  </conditionalFormatting>
  <conditionalFormatting sqref="P36">
    <cfRule type="expression" dxfId="5201" priority="130">
      <formula>P$9&gt;=20/24</formula>
    </cfRule>
    <cfRule type="expression" dxfId="5200" priority="131">
      <formula>AND(P$9&gt;=14/24,P$9&lt;20/24)</formula>
    </cfRule>
    <cfRule type="expression" dxfId="5199" priority="132">
      <formula>AND(P$9&gt;=8/24,P$9&lt;14/24)</formula>
    </cfRule>
    <cfRule type="expression" dxfId="5198" priority="133">
      <formula>P$9&lt;8/24</formula>
    </cfRule>
  </conditionalFormatting>
  <conditionalFormatting sqref="P36">
    <cfRule type="expression" dxfId="5197" priority="129">
      <formula>P36&gt;$AG36</formula>
    </cfRule>
  </conditionalFormatting>
  <conditionalFormatting sqref="P17:P35">
    <cfRule type="expression" dxfId="5196" priority="125">
      <formula>P$9&gt;=20/24</formula>
    </cfRule>
    <cfRule type="expression" dxfId="5195" priority="126">
      <formula>AND(P$9&gt;=14/24,P$9&lt;20/24)</formula>
    </cfRule>
    <cfRule type="expression" dxfId="5194" priority="127">
      <formula>AND(P$9&gt;=8/24,P$9&lt;14/24)</formula>
    </cfRule>
    <cfRule type="expression" dxfId="5193" priority="128">
      <formula>P$9&lt;8/24</formula>
    </cfRule>
  </conditionalFormatting>
  <conditionalFormatting sqref="P17:P35">
    <cfRule type="expression" dxfId="5192" priority="124">
      <formula>P17&gt;$AG17</formula>
    </cfRule>
  </conditionalFormatting>
  <conditionalFormatting sqref="P45">
    <cfRule type="expression" dxfId="5191" priority="120">
      <formula>P$9&gt;=20/24</formula>
    </cfRule>
    <cfRule type="expression" dxfId="5190" priority="121">
      <formula>AND(P$9&gt;=14/24,P$9&lt;20/24)</formula>
    </cfRule>
    <cfRule type="expression" dxfId="5189" priority="122">
      <formula>AND(P$9&gt;=8/24,P$9&lt;14/24)</formula>
    </cfRule>
    <cfRule type="expression" dxfId="5188" priority="123">
      <formula>P$9&lt;8/24</formula>
    </cfRule>
  </conditionalFormatting>
  <conditionalFormatting sqref="P45">
    <cfRule type="expression" dxfId="5187" priority="116">
      <formula>P$9&gt;=20/24</formula>
    </cfRule>
    <cfRule type="expression" dxfId="5186" priority="117">
      <formula>AND(P$9&gt;=14/24,P$9&lt;20/24)</formula>
    </cfRule>
    <cfRule type="expression" dxfId="5185" priority="118">
      <formula>AND(P$9&gt;=8/24,P$9&lt;14/24)</formula>
    </cfRule>
    <cfRule type="expression" dxfId="5184" priority="119">
      <formula>P$9&lt;8/24</formula>
    </cfRule>
  </conditionalFormatting>
  <conditionalFormatting sqref="P44:P45">
    <cfRule type="expression" dxfId="5183" priority="115">
      <formula>P44&gt;$AG44</formula>
    </cfRule>
  </conditionalFormatting>
  <conditionalFormatting sqref="P44">
    <cfRule type="expression" dxfId="5182" priority="111">
      <formula>P$9&gt;=20/24</formula>
    </cfRule>
    <cfRule type="expression" dxfId="5181" priority="112">
      <formula>AND(P$9&gt;=14/24,P$9&lt;20/24)</formula>
    </cfRule>
    <cfRule type="expression" dxfId="5180" priority="113">
      <formula>AND(P$9&gt;=8/24,P$9&lt;14/24)</formula>
    </cfRule>
    <cfRule type="expression" dxfId="5179" priority="114">
      <formula>P$9&lt;8/24</formula>
    </cfRule>
  </conditionalFormatting>
  <conditionalFormatting sqref="P46:P47">
    <cfRule type="expression" dxfId="5178" priority="107">
      <formula>P$9&gt;=20/24</formula>
    </cfRule>
    <cfRule type="expression" dxfId="5177" priority="108">
      <formula>AND(P$9&gt;=14/24,P$9&lt;20/24)</formula>
    </cfRule>
    <cfRule type="expression" dxfId="5176" priority="109">
      <formula>AND(P$9&gt;=8/24,P$9&lt;14/24)</formula>
    </cfRule>
    <cfRule type="expression" dxfId="5175" priority="110">
      <formula>P$9&lt;8/24</formula>
    </cfRule>
  </conditionalFormatting>
  <conditionalFormatting sqref="P46:P47">
    <cfRule type="expression" dxfId="5174" priority="106">
      <formula>P46&gt;$AG46</formula>
    </cfRule>
  </conditionalFormatting>
  <conditionalFormatting sqref="P48">
    <cfRule type="expression" dxfId="5173" priority="102">
      <formula>P$9&gt;=20/24</formula>
    </cfRule>
    <cfRule type="expression" dxfId="5172" priority="103">
      <formula>AND(P$9&gt;=14/24,P$9&lt;20/24)</formula>
    </cfRule>
    <cfRule type="expression" dxfId="5171" priority="104">
      <formula>AND(P$9&gt;=8/24,P$9&lt;14/24)</formula>
    </cfRule>
    <cfRule type="expression" dxfId="5170" priority="105">
      <formula>P$9&lt;8/24</formula>
    </cfRule>
  </conditionalFormatting>
  <conditionalFormatting sqref="P49">
    <cfRule type="expression" dxfId="5169" priority="98">
      <formula>P$9&gt;=20/24</formula>
    </cfRule>
    <cfRule type="expression" dxfId="5168" priority="99">
      <formula>AND(P$9&gt;=14/24,P$9&lt;20/24)</formula>
    </cfRule>
    <cfRule type="expression" dxfId="5167" priority="100">
      <formula>AND(P$9&gt;=8/24,P$9&lt;14/24)</formula>
    </cfRule>
    <cfRule type="expression" dxfId="5166" priority="101">
      <formula>P$9&lt;8/24</formula>
    </cfRule>
  </conditionalFormatting>
  <conditionalFormatting sqref="P50">
    <cfRule type="expression" dxfId="5165" priority="94">
      <formula>P$9&gt;=20/24</formula>
    </cfRule>
    <cfRule type="expression" dxfId="5164" priority="95">
      <formula>AND(P$9&gt;=14/24,P$9&lt;20/24)</formula>
    </cfRule>
    <cfRule type="expression" dxfId="5163" priority="96">
      <formula>AND(P$9&gt;=8/24,P$9&lt;14/24)</formula>
    </cfRule>
    <cfRule type="expression" dxfId="5162" priority="97">
      <formula>P$9&lt;8/24</formula>
    </cfRule>
  </conditionalFormatting>
  <conditionalFormatting sqref="P48:P50">
    <cfRule type="expression" dxfId="5161" priority="93">
      <formula>P48&gt;$AG48</formula>
    </cfRule>
  </conditionalFormatting>
  <conditionalFormatting sqref="Q14">
    <cfRule type="expression" dxfId="5160" priority="89">
      <formula>Q$9&gt;=20/24</formula>
    </cfRule>
    <cfRule type="expression" dxfId="5159" priority="90">
      <formula>AND(Q$9&gt;=14/24,Q$9&lt;20/24)</formula>
    </cfRule>
    <cfRule type="expression" dxfId="5158" priority="91">
      <formula>AND(Q$9&gt;=8/24,Q$9&lt;14/24)</formula>
    </cfRule>
    <cfRule type="expression" dxfId="5157" priority="92">
      <formula>Q$9&lt;8/24</formula>
    </cfRule>
  </conditionalFormatting>
  <conditionalFormatting sqref="Q14">
    <cfRule type="expression" dxfId="5156" priority="88">
      <formula>Q14&gt;$AG14</formula>
    </cfRule>
  </conditionalFormatting>
  <conditionalFormatting sqref="Q15">
    <cfRule type="expression" dxfId="5155" priority="84">
      <formula>Q$9&gt;=20/24</formula>
    </cfRule>
    <cfRule type="expression" dxfId="5154" priority="85">
      <formula>AND(Q$9&gt;=14/24,Q$9&lt;20/24)</formula>
    </cfRule>
    <cfRule type="expression" dxfId="5153" priority="86">
      <formula>AND(Q$9&gt;=8/24,Q$9&lt;14/24)</formula>
    </cfRule>
    <cfRule type="expression" dxfId="5152" priority="87">
      <formula>Q$9&lt;8/24</formula>
    </cfRule>
  </conditionalFormatting>
  <conditionalFormatting sqref="Q15">
    <cfRule type="expression" dxfId="5151" priority="83">
      <formula>Q15&gt;$AG15</formula>
    </cfRule>
  </conditionalFormatting>
  <conditionalFormatting sqref="Q16">
    <cfRule type="expression" dxfId="5150" priority="82">
      <formula>Q16&gt;$AG16</formula>
    </cfRule>
  </conditionalFormatting>
  <conditionalFormatting sqref="Q36">
    <cfRule type="expression" dxfId="5149" priority="78">
      <formula>Q$9&gt;=20/24</formula>
    </cfRule>
    <cfRule type="expression" dxfId="5148" priority="79">
      <formula>AND(Q$9&gt;=14/24,Q$9&lt;20/24)</formula>
    </cfRule>
    <cfRule type="expression" dxfId="5147" priority="80">
      <formula>AND(Q$9&gt;=8/24,Q$9&lt;14/24)</formula>
    </cfRule>
    <cfRule type="expression" dxfId="5146" priority="81">
      <formula>Q$9&lt;8/24</formula>
    </cfRule>
  </conditionalFormatting>
  <conditionalFormatting sqref="Q36">
    <cfRule type="expression" dxfId="5145" priority="77">
      <formula>Q36&gt;$AG36</formula>
    </cfRule>
  </conditionalFormatting>
  <conditionalFormatting sqref="Q17:Q35">
    <cfRule type="expression" dxfId="5144" priority="73">
      <formula>Q$9&gt;=20/24</formula>
    </cfRule>
    <cfRule type="expression" dxfId="5143" priority="74">
      <formula>AND(Q$9&gt;=14/24,Q$9&lt;20/24)</formula>
    </cfRule>
    <cfRule type="expression" dxfId="5142" priority="75">
      <formula>AND(Q$9&gt;=8/24,Q$9&lt;14/24)</formula>
    </cfRule>
    <cfRule type="expression" dxfId="5141" priority="76">
      <formula>Q$9&lt;8/24</formula>
    </cfRule>
  </conditionalFormatting>
  <conditionalFormatting sqref="Q17:Q35">
    <cfRule type="expression" dxfId="5140" priority="72">
      <formula>Q17&gt;$AG17</formula>
    </cfRule>
  </conditionalFormatting>
  <conditionalFormatting sqref="Q47">
    <cfRule type="expression" dxfId="5139" priority="68">
      <formula>Q$9&gt;=20/24</formula>
    </cfRule>
    <cfRule type="expression" dxfId="5138" priority="69">
      <formula>AND(Q$9&gt;=14/24,Q$9&lt;20/24)</formula>
    </cfRule>
    <cfRule type="expression" dxfId="5137" priority="70">
      <formula>AND(Q$9&gt;=8/24,Q$9&lt;14/24)</formula>
    </cfRule>
    <cfRule type="expression" dxfId="5136" priority="71">
      <formula>Q$9&lt;8/24</formula>
    </cfRule>
  </conditionalFormatting>
  <conditionalFormatting sqref="Q47">
    <cfRule type="expression" dxfId="5135" priority="67">
      <formula>Q47&gt;$AG47</formula>
    </cfRule>
  </conditionalFormatting>
  <conditionalFormatting sqref="Q48">
    <cfRule type="expression" dxfId="5134" priority="63">
      <formula>Q$9&gt;=20/24</formula>
    </cfRule>
    <cfRule type="expression" dxfId="5133" priority="64">
      <formula>AND(Q$9&gt;=14/24,Q$9&lt;20/24)</formula>
    </cfRule>
    <cfRule type="expression" dxfId="5132" priority="65">
      <formula>AND(Q$9&gt;=8/24,Q$9&lt;14/24)</formula>
    </cfRule>
    <cfRule type="expression" dxfId="5131" priority="66">
      <formula>Q$9&lt;8/24</formula>
    </cfRule>
  </conditionalFormatting>
  <conditionalFormatting sqref="Q49">
    <cfRule type="expression" dxfId="5130" priority="59">
      <formula>Q$9&gt;=20/24</formula>
    </cfRule>
    <cfRule type="expression" dxfId="5129" priority="60">
      <formula>AND(Q$9&gt;=14/24,Q$9&lt;20/24)</formula>
    </cfRule>
    <cfRule type="expression" dxfId="5128" priority="61">
      <formula>AND(Q$9&gt;=8/24,Q$9&lt;14/24)</formula>
    </cfRule>
    <cfRule type="expression" dxfId="5127" priority="62">
      <formula>Q$9&lt;8/24</formula>
    </cfRule>
  </conditionalFormatting>
  <conditionalFormatting sqref="Q50">
    <cfRule type="expression" dxfId="5126" priority="55">
      <formula>Q$9&gt;=20/24</formula>
    </cfRule>
    <cfRule type="expression" dxfId="5125" priority="56">
      <formula>AND(Q$9&gt;=14/24,Q$9&lt;20/24)</formula>
    </cfRule>
    <cfRule type="expression" dxfId="5124" priority="57">
      <formula>AND(Q$9&gt;=8/24,Q$9&lt;14/24)</formula>
    </cfRule>
    <cfRule type="expression" dxfId="5123" priority="58">
      <formula>Q$9&lt;8/24</formula>
    </cfRule>
  </conditionalFormatting>
  <conditionalFormatting sqref="Q48:Q50">
    <cfRule type="expression" dxfId="5122" priority="54">
      <formula>Q48&gt;$AG48</formula>
    </cfRule>
  </conditionalFormatting>
  <conditionalFormatting sqref="R12:R13">
    <cfRule type="expression" dxfId="5121" priority="50">
      <formula>R$9&gt;=20/24</formula>
    </cfRule>
    <cfRule type="expression" dxfId="5120" priority="51">
      <formula>AND(R$9&gt;=14/24,R$9&lt;20/24)</formula>
    </cfRule>
    <cfRule type="expression" dxfId="5119" priority="52">
      <formula>AND(R$9&gt;=8/24,R$9&lt;14/24)</formula>
    </cfRule>
    <cfRule type="expression" dxfId="5118" priority="53">
      <formula>R$9&lt;8/24</formula>
    </cfRule>
  </conditionalFormatting>
  <conditionalFormatting sqref="R12:R13">
    <cfRule type="expression" dxfId="5117" priority="49">
      <formula>R12&gt;$AG12</formula>
    </cfRule>
  </conditionalFormatting>
  <conditionalFormatting sqref="R14">
    <cfRule type="expression" dxfId="5116" priority="45">
      <formula>R$9&gt;=20/24</formula>
    </cfRule>
    <cfRule type="expression" dxfId="5115" priority="46">
      <formula>AND(R$9&gt;=14/24,R$9&lt;20/24)</formula>
    </cfRule>
    <cfRule type="expression" dxfId="5114" priority="47">
      <formula>AND(R$9&gt;=8/24,R$9&lt;14/24)</formula>
    </cfRule>
    <cfRule type="expression" dxfId="5113" priority="48">
      <formula>R$9&lt;8/24</formula>
    </cfRule>
  </conditionalFormatting>
  <conditionalFormatting sqref="R14">
    <cfRule type="expression" dxfId="5112" priority="44">
      <formula>R14&gt;$AG14</formula>
    </cfRule>
  </conditionalFormatting>
  <conditionalFormatting sqref="R15">
    <cfRule type="expression" dxfId="5111" priority="40">
      <formula>R$9&gt;=20/24</formula>
    </cfRule>
    <cfRule type="expression" dxfId="5110" priority="41">
      <formula>AND(R$9&gt;=14/24,R$9&lt;20/24)</formula>
    </cfRule>
    <cfRule type="expression" dxfId="5109" priority="42">
      <formula>AND(R$9&gt;=8/24,R$9&lt;14/24)</formula>
    </cfRule>
    <cfRule type="expression" dxfId="5108" priority="43">
      <formula>R$9&lt;8/24</formula>
    </cfRule>
  </conditionalFormatting>
  <conditionalFormatting sqref="R15">
    <cfRule type="expression" dxfId="5107" priority="39">
      <formula>R15&gt;$AG15</formula>
    </cfRule>
  </conditionalFormatting>
  <conditionalFormatting sqref="R16">
    <cfRule type="expression" dxfId="5106" priority="38">
      <formula>R16&gt;$AG16</formula>
    </cfRule>
  </conditionalFormatting>
  <conditionalFormatting sqref="R36">
    <cfRule type="expression" dxfId="5105" priority="34">
      <formula>R$9&gt;=20/24</formula>
    </cfRule>
    <cfRule type="expression" dxfId="5104" priority="35">
      <formula>AND(R$9&gt;=14/24,R$9&lt;20/24)</formula>
    </cfRule>
    <cfRule type="expression" dxfId="5103" priority="36">
      <formula>AND(R$9&gt;=8/24,R$9&lt;14/24)</formula>
    </cfRule>
    <cfRule type="expression" dxfId="5102" priority="37">
      <formula>R$9&lt;8/24</formula>
    </cfRule>
  </conditionalFormatting>
  <conditionalFormatting sqref="R36">
    <cfRule type="expression" dxfId="5101" priority="33">
      <formula>R36&gt;$AG36</formula>
    </cfRule>
  </conditionalFormatting>
  <conditionalFormatting sqref="R17:R35">
    <cfRule type="expression" dxfId="5100" priority="29">
      <formula>R$9&gt;=20/24</formula>
    </cfRule>
    <cfRule type="expression" dxfId="5099" priority="30">
      <formula>AND(R$9&gt;=14/24,R$9&lt;20/24)</formula>
    </cfRule>
    <cfRule type="expression" dxfId="5098" priority="31">
      <formula>AND(R$9&gt;=8/24,R$9&lt;14/24)</formula>
    </cfRule>
    <cfRule type="expression" dxfId="5097" priority="32">
      <formula>R$9&lt;8/24</formula>
    </cfRule>
  </conditionalFormatting>
  <conditionalFormatting sqref="R17:R35">
    <cfRule type="expression" dxfId="5096" priority="28">
      <formula>R17&gt;$AG17</formula>
    </cfRule>
  </conditionalFormatting>
  <conditionalFormatting sqref="R45:R46 S46:V46">
    <cfRule type="expression" dxfId="5095" priority="24">
      <formula>R$9&gt;=20/24</formula>
    </cfRule>
    <cfRule type="expression" dxfId="5094" priority="25">
      <formula>AND(R$9&gt;=14/24,R$9&lt;20/24)</formula>
    </cfRule>
    <cfRule type="expression" dxfId="5093" priority="26">
      <formula>AND(R$9&gt;=8/24,R$9&lt;14/24)</formula>
    </cfRule>
    <cfRule type="expression" dxfId="5092" priority="27">
      <formula>R$9&lt;8/24</formula>
    </cfRule>
  </conditionalFormatting>
  <conditionalFormatting sqref="R45:R46 S46:V46">
    <cfRule type="expression" dxfId="5091" priority="20">
      <formula>R$9&gt;=20/24</formula>
    </cfRule>
    <cfRule type="expression" dxfId="5090" priority="21">
      <formula>AND(R$9&gt;=14/24,R$9&lt;20/24)</formula>
    </cfRule>
    <cfRule type="expression" dxfId="5089" priority="22">
      <formula>AND(R$9&gt;=8/24,R$9&lt;14/24)</formula>
    </cfRule>
    <cfRule type="expression" dxfId="5088" priority="23">
      <formula>R$9&lt;8/24</formula>
    </cfRule>
  </conditionalFormatting>
  <conditionalFormatting sqref="R45:R46 S46:V46">
    <cfRule type="expression" dxfId="5087" priority="19">
      <formula>R45&gt;$AG45</formula>
    </cfRule>
  </conditionalFormatting>
  <conditionalFormatting sqref="R47">
    <cfRule type="expression" dxfId="5086" priority="15">
      <formula>R$9&gt;=20/24</formula>
    </cfRule>
    <cfRule type="expression" dxfId="5085" priority="16">
      <formula>AND(R$9&gt;=14/24,R$9&lt;20/24)</formula>
    </cfRule>
    <cfRule type="expression" dxfId="5084" priority="17">
      <formula>AND(R$9&gt;=8/24,R$9&lt;14/24)</formula>
    </cfRule>
    <cfRule type="expression" dxfId="5083" priority="18">
      <formula>R$9&lt;8/24</formula>
    </cfRule>
  </conditionalFormatting>
  <conditionalFormatting sqref="R47">
    <cfRule type="expression" dxfId="5082" priority="14">
      <formula>R47&gt;$AG47</formula>
    </cfRule>
  </conditionalFormatting>
  <conditionalFormatting sqref="R48">
    <cfRule type="expression" dxfId="5081" priority="10">
      <formula>R$9&gt;=20/24</formula>
    </cfRule>
    <cfRule type="expression" dxfId="5080" priority="11">
      <formula>AND(R$9&gt;=14/24,R$9&lt;20/24)</formula>
    </cfRule>
    <cfRule type="expression" dxfId="5079" priority="12">
      <formula>AND(R$9&gt;=8/24,R$9&lt;14/24)</formula>
    </cfRule>
    <cfRule type="expression" dxfId="5078" priority="13">
      <formula>R$9&lt;8/24</formula>
    </cfRule>
  </conditionalFormatting>
  <conditionalFormatting sqref="R49">
    <cfRule type="expression" dxfId="5077" priority="6">
      <formula>R$9&gt;=20/24</formula>
    </cfRule>
    <cfRule type="expression" dxfId="5076" priority="7">
      <formula>AND(R$9&gt;=14/24,R$9&lt;20/24)</formula>
    </cfRule>
    <cfRule type="expression" dxfId="5075" priority="8">
      <formula>AND(R$9&gt;=8/24,R$9&lt;14/24)</formula>
    </cfRule>
    <cfRule type="expression" dxfId="5074" priority="9">
      <formula>R$9&lt;8/24</formula>
    </cfRule>
  </conditionalFormatting>
  <conditionalFormatting sqref="R50">
    <cfRule type="expression" dxfId="5073" priority="2">
      <formula>R$9&gt;=20/24</formula>
    </cfRule>
    <cfRule type="expression" dxfId="5072" priority="3">
      <formula>AND(R$9&gt;=14/24,R$9&lt;20/24)</formula>
    </cfRule>
    <cfRule type="expression" dxfId="5071" priority="4">
      <formula>AND(R$9&gt;=8/24,R$9&lt;14/24)</formula>
    </cfRule>
    <cfRule type="expression" dxfId="5070" priority="5">
      <formula>R$9&lt;8/24</formula>
    </cfRule>
  </conditionalFormatting>
  <conditionalFormatting sqref="R48:R50">
    <cfRule type="expression" dxfId="5069" priority="1">
      <formula>R48&gt;$AG48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4" id="{DD3F1920-6B37-4BFB-ADAC-5AE4660D23C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M97" sqref="M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2078/10/19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395</v>
      </c>
      <c r="C5" s="32">
        <f t="shared" si="0"/>
        <v>340</v>
      </c>
      <c r="D5" s="32">
        <f t="shared" si="0"/>
        <v>352.9</v>
      </c>
      <c r="E5" s="32">
        <f t="shared" si="0"/>
        <v>382.4</v>
      </c>
      <c r="F5" s="32">
        <f t="shared" si="0"/>
        <v>391.1</v>
      </c>
      <c r="G5" s="32">
        <f t="shared" si="0"/>
        <v>403</v>
      </c>
      <c r="H5" s="32">
        <f t="shared" si="0"/>
        <v>434.6</v>
      </c>
      <c r="I5" s="32">
        <f t="shared" si="0"/>
        <v>535.4</v>
      </c>
      <c r="J5" s="32">
        <f t="shared" si="0"/>
        <v>444.29999999999995</v>
      </c>
      <c r="K5" s="32">
        <f t="shared" si="0"/>
        <v>370.09999999999997</v>
      </c>
      <c r="L5" s="32">
        <f t="shared" si="0"/>
        <v>387.5</v>
      </c>
      <c r="M5" s="32">
        <f t="shared" si="0"/>
        <v>382.9</v>
      </c>
      <c r="N5" s="32">
        <f t="shared" si="0"/>
        <v>381.7</v>
      </c>
      <c r="O5" s="32">
        <f t="shared" si="0"/>
        <v>362</v>
      </c>
      <c r="P5" s="32">
        <f t="shared" si="0"/>
        <v>527</v>
      </c>
      <c r="Q5" s="32">
        <f t="shared" si="0"/>
        <v>598.5</v>
      </c>
      <c r="R5" s="32">
        <f t="shared" si="0"/>
        <v>604</v>
      </c>
      <c r="S5" s="32">
        <f t="shared" si="0"/>
        <v>612.29999999999995</v>
      </c>
      <c r="T5" s="32">
        <f t="shared" si="0"/>
        <v>618.09999999999991</v>
      </c>
      <c r="U5" s="32">
        <f t="shared" si="0"/>
        <v>473.40000000000003</v>
      </c>
      <c r="V5" s="32">
        <f t="shared" si="0"/>
        <v>453.5</v>
      </c>
      <c r="W5" s="32">
        <f t="shared" si="0"/>
        <v>388</v>
      </c>
      <c r="X5" s="32">
        <f t="shared" si="0"/>
        <v>409.79999999999995</v>
      </c>
      <c r="Y5" s="32">
        <f t="shared" si="0"/>
        <v>389.20000000000005</v>
      </c>
      <c r="Z5" s="32">
        <f t="shared" si="0"/>
        <v>351.49999999999994</v>
      </c>
      <c r="AA5" s="32">
        <f t="shared" si="0"/>
        <v>351.6</v>
      </c>
      <c r="AB5" s="32">
        <f t="shared" si="0"/>
        <v>514.5</v>
      </c>
      <c r="AC5" s="32">
        <f t="shared" si="0"/>
        <v>538.70000000000005</v>
      </c>
      <c r="AD5" s="32">
        <f t="shared" si="0"/>
        <v>542.69999999999993</v>
      </c>
      <c r="AE5" s="32">
        <f t="shared" si="0"/>
        <v>529.29999999999995</v>
      </c>
      <c r="AF5" s="32">
        <f>B68</f>
        <v>382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1543MW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Load=881</v>
      </c>
      <c r="B7" s="37">
        <f>B75</f>
        <v>953.44</v>
      </c>
      <c r="C7" s="37">
        <f t="shared" ref="C7:AF7" si="1">C75</f>
        <v>936.43999999999994</v>
      </c>
      <c r="D7" s="37">
        <f t="shared" si="1"/>
        <v>881.44</v>
      </c>
      <c r="E7" s="37">
        <f t="shared" si="1"/>
        <v>905.13999999999987</v>
      </c>
      <c r="F7" s="37">
        <f t="shared" si="1"/>
        <v>923.33999999999992</v>
      </c>
      <c r="G7" s="37">
        <f t="shared" si="1"/>
        <v>956.84</v>
      </c>
      <c r="H7" s="37">
        <f t="shared" si="1"/>
        <v>993.43999999999994</v>
      </c>
      <c r="I7" s="37">
        <f t="shared" si="1"/>
        <v>1064.1399999999999</v>
      </c>
      <c r="J7" s="37">
        <f t="shared" si="1"/>
        <v>1179.74</v>
      </c>
      <c r="K7" s="37">
        <f t="shared" si="1"/>
        <v>1295.1399999999999</v>
      </c>
      <c r="L7" s="37">
        <f t="shared" si="1"/>
        <v>1445.24</v>
      </c>
      <c r="M7" s="37">
        <f t="shared" si="1"/>
        <v>1515.04</v>
      </c>
      <c r="N7" s="37">
        <f t="shared" si="1"/>
        <v>1542.94</v>
      </c>
      <c r="O7" s="37">
        <f t="shared" si="1"/>
        <v>1486.04</v>
      </c>
      <c r="P7" s="37">
        <f t="shared" si="1"/>
        <v>1380.64</v>
      </c>
      <c r="Q7" s="37">
        <f t="shared" si="1"/>
        <v>1311.64</v>
      </c>
      <c r="R7" s="37">
        <f t="shared" si="1"/>
        <v>1316.74</v>
      </c>
      <c r="S7" s="37">
        <f t="shared" si="1"/>
        <v>1333.44</v>
      </c>
      <c r="T7" s="37">
        <f t="shared" si="1"/>
        <v>1320.54</v>
      </c>
      <c r="U7" s="37">
        <f t="shared" si="1"/>
        <v>1371.34</v>
      </c>
      <c r="V7" s="37">
        <f t="shared" si="1"/>
        <v>1455.1399999999999</v>
      </c>
      <c r="W7" s="37">
        <f t="shared" si="1"/>
        <v>1481.6399999999999</v>
      </c>
      <c r="X7" s="37">
        <f t="shared" si="1"/>
        <v>1593.54</v>
      </c>
      <c r="Y7" s="37">
        <f t="shared" si="1"/>
        <v>1645.14</v>
      </c>
      <c r="Z7" s="37">
        <f t="shared" si="1"/>
        <v>1613.44</v>
      </c>
      <c r="AA7" s="37">
        <f t="shared" si="1"/>
        <v>1564.04</v>
      </c>
      <c r="AB7" s="37">
        <f t="shared" si="1"/>
        <v>1505.94</v>
      </c>
      <c r="AC7" s="37">
        <f t="shared" si="1"/>
        <v>1439.84</v>
      </c>
      <c r="AD7" s="37">
        <f t="shared" si="1"/>
        <v>1341.54</v>
      </c>
      <c r="AE7" s="37">
        <f t="shared" si="1"/>
        <v>1195.6399999999999</v>
      </c>
      <c r="AF7" s="37">
        <f t="shared" si="1"/>
        <v>1080.4399999999998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14.8</v>
      </c>
      <c r="C11" s="50">
        <v>15.4</v>
      </c>
      <c r="D11" s="50">
        <v>15.4</v>
      </c>
      <c r="E11" s="50">
        <v>14.3</v>
      </c>
      <c r="F11" s="50">
        <v>12</v>
      </c>
      <c r="G11" s="50">
        <v>12</v>
      </c>
      <c r="H11" s="50">
        <v>12</v>
      </c>
      <c r="I11" s="50">
        <v>12</v>
      </c>
      <c r="J11" s="50">
        <v>12</v>
      </c>
      <c r="K11" s="49">
        <v>75</v>
      </c>
      <c r="L11" s="49">
        <v>250</v>
      </c>
      <c r="M11" s="50">
        <v>250</v>
      </c>
      <c r="N11" s="50">
        <v>257</v>
      </c>
      <c r="O11" s="50">
        <v>230</v>
      </c>
      <c r="P11" s="50">
        <v>210</v>
      </c>
      <c r="Q11" s="50">
        <v>50</v>
      </c>
      <c r="R11" s="177">
        <v>25</v>
      </c>
      <c r="S11" s="50">
        <v>15</v>
      </c>
      <c r="T11" s="50">
        <v>10</v>
      </c>
      <c r="U11" s="50">
        <v>20</v>
      </c>
      <c r="V11" s="50">
        <v>200</v>
      </c>
      <c r="W11" s="50">
        <v>200</v>
      </c>
      <c r="X11" s="50">
        <v>320</v>
      </c>
      <c r="Y11" s="50">
        <v>320</v>
      </c>
      <c r="Z11" s="51">
        <v>310</v>
      </c>
      <c r="AA11" s="50">
        <v>300</v>
      </c>
      <c r="AB11" s="50">
        <v>300</v>
      </c>
      <c r="AC11" s="50">
        <v>100</v>
      </c>
      <c r="AD11" s="50">
        <v>30</v>
      </c>
      <c r="AE11" s="50">
        <v>13</v>
      </c>
      <c r="AF11" s="49">
        <v>13</v>
      </c>
      <c r="AG11" s="52">
        <v>456</v>
      </c>
      <c r="AH11" s="53">
        <f>MAX(B11:AF11)</f>
        <v>320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0">
        <v>36</v>
      </c>
      <c r="C12" s="50">
        <v>36</v>
      </c>
      <c r="D12" s="50">
        <v>36</v>
      </c>
      <c r="E12" s="50">
        <v>36</v>
      </c>
      <c r="F12" s="50">
        <v>36</v>
      </c>
      <c r="G12" s="50">
        <v>36</v>
      </c>
      <c r="H12" s="50">
        <v>36</v>
      </c>
      <c r="I12" s="50">
        <v>36</v>
      </c>
      <c r="J12" s="50">
        <v>36</v>
      </c>
      <c r="K12" s="50">
        <v>36</v>
      </c>
      <c r="L12" s="50">
        <v>36</v>
      </c>
      <c r="M12" s="50">
        <v>36</v>
      </c>
      <c r="N12" s="50">
        <v>36</v>
      </c>
      <c r="O12" s="50">
        <v>36</v>
      </c>
      <c r="P12" s="50">
        <v>36</v>
      </c>
      <c r="Q12" s="50">
        <v>36</v>
      </c>
      <c r="R12" s="50">
        <v>36</v>
      </c>
      <c r="S12" s="57">
        <v>36</v>
      </c>
      <c r="T12" s="57">
        <v>35</v>
      </c>
      <c r="U12" s="57">
        <v>35</v>
      </c>
      <c r="V12" s="57">
        <v>35</v>
      </c>
      <c r="W12" s="57">
        <v>35</v>
      </c>
      <c r="X12" s="57">
        <v>35</v>
      </c>
      <c r="Y12" s="57">
        <v>35</v>
      </c>
      <c r="Z12" s="50">
        <v>35</v>
      </c>
      <c r="AA12" s="50">
        <v>35</v>
      </c>
      <c r="AB12" s="50">
        <v>35</v>
      </c>
      <c r="AC12" s="50">
        <v>35</v>
      </c>
      <c r="AD12" s="50">
        <v>35</v>
      </c>
      <c r="AE12" s="50">
        <v>35</v>
      </c>
      <c r="AF12" s="50">
        <v>35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35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0">
        <v>20.7</v>
      </c>
      <c r="C13" s="50">
        <v>20.7</v>
      </c>
      <c r="D13" s="50">
        <v>20.7</v>
      </c>
      <c r="E13" s="50">
        <v>20.7</v>
      </c>
      <c r="F13" s="50">
        <v>20.7</v>
      </c>
      <c r="G13" s="50">
        <v>20.7</v>
      </c>
      <c r="H13" s="50">
        <v>20.7</v>
      </c>
      <c r="I13" s="50">
        <v>20.7</v>
      </c>
      <c r="J13" s="50">
        <v>20.7</v>
      </c>
      <c r="K13" s="50">
        <v>20.7</v>
      </c>
      <c r="L13" s="50">
        <v>20.7</v>
      </c>
      <c r="M13" s="50">
        <v>20.7</v>
      </c>
      <c r="N13" s="50">
        <v>20.7</v>
      </c>
      <c r="O13" s="50">
        <v>20.7</v>
      </c>
      <c r="P13" s="50">
        <v>20.7</v>
      </c>
      <c r="Q13" s="50">
        <v>20.7</v>
      </c>
      <c r="R13" s="50">
        <v>20.7</v>
      </c>
      <c r="S13" s="57">
        <v>21.4</v>
      </c>
      <c r="T13" s="57">
        <v>19</v>
      </c>
      <c r="U13" s="57">
        <v>19</v>
      </c>
      <c r="V13" s="57">
        <v>19</v>
      </c>
      <c r="W13" s="57">
        <v>19</v>
      </c>
      <c r="X13" s="57">
        <v>18.899999999999999</v>
      </c>
      <c r="Y13" s="57">
        <v>19.3</v>
      </c>
      <c r="Z13" s="50">
        <v>20.3</v>
      </c>
      <c r="AA13" s="50">
        <v>20.3</v>
      </c>
      <c r="AB13" s="50">
        <v>21.1</v>
      </c>
      <c r="AC13" s="50">
        <v>21.1</v>
      </c>
      <c r="AD13" s="50">
        <v>21.1</v>
      </c>
      <c r="AE13" s="50">
        <v>21.1</v>
      </c>
      <c r="AF13" s="50">
        <v>21.1</v>
      </c>
      <c r="AG13" s="58">
        <v>52.4</v>
      </c>
      <c r="AH13" s="53">
        <f t="shared" si="2"/>
        <v>21.4</v>
      </c>
      <c r="AI13" s="54">
        <f t="shared" si="3"/>
        <v>18.899999999999999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0">
        <v>37</v>
      </c>
      <c r="C14" s="50">
        <v>36.799999999999997</v>
      </c>
      <c r="D14" s="50">
        <v>36.799999999999997</v>
      </c>
      <c r="E14" s="50">
        <v>36.799999999999997</v>
      </c>
      <c r="F14" s="50">
        <v>36.799999999999997</v>
      </c>
      <c r="G14" s="50">
        <v>36.799999999999997</v>
      </c>
      <c r="H14" s="50">
        <v>36.799999999999997</v>
      </c>
      <c r="I14" s="50">
        <v>36.799999999999997</v>
      </c>
      <c r="J14" s="50">
        <v>36.799999999999997</v>
      </c>
      <c r="K14" s="50">
        <v>36.799999999999997</v>
      </c>
      <c r="L14" s="50">
        <v>36.799999999999997</v>
      </c>
      <c r="M14" s="50">
        <v>36.799999999999997</v>
      </c>
      <c r="N14" s="50">
        <v>36.799999999999997</v>
      </c>
      <c r="O14" s="50">
        <v>36.799999999999997</v>
      </c>
      <c r="P14" s="50">
        <v>36.799999999999997</v>
      </c>
      <c r="Q14" s="50">
        <v>36.799999999999997</v>
      </c>
      <c r="R14" s="50">
        <v>36.799999999999997</v>
      </c>
      <c r="S14" s="59">
        <v>37.9</v>
      </c>
      <c r="T14" s="59">
        <v>37.5</v>
      </c>
      <c r="U14" s="59">
        <v>37.5</v>
      </c>
      <c r="V14" s="59">
        <v>37.5</v>
      </c>
      <c r="W14" s="59">
        <v>37.5</v>
      </c>
      <c r="X14" s="59">
        <v>37.4</v>
      </c>
      <c r="Y14" s="59">
        <v>38.1</v>
      </c>
      <c r="Z14" s="50">
        <v>37.200000000000003</v>
      </c>
      <c r="AA14" s="50">
        <v>37.200000000000003</v>
      </c>
      <c r="AB14" s="50">
        <v>37.200000000000003</v>
      </c>
      <c r="AC14" s="50">
        <v>37.200000000000003</v>
      </c>
      <c r="AD14" s="50">
        <v>37.200000000000003</v>
      </c>
      <c r="AE14" s="50">
        <v>37.200000000000003</v>
      </c>
      <c r="AF14" s="50">
        <v>37.200000000000003</v>
      </c>
      <c r="AG14" s="58">
        <v>50</v>
      </c>
      <c r="AH14" s="53">
        <f t="shared" si="2"/>
        <v>38.1</v>
      </c>
      <c r="AI14" s="54">
        <f t="shared" si="3"/>
        <v>36.799999999999997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0">
        <v>21.4</v>
      </c>
      <c r="C15" s="50">
        <v>21.4</v>
      </c>
      <c r="D15" s="50">
        <v>21.4</v>
      </c>
      <c r="E15" s="50">
        <v>21.4</v>
      </c>
      <c r="F15" s="50">
        <v>21.4</v>
      </c>
      <c r="G15" s="50">
        <v>21.4</v>
      </c>
      <c r="H15" s="50">
        <v>21.4</v>
      </c>
      <c r="I15" s="50">
        <v>21.4</v>
      </c>
      <c r="J15" s="50">
        <v>21.4</v>
      </c>
      <c r="K15" s="50">
        <v>21.4</v>
      </c>
      <c r="L15" s="50">
        <v>21.4</v>
      </c>
      <c r="M15" s="50">
        <v>21.4</v>
      </c>
      <c r="N15" s="50">
        <v>21.4</v>
      </c>
      <c r="O15" s="50">
        <v>21.4</v>
      </c>
      <c r="P15" s="50">
        <v>21.4</v>
      </c>
      <c r="Q15" s="50">
        <v>21.4</v>
      </c>
      <c r="R15" s="50">
        <v>21.4</v>
      </c>
      <c r="S15" s="59">
        <v>21</v>
      </c>
      <c r="T15" s="59">
        <v>21.5</v>
      </c>
      <c r="U15" s="59">
        <v>21.5</v>
      </c>
      <c r="V15" s="59">
        <v>21.5</v>
      </c>
      <c r="W15" s="59">
        <v>21.5</v>
      </c>
      <c r="X15" s="59">
        <v>22.8</v>
      </c>
      <c r="Y15" s="59">
        <v>22.8</v>
      </c>
      <c r="Z15" s="59">
        <v>22.8</v>
      </c>
      <c r="AA15" s="59">
        <v>22.8</v>
      </c>
      <c r="AB15" s="50">
        <v>22.5</v>
      </c>
      <c r="AC15" s="50">
        <v>22.5</v>
      </c>
      <c r="AD15" s="50">
        <v>22.5</v>
      </c>
      <c r="AE15" s="50">
        <v>22.5</v>
      </c>
      <c r="AF15" s="50">
        <v>22.5</v>
      </c>
      <c r="AG15" s="61">
        <v>45</v>
      </c>
      <c r="AH15" s="53">
        <f t="shared" si="2"/>
        <v>22.8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0">
        <v>9</v>
      </c>
      <c r="C17" s="50">
        <v>9</v>
      </c>
      <c r="D17" s="50">
        <v>9</v>
      </c>
      <c r="E17" s="50">
        <v>9</v>
      </c>
      <c r="F17" s="50">
        <v>9</v>
      </c>
      <c r="G17" s="50">
        <v>9</v>
      </c>
      <c r="H17" s="50">
        <v>9</v>
      </c>
      <c r="I17" s="50">
        <v>9</v>
      </c>
      <c r="J17" s="50">
        <v>9</v>
      </c>
      <c r="K17" s="50">
        <v>9</v>
      </c>
      <c r="L17" s="50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10.1</v>
      </c>
      <c r="C19" s="50">
        <v>10.1</v>
      </c>
      <c r="D19" s="50">
        <v>10.1</v>
      </c>
      <c r="E19" s="50">
        <v>10.1</v>
      </c>
      <c r="F19" s="50">
        <v>10.1</v>
      </c>
      <c r="G19" s="50">
        <v>10.1</v>
      </c>
      <c r="H19" s="50">
        <v>10.1</v>
      </c>
      <c r="I19" s="50">
        <v>10.1</v>
      </c>
      <c r="J19" s="50">
        <v>10.1</v>
      </c>
      <c r="K19" s="50">
        <v>10.1</v>
      </c>
      <c r="L19" s="50">
        <v>10.1</v>
      </c>
      <c r="M19" s="50">
        <v>10.1</v>
      </c>
      <c r="N19" s="50">
        <v>10.1</v>
      </c>
      <c r="O19" s="50">
        <v>10.1</v>
      </c>
      <c r="P19" s="50">
        <v>10.1</v>
      </c>
      <c r="Q19" s="50">
        <v>10.1</v>
      </c>
      <c r="R19" s="50">
        <v>10.1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8">
        <v>30</v>
      </c>
      <c r="AH19" s="53">
        <f t="shared" si="2"/>
        <v>10.1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10</v>
      </c>
      <c r="C22" s="50">
        <v>10</v>
      </c>
      <c r="D22" s="50">
        <v>10</v>
      </c>
      <c r="E22" s="50">
        <v>10</v>
      </c>
      <c r="F22" s="50">
        <v>10</v>
      </c>
      <c r="G22" s="50">
        <v>10</v>
      </c>
      <c r="H22" s="50">
        <v>10</v>
      </c>
      <c r="I22" s="50">
        <v>10</v>
      </c>
      <c r="J22" s="50">
        <v>10</v>
      </c>
      <c r="K22" s="50">
        <v>10</v>
      </c>
      <c r="L22" s="50">
        <v>10</v>
      </c>
      <c r="M22" s="50">
        <v>10</v>
      </c>
      <c r="N22" s="50">
        <v>10</v>
      </c>
      <c r="O22" s="50">
        <v>10</v>
      </c>
      <c r="P22" s="50">
        <v>10</v>
      </c>
      <c r="Q22" s="50">
        <v>10</v>
      </c>
      <c r="R22" s="50">
        <v>10</v>
      </c>
      <c r="S22" s="50">
        <v>9.6</v>
      </c>
      <c r="T22" s="50">
        <v>7.5</v>
      </c>
      <c r="U22" s="50">
        <v>7.5</v>
      </c>
      <c r="V22" s="50">
        <v>7.5</v>
      </c>
      <c r="W22" s="50">
        <v>7.5</v>
      </c>
      <c r="X22" s="50">
        <v>7.5</v>
      </c>
      <c r="Y22" s="50">
        <v>19</v>
      </c>
      <c r="Z22" s="50">
        <v>18.8</v>
      </c>
      <c r="AA22" s="50">
        <v>18.8</v>
      </c>
      <c r="AB22" s="50">
        <v>13.4</v>
      </c>
      <c r="AC22" s="50">
        <v>13.4</v>
      </c>
      <c r="AD22" s="50">
        <v>13.4</v>
      </c>
      <c r="AE22" s="50">
        <v>9.8000000000000007</v>
      </c>
      <c r="AF22" s="50">
        <v>9.8000000000000007</v>
      </c>
      <c r="AG22" s="58">
        <v>25</v>
      </c>
      <c r="AH22" s="53">
        <f t="shared" si="2"/>
        <v>19</v>
      </c>
      <c r="AI22" s="54">
        <f t="shared" si="3"/>
        <v>7.5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7</v>
      </c>
      <c r="C24" s="50">
        <v>7</v>
      </c>
      <c r="D24" s="50">
        <v>7</v>
      </c>
      <c r="E24" s="50">
        <v>7</v>
      </c>
      <c r="F24" s="50">
        <v>7</v>
      </c>
      <c r="G24" s="50">
        <v>7</v>
      </c>
      <c r="H24" s="50">
        <v>7</v>
      </c>
      <c r="I24" s="50">
        <v>7</v>
      </c>
      <c r="J24" s="50">
        <v>7</v>
      </c>
      <c r="K24" s="50">
        <v>7</v>
      </c>
      <c r="L24" s="50">
        <v>7</v>
      </c>
      <c r="M24" s="50">
        <v>7</v>
      </c>
      <c r="N24" s="50">
        <v>7</v>
      </c>
      <c r="O24" s="50">
        <v>7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8">
        <v>25</v>
      </c>
      <c r="AH24" s="53">
        <f t="shared" si="2"/>
        <v>7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>
        <v>6.5</v>
      </c>
      <c r="AD26" s="50">
        <v>6.5</v>
      </c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>
        <v>5</v>
      </c>
      <c r="AD33" s="50">
        <v>5</v>
      </c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50">
        <v>160</v>
      </c>
      <c r="C36" s="50">
        <v>160</v>
      </c>
      <c r="D36" s="50">
        <v>160</v>
      </c>
      <c r="E36" s="50">
        <v>160</v>
      </c>
      <c r="F36" s="50">
        <v>160</v>
      </c>
      <c r="G36" s="50">
        <v>160</v>
      </c>
      <c r="H36" s="5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50">
        <f>18.2+34.2</f>
        <v>52.400000000000006</v>
      </c>
      <c r="C37" s="50">
        <f>18.1+33.8</f>
        <v>51.9</v>
      </c>
      <c r="D37" s="50">
        <f>18.1+33.8</f>
        <v>51.9</v>
      </c>
      <c r="E37" s="50">
        <f>18.4+34.8</f>
        <v>53.199999999999996</v>
      </c>
      <c r="F37" s="50">
        <f>18.4+34.8</f>
        <v>53.199999999999996</v>
      </c>
      <c r="G37" s="50">
        <f>18.4+34.8</f>
        <v>53.199999999999996</v>
      </c>
      <c r="H37" s="60">
        <f>33.5+18.2</f>
        <v>51.7</v>
      </c>
      <c r="I37" s="60">
        <f>33.4+18</f>
        <v>51.4</v>
      </c>
      <c r="J37" s="60">
        <f>33.6+17.8</f>
        <v>51.400000000000006</v>
      </c>
      <c r="K37" s="60">
        <f>32.6+17.4</f>
        <v>50</v>
      </c>
      <c r="L37" s="60">
        <f>32.1+17</f>
        <v>49.1</v>
      </c>
      <c r="M37" s="69">
        <f>16.6+31.7</f>
        <v>48.3</v>
      </c>
      <c r="N37" s="69">
        <f>15.2+28.8</f>
        <v>44</v>
      </c>
      <c r="O37" s="69">
        <f>15.9+30.9</f>
        <v>46.8</v>
      </c>
      <c r="P37" s="69">
        <f>15.9+30.9</f>
        <v>46.8</v>
      </c>
      <c r="Q37" s="69">
        <f>15.9+30.9</f>
        <v>46.8</v>
      </c>
      <c r="R37" s="69">
        <f>17.1+32.3</f>
        <v>49.4</v>
      </c>
      <c r="S37" s="69">
        <f>17.2+33</f>
        <v>50.2</v>
      </c>
      <c r="T37" s="69">
        <f>16.8+32</f>
        <v>48.8</v>
      </c>
      <c r="U37" s="69">
        <f>16.2+31.3</f>
        <v>47.5</v>
      </c>
      <c r="V37" s="69">
        <v>4.4000000000000004</v>
      </c>
      <c r="W37" s="69">
        <f>11.3+24.7</f>
        <v>36</v>
      </c>
      <c r="X37" s="69">
        <f>16.5+29.2</f>
        <v>45.7</v>
      </c>
      <c r="Y37" s="69">
        <v>43.5</v>
      </c>
      <c r="Z37" s="69">
        <f>15.8+27.6</f>
        <v>43.400000000000006</v>
      </c>
      <c r="AA37" s="69">
        <f>15.8+27.6</f>
        <v>43.400000000000006</v>
      </c>
      <c r="AB37" s="69">
        <f>28.9+15.6</f>
        <v>44.5</v>
      </c>
      <c r="AC37" s="69">
        <f>29.5+15.9</f>
        <v>45.4</v>
      </c>
      <c r="AD37" s="69">
        <f>29+14.9</f>
        <v>43.9</v>
      </c>
      <c r="AE37" s="69">
        <f>29.3+15</f>
        <v>44.3</v>
      </c>
      <c r="AF37" s="60">
        <f>29.1+15</f>
        <v>44.1</v>
      </c>
      <c r="AG37" s="66">
        <v>240</v>
      </c>
      <c r="AH37" s="53">
        <f t="shared" si="2"/>
        <v>53.199999999999996</v>
      </c>
      <c r="AI37" s="54">
        <f t="shared" si="3"/>
        <v>4.4000000000000004</v>
      </c>
      <c r="AK37" s="55"/>
    </row>
    <row r="38" spans="1:88" ht="15.75" thickBot="1" x14ac:dyDescent="0.3">
      <c r="A38" s="70" t="s">
        <v>46</v>
      </c>
      <c r="B38" s="71">
        <f t="shared" ref="B38" si="4">SUM(B11:B36)</f>
        <v>417</v>
      </c>
      <c r="C38" s="71">
        <f t="shared" ref="C38:AF38" si="5">SUM(C11:C36)</f>
        <v>417.4</v>
      </c>
      <c r="D38" s="71">
        <f t="shared" si="5"/>
        <v>417.4</v>
      </c>
      <c r="E38" s="71">
        <f t="shared" si="5"/>
        <v>416.29999999999995</v>
      </c>
      <c r="F38" s="71">
        <f t="shared" si="5"/>
        <v>414</v>
      </c>
      <c r="G38" s="71">
        <f t="shared" si="5"/>
        <v>414</v>
      </c>
      <c r="H38" s="71">
        <f t="shared" si="5"/>
        <v>414</v>
      </c>
      <c r="I38" s="71">
        <f t="shared" si="5"/>
        <v>414</v>
      </c>
      <c r="J38" s="71">
        <f t="shared" si="5"/>
        <v>414</v>
      </c>
      <c r="K38" s="71">
        <f t="shared" si="5"/>
        <v>476.99999999999994</v>
      </c>
      <c r="L38" s="71">
        <f t="shared" si="5"/>
        <v>652</v>
      </c>
      <c r="M38" s="71">
        <f t="shared" si="5"/>
        <v>652</v>
      </c>
      <c r="N38" s="71">
        <f t="shared" si="5"/>
        <v>659</v>
      </c>
      <c r="O38" s="71">
        <f t="shared" si="5"/>
        <v>632</v>
      </c>
      <c r="P38" s="71">
        <f t="shared" si="5"/>
        <v>612</v>
      </c>
      <c r="Q38" s="71">
        <f t="shared" si="5"/>
        <v>451.99999999999994</v>
      </c>
      <c r="R38" s="71">
        <f t="shared" si="5"/>
        <v>426.99999999999994</v>
      </c>
      <c r="S38" s="71">
        <f t="shared" si="5"/>
        <v>417</v>
      </c>
      <c r="T38" s="71">
        <f t="shared" si="5"/>
        <v>406.59999999999997</v>
      </c>
      <c r="U38" s="71">
        <f t="shared" si="5"/>
        <v>416.59999999999997</v>
      </c>
      <c r="V38" s="71">
        <f t="shared" si="5"/>
        <v>596.6</v>
      </c>
      <c r="W38" s="71">
        <f t="shared" si="5"/>
        <v>596.6</v>
      </c>
      <c r="X38" s="71">
        <f t="shared" si="5"/>
        <v>717.7</v>
      </c>
      <c r="Y38" s="71">
        <f t="shared" si="5"/>
        <v>730.30000000000018</v>
      </c>
      <c r="Z38" s="71">
        <f t="shared" si="5"/>
        <v>720.2</v>
      </c>
      <c r="AA38" s="71">
        <f t="shared" si="5"/>
        <v>710.2</v>
      </c>
      <c r="AB38" s="71">
        <f t="shared" si="5"/>
        <v>705.30000000000007</v>
      </c>
      <c r="AC38" s="71">
        <f t="shared" si="5"/>
        <v>505.29999999999995</v>
      </c>
      <c r="AD38" s="71">
        <f t="shared" si="5"/>
        <v>435.3</v>
      </c>
      <c r="AE38" s="71">
        <f t="shared" si="5"/>
        <v>414.7</v>
      </c>
      <c r="AF38" s="71">
        <f t="shared" si="5"/>
        <v>414.7</v>
      </c>
      <c r="AG38" s="66">
        <f>SUM(AG11:AG37)</f>
        <v>1492.8299999999997</v>
      </c>
      <c r="AH38" s="53">
        <f t="shared" si="2"/>
        <v>730.30000000000018</v>
      </c>
      <c r="AI38" s="54">
        <f t="shared" si="3"/>
        <v>406.59999999999997</v>
      </c>
      <c r="AK38" s="55"/>
    </row>
    <row r="39" spans="1:88" x14ac:dyDescent="0.25">
      <c r="A39" s="56" t="s">
        <v>47</v>
      </c>
      <c r="B39" s="50">
        <v>30.5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60">
        <v>0</v>
      </c>
      <c r="I39" s="60">
        <v>41</v>
      </c>
      <c r="J39" s="60">
        <v>40.6</v>
      </c>
      <c r="K39" s="60">
        <v>91.4</v>
      </c>
      <c r="L39" s="60">
        <v>116.6</v>
      </c>
      <c r="M39" s="50">
        <v>141.5</v>
      </c>
      <c r="N39" s="50">
        <v>141.80000000000001</v>
      </c>
      <c r="O39" s="50">
        <v>141.80000000000001</v>
      </c>
      <c r="P39" s="50">
        <v>127</v>
      </c>
      <c r="Q39" s="50">
        <v>117</v>
      </c>
      <c r="R39" s="50">
        <v>70.8</v>
      </c>
      <c r="S39" s="50">
        <v>91.3</v>
      </c>
      <c r="T39" s="50">
        <v>81.099999999999994</v>
      </c>
      <c r="U39" s="50">
        <v>91.3</v>
      </c>
      <c r="V39" s="50">
        <v>91.2</v>
      </c>
      <c r="W39" s="50">
        <v>100.5</v>
      </c>
      <c r="X39" s="50">
        <v>145.19999999999999</v>
      </c>
      <c r="Y39" s="50">
        <v>145.19999999999999</v>
      </c>
      <c r="Z39" s="50">
        <v>144.4</v>
      </c>
      <c r="AA39" s="50">
        <v>144.4</v>
      </c>
      <c r="AB39" s="50">
        <v>112</v>
      </c>
      <c r="AC39" s="50">
        <v>80.599999999999994</v>
      </c>
      <c r="AD39" s="50">
        <v>81.2</v>
      </c>
      <c r="AE39" s="50">
        <v>30</v>
      </c>
      <c r="AF39" s="49">
        <v>0</v>
      </c>
      <c r="AG39" s="61">
        <v>144</v>
      </c>
      <c r="AH39" s="53">
        <f t="shared" si="2"/>
        <v>145.19999999999999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50">
        <v>0</v>
      </c>
      <c r="C40" s="50">
        <v>0</v>
      </c>
      <c r="D40" s="50">
        <v>0</v>
      </c>
      <c r="E40" s="50">
        <v>0</v>
      </c>
      <c r="F40" s="50">
        <v>0</v>
      </c>
      <c r="G40" s="50">
        <v>21.4</v>
      </c>
      <c r="H40" s="60">
        <v>35</v>
      </c>
      <c r="I40" s="60">
        <v>34.799999999999997</v>
      </c>
      <c r="J40" s="60">
        <v>36</v>
      </c>
      <c r="K40" s="60">
        <v>65.3</v>
      </c>
      <c r="L40" s="60">
        <v>60.8</v>
      </c>
      <c r="M40" s="72">
        <v>59.6</v>
      </c>
      <c r="N40" s="72">
        <v>69.2</v>
      </c>
      <c r="O40" s="72">
        <v>59.9</v>
      </c>
      <c r="P40" s="72">
        <v>50</v>
      </c>
      <c r="Q40" s="72">
        <v>50</v>
      </c>
      <c r="R40" s="72">
        <v>34.700000000000003</v>
      </c>
      <c r="S40" s="72">
        <v>34.799999999999997</v>
      </c>
      <c r="T40" s="72">
        <v>30</v>
      </c>
      <c r="U40" s="72">
        <v>35.1</v>
      </c>
      <c r="V40" s="72">
        <v>45.9</v>
      </c>
      <c r="W40" s="72">
        <v>60.4</v>
      </c>
      <c r="X40" s="72">
        <v>70.2</v>
      </c>
      <c r="Y40" s="72">
        <v>70.2</v>
      </c>
      <c r="Z40" s="72">
        <v>69.7</v>
      </c>
      <c r="AA40" s="72">
        <v>69.7</v>
      </c>
      <c r="AB40" s="72">
        <v>69.400000000000006</v>
      </c>
      <c r="AC40" s="72">
        <v>70.099999999999994</v>
      </c>
      <c r="AD40" s="72">
        <v>59.4</v>
      </c>
      <c r="AE40" s="72">
        <v>29.9</v>
      </c>
      <c r="AF40" s="60">
        <v>0</v>
      </c>
      <c r="AG40" s="66">
        <v>70</v>
      </c>
      <c r="AH40" s="53">
        <f t="shared" si="2"/>
        <v>70.2</v>
      </c>
      <c r="AI40" s="54">
        <f t="shared" si="3"/>
        <v>0</v>
      </c>
      <c r="AK40" s="55"/>
    </row>
    <row r="41" spans="1:88" x14ac:dyDescent="0.25">
      <c r="A41" s="65" t="s">
        <v>49</v>
      </c>
      <c r="B41" s="50">
        <v>16</v>
      </c>
      <c r="C41" s="50">
        <v>23.4</v>
      </c>
      <c r="D41" s="50">
        <v>23.4</v>
      </c>
      <c r="E41" s="50">
        <v>32</v>
      </c>
      <c r="F41" s="50">
        <v>23</v>
      </c>
      <c r="G41" s="50">
        <v>16.2</v>
      </c>
      <c r="H41" s="60">
        <v>22.4</v>
      </c>
      <c r="I41" s="60">
        <v>22.8</v>
      </c>
      <c r="J41" s="60">
        <v>36.799999999999997</v>
      </c>
      <c r="K41" s="60">
        <v>57.7</v>
      </c>
      <c r="L41" s="60">
        <v>61.8</v>
      </c>
      <c r="M41" s="72">
        <v>61.4</v>
      </c>
      <c r="N41" s="72">
        <v>66.8</v>
      </c>
      <c r="O41" s="72">
        <v>56.4</v>
      </c>
      <c r="P41" s="72">
        <v>52</v>
      </c>
      <c r="Q41" s="72">
        <v>52</v>
      </c>
      <c r="R41" s="72">
        <v>35.799999999999997</v>
      </c>
      <c r="S41" s="72">
        <v>35.6</v>
      </c>
      <c r="T41" s="72">
        <v>41</v>
      </c>
      <c r="U41" s="72">
        <v>46</v>
      </c>
      <c r="V41" s="72">
        <v>46</v>
      </c>
      <c r="W41" s="72">
        <v>67.7</v>
      </c>
      <c r="X41" s="72">
        <v>67.400000000000006</v>
      </c>
      <c r="Y41" s="72">
        <v>67.400000000000006</v>
      </c>
      <c r="Z41" s="72">
        <v>66.599999999999994</v>
      </c>
      <c r="AA41" s="72">
        <v>66.599999999999994</v>
      </c>
      <c r="AB41" s="72">
        <v>55.8</v>
      </c>
      <c r="AC41" s="72">
        <v>67.099999999999994</v>
      </c>
      <c r="AD41" s="72">
        <v>41.7</v>
      </c>
      <c r="AE41" s="72">
        <v>22.7</v>
      </c>
      <c r="AF41" s="60">
        <v>18</v>
      </c>
      <c r="AG41" s="66">
        <v>69</v>
      </c>
      <c r="AH41" s="53">
        <f t="shared" si="2"/>
        <v>67.7</v>
      </c>
      <c r="AI41" s="54">
        <f t="shared" si="3"/>
        <v>16</v>
      </c>
      <c r="AK41" s="55"/>
    </row>
    <row r="42" spans="1:88" x14ac:dyDescent="0.25">
      <c r="A42" s="65" t="s">
        <v>50</v>
      </c>
      <c r="B42" s="50">
        <v>55.4</v>
      </c>
      <c r="C42" s="50">
        <v>48.1</v>
      </c>
      <c r="D42" s="50">
        <v>48.1</v>
      </c>
      <c r="E42" s="50">
        <v>51.4</v>
      </c>
      <c r="F42" s="50">
        <v>51.4</v>
      </c>
      <c r="G42" s="50">
        <v>51.4</v>
      </c>
      <c r="H42" s="60">
        <v>51.4</v>
      </c>
      <c r="I42" s="60">
        <v>51.4</v>
      </c>
      <c r="J42" s="60">
        <v>51.4</v>
      </c>
      <c r="K42" s="60">
        <v>53.4</v>
      </c>
      <c r="L42" s="60">
        <v>53.4</v>
      </c>
      <c r="M42" s="72">
        <v>52.9</v>
      </c>
      <c r="N42" s="72">
        <v>51.1</v>
      </c>
      <c r="O42" s="72">
        <v>51.1</v>
      </c>
      <c r="P42" s="72">
        <v>51.1</v>
      </c>
      <c r="Q42" s="72">
        <v>51.1</v>
      </c>
      <c r="R42" s="72">
        <v>50</v>
      </c>
      <c r="S42" s="72">
        <v>48.3</v>
      </c>
      <c r="T42" s="72">
        <v>48.3</v>
      </c>
      <c r="U42" s="72">
        <v>48.3</v>
      </c>
      <c r="V42" s="72">
        <v>48.3</v>
      </c>
      <c r="W42" s="72">
        <v>48.3</v>
      </c>
      <c r="X42" s="72">
        <v>48.3</v>
      </c>
      <c r="Y42" s="72">
        <v>48.3</v>
      </c>
      <c r="Z42" s="72">
        <v>50.6</v>
      </c>
      <c r="AA42" s="72">
        <v>50.6</v>
      </c>
      <c r="AB42" s="72">
        <v>50.4</v>
      </c>
      <c r="AC42" s="72">
        <v>50.6</v>
      </c>
      <c r="AD42" s="72">
        <v>50.8</v>
      </c>
      <c r="AE42" s="72">
        <v>50.8</v>
      </c>
      <c r="AF42" s="60">
        <v>50.6</v>
      </c>
      <c r="AG42" s="66">
        <v>60</v>
      </c>
      <c r="AH42" s="53">
        <f t="shared" si="2"/>
        <v>55.4</v>
      </c>
      <c r="AI42" s="54">
        <f t="shared" si="3"/>
        <v>48.1</v>
      </c>
      <c r="AK42" s="55"/>
    </row>
    <row r="43" spans="1:88" x14ac:dyDescent="0.25">
      <c r="A43" s="65" t="s">
        <v>51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10.199999999999999</v>
      </c>
      <c r="H43" s="60">
        <v>15.1</v>
      </c>
      <c r="I43" s="60">
        <v>13</v>
      </c>
      <c r="J43" s="60">
        <v>13</v>
      </c>
      <c r="K43" s="60">
        <v>23.5</v>
      </c>
      <c r="L43" s="60">
        <v>30</v>
      </c>
      <c r="M43" s="50">
        <v>25.9</v>
      </c>
      <c r="N43" s="50">
        <v>28</v>
      </c>
      <c r="O43" s="50">
        <v>23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10.6</v>
      </c>
      <c r="W43" s="50">
        <v>10.7</v>
      </c>
      <c r="X43" s="50">
        <v>14.9</v>
      </c>
      <c r="Y43" s="50">
        <v>28.5</v>
      </c>
      <c r="Z43" s="72">
        <v>28.2</v>
      </c>
      <c r="AA43" s="72">
        <v>28.2</v>
      </c>
      <c r="AB43" s="72">
        <v>21.2</v>
      </c>
      <c r="AC43" s="72">
        <v>14.6</v>
      </c>
      <c r="AD43" s="72">
        <v>10</v>
      </c>
      <c r="AE43" s="72">
        <v>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5</v>
      </c>
      <c r="C46" s="50">
        <v>5</v>
      </c>
      <c r="D46" s="50">
        <v>5</v>
      </c>
      <c r="E46" s="50">
        <v>5</v>
      </c>
      <c r="F46" s="50">
        <v>5</v>
      </c>
      <c r="G46" s="50">
        <v>5</v>
      </c>
      <c r="H46" s="50">
        <v>5</v>
      </c>
      <c r="I46" s="50">
        <v>5</v>
      </c>
      <c r="J46" s="50">
        <v>5</v>
      </c>
      <c r="K46" s="50">
        <v>5</v>
      </c>
      <c r="L46" s="50">
        <v>5</v>
      </c>
      <c r="M46" s="5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50">
        <v>6</v>
      </c>
      <c r="F49" s="50">
        <v>6</v>
      </c>
      <c r="G49" s="50">
        <v>6</v>
      </c>
      <c r="H49" s="50">
        <v>6</v>
      </c>
      <c r="I49" s="50">
        <v>6</v>
      </c>
      <c r="J49" s="50">
        <v>6</v>
      </c>
      <c r="K49" s="50">
        <v>6</v>
      </c>
      <c r="L49" s="5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f t="shared" si="7"/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8">SUM(B39:B51)</f>
        <v>154.44</v>
      </c>
      <c r="C52" s="71">
        <f t="shared" ref="C52:AF52" si="9">SUM(C39:C51)</f>
        <v>124.04</v>
      </c>
      <c r="D52" s="71">
        <f t="shared" si="9"/>
        <v>124.04</v>
      </c>
      <c r="E52" s="71">
        <f t="shared" si="9"/>
        <v>135.94</v>
      </c>
      <c r="F52" s="71">
        <f t="shared" si="9"/>
        <v>126.94000000000001</v>
      </c>
      <c r="G52" s="71">
        <f t="shared" si="9"/>
        <v>151.73999999999998</v>
      </c>
      <c r="H52" s="71">
        <f t="shared" si="9"/>
        <v>176.43999999999997</v>
      </c>
      <c r="I52" s="71">
        <f t="shared" si="9"/>
        <v>215.54</v>
      </c>
      <c r="J52" s="71">
        <f t="shared" si="9"/>
        <v>230.33999999999997</v>
      </c>
      <c r="K52" s="71">
        <f t="shared" si="9"/>
        <v>343.84</v>
      </c>
      <c r="L52" s="71">
        <f t="shared" si="9"/>
        <v>375.14</v>
      </c>
      <c r="M52" s="71">
        <f t="shared" si="9"/>
        <v>393.84</v>
      </c>
      <c r="N52" s="71">
        <f t="shared" si="9"/>
        <v>409.44000000000005</v>
      </c>
      <c r="O52" s="71">
        <f t="shared" si="9"/>
        <v>384.74000000000007</v>
      </c>
      <c r="P52" s="71">
        <f t="shared" si="9"/>
        <v>342.64000000000004</v>
      </c>
      <c r="Q52" s="71">
        <f t="shared" si="9"/>
        <v>332.64000000000004</v>
      </c>
      <c r="R52" s="71">
        <f t="shared" si="9"/>
        <v>243.84</v>
      </c>
      <c r="S52" s="71">
        <f t="shared" si="9"/>
        <v>262.54000000000002</v>
      </c>
      <c r="T52" s="71">
        <f t="shared" si="9"/>
        <v>252.93999999999997</v>
      </c>
      <c r="U52" s="71">
        <f t="shared" si="9"/>
        <v>273.24</v>
      </c>
      <c r="V52" s="71">
        <f t="shared" si="9"/>
        <v>294.54000000000002</v>
      </c>
      <c r="W52" s="71">
        <f t="shared" si="9"/>
        <v>340.14000000000004</v>
      </c>
      <c r="X52" s="71">
        <f t="shared" si="9"/>
        <v>398.53999999999996</v>
      </c>
      <c r="Y52" s="71">
        <f t="shared" si="9"/>
        <v>412.14</v>
      </c>
      <c r="Z52" s="71">
        <f t="shared" si="9"/>
        <v>412.04000000000008</v>
      </c>
      <c r="AA52" s="71">
        <f t="shared" si="9"/>
        <v>412.04000000000008</v>
      </c>
      <c r="AB52" s="71">
        <f t="shared" si="9"/>
        <v>361.34</v>
      </c>
      <c r="AC52" s="71">
        <f t="shared" si="9"/>
        <v>335.54</v>
      </c>
      <c r="AD52" s="71">
        <f t="shared" si="9"/>
        <v>295.64000000000004</v>
      </c>
      <c r="AE52" s="71">
        <f t="shared" si="9"/>
        <v>185.93999999999997</v>
      </c>
      <c r="AF52" s="71">
        <f t="shared" si="9"/>
        <v>121.14</v>
      </c>
      <c r="AG52" s="76">
        <f>SUM(AG39:AG51)</f>
        <v>489.91</v>
      </c>
      <c r="AH52" s="53">
        <f t="shared" si="2"/>
        <v>412.14</v>
      </c>
      <c r="AI52" s="54">
        <f t="shared" si="3"/>
        <v>121.14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30</v>
      </c>
      <c r="L53" s="60">
        <v>29.7</v>
      </c>
      <c r="M53" s="77">
        <v>49.6</v>
      </c>
      <c r="N53" s="77">
        <v>55.1</v>
      </c>
      <c r="O53" s="77">
        <v>55.1</v>
      </c>
      <c r="P53" s="77">
        <v>40</v>
      </c>
      <c r="Q53" s="50">
        <v>0</v>
      </c>
      <c r="R53" s="50">
        <v>29.7</v>
      </c>
      <c r="S53" s="50">
        <v>29.3</v>
      </c>
      <c r="T53" s="50">
        <v>29.3</v>
      </c>
      <c r="U53" s="50">
        <v>40</v>
      </c>
      <c r="V53" s="50">
        <v>55.1</v>
      </c>
      <c r="W53" s="50">
        <v>55.2</v>
      </c>
      <c r="X53" s="50">
        <v>54.8</v>
      </c>
      <c r="Y53" s="50">
        <v>56.3</v>
      </c>
      <c r="Z53" s="50">
        <v>56</v>
      </c>
      <c r="AA53" s="50">
        <v>54.3</v>
      </c>
      <c r="AB53" s="50">
        <v>54.3</v>
      </c>
      <c r="AC53" s="50">
        <v>54.6</v>
      </c>
      <c r="AD53" s="50">
        <v>45.1</v>
      </c>
      <c r="AE53" s="50">
        <v>30.5</v>
      </c>
      <c r="AF53" s="50">
        <v>10.7</v>
      </c>
      <c r="AG53" s="61">
        <v>60</v>
      </c>
      <c r="AH53" s="53">
        <f t="shared" si="2"/>
        <v>56.3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13.4</v>
      </c>
      <c r="M54" s="77">
        <v>23.5</v>
      </c>
      <c r="N54" s="77">
        <v>26.7</v>
      </c>
      <c r="O54" s="77">
        <v>23.8</v>
      </c>
      <c r="P54" s="77">
        <v>17</v>
      </c>
      <c r="Q54" s="72">
        <v>0</v>
      </c>
      <c r="R54" s="72">
        <v>13</v>
      </c>
      <c r="S54" s="50">
        <v>15.1</v>
      </c>
      <c r="T54" s="50">
        <v>14.2</v>
      </c>
      <c r="U54" s="50">
        <v>17.100000000000001</v>
      </c>
      <c r="V54" s="72">
        <v>26.5</v>
      </c>
      <c r="W54" s="72">
        <v>26.5</v>
      </c>
      <c r="X54" s="72">
        <v>25.3</v>
      </c>
      <c r="Y54" s="72">
        <v>26.8</v>
      </c>
      <c r="Z54" s="72">
        <v>26.4</v>
      </c>
      <c r="AA54" s="72">
        <v>26.4</v>
      </c>
      <c r="AB54" s="72">
        <v>24.5</v>
      </c>
      <c r="AC54" s="72">
        <v>21.9</v>
      </c>
      <c r="AD54" s="72">
        <v>19.600000000000001</v>
      </c>
      <c r="AE54" s="72">
        <v>16</v>
      </c>
      <c r="AF54" s="72">
        <v>3.4</v>
      </c>
      <c r="AG54" s="66">
        <v>32</v>
      </c>
      <c r="AH54" s="53">
        <f t="shared" si="2"/>
        <v>26.8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4.9000000000000004</v>
      </c>
      <c r="M55" s="80">
        <v>8.6</v>
      </c>
      <c r="N55" s="80">
        <v>9.8000000000000007</v>
      </c>
      <c r="O55" s="80">
        <v>8.6999999999999993</v>
      </c>
      <c r="P55" s="80">
        <v>7</v>
      </c>
      <c r="Q55" s="78">
        <v>0</v>
      </c>
      <c r="R55" s="78">
        <v>4.7</v>
      </c>
      <c r="S55" s="50">
        <v>5.5</v>
      </c>
      <c r="T55" s="50">
        <v>5.2</v>
      </c>
      <c r="U55" s="50">
        <v>6.3</v>
      </c>
      <c r="V55" s="78">
        <v>9</v>
      </c>
      <c r="W55" s="78">
        <v>9.6999999999999993</v>
      </c>
      <c r="X55" s="78">
        <v>9.1999999999999993</v>
      </c>
      <c r="Y55" s="78">
        <v>9.8000000000000007</v>
      </c>
      <c r="Z55" s="78">
        <v>9.6</v>
      </c>
      <c r="AA55" s="78">
        <v>9.6</v>
      </c>
      <c r="AB55" s="78">
        <v>8.9</v>
      </c>
      <c r="AC55" s="78">
        <v>8</v>
      </c>
      <c r="AD55" s="78">
        <v>7.2</v>
      </c>
      <c r="AE55" s="78">
        <v>5.8</v>
      </c>
      <c r="AF55" s="78">
        <v>1.2</v>
      </c>
      <c r="AG55" s="81">
        <v>14</v>
      </c>
      <c r="AH55" s="53">
        <f t="shared" si="2"/>
        <v>9.8000000000000007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0">SUM(B53:B55)</f>
        <v>0</v>
      </c>
      <c r="C56" s="71">
        <f>SUM(C53:C55)</f>
        <v>0</v>
      </c>
      <c r="D56" s="71">
        <f t="shared" ref="D56:AF56" si="11">SUM(D53:D55)</f>
        <v>0</v>
      </c>
      <c r="E56" s="71">
        <f t="shared" si="11"/>
        <v>0</v>
      </c>
      <c r="F56" s="71">
        <f t="shared" si="11"/>
        <v>0</v>
      </c>
      <c r="G56" s="71">
        <f t="shared" si="11"/>
        <v>0</v>
      </c>
      <c r="H56" s="71">
        <f t="shared" si="11"/>
        <v>0</v>
      </c>
      <c r="I56" s="71">
        <f t="shared" si="11"/>
        <v>0</v>
      </c>
      <c r="J56" s="71">
        <f t="shared" si="11"/>
        <v>0</v>
      </c>
      <c r="K56" s="71">
        <f t="shared" si="11"/>
        <v>30</v>
      </c>
      <c r="L56" s="71">
        <f t="shared" si="11"/>
        <v>48</v>
      </c>
      <c r="M56" s="71">
        <f t="shared" si="11"/>
        <v>81.699999999999989</v>
      </c>
      <c r="N56" s="71">
        <f t="shared" si="11"/>
        <v>91.6</v>
      </c>
      <c r="O56" s="71">
        <f t="shared" si="11"/>
        <v>87.600000000000009</v>
      </c>
      <c r="P56" s="71">
        <f t="shared" si="11"/>
        <v>64</v>
      </c>
      <c r="Q56" s="71">
        <f t="shared" si="11"/>
        <v>0</v>
      </c>
      <c r="R56" s="71">
        <f t="shared" si="11"/>
        <v>47.400000000000006</v>
      </c>
      <c r="S56" s="71">
        <f t="shared" si="11"/>
        <v>49.9</v>
      </c>
      <c r="T56" s="71">
        <f t="shared" si="11"/>
        <v>48.7</v>
      </c>
      <c r="U56" s="71">
        <f t="shared" si="11"/>
        <v>63.4</v>
      </c>
      <c r="V56" s="71">
        <f t="shared" si="11"/>
        <v>90.6</v>
      </c>
      <c r="W56" s="71">
        <f t="shared" si="11"/>
        <v>91.4</v>
      </c>
      <c r="X56" s="71">
        <f t="shared" si="11"/>
        <v>89.3</v>
      </c>
      <c r="Y56" s="71">
        <f t="shared" si="11"/>
        <v>92.899999999999991</v>
      </c>
      <c r="Z56" s="71">
        <f t="shared" si="11"/>
        <v>92</v>
      </c>
      <c r="AA56" s="71">
        <f t="shared" si="11"/>
        <v>90.299999999999983</v>
      </c>
      <c r="AB56" s="71">
        <f t="shared" si="11"/>
        <v>87.7</v>
      </c>
      <c r="AC56" s="71">
        <f t="shared" si="11"/>
        <v>84.5</v>
      </c>
      <c r="AD56" s="71">
        <f t="shared" si="11"/>
        <v>71.900000000000006</v>
      </c>
      <c r="AE56" s="71">
        <f t="shared" si="11"/>
        <v>52.3</v>
      </c>
      <c r="AF56" s="71">
        <f t="shared" si="11"/>
        <v>15.299999999999999</v>
      </c>
      <c r="AG56" s="76">
        <f>SUM(AG53:AG55)</f>
        <v>106</v>
      </c>
      <c r="AH56" s="53">
        <f t="shared" si="2"/>
        <v>92.899999999999991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72</v>
      </c>
      <c r="C57" s="50">
        <v>71</v>
      </c>
      <c r="D57" s="50">
        <v>64</v>
      </c>
      <c r="E57" s="50">
        <v>68.900000000000006</v>
      </c>
      <c r="F57" s="50">
        <v>70.400000000000006</v>
      </c>
      <c r="G57" s="50">
        <v>70.099999999999994</v>
      </c>
      <c r="H57" s="50">
        <v>75</v>
      </c>
      <c r="I57" s="50">
        <v>71</v>
      </c>
      <c r="J57" s="50">
        <v>74.5</v>
      </c>
      <c r="K57" s="50">
        <v>72.900000000000006</v>
      </c>
      <c r="L57" s="50">
        <v>71</v>
      </c>
      <c r="M57" s="50">
        <v>71</v>
      </c>
      <c r="N57" s="50">
        <v>74.5</v>
      </c>
      <c r="O57" s="50">
        <v>76.599999999999994</v>
      </c>
      <c r="P57" s="50">
        <v>72</v>
      </c>
      <c r="Q57" s="50">
        <v>65</v>
      </c>
      <c r="R57" s="50">
        <v>69.3</v>
      </c>
      <c r="S57" s="50">
        <v>70.400000000000006</v>
      </c>
      <c r="T57" s="50">
        <v>72.2</v>
      </c>
      <c r="U57" s="50">
        <v>74.2</v>
      </c>
      <c r="V57" s="50">
        <v>72.2</v>
      </c>
      <c r="W57" s="50">
        <v>73.599999999999994</v>
      </c>
      <c r="X57" s="50">
        <v>75.2</v>
      </c>
      <c r="Y57" s="50">
        <v>73.2</v>
      </c>
      <c r="Z57" s="50">
        <v>75</v>
      </c>
      <c r="AA57" s="50">
        <v>69.7</v>
      </c>
      <c r="AB57" s="50">
        <v>70.5</v>
      </c>
      <c r="AC57" s="50">
        <v>66</v>
      </c>
      <c r="AD57" s="50">
        <v>68.7</v>
      </c>
      <c r="AE57" s="50">
        <v>70</v>
      </c>
      <c r="AF57" s="50">
        <v>66</v>
      </c>
      <c r="AG57" s="61"/>
      <c r="AH57" s="53">
        <f t="shared" si="2"/>
        <v>76.599999999999994</v>
      </c>
      <c r="AI57" s="54">
        <f t="shared" si="3"/>
        <v>64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f>93.3+34.7</f>
        <v>128</v>
      </c>
      <c r="L58" s="72">
        <v>145.6</v>
      </c>
      <c r="M58" s="50">
        <f>117.9+44</f>
        <v>161.9</v>
      </c>
      <c r="N58" s="50">
        <f>118+42</f>
        <v>160</v>
      </c>
      <c r="O58" s="50">
        <f>110+45</f>
        <v>155</v>
      </c>
      <c r="P58" s="50">
        <v>150</v>
      </c>
      <c r="Q58" s="50">
        <v>0</v>
      </c>
      <c r="R58" s="50">
        <v>53</v>
      </c>
      <c r="S58" s="50">
        <v>74.099999999999994</v>
      </c>
      <c r="T58" s="50">
        <v>76.400000000000006</v>
      </c>
      <c r="U58" s="50">
        <v>81.2</v>
      </c>
      <c r="V58" s="50">
        <v>97.9</v>
      </c>
      <c r="W58" s="50">
        <v>89</v>
      </c>
      <c r="X58" s="82">
        <f>52+115.6</f>
        <v>167.6</v>
      </c>
      <c r="Y58" s="82">
        <v>178</v>
      </c>
      <c r="Z58" s="82">
        <v>165</v>
      </c>
      <c r="AA58" s="82">
        <v>158</v>
      </c>
      <c r="AB58" s="72">
        <v>137</v>
      </c>
      <c r="AC58" s="72">
        <v>79.400000000000006</v>
      </c>
      <c r="AD58" s="72">
        <v>46.1</v>
      </c>
      <c r="AE58" s="72">
        <v>0</v>
      </c>
      <c r="AF58" s="72">
        <v>0</v>
      </c>
      <c r="AG58" s="66"/>
      <c r="AH58" s="53">
        <f t="shared" si="2"/>
        <v>178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310</v>
      </c>
      <c r="C59" s="72">
        <v>324</v>
      </c>
      <c r="D59" s="72">
        <v>276</v>
      </c>
      <c r="E59" s="72">
        <v>284</v>
      </c>
      <c r="F59" s="72">
        <v>312</v>
      </c>
      <c r="G59" s="72">
        <v>321</v>
      </c>
      <c r="H59" s="50">
        <v>328</v>
      </c>
      <c r="I59" s="50">
        <v>310</v>
      </c>
      <c r="J59" s="50">
        <v>330.6</v>
      </c>
      <c r="K59" s="50">
        <v>115</v>
      </c>
      <c r="L59" s="50">
        <v>13.7</v>
      </c>
      <c r="M59" s="72">
        <v>15.6</v>
      </c>
      <c r="N59" s="72">
        <v>2.6</v>
      </c>
      <c r="O59" s="72">
        <v>7.8</v>
      </c>
      <c r="P59" s="72">
        <v>0</v>
      </c>
      <c r="Q59" s="72">
        <v>327</v>
      </c>
      <c r="R59" s="72">
        <v>344</v>
      </c>
      <c r="S59" s="72">
        <v>328.8</v>
      </c>
      <c r="T59" s="72">
        <v>337.9</v>
      </c>
      <c r="U59" s="72">
        <v>333.4</v>
      </c>
      <c r="V59" s="72">
        <v>177</v>
      </c>
      <c r="W59" s="72">
        <v>161.80000000000001</v>
      </c>
      <c r="X59" s="83">
        <v>14.1</v>
      </c>
      <c r="Y59" s="83">
        <v>9.1999999999999993</v>
      </c>
      <c r="Z59" s="83">
        <v>0</v>
      </c>
      <c r="AA59" s="83">
        <v>1.1000000000000001</v>
      </c>
      <c r="AB59" s="72">
        <v>3.5</v>
      </c>
      <c r="AC59" s="72">
        <v>228.6</v>
      </c>
      <c r="AD59" s="72">
        <v>338</v>
      </c>
      <c r="AE59" s="72">
        <v>345</v>
      </c>
      <c r="AF59" s="72">
        <v>338.5</v>
      </c>
      <c r="AG59" s="84"/>
      <c r="AH59" s="53">
        <f t="shared" si="2"/>
        <v>345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53.6</v>
      </c>
      <c r="J60" s="57">
        <v>58.2</v>
      </c>
      <c r="K60" s="57">
        <v>58.5</v>
      </c>
      <c r="L60" s="57">
        <v>62.8</v>
      </c>
      <c r="M60" s="72">
        <v>61.7</v>
      </c>
      <c r="N60" s="72">
        <v>61.9</v>
      </c>
      <c r="O60" s="72">
        <v>61.5</v>
      </c>
      <c r="P60" s="72">
        <v>61</v>
      </c>
      <c r="Q60" s="72">
        <v>60</v>
      </c>
      <c r="R60" s="72">
        <v>57.1</v>
      </c>
      <c r="S60" s="72">
        <v>58.2</v>
      </c>
      <c r="T60" s="72">
        <v>59</v>
      </c>
      <c r="U60" s="72">
        <v>51.8</v>
      </c>
      <c r="V60" s="72">
        <v>50.1</v>
      </c>
      <c r="W60" s="72">
        <v>51.7</v>
      </c>
      <c r="X60" s="72">
        <v>50.7</v>
      </c>
      <c r="Y60" s="72">
        <v>58.3</v>
      </c>
      <c r="Z60" s="72">
        <v>61.1</v>
      </c>
      <c r="AA60" s="72">
        <v>58.5</v>
      </c>
      <c r="AB60" s="72">
        <v>59.5</v>
      </c>
      <c r="AC60" s="72">
        <v>60.8</v>
      </c>
      <c r="AD60" s="72">
        <v>58.9</v>
      </c>
      <c r="AE60" s="72">
        <v>54.4</v>
      </c>
      <c r="AF60" s="57">
        <v>54.4</v>
      </c>
      <c r="AG60" s="84"/>
      <c r="AH60" s="53">
        <f t="shared" si="2"/>
        <v>62.8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7">
        <v>0</v>
      </c>
      <c r="J61" s="57">
        <v>72.099999999999994</v>
      </c>
      <c r="K61" s="57">
        <v>69.900000000000006</v>
      </c>
      <c r="L61" s="57">
        <v>77</v>
      </c>
      <c r="M61" s="50">
        <v>77.3</v>
      </c>
      <c r="N61" s="50">
        <v>83.9</v>
      </c>
      <c r="O61" s="50">
        <v>80.8</v>
      </c>
      <c r="P61" s="50">
        <v>79</v>
      </c>
      <c r="Q61" s="50">
        <v>75</v>
      </c>
      <c r="R61" s="50">
        <v>75.099999999999994</v>
      </c>
      <c r="S61" s="50">
        <v>72.5</v>
      </c>
      <c r="T61" s="50">
        <v>66.8</v>
      </c>
      <c r="U61" s="50">
        <v>70.5</v>
      </c>
      <c r="V61" s="50">
        <v>69.2</v>
      </c>
      <c r="W61" s="50">
        <v>70.400000000000006</v>
      </c>
      <c r="X61" s="50">
        <v>73.400000000000006</v>
      </c>
      <c r="Y61" s="50">
        <v>83.1</v>
      </c>
      <c r="Z61" s="50">
        <v>80.099999999999994</v>
      </c>
      <c r="AA61" s="50">
        <v>56.2</v>
      </c>
      <c r="AB61" s="50">
        <v>73.099999999999994</v>
      </c>
      <c r="AC61" s="50">
        <v>71.7</v>
      </c>
      <c r="AD61" s="50">
        <v>27</v>
      </c>
      <c r="AE61" s="50">
        <v>73.3</v>
      </c>
      <c r="AF61" s="50">
        <v>70.400000000000006</v>
      </c>
      <c r="AG61" s="84"/>
      <c r="AH61" s="53">
        <f t="shared" si="2"/>
        <v>83.9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59">
        <v>0</v>
      </c>
      <c r="T62" s="59">
        <v>0</v>
      </c>
      <c r="U62" s="59">
        <v>7</v>
      </c>
      <c r="V62" s="59">
        <v>7</v>
      </c>
      <c r="W62" s="59">
        <v>7</v>
      </c>
      <c r="X62" s="59">
        <v>7</v>
      </c>
      <c r="Y62" s="59">
        <v>8</v>
      </c>
      <c r="Z62" s="59">
        <v>8</v>
      </c>
      <c r="AA62" s="59">
        <v>8</v>
      </c>
      <c r="AB62" s="59">
        <v>8</v>
      </c>
      <c r="AC62" s="59">
        <v>8</v>
      </c>
      <c r="AD62" s="59">
        <v>0</v>
      </c>
      <c r="AE62" s="59">
        <v>0</v>
      </c>
      <c r="AF62" s="59">
        <v>0</v>
      </c>
      <c r="AG62" s="84"/>
      <c r="AH62" s="53">
        <f t="shared" si="2"/>
        <v>8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9">
        <v>0</v>
      </c>
      <c r="AC64" s="59">
        <v>0</v>
      </c>
      <c r="AD64" s="59">
        <v>0</v>
      </c>
      <c r="AE64" s="57">
        <v>0</v>
      </c>
      <c r="AF64" s="59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9">
        <v>0</v>
      </c>
      <c r="AC65" s="59">
        <v>0</v>
      </c>
      <c r="AD65" s="59">
        <v>0</v>
      </c>
      <c r="AE65" s="57">
        <v>0</v>
      </c>
      <c r="AF65" s="59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59">
        <v>0</v>
      </c>
      <c r="AC66" s="59">
        <v>0</v>
      </c>
      <c r="AD66" s="59">
        <v>0</v>
      </c>
      <c r="AE66" s="62">
        <v>0</v>
      </c>
      <c r="AF66" s="59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62">
        <v>0</v>
      </c>
      <c r="F67" s="62">
        <v>0</v>
      </c>
      <c r="G67" s="62">
        <v>0</v>
      </c>
      <c r="H67" s="62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59">
        <v>0</v>
      </c>
      <c r="AC67" s="59">
        <v>0</v>
      </c>
      <c r="AD67" s="59">
        <v>0</v>
      </c>
      <c r="AE67" s="62">
        <v>0</v>
      </c>
      <c r="AF67" s="59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 t="shared" ref="B68" si="12">SUM(B57:B67)</f>
        <v>382</v>
      </c>
      <c r="C68" s="71">
        <f>SUM(C57:C67)</f>
        <v>395</v>
      </c>
      <c r="D68" s="71">
        <f t="shared" ref="D68:AF68" si="13">SUM(D57:D67)</f>
        <v>340</v>
      </c>
      <c r="E68" s="71">
        <f t="shared" si="13"/>
        <v>352.9</v>
      </c>
      <c r="F68" s="71">
        <f t="shared" si="13"/>
        <v>382.4</v>
      </c>
      <c r="G68" s="71">
        <f t="shared" si="13"/>
        <v>391.1</v>
      </c>
      <c r="H68" s="71">
        <f t="shared" si="13"/>
        <v>403</v>
      </c>
      <c r="I68" s="71">
        <f t="shared" si="13"/>
        <v>434.6</v>
      </c>
      <c r="J68" s="71">
        <f t="shared" si="13"/>
        <v>535.4</v>
      </c>
      <c r="K68" s="71">
        <f t="shared" si="13"/>
        <v>444.29999999999995</v>
      </c>
      <c r="L68" s="71">
        <f t="shared" si="13"/>
        <v>370.09999999999997</v>
      </c>
      <c r="M68" s="71">
        <f t="shared" si="13"/>
        <v>387.5</v>
      </c>
      <c r="N68" s="71">
        <f t="shared" si="13"/>
        <v>382.9</v>
      </c>
      <c r="O68" s="71">
        <f t="shared" si="13"/>
        <v>381.7</v>
      </c>
      <c r="P68" s="71">
        <f t="shared" si="13"/>
        <v>362</v>
      </c>
      <c r="Q68" s="71">
        <f t="shared" si="13"/>
        <v>527</v>
      </c>
      <c r="R68" s="71">
        <f t="shared" si="13"/>
        <v>598.5</v>
      </c>
      <c r="S68" s="71">
        <f t="shared" si="13"/>
        <v>604</v>
      </c>
      <c r="T68" s="71">
        <f t="shared" si="13"/>
        <v>612.29999999999995</v>
      </c>
      <c r="U68" s="71">
        <f t="shared" si="13"/>
        <v>618.09999999999991</v>
      </c>
      <c r="V68" s="71">
        <f t="shared" si="13"/>
        <v>473.40000000000003</v>
      </c>
      <c r="W68" s="71">
        <f t="shared" si="13"/>
        <v>453.5</v>
      </c>
      <c r="X68" s="71">
        <f t="shared" si="13"/>
        <v>388</v>
      </c>
      <c r="Y68" s="71">
        <f t="shared" si="13"/>
        <v>409.79999999999995</v>
      </c>
      <c r="Z68" s="71">
        <f t="shared" si="13"/>
        <v>389.20000000000005</v>
      </c>
      <c r="AA68" s="71">
        <f t="shared" si="13"/>
        <v>351.49999999999994</v>
      </c>
      <c r="AB68" s="71">
        <f t="shared" si="13"/>
        <v>351.6</v>
      </c>
      <c r="AC68" s="71">
        <f t="shared" si="13"/>
        <v>514.5</v>
      </c>
      <c r="AD68" s="71">
        <f t="shared" si="13"/>
        <v>538.70000000000005</v>
      </c>
      <c r="AE68" s="71">
        <f t="shared" si="13"/>
        <v>542.69999999999993</v>
      </c>
      <c r="AF68" s="71">
        <f t="shared" si="13"/>
        <v>529.29999999999995</v>
      </c>
      <c r="AG68" s="76">
        <f>SUM(AG57:AG67)</f>
        <v>0</v>
      </c>
      <c r="AH68" s="53">
        <f t="shared" si="2"/>
        <v>618.09999999999991</v>
      </c>
      <c r="AI68" s="54">
        <f t="shared" si="3"/>
        <v>340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 t="shared" ref="B72" si="14">SUM(B69:B71)</f>
        <v>0</v>
      </c>
      <c r="C72" s="71">
        <f>SUM(C69:C71)</f>
        <v>0</v>
      </c>
      <c r="D72" s="71">
        <f t="shared" ref="D72:AF72" si="15">SUM(D69:D71)</f>
        <v>0</v>
      </c>
      <c r="E72" s="71">
        <f t="shared" si="15"/>
        <v>0</v>
      </c>
      <c r="F72" s="71">
        <f t="shared" si="15"/>
        <v>0</v>
      </c>
      <c r="G72" s="71">
        <f t="shared" si="15"/>
        <v>0</v>
      </c>
      <c r="H72" s="71">
        <f t="shared" si="15"/>
        <v>0</v>
      </c>
      <c r="I72" s="71">
        <f t="shared" si="15"/>
        <v>0</v>
      </c>
      <c r="J72" s="71">
        <f t="shared" si="15"/>
        <v>0</v>
      </c>
      <c r="K72" s="71">
        <f t="shared" si="15"/>
        <v>0</v>
      </c>
      <c r="L72" s="71">
        <f t="shared" si="15"/>
        <v>0</v>
      </c>
      <c r="M72" s="71">
        <f t="shared" si="15"/>
        <v>0</v>
      </c>
      <c r="N72" s="71">
        <f t="shared" si="15"/>
        <v>0</v>
      </c>
      <c r="O72" s="71">
        <f t="shared" si="15"/>
        <v>0</v>
      </c>
      <c r="P72" s="71">
        <f t="shared" si="15"/>
        <v>0</v>
      </c>
      <c r="Q72" s="71">
        <f t="shared" si="15"/>
        <v>0</v>
      </c>
      <c r="R72" s="71">
        <f t="shared" si="15"/>
        <v>0</v>
      </c>
      <c r="S72" s="71">
        <f t="shared" si="15"/>
        <v>0</v>
      </c>
      <c r="T72" s="71">
        <f t="shared" si="15"/>
        <v>0</v>
      </c>
      <c r="U72" s="71">
        <f t="shared" si="15"/>
        <v>0</v>
      </c>
      <c r="V72" s="71">
        <f t="shared" si="15"/>
        <v>0</v>
      </c>
      <c r="W72" s="71">
        <f t="shared" si="15"/>
        <v>0</v>
      </c>
      <c r="X72" s="71">
        <f t="shared" si="15"/>
        <v>0</v>
      </c>
      <c r="Y72" s="71">
        <f t="shared" si="15"/>
        <v>0</v>
      </c>
      <c r="Z72" s="71">
        <f t="shared" si="15"/>
        <v>0</v>
      </c>
      <c r="AA72" s="71">
        <f t="shared" si="15"/>
        <v>0</v>
      </c>
      <c r="AB72" s="71">
        <f t="shared" si="15"/>
        <v>0</v>
      </c>
      <c r="AC72" s="71">
        <f t="shared" si="15"/>
        <v>0</v>
      </c>
      <c r="AD72" s="71">
        <f t="shared" si="15"/>
        <v>0</v>
      </c>
      <c r="AE72" s="71">
        <f t="shared" si="15"/>
        <v>0</v>
      </c>
      <c r="AF72" s="71">
        <f t="shared" si="15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 t="shared" ref="B73" si="16">B68+B56+B52+B38+B72</f>
        <v>953.44</v>
      </c>
      <c r="C73" s="88">
        <f>C68+C56+C52+C38+C72</f>
        <v>936.43999999999994</v>
      </c>
      <c r="D73" s="88">
        <f t="shared" ref="D73:AG73" si="17">D68+D56+D52+D38+D72</f>
        <v>881.44</v>
      </c>
      <c r="E73" s="88">
        <f t="shared" si="17"/>
        <v>905.13999999999987</v>
      </c>
      <c r="F73" s="88">
        <f t="shared" si="17"/>
        <v>923.33999999999992</v>
      </c>
      <c r="G73" s="88">
        <f t="shared" si="17"/>
        <v>956.84</v>
      </c>
      <c r="H73" s="88">
        <f t="shared" si="17"/>
        <v>993.43999999999994</v>
      </c>
      <c r="I73" s="88">
        <f t="shared" si="17"/>
        <v>1064.1399999999999</v>
      </c>
      <c r="J73" s="88">
        <f t="shared" si="17"/>
        <v>1179.74</v>
      </c>
      <c r="K73" s="88">
        <f t="shared" si="17"/>
        <v>1295.1399999999999</v>
      </c>
      <c r="L73" s="88">
        <f t="shared" si="17"/>
        <v>1445.24</v>
      </c>
      <c r="M73" s="88">
        <f t="shared" si="17"/>
        <v>1515.04</v>
      </c>
      <c r="N73" s="88">
        <f t="shared" si="17"/>
        <v>1542.94</v>
      </c>
      <c r="O73" s="88">
        <f t="shared" si="17"/>
        <v>1486.04</v>
      </c>
      <c r="P73" s="88">
        <f t="shared" si="17"/>
        <v>1380.64</v>
      </c>
      <c r="Q73" s="88">
        <f t="shared" si="17"/>
        <v>1311.64</v>
      </c>
      <c r="R73" s="88">
        <f t="shared" si="17"/>
        <v>1316.74</v>
      </c>
      <c r="S73" s="88">
        <f t="shared" si="17"/>
        <v>1333.44</v>
      </c>
      <c r="T73" s="88">
        <f t="shared" si="17"/>
        <v>1320.54</v>
      </c>
      <c r="U73" s="88">
        <f t="shared" si="17"/>
        <v>1371.34</v>
      </c>
      <c r="V73" s="88">
        <f t="shared" si="17"/>
        <v>1455.1399999999999</v>
      </c>
      <c r="W73" s="88">
        <f t="shared" si="17"/>
        <v>1481.6399999999999</v>
      </c>
      <c r="X73" s="88">
        <f t="shared" si="17"/>
        <v>1593.54</v>
      </c>
      <c r="Y73" s="88">
        <f t="shared" si="17"/>
        <v>1645.14</v>
      </c>
      <c r="Z73" s="88">
        <f t="shared" si="17"/>
        <v>1613.44</v>
      </c>
      <c r="AA73" s="88">
        <f t="shared" si="17"/>
        <v>1564.04</v>
      </c>
      <c r="AB73" s="88">
        <f t="shared" si="17"/>
        <v>1505.94</v>
      </c>
      <c r="AC73" s="88">
        <f t="shared" si="17"/>
        <v>1439.84</v>
      </c>
      <c r="AD73" s="88">
        <f t="shared" si="17"/>
        <v>1341.54</v>
      </c>
      <c r="AE73" s="88">
        <f t="shared" si="17"/>
        <v>1195.6399999999999</v>
      </c>
      <c r="AF73" s="88">
        <f t="shared" si="17"/>
        <v>1080.4399999999998</v>
      </c>
      <c r="AG73" s="88">
        <f t="shared" si="17"/>
        <v>2144.14</v>
      </c>
      <c r="AH73" s="53">
        <f t="shared" si="2"/>
        <v>1645.14</v>
      </c>
      <c r="AI73" s="54">
        <f t="shared" si="3"/>
        <v>881.44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 t="shared" ref="B75" si="18">B72+B68+B56+B52+B38+B74</f>
        <v>953.44</v>
      </c>
      <c r="C75" s="88">
        <f>C73+C74</f>
        <v>936.43999999999994</v>
      </c>
      <c r="D75" s="88">
        <f t="shared" ref="D75:AF75" si="19">D72+D68+D56+D52+D38+D74</f>
        <v>881.44</v>
      </c>
      <c r="E75" s="88">
        <f t="shared" si="19"/>
        <v>905.13999999999987</v>
      </c>
      <c r="F75" s="88">
        <f t="shared" si="19"/>
        <v>923.33999999999992</v>
      </c>
      <c r="G75" s="88">
        <f t="shared" si="19"/>
        <v>956.84</v>
      </c>
      <c r="H75" s="88">
        <f t="shared" si="19"/>
        <v>993.43999999999994</v>
      </c>
      <c r="I75" s="88">
        <f t="shared" si="19"/>
        <v>1064.1399999999999</v>
      </c>
      <c r="J75" s="88">
        <f t="shared" si="19"/>
        <v>1179.74</v>
      </c>
      <c r="K75" s="88">
        <f t="shared" si="19"/>
        <v>1295.1399999999999</v>
      </c>
      <c r="L75" s="88">
        <f t="shared" si="19"/>
        <v>1445.24</v>
      </c>
      <c r="M75" s="88">
        <f t="shared" si="19"/>
        <v>1515.04</v>
      </c>
      <c r="N75" s="88">
        <f t="shared" si="19"/>
        <v>1542.94</v>
      </c>
      <c r="O75" s="88">
        <f t="shared" si="19"/>
        <v>1486.04</v>
      </c>
      <c r="P75" s="88">
        <f t="shared" si="19"/>
        <v>1380.64</v>
      </c>
      <c r="Q75" s="88">
        <f t="shared" si="19"/>
        <v>1311.64</v>
      </c>
      <c r="R75" s="88">
        <f t="shared" si="19"/>
        <v>1316.74</v>
      </c>
      <c r="S75" s="88">
        <f t="shared" si="19"/>
        <v>1333.44</v>
      </c>
      <c r="T75" s="88">
        <f t="shared" si="19"/>
        <v>1320.54</v>
      </c>
      <c r="U75" s="88">
        <f t="shared" si="19"/>
        <v>1371.34</v>
      </c>
      <c r="V75" s="88">
        <f t="shared" si="19"/>
        <v>1455.1399999999999</v>
      </c>
      <c r="W75" s="88">
        <f t="shared" si="19"/>
        <v>1481.6399999999999</v>
      </c>
      <c r="X75" s="88">
        <f t="shared" si="19"/>
        <v>1593.54</v>
      </c>
      <c r="Y75" s="88">
        <f t="shared" si="19"/>
        <v>1645.14</v>
      </c>
      <c r="Z75" s="88">
        <f t="shared" si="19"/>
        <v>1613.44</v>
      </c>
      <c r="AA75" s="88">
        <f t="shared" si="19"/>
        <v>1564.04</v>
      </c>
      <c r="AB75" s="88">
        <f t="shared" si="19"/>
        <v>1505.94</v>
      </c>
      <c r="AC75" s="88">
        <f t="shared" si="19"/>
        <v>1439.84</v>
      </c>
      <c r="AD75" s="88">
        <f t="shared" si="19"/>
        <v>1341.54</v>
      </c>
      <c r="AE75" s="88">
        <f t="shared" si="19"/>
        <v>1195.6399999999999</v>
      </c>
      <c r="AF75" s="88">
        <f t="shared" si="19"/>
        <v>1080.4399999999998</v>
      </c>
      <c r="AG75" s="76">
        <f>AG72+AG68+AG56+AG52+AG38+AG74</f>
        <v>2144.14</v>
      </c>
      <c r="AH75" s="53">
        <f t="shared" si="2"/>
        <v>1645.14</v>
      </c>
      <c r="AI75" s="54">
        <f t="shared" si="3"/>
        <v>881.44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 t="shared" ref="B76" si="20">IF(B60&lt;0,B60*-1,0)</f>
        <v>0</v>
      </c>
      <c r="C76" s="57">
        <f>IF(C60&lt;0,C60*-1,0)</f>
        <v>0</v>
      </c>
      <c r="D76" s="57">
        <f t="shared" ref="D76:AF76" si="21">IF(D60&lt;0,D60*-1,0)</f>
        <v>0</v>
      </c>
      <c r="E76" s="57">
        <f t="shared" si="21"/>
        <v>0</v>
      </c>
      <c r="F76" s="57">
        <f t="shared" si="21"/>
        <v>0</v>
      </c>
      <c r="G76" s="57">
        <f t="shared" si="21"/>
        <v>0</v>
      </c>
      <c r="H76" s="57">
        <f t="shared" si="21"/>
        <v>0</v>
      </c>
      <c r="I76" s="57">
        <f t="shared" si="21"/>
        <v>0</v>
      </c>
      <c r="J76" s="57">
        <f t="shared" si="21"/>
        <v>0</v>
      </c>
      <c r="K76" s="57">
        <f t="shared" si="21"/>
        <v>0</v>
      </c>
      <c r="L76" s="57">
        <f t="shared" si="21"/>
        <v>0</v>
      </c>
      <c r="M76" s="57">
        <f t="shared" si="21"/>
        <v>0</v>
      </c>
      <c r="N76" s="57">
        <f t="shared" si="21"/>
        <v>0</v>
      </c>
      <c r="O76" s="57">
        <f t="shared" si="21"/>
        <v>0</v>
      </c>
      <c r="P76" s="57">
        <f t="shared" si="21"/>
        <v>0</v>
      </c>
      <c r="Q76" s="57">
        <f t="shared" si="21"/>
        <v>0</v>
      </c>
      <c r="R76" s="57">
        <f t="shared" si="21"/>
        <v>0</v>
      </c>
      <c r="S76" s="57">
        <f t="shared" si="21"/>
        <v>0</v>
      </c>
      <c r="T76" s="57">
        <f t="shared" si="21"/>
        <v>0</v>
      </c>
      <c r="U76" s="57">
        <f t="shared" si="21"/>
        <v>0</v>
      </c>
      <c r="V76" s="57">
        <f t="shared" si="21"/>
        <v>0</v>
      </c>
      <c r="W76" s="57">
        <f t="shared" si="21"/>
        <v>0</v>
      </c>
      <c r="X76" s="57">
        <f t="shared" si="21"/>
        <v>0</v>
      </c>
      <c r="Y76" s="57">
        <f t="shared" si="21"/>
        <v>0</v>
      </c>
      <c r="Z76" s="57">
        <f t="shared" si="21"/>
        <v>0</v>
      </c>
      <c r="AA76" s="57">
        <f t="shared" si="21"/>
        <v>0</v>
      </c>
      <c r="AB76" s="57">
        <f t="shared" si="21"/>
        <v>0</v>
      </c>
      <c r="AC76" s="57">
        <f t="shared" si="21"/>
        <v>0</v>
      </c>
      <c r="AD76" s="57">
        <f t="shared" si="21"/>
        <v>0</v>
      </c>
      <c r="AE76" s="57">
        <f t="shared" si="21"/>
        <v>0</v>
      </c>
      <c r="AF76" s="57">
        <f t="shared" si="21"/>
        <v>0</v>
      </c>
      <c r="AG76" s="61"/>
      <c r="AH76" s="53">
        <f t="shared" ref="AH76:AH91" si="22">MAX(B76:AF76)</f>
        <v>0</v>
      </c>
      <c r="AI76" s="54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 t="shared" ref="B77" si="24">IF(B58&lt;0,B58*-1,0)</f>
        <v>0</v>
      </c>
      <c r="C77" s="57">
        <f>IF(C58&lt;0,C58*-1,0)</f>
        <v>0</v>
      </c>
      <c r="D77" s="57">
        <f t="shared" ref="D77:AF77" si="25">IF(D58&lt;0,D58*-1,0)</f>
        <v>0</v>
      </c>
      <c r="E77" s="57">
        <f t="shared" si="25"/>
        <v>0</v>
      </c>
      <c r="F77" s="57">
        <f t="shared" si="25"/>
        <v>0</v>
      </c>
      <c r="G77" s="57">
        <f t="shared" si="25"/>
        <v>0</v>
      </c>
      <c r="H77" s="57">
        <f t="shared" si="25"/>
        <v>0</v>
      </c>
      <c r="I77" s="57">
        <f t="shared" si="25"/>
        <v>0</v>
      </c>
      <c r="J77" s="57">
        <f t="shared" si="25"/>
        <v>0</v>
      </c>
      <c r="K77" s="57">
        <f t="shared" si="25"/>
        <v>0</v>
      </c>
      <c r="L77" s="57">
        <f t="shared" si="25"/>
        <v>0</v>
      </c>
      <c r="M77" s="57">
        <f t="shared" si="25"/>
        <v>0</v>
      </c>
      <c r="N77" s="57">
        <f t="shared" si="25"/>
        <v>0</v>
      </c>
      <c r="O77" s="57">
        <f t="shared" si="25"/>
        <v>0</v>
      </c>
      <c r="P77" s="57">
        <f t="shared" si="25"/>
        <v>0</v>
      </c>
      <c r="Q77" s="57">
        <f t="shared" si="25"/>
        <v>0</v>
      </c>
      <c r="R77" s="57">
        <f t="shared" si="25"/>
        <v>0</v>
      </c>
      <c r="S77" s="57">
        <f t="shared" si="25"/>
        <v>0</v>
      </c>
      <c r="T77" s="57">
        <f t="shared" si="25"/>
        <v>0</v>
      </c>
      <c r="U77" s="57">
        <f t="shared" si="25"/>
        <v>0</v>
      </c>
      <c r="V77" s="57">
        <f t="shared" si="25"/>
        <v>0</v>
      </c>
      <c r="W77" s="57">
        <f t="shared" si="25"/>
        <v>0</v>
      </c>
      <c r="X77" s="57">
        <f t="shared" si="25"/>
        <v>0</v>
      </c>
      <c r="Y77" s="57">
        <f t="shared" si="25"/>
        <v>0</v>
      </c>
      <c r="Z77" s="57">
        <f t="shared" si="25"/>
        <v>0</v>
      </c>
      <c r="AA77" s="57">
        <f t="shared" si="25"/>
        <v>0</v>
      </c>
      <c r="AB77" s="57">
        <f t="shared" si="25"/>
        <v>0</v>
      </c>
      <c r="AC77" s="57">
        <f t="shared" si="25"/>
        <v>0</v>
      </c>
      <c r="AD77" s="57">
        <f t="shared" si="25"/>
        <v>0</v>
      </c>
      <c r="AE77" s="57">
        <f t="shared" si="25"/>
        <v>0</v>
      </c>
      <c r="AF77" s="57">
        <f t="shared" si="25"/>
        <v>0</v>
      </c>
      <c r="AG77" s="66"/>
      <c r="AH77" s="53">
        <f t="shared" si="22"/>
        <v>0</v>
      </c>
      <c r="AI77" s="54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 t="shared" ref="B78" si="26">IF(B61&lt;0,B61*-1,0)</f>
        <v>0</v>
      </c>
      <c r="C78" s="57">
        <f>IF(C61&lt;0,C61*-1,0)</f>
        <v>0</v>
      </c>
      <c r="D78" s="57">
        <f t="shared" ref="D78:AF78" si="27">IF(D61&lt;0,D61*-1,0)</f>
        <v>0</v>
      </c>
      <c r="E78" s="57">
        <f t="shared" si="27"/>
        <v>0</v>
      </c>
      <c r="F78" s="57">
        <f t="shared" si="27"/>
        <v>0</v>
      </c>
      <c r="G78" s="57">
        <f t="shared" si="27"/>
        <v>0</v>
      </c>
      <c r="H78" s="57">
        <f t="shared" si="27"/>
        <v>0</v>
      </c>
      <c r="I78" s="57">
        <f t="shared" si="27"/>
        <v>0</v>
      </c>
      <c r="J78" s="57">
        <f t="shared" si="27"/>
        <v>0</v>
      </c>
      <c r="K78" s="57">
        <f t="shared" si="27"/>
        <v>0</v>
      </c>
      <c r="L78" s="57">
        <f t="shared" si="27"/>
        <v>0</v>
      </c>
      <c r="M78" s="57">
        <f t="shared" si="27"/>
        <v>0</v>
      </c>
      <c r="N78" s="57">
        <f t="shared" si="27"/>
        <v>0</v>
      </c>
      <c r="O78" s="57">
        <f t="shared" si="27"/>
        <v>0</v>
      </c>
      <c r="P78" s="57">
        <f t="shared" si="27"/>
        <v>0</v>
      </c>
      <c r="Q78" s="57">
        <f t="shared" si="27"/>
        <v>0</v>
      </c>
      <c r="R78" s="57">
        <f t="shared" si="27"/>
        <v>0</v>
      </c>
      <c r="S78" s="57">
        <f t="shared" si="27"/>
        <v>0</v>
      </c>
      <c r="T78" s="57">
        <f t="shared" si="27"/>
        <v>0</v>
      </c>
      <c r="U78" s="57">
        <f t="shared" si="27"/>
        <v>0</v>
      </c>
      <c r="V78" s="57">
        <f t="shared" si="27"/>
        <v>0</v>
      </c>
      <c r="W78" s="57">
        <f t="shared" si="27"/>
        <v>0</v>
      </c>
      <c r="X78" s="57">
        <f t="shared" si="27"/>
        <v>0</v>
      </c>
      <c r="Y78" s="57">
        <f t="shared" si="27"/>
        <v>0</v>
      </c>
      <c r="Z78" s="57">
        <f t="shared" si="27"/>
        <v>0</v>
      </c>
      <c r="AA78" s="57">
        <f t="shared" si="27"/>
        <v>0</v>
      </c>
      <c r="AB78" s="57">
        <f t="shared" si="27"/>
        <v>0</v>
      </c>
      <c r="AC78" s="57">
        <f t="shared" si="27"/>
        <v>0</v>
      </c>
      <c r="AD78" s="57">
        <f t="shared" si="27"/>
        <v>0</v>
      </c>
      <c r="AE78" s="57">
        <f t="shared" si="27"/>
        <v>0</v>
      </c>
      <c r="AF78" s="57">
        <f t="shared" si="27"/>
        <v>0</v>
      </c>
      <c r="AG78" s="91"/>
      <c r="AH78" s="53">
        <f t="shared" si="22"/>
        <v>0</v>
      </c>
      <c r="AI78" s="54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 t="shared" ref="B79" si="28">IF(B59&lt;0,B59*-1,0)</f>
        <v>0</v>
      </c>
      <c r="C79" s="57">
        <f>IF(C59&lt;0,C59*-1,0)</f>
        <v>0</v>
      </c>
      <c r="D79" s="57">
        <f t="shared" ref="D79:AF79" si="29">IF(D59&lt;0,D59*-1,0)</f>
        <v>0</v>
      </c>
      <c r="E79" s="57">
        <f t="shared" si="29"/>
        <v>0</v>
      </c>
      <c r="F79" s="57">
        <f t="shared" si="29"/>
        <v>0</v>
      </c>
      <c r="G79" s="57">
        <f t="shared" si="29"/>
        <v>0</v>
      </c>
      <c r="H79" s="57">
        <f t="shared" si="29"/>
        <v>0</v>
      </c>
      <c r="I79" s="57">
        <f t="shared" si="29"/>
        <v>0</v>
      </c>
      <c r="J79" s="57">
        <f t="shared" si="29"/>
        <v>0</v>
      </c>
      <c r="K79" s="57">
        <f t="shared" si="29"/>
        <v>0</v>
      </c>
      <c r="L79" s="57">
        <f t="shared" si="29"/>
        <v>0</v>
      </c>
      <c r="M79" s="57">
        <f t="shared" si="29"/>
        <v>0</v>
      </c>
      <c r="N79" s="57">
        <f t="shared" si="29"/>
        <v>0</v>
      </c>
      <c r="O79" s="57">
        <f t="shared" si="29"/>
        <v>0</v>
      </c>
      <c r="P79" s="57">
        <f t="shared" si="29"/>
        <v>0</v>
      </c>
      <c r="Q79" s="57">
        <f t="shared" si="29"/>
        <v>0</v>
      </c>
      <c r="R79" s="57">
        <f t="shared" si="29"/>
        <v>0</v>
      </c>
      <c r="S79" s="57">
        <f t="shared" si="29"/>
        <v>0</v>
      </c>
      <c r="T79" s="57">
        <f t="shared" si="29"/>
        <v>0</v>
      </c>
      <c r="U79" s="57">
        <f t="shared" si="29"/>
        <v>0</v>
      </c>
      <c r="V79" s="57">
        <f t="shared" si="29"/>
        <v>0</v>
      </c>
      <c r="W79" s="57">
        <f t="shared" si="29"/>
        <v>0</v>
      </c>
      <c r="X79" s="57">
        <f t="shared" si="29"/>
        <v>0</v>
      </c>
      <c r="Y79" s="57">
        <f t="shared" si="29"/>
        <v>0</v>
      </c>
      <c r="Z79" s="57">
        <f t="shared" si="29"/>
        <v>0</v>
      </c>
      <c r="AA79" s="57">
        <f t="shared" si="29"/>
        <v>0</v>
      </c>
      <c r="AB79" s="57">
        <f t="shared" si="29"/>
        <v>0</v>
      </c>
      <c r="AC79" s="57">
        <f t="shared" si="29"/>
        <v>0</v>
      </c>
      <c r="AD79" s="57">
        <f t="shared" si="29"/>
        <v>0</v>
      </c>
      <c r="AE79" s="57">
        <f t="shared" si="29"/>
        <v>0</v>
      </c>
      <c r="AF79" s="57">
        <f t="shared" si="29"/>
        <v>0</v>
      </c>
      <c r="AG79" s="91"/>
      <c r="AH79" s="53">
        <f t="shared" si="22"/>
        <v>0</v>
      </c>
      <c r="AI79" s="54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 t="shared" ref="B80" si="30">IF(B57&lt;0,B57*-1,0)</f>
        <v>0</v>
      </c>
      <c r="C80" s="57">
        <f>IF(C57&lt;0,C57*-1,0)</f>
        <v>0</v>
      </c>
      <c r="D80" s="57">
        <f t="shared" ref="D80:AF80" si="31">IF(D57&lt;0,D57*-1,0)</f>
        <v>0</v>
      </c>
      <c r="E80" s="57">
        <f t="shared" si="31"/>
        <v>0</v>
      </c>
      <c r="F80" s="57">
        <f t="shared" si="31"/>
        <v>0</v>
      </c>
      <c r="G80" s="57">
        <f t="shared" si="31"/>
        <v>0</v>
      </c>
      <c r="H80" s="57">
        <f t="shared" si="31"/>
        <v>0</v>
      </c>
      <c r="I80" s="57">
        <f t="shared" si="31"/>
        <v>0</v>
      </c>
      <c r="J80" s="57">
        <f t="shared" si="31"/>
        <v>0</v>
      </c>
      <c r="K80" s="57">
        <f t="shared" si="31"/>
        <v>0</v>
      </c>
      <c r="L80" s="57">
        <f t="shared" si="31"/>
        <v>0</v>
      </c>
      <c r="M80" s="57">
        <f t="shared" si="31"/>
        <v>0</v>
      </c>
      <c r="N80" s="57">
        <f t="shared" si="31"/>
        <v>0</v>
      </c>
      <c r="O80" s="57">
        <f t="shared" si="31"/>
        <v>0</v>
      </c>
      <c r="P80" s="57">
        <f t="shared" si="31"/>
        <v>0</v>
      </c>
      <c r="Q80" s="57">
        <f t="shared" si="31"/>
        <v>0</v>
      </c>
      <c r="R80" s="57">
        <f t="shared" si="31"/>
        <v>0</v>
      </c>
      <c r="S80" s="57">
        <f t="shared" si="31"/>
        <v>0</v>
      </c>
      <c r="T80" s="57">
        <f t="shared" si="31"/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f t="shared" si="31"/>
        <v>0</v>
      </c>
      <c r="AA80" s="57">
        <f t="shared" si="31"/>
        <v>0</v>
      </c>
      <c r="AB80" s="57">
        <f t="shared" si="31"/>
        <v>0</v>
      </c>
      <c r="AC80" s="57">
        <f t="shared" si="31"/>
        <v>0</v>
      </c>
      <c r="AD80" s="57">
        <f t="shared" si="31"/>
        <v>0</v>
      </c>
      <c r="AE80" s="57">
        <f t="shared" si="31"/>
        <v>0</v>
      </c>
      <c r="AF80" s="57">
        <f t="shared" si="31"/>
        <v>0</v>
      </c>
      <c r="AG80" s="91"/>
      <c r="AH80" s="53">
        <f t="shared" si="22"/>
        <v>0</v>
      </c>
      <c r="AI80" s="54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22"/>
        <v>0</v>
      </c>
      <c r="AI81" s="54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 t="shared" ref="B82" si="32">SUM(B76:B81)</f>
        <v>0</v>
      </c>
      <c r="C82" s="71">
        <f t="shared" ref="C82:AG82" si="33">SUM(C76:C81)</f>
        <v>0</v>
      </c>
      <c r="D82" s="71">
        <f t="shared" si="33"/>
        <v>0</v>
      </c>
      <c r="E82" s="71">
        <f t="shared" si="33"/>
        <v>0</v>
      </c>
      <c r="F82" s="71">
        <f t="shared" si="33"/>
        <v>0</v>
      </c>
      <c r="G82" s="71">
        <f t="shared" si="33"/>
        <v>0</v>
      </c>
      <c r="H82" s="71">
        <f t="shared" si="33"/>
        <v>0</v>
      </c>
      <c r="I82" s="71">
        <f t="shared" si="33"/>
        <v>0</v>
      </c>
      <c r="J82" s="71">
        <f t="shared" si="33"/>
        <v>0</v>
      </c>
      <c r="K82" s="71">
        <f t="shared" si="33"/>
        <v>0</v>
      </c>
      <c r="L82" s="71">
        <f t="shared" si="33"/>
        <v>0</v>
      </c>
      <c r="M82" s="71">
        <f t="shared" si="33"/>
        <v>0</v>
      </c>
      <c r="N82" s="71">
        <f t="shared" si="33"/>
        <v>0</v>
      </c>
      <c r="O82" s="71">
        <f t="shared" si="33"/>
        <v>0</v>
      </c>
      <c r="P82" s="71">
        <f t="shared" si="33"/>
        <v>0</v>
      </c>
      <c r="Q82" s="71">
        <f t="shared" si="33"/>
        <v>0</v>
      </c>
      <c r="R82" s="71">
        <f t="shared" si="33"/>
        <v>0</v>
      </c>
      <c r="S82" s="71">
        <f t="shared" si="33"/>
        <v>0</v>
      </c>
      <c r="T82" s="71">
        <f t="shared" si="33"/>
        <v>0</v>
      </c>
      <c r="U82" s="71">
        <f t="shared" si="33"/>
        <v>0</v>
      </c>
      <c r="V82" s="71">
        <f t="shared" si="33"/>
        <v>0</v>
      </c>
      <c r="W82" s="71">
        <f t="shared" si="33"/>
        <v>0</v>
      </c>
      <c r="X82" s="71">
        <f t="shared" si="33"/>
        <v>0</v>
      </c>
      <c r="Y82" s="71">
        <f t="shared" si="33"/>
        <v>0</v>
      </c>
      <c r="Z82" s="71">
        <f t="shared" si="33"/>
        <v>0</v>
      </c>
      <c r="AA82" s="71">
        <f t="shared" si="33"/>
        <v>0</v>
      </c>
      <c r="AB82" s="71">
        <f t="shared" si="33"/>
        <v>0</v>
      </c>
      <c r="AC82" s="71">
        <f t="shared" si="33"/>
        <v>0</v>
      </c>
      <c r="AD82" s="71">
        <f t="shared" si="33"/>
        <v>0</v>
      </c>
      <c r="AE82" s="71">
        <f t="shared" si="33"/>
        <v>0</v>
      </c>
      <c r="AF82" s="71">
        <f t="shared" si="33"/>
        <v>0</v>
      </c>
      <c r="AG82" s="76">
        <f t="shared" si="33"/>
        <v>0</v>
      </c>
      <c r="AH82" s="53">
        <f t="shared" si="22"/>
        <v>0</v>
      </c>
      <c r="AI82" s="54">
        <f t="shared" si="23"/>
        <v>0</v>
      </c>
      <c r="AK82" s="55"/>
    </row>
    <row r="83" spans="1:88" s="1" customFormat="1" ht="15.75" thickBot="1" x14ac:dyDescent="0.3">
      <c r="A83" s="70" t="s">
        <v>88</v>
      </c>
      <c r="B83" s="71">
        <f t="shared" ref="B83" si="34">SUM(B70:B82)</f>
        <v>1906.88</v>
      </c>
      <c r="C83" s="71">
        <f t="shared" ref="C83:AG83" si="35">SUM(C70:C82)</f>
        <v>1872.8799999999999</v>
      </c>
      <c r="D83" s="71">
        <f t="shared" si="35"/>
        <v>1762.88</v>
      </c>
      <c r="E83" s="71">
        <f t="shared" si="35"/>
        <v>1810.2799999999997</v>
      </c>
      <c r="F83" s="71">
        <f t="shared" si="35"/>
        <v>1846.6799999999998</v>
      </c>
      <c r="G83" s="71">
        <f t="shared" si="35"/>
        <v>1913.68</v>
      </c>
      <c r="H83" s="71">
        <f t="shared" si="35"/>
        <v>1986.8799999999999</v>
      </c>
      <c r="I83" s="71">
        <f t="shared" si="35"/>
        <v>2128.2799999999997</v>
      </c>
      <c r="J83" s="71">
        <f t="shared" si="35"/>
        <v>2359.48</v>
      </c>
      <c r="K83" s="71">
        <f t="shared" si="35"/>
        <v>2590.2799999999997</v>
      </c>
      <c r="L83" s="71">
        <f t="shared" si="35"/>
        <v>2890.48</v>
      </c>
      <c r="M83" s="71">
        <f t="shared" si="35"/>
        <v>3030.08</v>
      </c>
      <c r="N83" s="71">
        <f t="shared" si="35"/>
        <v>3085.88</v>
      </c>
      <c r="O83" s="71">
        <f t="shared" si="35"/>
        <v>2972.08</v>
      </c>
      <c r="P83" s="71">
        <f t="shared" si="35"/>
        <v>2761.28</v>
      </c>
      <c r="Q83" s="71">
        <f t="shared" si="35"/>
        <v>2623.28</v>
      </c>
      <c r="R83" s="71">
        <f t="shared" si="35"/>
        <v>2633.48</v>
      </c>
      <c r="S83" s="71">
        <f t="shared" si="35"/>
        <v>2666.88</v>
      </c>
      <c r="T83" s="71">
        <f t="shared" si="35"/>
        <v>2641.08</v>
      </c>
      <c r="U83" s="71">
        <f t="shared" si="35"/>
        <v>2742.68</v>
      </c>
      <c r="V83" s="71">
        <f t="shared" si="35"/>
        <v>2910.2799999999997</v>
      </c>
      <c r="W83" s="71">
        <f t="shared" si="35"/>
        <v>2963.2799999999997</v>
      </c>
      <c r="X83" s="71">
        <f t="shared" si="35"/>
        <v>3187.08</v>
      </c>
      <c r="Y83" s="71">
        <f t="shared" si="35"/>
        <v>3290.28</v>
      </c>
      <c r="Z83" s="71">
        <f t="shared" si="35"/>
        <v>3226.88</v>
      </c>
      <c r="AA83" s="71">
        <f t="shared" si="35"/>
        <v>3128.08</v>
      </c>
      <c r="AB83" s="71">
        <f t="shared" si="35"/>
        <v>3011.88</v>
      </c>
      <c r="AC83" s="71">
        <f t="shared" si="35"/>
        <v>2879.68</v>
      </c>
      <c r="AD83" s="71">
        <f t="shared" si="35"/>
        <v>2683.08</v>
      </c>
      <c r="AE83" s="71">
        <f t="shared" si="35"/>
        <v>2391.2799999999997</v>
      </c>
      <c r="AF83" s="71">
        <f t="shared" si="35"/>
        <v>2160.8799999999997</v>
      </c>
      <c r="AG83" s="76">
        <f t="shared" si="35"/>
        <v>4360.08</v>
      </c>
      <c r="AH83" s="53">
        <f t="shared" si="22"/>
        <v>3290.28</v>
      </c>
      <c r="AI83" s="54">
        <f t="shared" si="23"/>
        <v>1762.88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9">
        <v>50.03</v>
      </c>
      <c r="C84" s="95">
        <v>50.01</v>
      </c>
      <c r="D84" s="95">
        <v>49.89</v>
      </c>
      <c r="E84" s="95">
        <v>50</v>
      </c>
      <c r="F84" s="95">
        <v>49.97</v>
      </c>
      <c r="G84" s="95">
        <v>49.95</v>
      </c>
      <c r="H84" s="95">
        <v>50.042999999999999</v>
      </c>
      <c r="I84" s="95">
        <v>50.045999999999999</v>
      </c>
      <c r="J84" s="95">
        <v>49.96</v>
      </c>
      <c r="K84" s="95">
        <v>49.921999999999997</v>
      </c>
      <c r="L84" s="95">
        <v>49.957000000000001</v>
      </c>
      <c r="M84" s="95">
        <v>50.057000000000002</v>
      </c>
      <c r="N84" s="95">
        <v>50.1</v>
      </c>
      <c r="O84" s="95">
        <v>50.043999999999997</v>
      </c>
      <c r="P84" s="95">
        <v>50.061</v>
      </c>
      <c r="Q84" s="95">
        <v>50.1</v>
      </c>
      <c r="R84" s="95">
        <v>50.064</v>
      </c>
      <c r="S84" s="95">
        <v>50.018999999999998</v>
      </c>
      <c r="T84" s="95">
        <v>49.914999999999999</v>
      </c>
      <c r="U84" s="95">
        <v>49.918999999999997</v>
      </c>
      <c r="V84" s="95">
        <v>49.95</v>
      </c>
      <c r="W84" s="95">
        <v>50.052999999999997</v>
      </c>
      <c r="X84" s="95">
        <v>50.023000000000003</v>
      </c>
      <c r="Y84" s="95">
        <v>49.972999999999999</v>
      </c>
      <c r="Z84" s="95">
        <v>50.05</v>
      </c>
      <c r="AA84" s="95">
        <v>49.973999999999997</v>
      </c>
      <c r="AB84" s="95">
        <v>50.072000000000003</v>
      </c>
      <c r="AC84" s="95">
        <v>50.036999999999999</v>
      </c>
      <c r="AD84" s="95">
        <v>50.012999999999998</v>
      </c>
      <c r="AE84" s="95">
        <v>50.075000000000003</v>
      </c>
      <c r="AF84" s="95">
        <v>49.999000000000002</v>
      </c>
      <c r="AG84" s="96"/>
      <c r="AH84" s="53">
        <f t="shared" si="22"/>
        <v>50.1</v>
      </c>
      <c r="AI84" s="54">
        <f t="shared" si="23"/>
        <v>49.89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9">
        <v>127</v>
      </c>
      <c r="C85" s="72">
        <v>125.3</v>
      </c>
      <c r="D85" s="72">
        <v>128</v>
      </c>
      <c r="E85" s="72">
        <v>128.1</v>
      </c>
      <c r="F85" s="72">
        <v>127.2</v>
      </c>
      <c r="G85" s="72">
        <v>126.2</v>
      </c>
      <c r="H85" s="72">
        <v>127</v>
      </c>
      <c r="I85" s="72">
        <v>127</v>
      </c>
      <c r="J85" s="72">
        <v>127.7</v>
      </c>
      <c r="K85" s="72">
        <v>128.69999999999999</v>
      </c>
      <c r="L85" s="72">
        <v>126.1</v>
      </c>
      <c r="M85" s="72">
        <v>125.4</v>
      </c>
      <c r="N85" s="72">
        <v>125.3</v>
      </c>
      <c r="O85" s="72">
        <v>125.9</v>
      </c>
      <c r="P85" s="72">
        <v>126.2</v>
      </c>
      <c r="Q85" s="72">
        <v>123.8</v>
      </c>
      <c r="R85" s="72">
        <v>123.6</v>
      </c>
      <c r="S85" s="72">
        <v>124</v>
      </c>
      <c r="T85" s="72">
        <v>124.9</v>
      </c>
      <c r="U85" s="99">
        <v>124.4</v>
      </c>
      <c r="V85" s="99">
        <v>124.3</v>
      </c>
      <c r="W85" s="99">
        <v>124.1</v>
      </c>
      <c r="X85" s="99">
        <v>122.5</v>
      </c>
      <c r="Y85" s="99">
        <v>122.7</v>
      </c>
      <c r="Z85" s="99">
        <v>124.6</v>
      </c>
      <c r="AA85" s="99">
        <v>124.6</v>
      </c>
      <c r="AB85" s="72">
        <v>124.4</v>
      </c>
      <c r="AC85" s="72">
        <v>125.2</v>
      </c>
      <c r="AD85" s="72">
        <v>127.1</v>
      </c>
      <c r="AE85" s="72">
        <v>128.19999999999999</v>
      </c>
      <c r="AF85" s="72">
        <v>126.7</v>
      </c>
      <c r="AG85" s="100"/>
      <c r="AH85" s="53">
        <f t="shared" si="22"/>
        <v>128.69999999999999</v>
      </c>
      <c r="AI85" s="54">
        <f t="shared" si="23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9">
        <v>130.69999999999999</v>
      </c>
      <c r="C86" s="72">
        <v>130</v>
      </c>
      <c r="D86" s="72">
        <v>132</v>
      </c>
      <c r="E86" s="72">
        <v>131.69999999999999</v>
      </c>
      <c r="F86" s="72">
        <v>130.69999999999999</v>
      </c>
      <c r="G86" s="72">
        <v>129.69999999999999</v>
      </c>
      <c r="H86" s="72">
        <v>130.6</v>
      </c>
      <c r="I86" s="72">
        <v>130.6</v>
      </c>
      <c r="J86" s="72">
        <v>130</v>
      </c>
      <c r="K86" s="72">
        <v>130.4</v>
      </c>
      <c r="L86" s="72">
        <v>127.6</v>
      </c>
      <c r="M86" s="72">
        <v>126.8</v>
      </c>
      <c r="N86" s="72">
        <v>126.6</v>
      </c>
      <c r="O86" s="72">
        <v>127.5</v>
      </c>
      <c r="P86" s="72">
        <v>128.30000000000001</v>
      </c>
      <c r="Q86" s="72">
        <v>126</v>
      </c>
      <c r="R86" s="72">
        <v>126.4</v>
      </c>
      <c r="S86" s="72">
        <v>126.8</v>
      </c>
      <c r="T86" s="72">
        <v>126.7</v>
      </c>
      <c r="U86" s="99">
        <v>126.6</v>
      </c>
      <c r="V86" s="99">
        <v>126</v>
      </c>
      <c r="W86" s="99">
        <v>126.3</v>
      </c>
      <c r="X86" s="99">
        <v>124.7</v>
      </c>
      <c r="Y86" s="99">
        <v>124.2</v>
      </c>
      <c r="Z86" s="99">
        <v>126.2</v>
      </c>
      <c r="AA86" s="99">
        <v>126.2</v>
      </c>
      <c r="AB86" s="72">
        <v>128.9</v>
      </c>
      <c r="AC86" s="72">
        <v>127.3</v>
      </c>
      <c r="AD86" s="72">
        <v>128.5</v>
      </c>
      <c r="AE86" s="72">
        <v>130.6</v>
      </c>
      <c r="AF86" s="72">
        <v>129.69999999999999</v>
      </c>
      <c r="AG86" s="100"/>
      <c r="AH86" s="53">
        <f t="shared" si="22"/>
        <v>132</v>
      </c>
      <c r="AI86" s="54">
        <f t="shared" si="23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9">
        <v>130.30000000000001</v>
      </c>
      <c r="C87" s="72">
        <v>130.4</v>
      </c>
      <c r="D87" s="72">
        <v>131.19999999999999</v>
      </c>
      <c r="E87" s="72">
        <v>130</v>
      </c>
      <c r="F87" s="72">
        <v>129.30000000000001</v>
      </c>
      <c r="G87" s="72">
        <v>129.69999999999999</v>
      </c>
      <c r="H87" s="72">
        <v>128.4</v>
      </c>
      <c r="I87" s="72">
        <v>128.69999999999999</v>
      </c>
      <c r="J87" s="72">
        <v>125.8</v>
      </c>
      <c r="K87" s="72">
        <v>126.4</v>
      </c>
      <c r="L87" s="72">
        <v>126.8</v>
      </c>
      <c r="M87" s="72">
        <v>120</v>
      </c>
      <c r="N87" s="72">
        <v>130.19999999999999</v>
      </c>
      <c r="O87" s="72">
        <v>130.1</v>
      </c>
      <c r="P87" s="72">
        <v>131.4</v>
      </c>
      <c r="Q87" s="72">
        <v>127</v>
      </c>
      <c r="R87" s="72">
        <v>127.7</v>
      </c>
      <c r="S87" s="72">
        <v>130.6</v>
      </c>
      <c r="T87" s="72">
        <v>130</v>
      </c>
      <c r="U87" s="72">
        <v>129.19999999999999</v>
      </c>
      <c r="V87" s="72">
        <v>129.9</v>
      </c>
      <c r="W87" s="72">
        <v>129</v>
      </c>
      <c r="X87" s="99">
        <v>132.4</v>
      </c>
      <c r="Y87" s="99">
        <v>129.4</v>
      </c>
      <c r="Z87" s="99">
        <v>130.1</v>
      </c>
      <c r="AA87" s="99">
        <v>130.1</v>
      </c>
      <c r="AB87" s="72">
        <v>132.4</v>
      </c>
      <c r="AC87" s="72">
        <v>131.30000000000001</v>
      </c>
      <c r="AD87" s="72">
        <v>129.5</v>
      </c>
      <c r="AE87" s="72">
        <v>129.69999999999999</v>
      </c>
      <c r="AF87" s="72">
        <v>129.1</v>
      </c>
      <c r="AG87" s="100"/>
      <c r="AH87" s="53">
        <f t="shared" si="22"/>
        <v>132.4</v>
      </c>
      <c r="AI87" s="54">
        <f t="shared" si="23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9">
        <v>133</v>
      </c>
      <c r="C88" s="72">
        <v>131.69999999999999</v>
      </c>
      <c r="D88" s="72">
        <v>132.6</v>
      </c>
      <c r="E88" s="72">
        <v>131.9</v>
      </c>
      <c r="F88" s="72">
        <v>131.19999999999999</v>
      </c>
      <c r="G88" s="72">
        <v>133</v>
      </c>
      <c r="H88" s="72">
        <v>131.80000000000001</v>
      </c>
      <c r="I88" s="72">
        <v>131.5</v>
      </c>
      <c r="J88" s="72">
        <v>128.6</v>
      </c>
      <c r="K88" s="72">
        <v>128.30000000000001</v>
      </c>
      <c r="L88" s="72">
        <v>129.6</v>
      </c>
      <c r="M88" s="72">
        <v>124.6</v>
      </c>
      <c r="N88" s="72">
        <v>132.9</v>
      </c>
      <c r="O88" s="72">
        <v>131.30000000000001</v>
      </c>
      <c r="P88" s="72">
        <v>133.30000000000001</v>
      </c>
      <c r="Q88" s="72">
        <v>130.19999999999999</v>
      </c>
      <c r="R88" s="72">
        <v>135.19999999999999</v>
      </c>
      <c r="S88" s="72">
        <v>133.19999999999999</v>
      </c>
      <c r="T88" s="72">
        <v>132.80000000000001</v>
      </c>
      <c r="U88" s="72">
        <v>131.9</v>
      </c>
      <c r="V88" s="72">
        <v>133.30000000000001</v>
      </c>
      <c r="W88" s="72">
        <v>133.19999999999999</v>
      </c>
      <c r="X88" s="99">
        <v>135.6</v>
      </c>
      <c r="Y88" s="99">
        <v>134</v>
      </c>
      <c r="Z88" s="99">
        <v>135.19999999999999</v>
      </c>
      <c r="AA88" s="99">
        <v>135.19999999999999</v>
      </c>
      <c r="AB88" s="72">
        <v>133.9</v>
      </c>
      <c r="AC88" s="72">
        <v>132.9</v>
      </c>
      <c r="AD88" s="72">
        <v>130.6</v>
      </c>
      <c r="AE88" s="72">
        <v>131.1</v>
      </c>
      <c r="AF88" s="72">
        <v>130.80000000000001</v>
      </c>
      <c r="AG88" s="100"/>
      <c r="AH88" s="53">
        <f t="shared" si="22"/>
        <v>135.6</v>
      </c>
      <c r="AI88" s="54">
        <f t="shared" si="23"/>
        <v>124.6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99">
        <v>132.6</v>
      </c>
      <c r="C89" s="103">
        <v>127.7</v>
      </c>
      <c r="D89" s="103">
        <v>131.1</v>
      </c>
      <c r="E89" s="103">
        <v>129.4</v>
      </c>
      <c r="F89" s="103">
        <v>127.8</v>
      </c>
      <c r="G89" s="103">
        <v>125.4</v>
      </c>
      <c r="H89" s="103">
        <v>132.30000000000001</v>
      </c>
      <c r="I89" s="103">
        <v>134.1</v>
      </c>
      <c r="J89" s="103">
        <v>132.19999999999999</v>
      </c>
      <c r="K89" s="103">
        <v>137.19999999999999</v>
      </c>
      <c r="L89" s="103">
        <v>130.6</v>
      </c>
      <c r="M89" s="103">
        <v>131.5</v>
      </c>
      <c r="N89" s="103">
        <v>132.4</v>
      </c>
      <c r="O89" s="103">
        <v>132.9</v>
      </c>
      <c r="P89" s="103">
        <v>135</v>
      </c>
      <c r="Q89" s="103">
        <v>134.69999999999999</v>
      </c>
      <c r="R89" s="103">
        <v>128.19999999999999</v>
      </c>
      <c r="S89" s="103">
        <v>131.4</v>
      </c>
      <c r="T89" s="103">
        <v>131.1</v>
      </c>
      <c r="U89" s="103">
        <v>134</v>
      </c>
      <c r="V89" s="103">
        <v>135.19999999999999</v>
      </c>
      <c r="W89" s="103">
        <v>135.19999999999999</v>
      </c>
      <c r="X89" s="99">
        <v>136.5</v>
      </c>
      <c r="Y89" s="99">
        <v>132.6</v>
      </c>
      <c r="Z89" s="99">
        <v>134.19999999999999</v>
      </c>
      <c r="AA89" s="99">
        <v>134.19999999999999</v>
      </c>
      <c r="AB89" s="103">
        <v>132.19999999999999</v>
      </c>
      <c r="AC89" s="103">
        <v>129.6</v>
      </c>
      <c r="AD89" s="103">
        <v>132.6</v>
      </c>
      <c r="AE89" s="103">
        <v>131.69999999999999</v>
      </c>
      <c r="AF89" s="103">
        <v>125.4</v>
      </c>
      <c r="AG89" s="104"/>
      <c r="AH89" s="53">
        <f t="shared" si="22"/>
        <v>137.19999999999999</v>
      </c>
      <c r="AI89" s="54">
        <f t="shared" si="23"/>
        <v>125.4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9">
        <v>134.69999999999999</v>
      </c>
      <c r="C90" s="72">
        <v>134.69999999999999</v>
      </c>
      <c r="D90" s="72">
        <v>137</v>
      </c>
      <c r="E90" s="72">
        <v>135.69999999999999</v>
      </c>
      <c r="F90" s="72">
        <v>134.9</v>
      </c>
      <c r="G90" s="72">
        <v>134.6</v>
      </c>
      <c r="H90" s="72">
        <v>131.69999999999999</v>
      </c>
      <c r="I90" s="72">
        <v>135.5</v>
      </c>
      <c r="J90" s="72">
        <v>131.19999999999999</v>
      </c>
      <c r="K90" s="72">
        <v>125.4</v>
      </c>
      <c r="L90" s="72">
        <v>134.69999999999999</v>
      </c>
      <c r="M90" s="72">
        <v>134.5</v>
      </c>
      <c r="N90" s="72">
        <v>128.30000000000001</v>
      </c>
      <c r="O90" s="72">
        <v>131.9</v>
      </c>
      <c r="P90" s="72">
        <v>132</v>
      </c>
      <c r="Q90" s="72">
        <v>129.30000000000001</v>
      </c>
      <c r="R90" s="72">
        <v>130.9</v>
      </c>
      <c r="S90" s="72">
        <v>132.30000000000001</v>
      </c>
      <c r="T90" s="72">
        <v>133.1</v>
      </c>
      <c r="U90" s="72">
        <v>132.80000000000001</v>
      </c>
      <c r="V90" s="72">
        <v>130.6</v>
      </c>
      <c r="W90" s="72">
        <v>130.6</v>
      </c>
      <c r="X90" s="99">
        <v>130</v>
      </c>
      <c r="Y90" s="99">
        <v>127.7</v>
      </c>
      <c r="Z90" s="99">
        <v>134.9</v>
      </c>
      <c r="AA90" s="99">
        <v>134.9</v>
      </c>
      <c r="AB90" s="72">
        <v>133.1</v>
      </c>
      <c r="AC90" s="72">
        <v>131.69999999999999</v>
      </c>
      <c r="AD90" s="72">
        <v>131</v>
      </c>
      <c r="AE90" s="72">
        <v>135.5</v>
      </c>
      <c r="AF90" s="72">
        <v>134.19999999999999</v>
      </c>
      <c r="AG90" s="100"/>
      <c r="AH90" s="53">
        <f t="shared" si="22"/>
        <v>137</v>
      </c>
      <c r="AI90" s="54">
        <f t="shared" si="23"/>
        <v>125.4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>
        <v>66.099999999999994</v>
      </c>
      <c r="C91" s="106">
        <v>65.599999999999994</v>
      </c>
      <c r="D91" s="106">
        <v>66.599999999999994</v>
      </c>
      <c r="E91" s="106">
        <v>66.7</v>
      </c>
      <c r="F91" s="106">
        <v>66</v>
      </c>
      <c r="G91" s="106">
        <v>65.599999999999994</v>
      </c>
      <c r="H91" s="106">
        <v>66</v>
      </c>
      <c r="I91" s="106">
        <v>65.900000000000006</v>
      </c>
      <c r="J91" s="106">
        <v>65.400000000000006</v>
      </c>
      <c r="K91" s="106">
        <v>66</v>
      </c>
      <c r="L91" s="106">
        <v>64.400000000000006</v>
      </c>
      <c r="M91" s="106">
        <v>64</v>
      </c>
      <c r="N91" s="106">
        <v>63.9</v>
      </c>
      <c r="O91" s="106">
        <v>64.3</v>
      </c>
      <c r="P91" s="106">
        <v>64.3</v>
      </c>
      <c r="Q91" s="106">
        <v>63.2</v>
      </c>
      <c r="R91" s="106">
        <v>63.6</v>
      </c>
      <c r="S91" s="106">
        <v>63.7</v>
      </c>
      <c r="T91" s="106">
        <v>63.6</v>
      </c>
      <c r="U91" s="106">
        <v>63.6</v>
      </c>
      <c r="V91" s="106">
        <v>63.4</v>
      </c>
      <c r="W91" s="106">
        <v>63.4</v>
      </c>
      <c r="X91" s="106">
        <v>62.9</v>
      </c>
      <c r="Y91" s="106">
        <v>62.6</v>
      </c>
      <c r="Z91" s="106">
        <v>63.5</v>
      </c>
      <c r="AA91" s="106">
        <v>63.5</v>
      </c>
      <c r="AB91" s="106">
        <v>63.6</v>
      </c>
      <c r="AC91" s="106">
        <v>64.400000000000006</v>
      </c>
      <c r="AD91" s="106">
        <v>64.5</v>
      </c>
      <c r="AE91" s="106">
        <v>62.7</v>
      </c>
      <c r="AF91" s="106">
        <v>65.099999999999994</v>
      </c>
      <c r="AG91" s="107"/>
      <c r="AH91" s="53">
        <f t="shared" si="22"/>
        <v>66.7</v>
      </c>
      <c r="AI91" s="54">
        <f t="shared" si="23"/>
        <v>62.6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 t="shared" ref="B93" si="36">SUM(B15,B18,B21:B22,B42,B44:B45,B47,B49,B94:B97,B102,B108,B114,B123,B125,B137,B144,B147:B148,B155,B157,B159,B163:B165,B167:B169,B174,B180:B181,B183:B185,B193,B198)</f>
        <v>209.64</v>
      </c>
      <c r="C93" s="113">
        <f>SUM(C15,C18,C21:C22,C42,C44:C45,C47,C49,C94:C97,C102,C108,C114,C123,C125,C137,C144,C147:C148,C155,C157,C159,C163:C165,C167:C169,C174,C180:C181,C183:C185,C193,C198)</f>
        <v>194.43999999999994</v>
      </c>
      <c r="D93" s="113">
        <f t="shared" ref="D93:AF93" si="37">SUM(D15,D18,D21:D22,D42,D44:D45,D47,D49,D94:D97,D102,D108,D114,D123,D125,D137,D144,D147:D148,D155,D157,D159,D163:D165,D167:D169,D174,D180:D181,D183:D185,D193,D198)</f>
        <v>181.03999999999996</v>
      </c>
      <c r="E93" s="113">
        <f t="shared" si="37"/>
        <v>185.53999999999996</v>
      </c>
      <c r="F93" s="113">
        <f t="shared" si="37"/>
        <v>196.83999999999997</v>
      </c>
      <c r="G93" s="112">
        <f t="shared" si="37"/>
        <v>206.83999999999997</v>
      </c>
      <c r="H93" s="112">
        <f t="shared" si="37"/>
        <v>238.64</v>
      </c>
      <c r="I93" s="112">
        <f t="shared" si="37"/>
        <v>252.53999999999996</v>
      </c>
      <c r="J93" s="112">
        <f t="shared" si="37"/>
        <v>298.14000000000004</v>
      </c>
      <c r="K93" s="112">
        <f t="shared" si="37"/>
        <v>370.34000000000003</v>
      </c>
      <c r="L93" s="112">
        <f t="shared" si="37"/>
        <v>413.44000000000005</v>
      </c>
      <c r="M93" s="112">
        <f t="shared" si="37"/>
        <v>449.6400000000001</v>
      </c>
      <c r="N93" s="112">
        <f t="shared" si="37"/>
        <v>455.34000000000003</v>
      </c>
      <c r="O93" s="112">
        <f t="shared" si="37"/>
        <v>440.34000000000003</v>
      </c>
      <c r="P93" s="112">
        <f t="shared" si="37"/>
        <v>416.94000000000005</v>
      </c>
      <c r="Q93" s="112">
        <f t="shared" si="37"/>
        <v>393.94000000000005</v>
      </c>
      <c r="R93" s="112">
        <f t="shared" si="37"/>
        <v>395.44000000000005</v>
      </c>
      <c r="S93" s="112">
        <f t="shared" si="37"/>
        <v>407.14000000000004</v>
      </c>
      <c r="T93" s="112">
        <f t="shared" si="37"/>
        <v>410.84000000000003</v>
      </c>
      <c r="U93" s="112">
        <f t="shared" si="37"/>
        <v>424.94000000000005</v>
      </c>
      <c r="V93" s="112">
        <f t="shared" si="37"/>
        <v>441.34000000000003</v>
      </c>
      <c r="W93" s="112">
        <f t="shared" si="37"/>
        <v>457.84000000000003</v>
      </c>
      <c r="X93" s="112">
        <f t="shared" si="37"/>
        <v>493.64000000000004</v>
      </c>
      <c r="Y93" s="112">
        <f t="shared" si="37"/>
        <v>528.34</v>
      </c>
      <c r="Z93" s="112">
        <f t="shared" si="37"/>
        <v>511.1400000000001</v>
      </c>
      <c r="AA93" s="112">
        <f t="shared" si="37"/>
        <v>495.84000000000003</v>
      </c>
      <c r="AB93" s="112">
        <f t="shared" si="37"/>
        <v>479.14000000000004</v>
      </c>
      <c r="AC93" s="112">
        <f t="shared" si="37"/>
        <v>467.84000000000003</v>
      </c>
      <c r="AD93" s="112">
        <f t="shared" si="37"/>
        <v>416.44000000000005</v>
      </c>
      <c r="AE93" s="112">
        <f t="shared" si="37"/>
        <v>348.14</v>
      </c>
      <c r="AF93" s="112">
        <f t="shared" si="37"/>
        <v>318.44000000000005</v>
      </c>
      <c r="AG93" s="114"/>
      <c r="AH93" s="53">
        <f>MAX(C93:AF93)</f>
        <v>528.34</v>
      </c>
      <c r="AI93" s="54">
        <f>MIN(C93:AF93)</f>
        <v>181.03999999999996</v>
      </c>
    </row>
    <row r="94" spans="1:88" x14ac:dyDescent="0.25">
      <c r="A94" s="115" t="s">
        <v>98</v>
      </c>
      <c r="B94" s="118">
        <v>-26.2</v>
      </c>
      <c r="C94" s="57">
        <v>-41.9</v>
      </c>
      <c r="D94" s="57">
        <v>-38.299999999999997</v>
      </c>
      <c r="E94" s="57">
        <v>-36.700000000000003</v>
      </c>
      <c r="F94" s="57">
        <v>-38.1</v>
      </c>
      <c r="G94" s="117">
        <v>-31.2</v>
      </c>
      <c r="H94" s="117">
        <v>-6.6</v>
      </c>
      <c r="I94" s="117">
        <v>5.7</v>
      </c>
      <c r="J94" s="117">
        <v>3.3</v>
      </c>
      <c r="K94" s="117">
        <v>41.2</v>
      </c>
      <c r="L94" s="117">
        <v>37.4</v>
      </c>
      <c r="M94" s="118">
        <v>47.7</v>
      </c>
      <c r="N94" s="117">
        <v>50.4</v>
      </c>
      <c r="O94" s="117">
        <v>47.5</v>
      </c>
      <c r="P94" s="117">
        <v>41</v>
      </c>
      <c r="Q94" s="117">
        <v>51</v>
      </c>
      <c r="R94" s="117">
        <v>12.7</v>
      </c>
      <c r="S94" s="117">
        <v>18.8</v>
      </c>
      <c r="T94" s="117">
        <v>19.3</v>
      </c>
      <c r="U94" s="118">
        <v>28.3</v>
      </c>
      <c r="V94" s="118">
        <v>28.9</v>
      </c>
      <c r="W94" s="118">
        <v>48</v>
      </c>
      <c r="X94" s="117">
        <v>64.7</v>
      </c>
      <c r="Y94" s="117">
        <v>63.7</v>
      </c>
      <c r="Z94" s="117">
        <v>63.2</v>
      </c>
      <c r="AA94" s="117">
        <v>65.5</v>
      </c>
      <c r="AB94" s="118">
        <v>55.6</v>
      </c>
      <c r="AC94" s="118">
        <v>58.3</v>
      </c>
      <c r="AD94" s="118">
        <v>40.4</v>
      </c>
      <c r="AE94" s="118">
        <v>10.6</v>
      </c>
      <c r="AF94" s="118">
        <v>27.8</v>
      </c>
      <c r="AG94" s="119">
        <v>75</v>
      </c>
      <c r="AH94" s="53">
        <f t="shared" ref="AH94:AH99" si="38">IF(ABS(MAX(C94:AF94))&gt;ABS(MIN(C94:AF94)),MAX(C94:AF94),MIN(C94:AF94))</f>
        <v>65.5</v>
      </c>
      <c r="AI94" s="120">
        <f t="shared" ref="AI94:AI99" si="39">INDEX($C$9:$AF$9,1,MATCH(AH94,C94:AF94,0))</f>
        <v>0.8125</v>
      </c>
    </row>
    <row r="95" spans="1:88" x14ac:dyDescent="0.25">
      <c r="A95" s="121" t="s">
        <v>99</v>
      </c>
      <c r="B95" s="72">
        <f>-12.9-15</f>
        <v>-27.9</v>
      </c>
      <c r="C95" s="59">
        <f>-13.1-14.8</f>
        <v>-27.9</v>
      </c>
      <c r="D95" s="59">
        <f>-15.5-17.5</f>
        <v>-33</v>
      </c>
      <c r="E95" s="59">
        <f>-15-17.2</f>
        <v>-32.200000000000003</v>
      </c>
      <c r="F95" s="59">
        <f>-12.9-14.5</f>
        <v>-27.4</v>
      </c>
      <c r="G95" s="59">
        <f>-11-13.5</f>
        <v>-24.5</v>
      </c>
      <c r="H95" s="59">
        <v>-13</v>
      </c>
      <c r="I95" s="59">
        <v>-15</v>
      </c>
      <c r="J95" s="59">
        <v>15</v>
      </c>
      <c r="K95" s="59">
        <v>35</v>
      </c>
      <c r="L95" s="59">
        <v>50</v>
      </c>
      <c r="M95" s="59">
        <v>64.099999999999994</v>
      </c>
      <c r="N95" s="59">
        <v>65</v>
      </c>
      <c r="O95" s="59">
        <v>61</v>
      </c>
      <c r="P95" s="59">
        <v>48</v>
      </c>
      <c r="Q95" s="59">
        <v>50</v>
      </c>
      <c r="R95" s="59">
        <v>62</v>
      </c>
      <c r="S95" s="59">
        <v>65</v>
      </c>
      <c r="T95" s="59">
        <v>80.3</v>
      </c>
      <c r="U95" s="59">
        <v>72.900000000000006</v>
      </c>
      <c r="V95" s="59">
        <v>81</v>
      </c>
      <c r="W95" s="59">
        <v>100.1</v>
      </c>
      <c r="X95" s="59">
        <v>96.3</v>
      </c>
      <c r="Y95" s="59">
        <v>105.3</v>
      </c>
      <c r="Z95" s="59">
        <v>90.8</v>
      </c>
      <c r="AA95" s="59">
        <v>85</v>
      </c>
      <c r="AB95" s="72">
        <v>88.6</v>
      </c>
      <c r="AC95" s="72">
        <v>80.5</v>
      </c>
      <c r="AD95" s="72">
        <f>36.4+35.3</f>
        <v>71.699999999999989</v>
      </c>
      <c r="AE95" s="72">
        <v>20.9</v>
      </c>
      <c r="AF95" s="72">
        <v>4.4000000000000004</v>
      </c>
      <c r="AG95" s="119">
        <v>240</v>
      </c>
      <c r="AH95" s="53">
        <f t="shared" si="38"/>
        <v>105.3</v>
      </c>
      <c r="AI95" s="120">
        <f t="shared" si="39"/>
        <v>0.77083333333333337</v>
      </c>
    </row>
    <row r="96" spans="1:88" x14ac:dyDescent="0.25">
      <c r="A96" s="121" t="s">
        <v>100</v>
      </c>
      <c r="B96" s="72">
        <v>9.1999999999999993</v>
      </c>
      <c r="C96" s="59">
        <v>7.5</v>
      </c>
      <c r="D96" s="59">
        <v>6.4</v>
      </c>
      <c r="E96" s="59">
        <v>6.4</v>
      </c>
      <c r="F96" s="59">
        <v>6.7</v>
      </c>
      <c r="G96" s="59">
        <v>8.6999999999999993</v>
      </c>
      <c r="H96" s="59">
        <v>9.6999999999999993</v>
      </c>
      <c r="I96" s="59">
        <v>11.4</v>
      </c>
      <c r="J96" s="59">
        <v>18.7</v>
      </c>
      <c r="K96" s="59">
        <v>41.3</v>
      </c>
      <c r="L96" s="59">
        <v>45.9</v>
      </c>
      <c r="M96" s="59">
        <v>57.5</v>
      </c>
      <c r="N96" s="59">
        <v>62.6</v>
      </c>
      <c r="O96" s="59">
        <v>61.4</v>
      </c>
      <c r="P96" s="59">
        <v>56</v>
      </c>
      <c r="Q96" s="59">
        <v>32</v>
      </c>
      <c r="R96" s="59">
        <v>43.9</v>
      </c>
      <c r="S96" s="59">
        <v>39.1</v>
      </c>
      <c r="T96" s="59">
        <v>35.6</v>
      </c>
      <c r="U96" s="59">
        <v>44.8</v>
      </c>
      <c r="V96" s="59">
        <v>61.9</v>
      </c>
      <c r="W96" s="59">
        <v>61.5</v>
      </c>
      <c r="X96" s="59">
        <v>62.6</v>
      </c>
      <c r="Y96" s="59">
        <v>63.5</v>
      </c>
      <c r="Z96" s="59">
        <v>64.900000000000006</v>
      </c>
      <c r="AA96" s="59">
        <v>63.6</v>
      </c>
      <c r="AB96" s="72">
        <v>64.900000000000006</v>
      </c>
      <c r="AC96" s="72">
        <v>65.599999999999994</v>
      </c>
      <c r="AD96" s="72">
        <v>56.4</v>
      </c>
      <c r="AE96" s="72">
        <v>42</v>
      </c>
      <c r="AF96" s="72">
        <v>22.2</v>
      </c>
      <c r="AG96" s="119">
        <v>60</v>
      </c>
      <c r="AH96" s="53">
        <f t="shared" si="38"/>
        <v>65.599999999999994</v>
      </c>
      <c r="AI96" s="120">
        <f t="shared" si="39"/>
        <v>0.85416666666666663</v>
      </c>
    </row>
    <row r="97" spans="1:37" x14ac:dyDescent="0.25">
      <c r="A97" s="123" t="s">
        <v>101</v>
      </c>
      <c r="B97" s="125">
        <v>81.3</v>
      </c>
      <c r="C97" s="62">
        <v>90.8</v>
      </c>
      <c r="D97" s="62">
        <v>80</v>
      </c>
      <c r="E97" s="62">
        <v>78.8</v>
      </c>
      <c r="F97" s="62">
        <v>86.4</v>
      </c>
      <c r="G97" s="62">
        <v>84.6</v>
      </c>
      <c r="H97" s="62">
        <v>79.3</v>
      </c>
      <c r="I97" s="62">
        <v>81.2</v>
      </c>
      <c r="J97" s="62">
        <v>91.9</v>
      </c>
      <c r="K97" s="62">
        <v>81.599999999999994</v>
      </c>
      <c r="L97" s="62">
        <v>108.9</v>
      </c>
      <c r="M97" s="62">
        <v>109.6</v>
      </c>
      <c r="N97" s="62">
        <v>108.4</v>
      </c>
      <c r="O97" s="62">
        <v>101.5</v>
      </c>
      <c r="P97" s="62">
        <v>103</v>
      </c>
      <c r="Q97" s="62">
        <v>92</v>
      </c>
      <c r="R97" s="62">
        <v>109</v>
      </c>
      <c r="S97" s="62">
        <v>118.9</v>
      </c>
      <c r="T97" s="62">
        <v>111.9</v>
      </c>
      <c r="U97" s="62">
        <v>115.2</v>
      </c>
      <c r="V97" s="62">
        <v>105.8</v>
      </c>
      <c r="W97" s="62">
        <v>84.5</v>
      </c>
      <c r="X97" s="62">
        <v>105</v>
      </c>
      <c r="Y97" s="62">
        <v>119.3</v>
      </c>
      <c r="Z97" s="62">
        <v>113.6</v>
      </c>
      <c r="AA97" s="62">
        <v>103.1</v>
      </c>
      <c r="AB97" s="125">
        <v>97.3</v>
      </c>
      <c r="AC97" s="125">
        <v>90.5</v>
      </c>
      <c r="AD97" s="125">
        <v>74.8</v>
      </c>
      <c r="AE97" s="125">
        <v>105.1</v>
      </c>
      <c r="AF97" s="125">
        <v>94.7</v>
      </c>
      <c r="AG97" s="126">
        <v>120</v>
      </c>
      <c r="AH97" s="53">
        <f t="shared" si="38"/>
        <v>119.3</v>
      </c>
      <c r="AI97" s="120">
        <f t="shared" si="39"/>
        <v>0.77083333333333337</v>
      </c>
    </row>
    <row r="98" spans="1:37" x14ac:dyDescent="0.25">
      <c r="A98" s="123" t="s">
        <v>102</v>
      </c>
      <c r="B98" s="125">
        <v>82.5</v>
      </c>
      <c r="C98" s="62">
        <v>92.4</v>
      </c>
      <c r="D98" s="62">
        <v>82.1</v>
      </c>
      <c r="E98" s="62">
        <v>79.7</v>
      </c>
      <c r="F98" s="62">
        <v>85.4</v>
      </c>
      <c r="G98" s="62">
        <v>85.8</v>
      </c>
      <c r="H98" s="62">
        <v>90</v>
      </c>
      <c r="I98" s="62">
        <v>78.3</v>
      </c>
      <c r="J98" s="62">
        <v>71.8</v>
      </c>
      <c r="K98" s="62">
        <v>54</v>
      </c>
      <c r="L98" s="62">
        <v>71.099999999999994</v>
      </c>
      <c r="M98" s="62">
        <v>68.599999999999994</v>
      </c>
      <c r="N98" s="62">
        <v>65.5</v>
      </c>
      <c r="O98" s="62">
        <v>60.4</v>
      </c>
      <c r="P98" s="62">
        <v>62</v>
      </c>
      <c r="Q98" s="62">
        <v>80</v>
      </c>
      <c r="R98" s="62">
        <v>107</v>
      </c>
      <c r="S98" s="62">
        <v>102</v>
      </c>
      <c r="T98" s="62">
        <v>105.5</v>
      </c>
      <c r="U98" s="62">
        <v>99.1</v>
      </c>
      <c r="V98" s="62">
        <v>100.9</v>
      </c>
      <c r="W98" s="62">
        <v>108.8</v>
      </c>
      <c r="X98" s="62">
        <v>104.9</v>
      </c>
      <c r="Y98" s="62">
        <v>90.7</v>
      </c>
      <c r="Z98" s="62">
        <v>91.5</v>
      </c>
      <c r="AA98" s="62">
        <v>93.7</v>
      </c>
      <c r="AB98" s="125">
        <v>99.7</v>
      </c>
      <c r="AC98" s="125">
        <v>94.5</v>
      </c>
      <c r="AD98" s="125">
        <v>84.1</v>
      </c>
      <c r="AE98" s="125">
        <v>87.9</v>
      </c>
      <c r="AF98" s="125">
        <v>84.8</v>
      </c>
      <c r="AG98" s="126"/>
      <c r="AH98" s="53">
        <f t="shared" si="38"/>
        <v>108.8</v>
      </c>
      <c r="AI98" s="120">
        <f t="shared" si="39"/>
        <v>0.72916666666666663</v>
      </c>
    </row>
    <row r="99" spans="1:37" ht="15.75" thickBot="1" x14ac:dyDescent="0.3">
      <c r="A99" s="123" t="s">
        <v>103</v>
      </c>
      <c r="B99" s="125">
        <v>68.599999999999994</v>
      </c>
      <c r="C99" s="62">
        <v>87.1</v>
      </c>
      <c r="D99" s="62">
        <v>81.2</v>
      </c>
      <c r="E99" s="62">
        <v>86.3</v>
      </c>
      <c r="F99" s="62">
        <v>82.6</v>
      </c>
      <c r="G99" s="62">
        <v>78.099999999999994</v>
      </c>
      <c r="H99" s="62">
        <v>78</v>
      </c>
      <c r="I99" s="62">
        <v>40.9</v>
      </c>
      <c r="J99" s="62">
        <v>54.7</v>
      </c>
      <c r="K99" s="62">
        <v>34.4</v>
      </c>
      <c r="L99" s="62">
        <v>37.9</v>
      </c>
      <c r="M99" s="62">
        <v>25</v>
      </c>
      <c r="N99" s="62">
        <v>33.700000000000003</v>
      </c>
      <c r="O99" s="62">
        <v>27.8</v>
      </c>
      <c r="P99" s="62">
        <v>64.400000000000006</v>
      </c>
      <c r="Q99" s="62">
        <v>22</v>
      </c>
      <c r="R99" s="62">
        <v>50.5</v>
      </c>
      <c r="S99" s="62">
        <v>43.1</v>
      </c>
      <c r="T99" s="62">
        <v>44.6</v>
      </c>
      <c r="U99" s="62">
        <v>37</v>
      </c>
      <c r="V99" s="62">
        <v>36.200000000000003</v>
      </c>
      <c r="W99" s="62">
        <v>29.4</v>
      </c>
      <c r="X99" s="62">
        <v>13.1</v>
      </c>
      <c r="Y99" s="62">
        <v>14.1</v>
      </c>
      <c r="Z99" s="62">
        <v>18.7</v>
      </c>
      <c r="AA99" s="62">
        <v>17.2</v>
      </c>
      <c r="AB99" s="125">
        <v>25.6</v>
      </c>
      <c r="AC99" s="125">
        <v>41.3</v>
      </c>
      <c r="AD99" s="125">
        <v>34</v>
      </c>
      <c r="AE99" s="125">
        <v>61.3</v>
      </c>
      <c r="AF99" s="125">
        <v>66.099999999999994</v>
      </c>
      <c r="AG99" s="127"/>
      <c r="AH99" s="53">
        <f t="shared" si="38"/>
        <v>87.1</v>
      </c>
      <c r="AI99" s="120">
        <f t="shared" si="39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40">AF101</f>
        <v>9.9</v>
      </c>
      <c r="C101" s="52">
        <v>9.9</v>
      </c>
      <c r="D101" s="133">
        <f t="shared" ref="D101:S106" si="41">C101</f>
        <v>9.9</v>
      </c>
      <c r="E101" s="133">
        <f t="shared" si="41"/>
        <v>9.9</v>
      </c>
      <c r="F101" s="133">
        <f t="shared" si="41"/>
        <v>9.9</v>
      </c>
      <c r="G101" s="133">
        <f t="shared" si="41"/>
        <v>9.9</v>
      </c>
      <c r="H101" s="133">
        <f t="shared" si="41"/>
        <v>9.9</v>
      </c>
      <c r="I101" s="133">
        <f t="shared" si="41"/>
        <v>9.9</v>
      </c>
      <c r="J101" s="133">
        <f t="shared" si="41"/>
        <v>9.9</v>
      </c>
      <c r="K101" s="133">
        <f t="shared" si="41"/>
        <v>9.9</v>
      </c>
      <c r="L101" s="133">
        <f t="shared" si="41"/>
        <v>9.9</v>
      </c>
      <c r="M101" s="133">
        <f t="shared" si="41"/>
        <v>9.9</v>
      </c>
      <c r="N101" s="133">
        <f t="shared" si="41"/>
        <v>9.9</v>
      </c>
      <c r="O101" s="133">
        <f t="shared" si="41"/>
        <v>9.9</v>
      </c>
      <c r="P101" s="133">
        <f t="shared" si="41"/>
        <v>9.9</v>
      </c>
      <c r="Q101" s="133">
        <f t="shared" si="41"/>
        <v>9.9</v>
      </c>
      <c r="R101" s="133">
        <f t="shared" si="41"/>
        <v>9.9</v>
      </c>
      <c r="S101" s="133">
        <f t="shared" si="41"/>
        <v>9.9</v>
      </c>
      <c r="T101" s="133">
        <f t="shared" ref="T101:AF106" si="42">S101</f>
        <v>9.9</v>
      </c>
      <c r="U101" s="133">
        <f t="shared" si="42"/>
        <v>9.9</v>
      </c>
      <c r="V101" s="133">
        <f t="shared" si="42"/>
        <v>9.9</v>
      </c>
      <c r="W101" s="133">
        <f t="shared" si="42"/>
        <v>9.9</v>
      </c>
      <c r="X101" s="133">
        <f t="shared" si="42"/>
        <v>9.9</v>
      </c>
      <c r="Y101" s="133">
        <f t="shared" si="42"/>
        <v>9.9</v>
      </c>
      <c r="Z101" s="133">
        <f t="shared" si="42"/>
        <v>9.9</v>
      </c>
      <c r="AA101" s="133">
        <f t="shared" si="42"/>
        <v>9.9</v>
      </c>
      <c r="AB101" s="133">
        <f t="shared" si="42"/>
        <v>9.9</v>
      </c>
      <c r="AC101" s="133">
        <f t="shared" si="42"/>
        <v>9.9</v>
      </c>
      <c r="AD101" s="133">
        <f t="shared" si="42"/>
        <v>9.9</v>
      </c>
      <c r="AE101" s="133">
        <f t="shared" si="42"/>
        <v>9.9</v>
      </c>
      <c r="AF101" s="133">
        <f t="shared" si="42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40"/>
        <v>9.6</v>
      </c>
      <c r="C102" s="136">
        <v>9.6</v>
      </c>
      <c r="D102" s="135">
        <f t="shared" si="41"/>
        <v>9.6</v>
      </c>
      <c r="E102" s="135">
        <f t="shared" si="41"/>
        <v>9.6</v>
      </c>
      <c r="F102" s="135">
        <f t="shared" si="41"/>
        <v>9.6</v>
      </c>
      <c r="G102" s="135">
        <f t="shared" si="41"/>
        <v>9.6</v>
      </c>
      <c r="H102" s="135">
        <f t="shared" si="41"/>
        <v>9.6</v>
      </c>
      <c r="I102" s="135">
        <f t="shared" si="41"/>
        <v>9.6</v>
      </c>
      <c r="J102" s="135">
        <f t="shared" si="41"/>
        <v>9.6</v>
      </c>
      <c r="K102" s="135">
        <f t="shared" si="41"/>
        <v>9.6</v>
      </c>
      <c r="L102" s="135">
        <f t="shared" si="41"/>
        <v>9.6</v>
      </c>
      <c r="M102" s="135">
        <f t="shared" si="41"/>
        <v>9.6</v>
      </c>
      <c r="N102" s="135">
        <f t="shared" si="41"/>
        <v>9.6</v>
      </c>
      <c r="O102" s="135">
        <f t="shared" si="41"/>
        <v>9.6</v>
      </c>
      <c r="P102" s="135">
        <f t="shared" si="41"/>
        <v>9.6</v>
      </c>
      <c r="Q102" s="135">
        <f t="shared" si="41"/>
        <v>9.6</v>
      </c>
      <c r="R102" s="135">
        <f t="shared" si="41"/>
        <v>9.6</v>
      </c>
      <c r="S102" s="135">
        <f t="shared" si="41"/>
        <v>9.6</v>
      </c>
      <c r="T102" s="135">
        <f t="shared" si="42"/>
        <v>9.6</v>
      </c>
      <c r="U102" s="135">
        <f t="shared" si="42"/>
        <v>9.6</v>
      </c>
      <c r="V102" s="135">
        <f t="shared" si="42"/>
        <v>9.6</v>
      </c>
      <c r="W102" s="135">
        <f t="shared" si="42"/>
        <v>9.6</v>
      </c>
      <c r="X102" s="135">
        <f t="shared" si="42"/>
        <v>9.6</v>
      </c>
      <c r="Y102" s="135">
        <f t="shared" si="42"/>
        <v>9.6</v>
      </c>
      <c r="Z102" s="135">
        <f t="shared" si="42"/>
        <v>9.6</v>
      </c>
      <c r="AA102" s="135">
        <f t="shared" si="42"/>
        <v>9.6</v>
      </c>
      <c r="AB102" s="135">
        <f t="shared" si="42"/>
        <v>9.6</v>
      </c>
      <c r="AC102" s="135">
        <f t="shared" si="42"/>
        <v>9.6</v>
      </c>
      <c r="AD102" s="135">
        <f t="shared" si="42"/>
        <v>9.6</v>
      </c>
      <c r="AE102" s="135">
        <f t="shared" si="42"/>
        <v>9.6</v>
      </c>
      <c r="AF102" s="135">
        <f t="shared" si="42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40"/>
        <v>9.98</v>
      </c>
      <c r="C103" s="136">
        <v>9.98</v>
      </c>
      <c r="D103" s="135">
        <f t="shared" si="41"/>
        <v>9.98</v>
      </c>
      <c r="E103" s="135">
        <f t="shared" si="41"/>
        <v>9.98</v>
      </c>
      <c r="F103" s="135">
        <f t="shared" si="41"/>
        <v>9.98</v>
      </c>
      <c r="G103" s="135">
        <f t="shared" si="41"/>
        <v>9.98</v>
      </c>
      <c r="H103" s="135">
        <f t="shared" si="41"/>
        <v>9.98</v>
      </c>
      <c r="I103" s="135">
        <f t="shared" si="41"/>
        <v>9.98</v>
      </c>
      <c r="J103" s="135">
        <f t="shared" si="41"/>
        <v>9.98</v>
      </c>
      <c r="K103" s="135">
        <f t="shared" si="41"/>
        <v>9.98</v>
      </c>
      <c r="L103" s="135">
        <f t="shared" si="41"/>
        <v>9.98</v>
      </c>
      <c r="M103" s="135">
        <f t="shared" si="41"/>
        <v>9.98</v>
      </c>
      <c r="N103" s="135">
        <f t="shared" si="41"/>
        <v>9.98</v>
      </c>
      <c r="O103" s="135">
        <f t="shared" si="41"/>
        <v>9.98</v>
      </c>
      <c r="P103" s="135">
        <f t="shared" si="41"/>
        <v>9.98</v>
      </c>
      <c r="Q103" s="135">
        <f t="shared" si="41"/>
        <v>9.98</v>
      </c>
      <c r="R103" s="135">
        <f t="shared" si="41"/>
        <v>9.98</v>
      </c>
      <c r="S103" s="135">
        <f t="shared" si="41"/>
        <v>9.98</v>
      </c>
      <c r="T103" s="135">
        <f t="shared" si="42"/>
        <v>9.98</v>
      </c>
      <c r="U103" s="135">
        <f t="shared" si="42"/>
        <v>9.98</v>
      </c>
      <c r="V103" s="135">
        <f t="shared" si="42"/>
        <v>9.98</v>
      </c>
      <c r="W103" s="135">
        <f t="shared" si="42"/>
        <v>9.98</v>
      </c>
      <c r="X103" s="135">
        <f t="shared" si="42"/>
        <v>9.98</v>
      </c>
      <c r="Y103" s="135">
        <f t="shared" si="42"/>
        <v>9.98</v>
      </c>
      <c r="Z103" s="135">
        <f t="shared" si="42"/>
        <v>9.98</v>
      </c>
      <c r="AA103" s="135">
        <f t="shared" si="42"/>
        <v>9.98</v>
      </c>
      <c r="AB103" s="135">
        <f t="shared" si="42"/>
        <v>9.98</v>
      </c>
      <c r="AC103" s="135">
        <f t="shared" si="42"/>
        <v>9.98</v>
      </c>
      <c r="AD103" s="135">
        <f t="shared" si="42"/>
        <v>9.98</v>
      </c>
      <c r="AE103" s="135">
        <f t="shared" si="42"/>
        <v>9.98</v>
      </c>
      <c r="AF103" s="135">
        <f t="shared" si="42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40"/>
        <v>9.1</v>
      </c>
      <c r="C104" s="136">
        <v>9.1</v>
      </c>
      <c r="D104" s="135">
        <f t="shared" si="41"/>
        <v>9.1</v>
      </c>
      <c r="E104" s="135">
        <f t="shared" si="41"/>
        <v>9.1</v>
      </c>
      <c r="F104" s="135">
        <f t="shared" si="41"/>
        <v>9.1</v>
      </c>
      <c r="G104" s="135">
        <f t="shared" si="41"/>
        <v>9.1</v>
      </c>
      <c r="H104" s="135">
        <f t="shared" si="41"/>
        <v>9.1</v>
      </c>
      <c r="I104" s="135">
        <f t="shared" si="41"/>
        <v>9.1</v>
      </c>
      <c r="J104" s="135">
        <f t="shared" si="41"/>
        <v>9.1</v>
      </c>
      <c r="K104" s="135">
        <f t="shared" si="41"/>
        <v>9.1</v>
      </c>
      <c r="L104" s="135">
        <f t="shared" si="41"/>
        <v>9.1</v>
      </c>
      <c r="M104" s="135">
        <f t="shared" si="41"/>
        <v>9.1</v>
      </c>
      <c r="N104" s="135">
        <f t="shared" si="41"/>
        <v>9.1</v>
      </c>
      <c r="O104" s="135">
        <f t="shared" si="41"/>
        <v>9.1</v>
      </c>
      <c r="P104" s="135">
        <f t="shared" si="41"/>
        <v>9.1</v>
      </c>
      <c r="Q104" s="135">
        <f t="shared" si="41"/>
        <v>9.1</v>
      </c>
      <c r="R104" s="135">
        <f t="shared" si="41"/>
        <v>9.1</v>
      </c>
      <c r="S104" s="135">
        <f t="shared" si="41"/>
        <v>9.1</v>
      </c>
      <c r="T104" s="135">
        <f t="shared" si="42"/>
        <v>9.1</v>
      </c>
      <c r="U104" s="135">
        <f t="shared" si="42"/>
        <v>9.1</v>
      </c>
      <c r="V104" s="135">
        <f t="shared" si="42"/>
        <v>9.1</v>
      </c>
      <c r="W104" s="135">
        <f t="shared" si="42"/>
        <v>9.1</v>
      </c>
      <c r="X104" s="135">
        <f t="shared" si="42"/>
        <v>9.1</v>
      </c>
      <c r="Y104" s="135">
        <f t="shared" si="42"/>
        <v>9.1</v>
      </c>
      <c r="Z104" s="135">
        <f t="shared" si="42"/>
        <v>9.1</v>
      </c>
      <c r="AA104" s="135">
        <f t="shared" si="42"/>
        <v>9.1</v>
      </c>
      <c r="AB104" s="135">
        <f t="shared" si="42"/>
        <v>9.1</v>
      </c>
      <c r="AC104" s="135">
        <f t="shared" si="42"/>
        <v>9.1</v>
      </c>
      <c r="AD104" s="135">
        <f t="shared" si="42"/>
        <v>9.1</v>
      </c>
      <c r="AE104" s="135">
        <f t="shared" si="42"/>
        <v>9.1</v>
      </c>
      <c r="AF104" s="135">
        <f t="shared" si="42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40"/>
        <v>9.18</v>
      </c>
      <c r="C105" s="136">
        <v>9.18</v>
      </c>
      <c r="D105" s="135">
        <f t="shared" si="41"/>
        <v>9.18</v>
      </c>
      <c r="E105" s="135">
        <f t="shared" si="41"/>
        <v>9.18</v>
      </c>
      <c r="F105" s="135">
        <f t="shared" si="41"/>
        <v>9.18</v>
      </c>
      <c r="G105" s="135">
        <f t="shared" si="41"/>
        <v>9.18</v>
      </c>
      <c r="H105" s="135">
        <f t="shared" si="41"/>
        <v>9.18</v>
      </c>
      <c r="I105" s="135">
        <f t="shared" si="41"/>
        <v>9.18</v>
      </c>
      <c r="J105" s="135">
        <f t="shared" si="41"/>
        <v>9.18</v>
      </c>
      <c r="K105" s="135">
        <f t="shared" si="41"/>
        <v>9.18</v>
      </c>
      <c r="L105" s="135">
        <f t="shared" si="41"/>
        <v>9.18</v>
      </c>
      <c r="M105" s="135">
        <f t="shared" si="41"/>
        <v>9.18</v>
      </c>
      <c r="N105" s="135">
        <f t="shared" si="41"/>
        <v>9.18</v>
      </c>
      <c r="O105" s="135">
        <f t="shared" si="41"/>
        <v>9.18</v>
      </c>
      <c r="P105" s="135">
        <f t="shared" si="41"/>
        <v>9.18</v>
      </c>
      <c r="Q105" s="135">
        <f t="shared" si="41"/>
        <v>9.18</v>
      </c>
      <c r="R105" s="135">
        <f t="shared" si="41"/>
        <v>9.18</v>
      </c>
      <c r="S105" s="135">
        <f t="shared" si="41"/>
        <v>9.18</v>
      </c>
      <c r="T105" s="135">
        <f t="shared" si="42"/>
        <v>9.18</v>
      </c>
      <c r="U105" s="135">
        <f t="shared" si="42"/>
        <v>9.18</v>
      </c>
      <c r="V105" s="135">
        <f t="shared" si="42"/>
        <v>9.18</v>
      </c>
      <c r="W105" s="135">
        <f t="shared" si="42"/>
        <v>9.18</v>
      </c>
      <c r="X105" s="135">
        <f t="shared" si="42"/>
        <v>9.18</v>
      </c>
      <c r="Y105" s="135">
        <f t="shared" si="42"/>
        <v>9.18</v>
      </c>
      <c r="Z105" s="135">
        <f t="shared" si="42"/>
        <v>9.18</v>
      </c>
      <c r="AA105" s="135">
        <f t="shared" si="42"/>
        <v>9.18</v>
      </c>
      <c r="AB105" s="135">
        <f t="shared" si="42"/>
        <v>9.18</v>
      </c>
      <c r="AC105" s="135">
        <f t="shared" si="42"/>
        <v>9.18</v>
      </c>
      <c r="AD105" s="135">
        <f t="shared" si="42"/>
        <v>9.18</v>
      </c>
      <c r="AE105" s="135">
        <f t="shared" si="42"/>
        <v>9.18</v>
      </c>
      <c r="AF105" s="135">
        <f t="shared" si="42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40"/>
        <v>7</v>
      </c>
      <c r="C106" s="136">
        <v>7</v>
      </c>
      <c r="D106" s="135">
        <f t="shared" si="41"/>
        <v>7</v>
      </c>
      <c r="E106" s="135">
        <f t="shared" si="41"/>
        <v>7</v>
      </c>
      <c r="F106" s="135">
        <f t="shared" si="41"/>
        <v>7</v>
      </c>
      <c r="G106" s="135">
        <f t="shared" si="41"/>
        <v>7</v>
      </c>
      <c r="H106" s="135">
        <f t="shared" si="41"/>
        <v>7</v>
      </c>
      <c r="I106" s="135">
        <f t="shared" si="41"/>
        <v>7</v>
      </c>
      <c r="J106" s="135">
        <f t="shared" si="41"/>
        <v>7</v>
      </c>
      <c r="K106" s="135">
        <f t="shared" si="41"/>
        <v>7</v>
      </c>
      <c r="L106" s="135">
        <f t="shared" si="41"/>
        <v>7</v>
      </c>
      <c r="M106" s="135">
        <f t="shared" si="41"/>
        <v>7</v>
      </c>
      <c r="N106" s="135">
        <f t="shared" si="41"/>
        <v>7</v>
      </c>
      <c r="O106" s="135">
        <f t="shared" si="41"/>
        <v>7</v>
      </c>
      <c r="P106" s="135">
        <f t="shared" si="41"/>
        <v>7</v>
      </c>
      <c r="Q106" s="135">
        <f t="shared" si="41"/>
        <v>7</v>
      </c>
      <c r="R106" s="135">
        <f t="shared" si="41"/>
        <v>7</v>
      </c>
      <c r="S106" s="135">
        <f t="shared" si="41"/>
        <v>7</v>
      </c>
      <c r="T106" s="135">
        <f t="shared" si="42"/>
        <v>7</v>
      </c>
      <c r="U106" s="135">
        <f t="shared" si="42"/>
        <v>7</v>
      </c>
      <c r="V106" s="135">
        <f t="shared" si="42"/>
        <v>7</v>
      </c>
      <c r="W106" s="135">
        <f t="shared" si="42"/>
        <v>7</v>
      </c>
      <c r="X106" s="135">
        <f t="shared" si="42"/>
        <v>7</v>
      </c>
      <c r="Y106" s="135">
        <f t="shared" si="42"/>
        <v>7</v>
      </c>
      <c r="Z106" s="135">
        <f t="shared" si="42"/>
        <v>7</v>
      </c>
      <c r="AA106" s="135">
        <f t="shared" si="42"/>
        <v>7</v>
      </c>
      <c r="AB106" s="135">
        <f t="shared" si="42"/>
        <v>7</v>
      </c>
      <c r="AC106" s="135">
        <f t="shared" si="42"/>
        <v>7</v>
      </c>
      <c r="AD106" s="135">
        <f t="shared" si="42"/>
        <v>7</v>
      </c>
      <c r="AE106" s="135">
        <f t="shared" si="42"/>
        <v>7</v>
      </c>
      <c r="AF106" s="135">
        <f t="shared" si="42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43">C108</f>
        <v>2.25</v>
      </c>
      <c r="E108" s="135">
        <f t="shared" si="43"/>
        <v>2.25</v>
      </c>
      <c r="F108" s="135">
        <f t="shared" si="43"/>
        <v>2.25</v>
      </c>
      <c r="G108" s="135">
        <f t="shared" si="43"/>
        <v>2.25</v>
      </c>
      <c r="H108" s="135">
        <f t="shared" si="43"/>
        <v>2.25</v>
      </c>
      <c r="I108" s="135">
        <f t="shared" si="43"/>
        <v>2.25</v>
      </c>
      <c r="J108" s="135">
        <f t="shared" si="43"/>
        <v>2.25</v>
      </c>
      <c r="K108" s="135">
        <f t="shared" si="43"/>
        <v>2.25</v>
      </c>
      <c r="L108" s="135">
        <f t="shared" si="43"/>
        <v>2.25</v>
      </c>
      <c r="M108" s="135">
        <f t="shared" si="43"/>
        <v>2.25</v>
      </c>
      <c r="N108" s="135">
        <f t="shared" si="43"/>
        <v>2.25</v>
      </c>
      <c r="O108" s="135">
        <f t="shared" si="43"/>
        <v>2.25</v>
      </c>
      <c r="P108" s="135">
        <f t="shared" si="43"/>
        <v>2.25</v>
      </c>
      <c r="Q108" s="135">
        <f t="shared" si="43"/>
        <v>2.25</v>
      </c>
      <c r="R108" s="135">
        <f t="shared" si="43"/>
        <v>2.25</v>
      </c>
      <c r="S108" s="135">
        <f t="shared" si="43"/>
        <v>2.25</v>
      </c>
      <c r="T108" s="135">
        <f t="shared" ref="T108:AF109" si="44">S108</f>
        <v>2.25</v>
      </c>
      <c r="U108" s="135">
        <f t="shared" si="44"/>
        <v>2.25</v>
      </c>
      <c r="V108" s="135">
        <f t="shared" si="44"/>
        <v>2.25</v>
      </c>
      <c r="W108" s="135">
        <f t="shared" si="44"/>
        <v>2.25</v>
      </c>
      <c r="X108" s="135">
        <f t="shared" si="44"/>
        <v>2.25</v>
      </c>
      <c r="Y108" s="135">
        <f t="shared" si="44"/>
        <v>2.25</v>
      </c>
      <c r="Z108" s="135">
        <f t="shared" si="44"/>
        <v>2.25</v>
      </c>
      <c r="AA108" s="135">
        <f t="shared" si="44"/>
        <v>2.25</v>
      </c>
      <c r="AB108" s="135">
        <f t="shared" si="44"/>
        <v>2.25</v>
      </c>
      <c r="AC108" s="135">
        <f t="shared" si="44"/>
        <v>2.25</v>
      </c>
      <c r="AD108" s="135">
        <f t="shared" si="44"/>
        <v>2.25</v>
      </c>
      <c r="AE108" s="135">
        <f t="shared" si="44"/>
        <v>2.25</v>
      </c>
      <c r="AF108" s="135">
        <f t="shared" si="44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43"/>
        <v>1.64</v>
      </c>
      <c r="E109" s="135">
        <f t="shared" si="43"/>
        <v>1.64</v>
      </c>
      <c r="F109" s="135">
        <f t="shared" si="43"/>
        <v>1.64</v>
      </c>
      <c r="G109" s="135">
        <f t="shared" si="43"/>
        <v>1.64</v>
      </c>
      <c r="H109" s="135">
        <f t="shared" si="43"/>
        <v>1.64</v>
      </c>
      <c r="I109" s="135">
        <f t="shared" si="43"/>
        <v>1.64</v>
      </c>
      <c r="J109" s="135">
        <f t="shared" si="43"/>
        <v>1.64</v>
      </c>
      <c r="K109" s="135">
        <f t="shared" si="43"/>
        <v>1.64</v>
      </c>
      <c r="L109" s="135">
        <f t="shared" si="43"/>
        <v>1.64</v>
      </c>
      <c r="M109" s="135">
        <f t="shared" si="43"/>
        <v>1.64</v>
      </c>
      <c r="N109" s="135">
        <f t="shared" si="43"/>
        <v>1.64</v>
      </c>
      <c r="O109" s="135">
        <f t="shared" si="43"/>
        <v>1.64</v>
      </c>
      <c r="P109" s="135">
        <f t="shared" si="43"/>
        <v>1.64</v>
      </c>
      <c r="Q109" s="135">
        <f t="shared" si="43"/>
        <v>1.64</v>
      </c>
      <c r="R109" s="135">
        <f t="shared" si="43"/>
        <v>1.64</v>
      </c>
      <c r="S109" s="135">
        <f t="shared" si="43"/>
        <v>1.64</v>
      </c>
      <c r="T109" s="135">
        <f t="shared" si="44"/>
        <v>1.64</v>
      </c>
      <c r="U109" s="135">
        <f t="shared" si="44"/>
        <v>1.64</v>
      </c>
      <c r="V109" s="135">
        <f t="shared" si="44"/>
        <v>1.64</v>
      </c>
      <c r="W109" s="135">
        <f t="shared" si="44"/>
        <v>1.64</v>
      </c>
      <c r="X109" s="135">
        <f t="shared" si="44"/>
        <v>1.64</v>
      </c>
      <c r="Y109" s="135">
        <f t="shared" si="44"/>
        <v>1.64</v>
      </c>
      <c r="Z109" s="135">
        <f t="shared" si="44"/>
        <v>1.64</v>
      </c>
      <c r="AA109" s="135">
        <f t="shared" si="44"/>
        <v>1.64</v>
      </c>
      <c r="AB109" s="135">
        <f t="shared" si="44"/>
        <v>1.64</v>
      </c>
      <c r="AC109" s="135">
        <f t="shared" si="44"/>
        <v>1.64</v>
      </c>
      <c r="AD109" s="135">
        <f t="shared" si="44"/>
        <v>1.64</v>
      </c>
      <c r="AE109" s="135">
        <f t="shared" si="44"/>
        <v>1.64</v>
      </c>
      <c r="AF109" s="135">
        <f t="shared" si="44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45">AF111</f>
        <v>1.62</v>
      </c>
      <c r="C111" s="136">
        <v>1.62</v>
      </c>
      <c r="D111" s="135">
        <f t="shared" ref="D111:S118" si="46">C111</f>
        <v>1.62</v>
      </c>
      <c r="E111" s="135">
        <f t="shared" si="46"/>
        <v>1.62</v>
      </c>
      <c r="F111" s="135">
        <f t="shared" si="46"/>
        <v>1.62</v>
      </c>
      <c r="G111" s="135">
        <f t="shared" si="46"/>
        <v>1.62</v>
      </c>
      <c r="H111" s="135">
        <f t="shared" si="46"/>
        <v>1.62</v>
      </c>
      <c r="I111" s="135">
        <f t="shared" si="46"/>
        <v>1.62</v>
      </c>
      <c r="J111" s="135">
        <f t="shared" si="46"/>
        <v>1.62</v>
      </c>
      <c r="K111" s="135">
        <f t="shared" si="46"/>
        <v>1.62</v>
      </c>
      <c r="L111" s="135">
        <f t="shared" si="46"/>
        <v>1.62</v>
      </c>
      <c r="M111" s="135">
        <f t="shared" si="46"/>
        <v>1.62</v>
      </c>
      <c r="N111" s="135">
        <f t="shared" si="46"/>
        <v>1.62</v>
      </c>
      <c r="O111" s="135">
        <f t="shared" si="46"/>
        <v>1.62</v>
      </c>
      <c r="P111" s="135">
        <f t="shared" si="46"/>
        <v>1.62</v>
      </c>
      <c r="Q111" s="135">
        <f t="shared" si="46"/>
        <v>1.62</v>
      </c>
      <c r="R111" s="135">
        <f t="shared" si="46"/>
        <v>1.62</v>
      </c>
      <c r="S111" s="135">
        <f t="shared" si="46"/>
        <v>1.62</v>
      </c>
      <c r="T111" s="135">
        <f t="shared" ref="T111:AF126" si="47">S111</f>
        <v>1.62</v>
      </c>
      <c r="U111" s="135">
        <f t="shared" si="47"/>
        <v>1.62</v>
      </c>
      <c r="V111" s="135">
        <f t="shared" si="47"/>
        <v>1.62</v>
      </c>
      <c r="W111" s="135">
        <f t="shared" si="47"/>
        <v>1.62</v>
      </c>
      <c r="X111" s="135">
        <f t="shared" si="47"/>
        <v>1.62</v>
      </c>
      <c r="Y111" s="135">
        <f t="shared" si="47"/>
        <v>1.62</v>
      </c>
      <c r="Z111" s="135">
        <f t="shared" si="47"/>
        <v>1.62</v>
      </c>
      <c r="AA111" s="135">
        <f t="shared" si="47"/>
        <v>1.62</v>
      </c>
      <c r="AB111" s="135">
        <f t="shared" si="47"/>
        <v>1.62</v>
      </c>
      <c r="AC111" s="135">
        <f t="shared" si="47"/>
        <v>1.62</v>
      </c>
      <c r="AD111" s="135">
        <f t="shared" si="47"/>
        <v>1.62</v>
      </c>
      <c r="AE111" s="135">
        <f t="shared" si="47"/>
        <v>1.62</v>
      </c>
      <c r="AF111" s="135">
        <f t="shared" si="47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45"/>
        <v>8.36</v>
      </c>
      <c r="C112" s="136">
        <v>8.36</v>
      </c>
      <c r="D112" s="135">
        <f t="shared" si="46"/>
        <v>8.36</v>
      </c>
      <c r="E112" s="135">
        <f t="shared" si="46"/>
        <v>8.36</v>
      </c>
      <c r="F112" s="135">
        <f t="shared" si="46"/>
        <v>8.36</v>
      </c>
      <c r="G112" s="135">
        <f t="shared" si="46"/>
        <v>8.36</v>
      </c>
      <c r="H112" s="135">
        <f t="shared" si="46"/>
        <v>8.36</v>
      </c>
      <c r="I112" s="135">
        <f t="shared" si="46"/>
        <v>8.36</v>
      </c>
      <c r="J112" s="135">
        <f t="shared" si="46"/>
        <v>8.36</v>
      </c>
      <c r="K112" s="135">
        <f t="shared" si="46"/>
        <v>8.36</v>
      </c>
      <c r="L112" s="135">
        <f t="shared" si="46"/>
        <v>8.36</v>
      </c>
      <c r="M112" s="135">
        <f t="shared" si="46"/>
        <v>8.36</v>
      </c>
      <c r="N112" s="135">
        <f t="shared" si="46"/>
        <v>8.36</v>
      </c>
      <c r="O112" s="135">
        <f t="shared" si="46"/>
        <v>8.36</v>
      </c>
      <c r="P112" s="135">
        <f t="shared" si="46"/>
        <v>8.36</v>
      </c>
      <c r="Q112" s="135">
        <f t="shared" si="46"/>
        <v>8.36</v>
      </c>
      <c r="R112" s="135">
        <f t="shared" si="46"/>
        <v>8.36</v>
      </c>
      <c r="S112" s="135">
        <f t="shared" si="46"/>
        <v>8.36</v>
      </c>
      <c r="T112" s="135">
        <f t="shared" si="47"/>
        <v>8.36</v>
      </c>
      <c r="U112" s="135">
        <f t="shared" si="47"/>
        <v>8.36</v>
      </c>
      <c r="V112" s="135">
        <f t="shared" si="47"/>
        <v>8.36</v>
      </c>
      <c r="W112" s="135">
        <f t="shared" si="47"/>
        <v>8.36</v>
      </c>
      <c r="X112" s="135">
        <f t="shared" si="47"/>
        <v>8.36</v>
      </c>
      <c r="Y112" s="135">
        <f t="shared" si="47"/>
        <v>8.36</v>
      </c>
      <c r="Z112" s="135">
        <f t="shared" si="47"/>
        <v>8.36</v>
      </c>
      <c r="AA112" s="135">
        <f t="shared" si="47"/>
        <v>8.36</v>
      </c>
      <c r="AB112" s="135">
        <f t="shared" si="47"/>
        <v>8.36</v>
      </c>
      <c r="AC112" s="135">
        <f t="shared" si="47"/>
        <v>8.36</v>
      </c>
      <c r="AD112" s="135">
        <f t="shared" si="47"/>
        <v>8.36</v>
      </c>
      <c r="AE112" s="135">
        <f t="shared" si="47"/>
        <v>8.36</v>
      </c>
      <c r="AF112" s="135">
        <f t="shared" si="47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45"/>
        <v>5.4</v>
      </c>
      <c r="C113" s="136">
        <v>8</v>
      </c>
      <c r="D113" s="135">
        <f t="shared" si="46"/>
        <v>8</v>
      </c>
      <c r="E113" s="135">
        <f t="shared" si="46"/>
        <v>8</v>
      </c>
      <c r="F113" s="135">
        <f t="shared" si="46"/>
        <v>8</v>
      </c>
      <c r="G113" s="135">
        <f t="shared" si="46"/>
        <v>8</v>
      </c>
      <c r="H113" s="135">
        <f t="shared" si="46"/>
        <v>8</v>
      </c>
      <c r="I113" s="135">
        <f t="shared" si="46"/>
        <v>8</v>
      </c>
      <c r="J113" s="135">
        <v>5.4</v>
      </c>
      <c r="K113" s="135">
        <f t="shared" si="46"/>
        <v>5.4</v>
      </c>
      <c r="L113" s="135">
        <f t="shared" si="46"/>
        <v>5.4</v>
      </c>
      <c r="M113" s="135">
        <f t="shared" si="46"/>
        <v>5.4</v>
      </c>
      <c r="N113" s="135">
        <f t="shared" si="46"/>
        <v>5.4</v>
      </c>
      <c r="O113" s="135">
        <f t="shared" si="46"/>
        <v>5.4</v>
      </c>
      <c r="P113" s="135">
        <f t="shared" si="46"/>
        <v>5.4</v>
      </c>
      <c r="Q113" s="135">
        <f t="shared" si="46"/>
        <v>5.4</v>
      </c>
      <c r="R113" s="135">
        <f t="shared" si="46"/>
        <v>5.4</v>
      </c>
      <c r="S113" s="135">
        <f t="shared" si="46"/>
        <v>5.4</v>
      </c>
      <c r="T113" s="135">
        <f t="shared" si="47"/>
        <v>5.4</v>
      </c>
      <c r="U113" s="135">
        <f t="shared" si="47"/>
        <v>5.4</v>
      </c>
      <c r="V113" s="135">
        <f t="shared" si="47"/>
        <v>5.4</v>
      </c>
      <c r="W113" s="135">
        <f t="shared" si="47"/>
        <v>5.4</v>
      </c>
      <c r="X113" s="135">
        <f t="shared" si="47"/>
        <v>5.4</v>
      </c>
      <c r="Y113" s="135">
        <f t="shared" si="47"/>
        <v>5.4</v>
      </c>
      <c r="Z113" s="135">
        <f t="shared" si="47"/>
        <v>5.4</v>
      </c>
      <c r="AA113" s="135">
        <f t="shared" si="47"/>
        <v>5.4</v>
      </c>
      <c r="AB113" s="135">
        <f t="shared" si="47"/>
        <v>5.4</v>
      </c>
      <c r="AC113" s="135">
        <f t="shared" si="47"/>
        <v>5.4</v>
      </c>
      <c r="AD113" s="135">
        <f t="shared" si="47"/>
        <v>5.4</v>
      </c>
      <c r="AE113" s="135">
        <f t="shared" si="47"/>
        <v>5.4</v>
      </c>
      <c r="AF113" s="135">
        <f t="shared" si="47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45"/>
        <v>6.57</v>
      </c>
      <c r="C114" s="136">
        <v>6.57</v>
      </c>
      <c r="D114" s="135">
        <f t="shared" si="46"/>
        <v>6.57</v>
      </c>
      <c r="E114" s="135">
        <f t="shared" si="46"/>
        <v>6.57</v>
      </c>
      <c r="F114" s="135">
        <f t="shared" si="46"/>
        <v>6.57</v>
      </c>
      <c r="G114" s="135">
        <f t="shared" si="46"/>
        <v>6.57</v>
      </c>
      <c r="H114" s="135">
        <f t="shared" si="46"/>
        <v>6.57</v>
      </c>
      <c r="I114" s="135">
        <f t="shared" si="46"/>
        <v>6.57</v>
      </c>
      <c r="J114" s="135">
        <f t="shared" si="46"/>
        <v>6.57</v>
      </c>
      <c r="K114" s="135">
        <f t="shared" si="46"/>
        <v>6.57</v>
      </c>
      <c r="L114" s="135">
        <f t="shared" si="46"/>
        <v>6.57</v>
      </c>
      <c r="M114" s="135">
        <f t="shared" si="46"/>
        <v>6.57</v>
      </c>
      <c r="N114" s="135">
        <f t="shared" si="46"/>
        <v>6.57</v>
      </c>
      <c r="O114" s="135">
        <f t="shared" si="46"/>
        <v>6.57</v>
      </c>
      <c r="P114" s="135">
        <f t="shared" si="46"/>
        <v>6.57</v>
      </c>
      <c r="Q114" s="135">
        <f t="shared" si="46"/>
        <v>6.57</v>
      </c>
      <c r="R114" s="135">
        <f t="shared" si="46"/>
        <v>6.57</v>
      </c>
      <c r="S114" s="135">
        <f t="shared" si="46"/>
        <v>6.57</v>
      </c>
      <c r="T114" s="135">
        <f t="shared" si="47"/>
        <v>6.57</v>
      </c>
      <c r="U114" s="135">
        <f t="shared" si="47"/>
        <v>6.57</v>
      </c>
      <c r="V114" s="135">
        <f t="shared" si="47"/>
        <v>6.57</v>
      </c>
      <c r="W114" s="135">
        <f t="shared" si="47"/>
        <v>6.57</v>
      </c>
      <c r="X114" s="135">
        <f t="shared" si="47"/>
        <v>6.57</v>
      </c>
      <c r="Y114" s="135">
        <f t="shared" si="47"/>
        <v>6.57</v>
      </c>
      <c r="Z114" s="135">
        <f t="shared" si="47"/>
        <v>6.57</v>
      </c>
      <c r="AA114" s="135">
        <f t="shared" si="47"/>
        <v>6.57</v>
      </c>
      <c r="AB114" s="135">
        <f t="shared" si="47"/>
        <v>6.57</v>
      </c>
      <c r="AC114" s="135">
        <f t="shared" si="47"/>
        <v>6.57</v>
      </c>
      <c r="AD114" s="135">
        <f t="shared" si="47"/>
        <v>6.57</v>
      </c>
      <c r="AE114" s="135">
        <f t="shared" si="47"/>
        <v>6.57</v>
      </c>
      <c r="AF114" s="135">
        <f t="shared" si="47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45"/>
        <v>3.43</v>
      </c>
      <c r="C115" s="136">
        <v>3.43</v>
      </c>
      <c r="D115" s="135">
        <f t="shared" si="46"/>
        <v>3.43</v>
      </c>
      <c r="E115" s="135">
        <f t="shared" si="46"/>
        <v>3.43</v>
      </c>
      <c r="F115" s="135">
        <f t="shared" si="46"/>
        <v>3.43</v>
      </c>
      <c r="G115" s="135">
        <f t="shared" si="46"/>
        <v>3.43</v>
      </c>
      <c r="H115" s="135">
        <f t="shared" si="46"/>
        <v>3.43</v>
      </c>
      <c r="I115" s="135">
        <f t="shared" si="46"/>
        <v>3.43</v>
      </c>
      <c r="J115" s="135">
        <f t="shared" si="46"/>
        <v>3.43</v>
      </c>
      <c r="K115" s="135">
        <f t="shared" si="46"/>
        <v>3.43</v>
      </c>
      <c r="L115" s="135">
        <f t="shared" si="46"/>
        <v>3.43</v>
      </c>
      <c r="M115" s="135">
        <f t="shared" si="46"/>
        <v>3.43</v>
      </c>
      <c r="N115" s="135">
        <f t="shared" si="46"/>
        <v>3.43</v>
      </c>
      <c r="O115" s="135">
        <f t="shared" si="46"/>
        <v>3.43</v>
      </c>
      <c r="P115" s="135">
        <f t="shared" si="46"/>
        <v>3.43</v>
      </c>
      <c r="Q115" s="135">
        <f t="shared" si="46"/>
        <v>3.43</v>
      </c>
      <c r="R115" s="135">
        <f t="shared" si="46"/>
        <v>3.43</v>
      </c>
      <c r="S115" s="135">
        <f t="shared" si="46"/>
        <v>3.43</v>
      </c>
      <c r="T115" s="135">
        <f t="shared" si="47"/>
        <v>3.43</v>
      </c>
      <c r="U115" s="135">
        <f t="shared" si="47"/>
        <v>3.43</v>
      </c>
      <c r="V115" s="135">
        <f t="shared" si="47"/>
        <v>3.43</v>
      </c>
      <c r="W115" s="135">
        <f t="shared" si="47"/>
        <v>3.43</v>
      </c>
      <c r="X115" s="135">
        <f t="shared" si="47"/>
        <v>3.43</v>
      </c>
      <c r="Y115" s="135">
        <f t="shared" si="47"/>
        <v>3.43</v>
      </c>
      <c r="Z115" s="135">
        <f t="shared" si="47"/>
        <v>3.43</v>
      </c>
      <c r="AA115" s="135">
        <f t="shared" si="47"/>
        <v>3.43</v>
      </c>
      <c r="AB115" s="135">
        <f t="shared" si="47"/>
        <v>3.43</v>
      </c>
      <c r="AC115" s="135">
        <f t="shared" si="47"/>
        <v>3.43</v>
      </c>
      <c r="AD115" s="135">
        <f t="shared" si="47"/>
        <v>3.43</v>
      </c>
      <c r="AE115" s="135">
        <f t="shared" si="47"/>
        <v>3.43</v>
      </c>
      <c r="AF115" s="135">
        <f t="shared" si="47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45"/>
        <v>2.96</v>
      </c>
      <c r="C116" s="136">
        <v>2.96</v>
      </c>
      <c r="D116" s="135">
        <f t="shared" si="46"/>
        <v>2.96</v>
      </c>
      <c r="E116" s="135">
        <f t="shared" si="46"/>
        <v>2.96</v>
      </c>
      <c r="F116" s="135">
        <f t="shared" si="46"/>
        <v>2.96</v>
      </c>
      <c r="G116" s="135">
        <f t="shared" si="46"/>
        <v>2.96</v>
      </c>
      <c r="H116" s="135">
        <f t="shared" si="46"/>
        <v>2.96</v>
      </c>
      <c r="I116" s="135">
        <f t="shared" si="46"/>
        <v>2.96</v>
      </c>
      <c r="J116" s="135">
        <f t="shared" si="46"/>
        <v>2.96</v>
      </c>
      <c r="K116" s="135">
        <f t="shared" si="46"/>
        <v>2.96</v>
      </c>
      <c r="L116" s="135">
        <f t="shared" si="46"/>
        <v>2.96</v>
      </c>
      <c r="M116" s="135">
        <f t="shared" si="46"/>
        <v>2.96</v>
      </c>
      <c r="N116" s="135">
        <f t="shared" si="46"/>
        <v>2.96</v>
      </c>
      <c r="O116" s="135">
        <f t="shared" si="46"/>
        <v>2.96</v>
      </c>
      <c r="P116" s="135">
        <f t="shared" si="46"/>
        <v>2.96</v>
      </c>
      <c r="Q116" s="135">
        <f t="shared" si="46"/>
        <v>2.96</v>
      </c>
      <c r="R116" s="135">
        <f t="shared" si="46"/>
        <v>2.96</v>
      </c>
      <c r="S116" s="135">
        <f t="shared" si="46"/>
        <v>2.96</v>
      </c>
      <c r="T116" s="135">
        <f t="shared" si="47"/>
        <v>2.96</v>
      </c>
      <c r="U116" s="135">
        <f t="shared" si="47"/>
        <v>2.96</v>
      </c>
      <c r="V116" s="135">
        <f t="shared" si="47"/>
        <v>2.96</v>
      </c>
      <c r="W116" s="135">
        <f t="shared" si="47"/>
        <v>2.96</v>
      </c>
      <c r="X116" s="135">
        <f t="shared" si="47"/>
        <v>2.96</v>
      </c>
      <c r="Y116" s="135">
        <f t="shared" si="47"/>
        <v>2.96</v>
      </c>
      <c r="Z116" s="135">
        <f t="shared" si="47"/>
        <v>2.96</v>
      </c>
      <c r="AA116" s="135">
        <f t="shared" si="47"/>
        <v>2.96</v>
      </c>
      <c r="AB116" s="135">
        <f t="shared" si="47"/>
        <v>2.96</v>
      </c>
      <c r="AC116" s="135">
        <f t="shared" si="47"/>
        <v>2.96</v>
      </c>
      <c r="AD116" s="135">
        <f t="shared" si="47"/>
        <v>2.96</v>
      </c>
      <c r="AE116" s="135">
        <f t="shared" si="47"/>
        <v>2.96</v>
      </c>
      <c r="AF116" s="135">
        <f t="shared" si="47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45"/>
        <v>8</v>
      </c>
      <c r="C117" s="136">
        <v>8</v>
      </c>
      <c r="D117" s="135">
        <f t="shared" si="46"/>
        <v>8</v>
      </c>
      <c r="E117" s="135">
        <f t="shared" si="46"/>
        <v>8</v>
      </c>
      <c r="F117" s="135">
        <f t="shared" si="46"/>
        <v>8</v>
      </c>
      <c r="G117" s="135">
        <f t="shared" si="46"/>
        <v>8</v>
      </c>
      <c r="H117" s="135">
        <f t="shared" si="46"/>
        <v>8</v>
      </c>
      <c r="I117" s="135">
        <f t="shared" si="46"/>
        <v>8</v>
      </c>
      <c r="J117" s="135">
        <f t="shared" si="46"/>
        <v>8</v>
      </c>
      <c r="K117" s="135">
        <f t="shared" si="46"/>
        <v>8</v>
      </c>
      <c r="L117" s="135">
        <f t="shared" si="46"/>
        <v>8</v>
      </c>
      <c r="M117" s="135">
        <f t="shared" si="46"/>
        <v>8</v>
      </c>
      <c r="N117" s="135">
        <f t="shared" si="46"/>
        <v>8</v>
      </c>
      <c r="O117" s="135">
        <f t="shared" si="46"/>
        <v>8</v>
      </c>
      <c r="P117" s="135">
        <f t="shared" si="46"/>
        <v>8</v>
      </c>
      <c r="Q117" s="135">
        <f t="shared" si="46"/>
        <v>8</v>
      </c>
      <c r="R117" s="135">
        <f t="shared" si="46"/>
        <v>8</v>
      </c>
      <c r="S117" s="135">
        <f t="shared" si="46"/>
        <v>8</v>
      </c>
      <c r="T117" s="135">
        <f t="shared" si="47"/>
        <v>8</v>
      </c>
      <c r="U117" s="135">
        <f t="shared" si="47"/>
        <v>8</v>
      </c>
      <c r="V117" s="135">
        <f t="shared" si="47"/>
        <v>8</v>
      </c>
      <c r="W117" s="135">
        <f t="shared" si="47"/>
        <v>8</v>
      </c>
      <c r="X117" s="135">
        <f t="shared" si="47"/>
        <v>8</v>
      </c>
      <c r="Y117" s="135">
        <f t="shared" si="47"/>
        <v>8</v>
      </c>
      <c r="Z117" s="135">
        <f t="shared" si="47"/>
        <v>8</v>
      </c>
      <c r="AA117" s="135">
        <f t="shared" si="47"/>
        <v>8</v>
      </c>
      <c r="AB117" s="135">
        <f t="shared" si="47"/>
        <v>8</v>
      </c>
      <c r="AC117" s="135">
        <f t="shared" si="47"/>
        <v>8</v>
      </c>
      <c r="AD117" s="135">
        <f t="shared" si="47"/>
        <v>8</v>
      </c>
      <c r="AE117" s="135">
        <f t="shared" si="47"/>
        <v>8</v>
      </c>
      <c r="AF117" s="135">
        <f t="shared" si="47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45"/>
        <v>7</v>
      </c>
      <c r="C118" s="136">
        <v>7</v>
      </c>
      <c r="D118" s="135">
        <f>C118</f>
        <v>7</v>
      </c>
      <c r="E118" s="135">
        <f t="shared" si="46"/>
        <v>7</v>
      </c>
      <c r="F118" s="135">
        <f t="shared" si="46"/>
        <v>7</v>
      </c>
      <c r="G118" s="135">
        <f t="shared" si="46"/>
        <v>7</v>
      </c>
      <c r="H118" s="135">
        <f t="shared" si="46"/>
        <v>7</v>
      </c>
      <c r="I118" s="135">
        <f t="shared" si="46"/>
        <v>7</v>
      </c>
      <c r="J118" s="135">
        <f t="shared" si="46"/>
        <v>7</v>
      </c>
      <c r="K118" s="135">
        <f t="shared" si="46"/>
        <v>7</v>
      </c>
      <c r="L118" s="135">
        <f t="shared" si="46"/>
        <v>7</v>
      </c>
      <c r="M118" s="135">
        <f t="shared" si="46"/>
        <v>7</v>
      </c>
      <c r="N118" s="135">
        <f t="shared" si="46"/>
        <v>7</v>
      </c>
      <c r="O118" s="135">
        <f t="shared" si="46"/>
        <v>7</v>
      </c>
      <c r="P118" s="135">
        <f t="shared" si="46"/>
        <v>7</v>
      </c>
      <c r="Q118" s="135">
        <f t="shared" si="46"/>
        <v>7</v>
      </c>
      <c r="R118" s="135">
        <f t="shared" si="46"/>
        <v>7</v>
      </c>
      <c r="S118" s="135">
        <f t="shared" si="46"/>
        <v>7</v>
      </c>
      <c r="T118" s="135">
        <f t="shared" si="47"/>
        <v>7</v>
      </c>
      <c r="U118" s="135">
        <f t="shared" si="47"/>
        <v>7</v>
      </c>
      <c r="V118" s="135">
        <f t="shared" si="47"/>
        <v>7</v>
      </c>
      <c r="W118" s="135">
        <f t="shared" si="47"/>
        <v>7</v>
      </c>
      <c r="X118" s="135">
        <f t="shared" si="47"/>
        <v>7</v>
      </c>
      <c r="Y118" s="135">
        <f t="shared" si="47"/>
        <v>7</v>
      </c>
      <c r="Z118" s="135">
        <f t="shared" si="47"/>
        <v>7</v>
      </c>
      <c r="AA118" s="135">
        <f t="shared" si="47"/>
        <v>7</v>
      </c>
      <c r="AB118" s="135">
        <f t="shared" si="47"/>
        <v>7</v>
      </c>
      <c r="AC118" s="135">
        <f t="shared" si="47"/>
        <v>7</v>
      </c>
      <c r="AD118" s="135">
        <f t="shared" si="47"/>
        <v>7</v>
      </c>
      <c r="AE118" s="135">
        <f t="shared" si="47"/>
        <v>7</v>
      </c>
      <c r="AF118" s="135">
        <f t="shared" si="47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45"/>
        <v>3.47</v>
      </c>
      <c r="C119" s="136">
        <v>3.47</v>
      </c>
      <c r="D119" s="135">
        <f t="shared" ref="D119:S128" si="48">C119</f>
        <v>3.47</v>
      </c>
      <c r="E119" s="135">
        <f t="shared" si="48"/>
        <v>3.47</v>
      </c>
      <c r="F119" s="135">
        <f t="shared" si="48"/>
        <v>3.47</v>
      </c>
      <c r="G119" s="135">
        <f t="shared" si="48"/>
        <v>3.47</v>
      </c>
      <c r="H119" s="135">
        <f t="shared" si="48"/>
        <v>3.47</v>
      </c>
      <c r="I119" s="135">
        <f t="shared" si="48"/>
        <v>3.47</v>
      </c>
      <c r="J119" s="135">
        <f t="shared" si="48"/>
        <v>3.47</v>
      </c>
      <c r="K119" s="135">
        <f t="shared" si="48"/>
        <v>3.47</v>
      </c>
      <c r="L119" s="135">
        <f t="shared" si="48"/>
        <v>3.47</v>
      </c>
      <c r="M119" s="135">
        <f t="shared" si="48"/>
        <v>3.47</v>
      </c>
      <c r="N119" s="135">
        <f t="shared" si="48"/>
        <v>3.47</v>
      </c>
      <c r="O119" s="135">
        <f t="shared" si="48"/>
        <v>3.47</v>
      </c>
      <c r="P119" s="135">
        <f t="shared" si="48"/>
        <v>3.47</v>
      </c>
      <c r="Q119" s="135">
        <f t="shared" si="48"/>
        <v>3.47</v>
      </c>
      <c r="R119" s="135">
        <f t="shared" si="48"/>
        <v>3.47</v>
      </c>
      <c r="S119" s="135">
        <f t="shared" si="48"/>
        <v>3.47</v>
      </c>
      <c r="T119" s="135">
        <f t="shared" si="47"/>
        <v>3.47</v>
      </c>
      <c r="U119" s="135">
        <f t="shared" si="47"/>
        <v>3.47</v>
      </c>
      <c r="V119" s="135">
        <f t="shared" si="47"/>
        <v>3.47</v>
      </c>
      <c r="W119" s="135">
        <f t="shared" si="47"/>
        <v>3.47</v>
      </c>
      <c r="X119" s="135">
        <f t="shared" si="47"/>
        <v>3.47</v>
      </c>
      <c r="Y119" s="135">
        <f t="shared" si="47"/>
        <v>3.47</v>
      </c>
      <c r="Z119" s="135">
        <f t="shared" si="47"/>
        <v>3.47</v>
      </c>
      <c r="AA119" s="135">
        <f t="shared" si="47"/>
        <v>3.47</v>
      </c>
      <c r="AB119" s="135">
        <f t="shared" si="47"/>
        <v>3.47</v>
      </c>
      <c r="AC119" s="135">
        <f t="shared" si="47"/>
        <v>3.47</v>
      </c>
      <c r="AD119" s="135">
        <f t="shared" si="47"/>
        <v>3.47</v>
      </c>
      <c r="AE119" s="135">
        <f t="shared" si="47"/>
        <v>3.47</v>
      </c>
      <c r="AF119" s="135">
        <f t="shared" si="47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45"/>
        <v>2.1</v>
      </c>
      <c r="C120" s="136">
        <v>2.1</v>
      </c>
      <c r="D120" s="135">
        <f t="shared" si="48"/>
        <v>2.1</v>
      </c>
      <c r="E120" s="135">
        <f t="shared" si="48"/>
        <v>2.1</v>
      </c>
      <c r="F120" s="135">
        <f t="shared" si="48"/>
        <v>2.1</v>
      </c>
      <c r="G120" s="135">
        <f t="shared" si="48"/>
        <v>2.1</v>
      </c>
      <c r="H120" s="135">
        <f t="shared" si="48"/>
        <v>2.1</v>
      </c>
      <c r="I120" s="135">
        <f t="shared" si="48"/>
        <v>2.1</v>
      </c>
      <c r="J120" s="135">
        <f t="shared" si="48"/>
        <v>2.1</v>
      </c>
      <c r="K120" s="135">
        <f t="shared" si="48"/>
        <v>2.1</v>
      </c>
      <c r="L120" s="135">
        <f t="shared" si="48"/>
        <v>2.1</v>
      </c>
      <c r="M120" s="135">
        <f t="shared" si="48"/>
        <v>2.1</v>
      </c>
      <c r="N120" s="135">
        <f t="shared" si="48"/>
        <v>2.1</v>
      </c>
      <c r="O120" s="135">
        <f t="shared" si="48"/>
        <v>2.1</v>
      </c>
      <c r="P120" s="135">
        <f t="shared" si="48"/>
        <v>2.1</v>
      </c>
      <c r="Q120" s="135">
        <f t="shared" si="48"/>
        <v>2.1</v>
      </c>
      <c r="R120" s="135">
        <f t="shared" si="48"/>
        <v>2.1</v>
      </c>
      <c r="S120" s="135">
        <f t="shared" si="48"/>
        <v>2.1</v>
      </c>
      <c r="T120" s="135">
        <f t="shared" si="47"/>
        <v>2.1</v>
      </c>
      <c r="U120" s="135">
        <f t="shared" si="47"/>
        <v>2.1</v>
      </c>
      <c r="V120" s="135">
        <f t="shared" si="47"/>
        <v>2.1</v>
      </c>
      <c r="W120" s="135">
        <f t="shared" si="47"/>
        <v>2.1</v>
      </c>
      <c r="X120" s="135">
        <f t="shared" si="47"/>
        <v>2.1</v>
      </c>
      <c r="Y120" s="135">
        <f t="shared" si="47"/>
        <v>2.1</v>
      </c>
      <c r="Z120" s="135">
        <f t="shared" si="47"/>
        <v>2.1</v>
      </c>
      <c r="AA120" s="135">
        <f t="shared" si="47"/>
        <v>2.1</v>
      </c>
      <c r="AB120" s="135">
        <f t="shared" si="47"/>
        <v>2.1</v>
      </c>
      <c r="AC120" s="135">
        <f t="shared" si="47"/>
        <v>2.1</v>
      </c>
      <c r="AD120" s="135">
        <f t="shared" si="47"/>
        <v>2.1</v>
      </c>
      <c r="AE120" s="135">
        <f t="shared" si="47"/>
        <v>2.1</v>
      </c>
      <c r="AF120" s="135">
        <f t="shared" si="47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45"/>
        <v>9.3000000000000007</v>
      </c>
      <c r="C121" s="136">
        <v>9.3000000000000007</v>
      </c>
      <c r="D121" s="135">
        <f t="shared" si="48"/>
        <v>9.3000000000000007</v>
      </c>
      <c r="E121" s="135">
        <f t="shared" si="48"/>
        <v>9.3000000000000007</v>
      </c>
      <c r="F121" s="135">
        <f t="shared" si="48"/>
        <v>9.3000000000000007</v>
      </c>
      <c r="G121" s="135">
        <f t="shared" si="48"/>
        <v>9.3000000000000007</v>
      </c>
      <c r="H121" s="135">
        <f t="shared" si="48"/>
        <v>9.3000000000000007</v>
      </c>
      <c r="I121" s="135">
        <f t="shared" si="48"/>
        <v>9.3000000000000007</v>
      </c>
      <c r="J121" s="135">
        <f t="shared" si="48"/>
        <v>9.3000000000000007</v>
      </c>
      <c r="K121" s="135">
        <f t="shared" si="48"/>
        <v>9.3000000000000007</v>
      </c>
      <c r="L121" s="135">
        <f t="shared" si="48"/>
        <v>9.3000000000000007</v>
      </c>
      <c r="M121" s="135">
        <f t="shared" si="48"/>
        <v>9.3000000000000007</v>
      </c>
      <c r="N121" s="135">
        <f t="shared" si="48"/>
        <v>9.3000000000000007</v>
      </c>
      <c r="O121" s="135">
        <f t="shared" si="48"/>
        <v>9.3000000000000007</v>
      </c>
      <c r="P121" s="135">
        <f t="shared" si="48"/>
        <v>9.3000000000000007</v>
      </c>
      <c r="Q121" s="135">
        <f t="shared" si="48"/>
        <v>9.3000000000000007</v>
      </c>
      <c r="R121" s="135">
        <f t="shared" si="48"/>
        <v>9.3000000000000007</v>
      </c>
      <c r="S121" s="135">
        <f t="shared" si="48"/>
        <v>9.3000000000000007</v>
      </c>
      <c r="T121" s="135">
        <f t="shared" si="47"/>
        <v>9.3000000000000007</v>
      </c>
      <c r="U121" s="135">
        <f t="shared" si="47"/>
        <v>9.3000000000000007</v>
      </c>
      <c r="V121" s="135">
        <f t="shared" si="47"/>
        <v>9.3000000000000007</v>
      </c>
      <c r="W121" s="135">
        <f t="shared" si="47"/>
        <v>9.3000000000000007</v>
      </c>
      <c r="X121" s="135">
        <f t="shared" si="47"/>
        <v>9.3000000000000007</v>
      </c>
      <c r="Y121" s="135">
        <f t="shared" si="47"/>
        <v>9.3000000000000007</v>
      </c>
      <c r="Z121" s="135">
        <f t="shared" si="47"/>
        <v>9.3000000000000007</v>
      </c>
      <c r="AA121" s="135">
        <f t="shared" si="47"/>
        <v>9.3000000000000007</v>
      </c>
      <c r="AB121" s="135">
        <f t="shared" si="47"/>
        <v>9.3000000000000007</v>
      </c>
      <c r="AC121" s="135">
        <f t="shared" si="47"/>
        <v>9.3000000000000007</v>
      </c>
      <c r="AD121" s="135">
        <f t="shared" si="47"/>
        <v>9.3000000000000007</v>
      </c>
      <c r="AE121" s="135">
        <f t="shared" si="47"/>
        <v>9.3000000000000007</v>
      </c>
      <c r="AF121" s="135">
        <f t="shared" si="47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45"/>
        <v>0</v>
      </c>
      <c r="C122" s="136">
        <v>0</v>
      </c>
      <c r="D122" s="135">
        <f t="shared" si="48"/>
        <v>0</v>
      </c>
      <c r="E122" s="135">
        <f t="shared" si="48"/>
        <v>0</v>
      </c>
      <c r="F122" s="135">
        <f t="shared" si="48"/>
        <v>0</v>
      </c>
      <c r="G122" s="135">
        <f t="shared" si="48"/>
        <v>0</v>
      </c>
      <c r="H122" s="135">
        <f t="shared" si="48"/>
        <v>0</v>
      </c>
      <c r="I122" s="135">
        <f t="shared" si="48"/>
        <v>0</v>
      </c>
      <c r="J122" s="135">
        <f t="shared" si="48"/>
        <v>0</v>
      </c>
      <c r="K122" s="135">
        <f t="shared" si="48"/>
        <v>0</v>
      </c>
      <c r="L122" s="135">
        <f t="shared" si="48"/>
        <v>0</v>
      </c>
      <c r="M122" s="135">
        <f t="shared" si="48"/>
        <v>0</v>
      </c>
      <c r="N122" s="135">
        <f t="shared" si="48"/>
        <v>0</v>
      </c>
      <c r="O122" s="135">
        <f t="shared" si="48"/>
        <v>0</v>
      </c>
      <c r="P122" s="135">
        <f t="shared" si="48"/>
        <v>0</v>
      </c>
      <c r="Q122" s="135">
        <f t="shared" si="48"/>
        <v>0</v>
      </c>
      <c r="R122" s="135">
        <f t="shared" si="48"/>
        <v>0</v>
      </c>
      <c r="S122" s="135">
        <f t="shared" si="48"/>
        <v>0</v>
      </c>
      <c r="T122" s="135">
        <f t="shared" si="47"/>
        <v>0</v>
      </c>
      <c r="U122" s="135">
        <f t="shared" si="47"/>
        <v>0</v>
      </c>
      <c r="V122" s="135">
        <f t="shared" si="47"/>
        <v>0</v>
      </c>
      <c r="W122" s="135">
        <f t="shared" si="47"/>
        <v>0</v>
      </c>
      <c r="X122" s="135">
        <f t="shared" si="47"/>
        <v>0</v>
      </c>
      <c r="Y122" s="135">
        <f t="shared" si="47"/>
        <v>0</v>
      </c>
      <c r="Z122" s="135">
        <f t="shared" si="47"/>
        <v>0</v>
      </c>
      <c r="AA122" s="135">
        <f t="shared" si="47"/>
        <v>0</v>
      </c>
      <c r="AB122" s="135">
        <f t="shared" si="47"/>
        <v>0</v>
      </c>
      <c r="AC122" s="135">
        <f t="shared" si="47"/>
        <v>0</v>
      </c>
      <c r="AD122" s="135">
        <f t="shared" si="47"/>
        <v>0</v>
      </c>
      <c r="AE122" s="135">
        <f t="shared" si="47"/>
        <v>0</v>
      </c>
      <c r="AF122" s="135">
        <f t="shared" si="47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45"/>
        <v>0</v>
      </c>
      <c r="C123" s="136">
        <v>0</v>
      </c>
      <c r="D123" s="135">
        <f t="shared" si="48"/>
        <v>0</v>
      </c>
      <c r="E123" s="135">
        <f t="shared" si="48"/>
        <v>0</v>
      </c>
      <c r="F123" s="135">
        <f t="shared" si="48"/>
        <v>0</v>
      </c>
      <c r="G123" s="135">
        <f t="shared" si="48"/>
        <v>0</v>
      </c>
      <c r="H123" s="135">
        <f t="shared" si="48"/>
        <v>0</v>
      </c>
      <c r="I123" s="135">
        <f t="shared" si="48"/>
        <v>0</v>
      </c>
      <c r="J123" s="135">
        <f t="shared" si="48"/>
        <v>0</v>
      </c>
      <c r="K123" s="135">
        <f t="shared" si="48"/>
        <v>0</v>
      </c>
      <c r="L123" s="135">
        <f t="shared" si="48"/>
        <v>0</v>
      </c>
      <c r="M123" s="135">
        <f t="shared" si="48"/>
        <v>0</v>
      </c>
      <c r="N123" s="135">
        <f t="shared" si="48"/>
        <v>0</v>
      </c>
      <c r="O123" s="135">
        <f t="shared" si="48"/>
        <v>0</v>
      </c>
      <c r="P123" s="135">
        <f t="shared" si="48"/>
        <v>0</v>
      </c>
      <c r="Q123" s="135">
        <f t="shared" si="48"/>
        <v>0</v>
      </c>
      <c r="R123" s="135">
        <f t="shared" si="48"/>
        <v>0</v>
      </c>
      <c r="S123" s="135">
        <f t="shared" si="48"/>
        <v>0</v>
      </c>
      <c r="T123" s="135">
        <f t="shared" si="47"/>
        <v>0</v>
      </c>
      <c r="U123" s="135">
        <f t="shared" si="47"/>
        <v>0</v>
      </c>
      <c r="V123" s="135">
        <f t="shared" si="47"/>
        <v>0</v>
      </c>
      <c r="W123" s="135">
        <f t="shared" si="47"/>
        <v>0</v>
      </c>
      <c r="X123" s="135">
        <f t="shared" si="47"/>
        <v>0</v>
      </c>
      <c r="Y123" s="135">
        <f t="shared" si="47"/>
        <v>0</v>
      </c>
      <c r="Z123" s="135">
        <f t="shared" si="47"/>
        <v>0</v>
      </c>
      <c r="AA123" s="135">
        <f t="shared" si="47"/>
        <v>0</v>
      </c>
      <c r="AB123" s="135">
        <f t="shared" si="47"/>
        <v>0</v>
      </c>
      <c r="AC123" s="135">
        <f t="shared" si="47"/>
        <v>0</v>
      </c>
      <c r="AD123" s="135">
        <f t="shared" si="47"/>
        <v>0</v>
      </c>
      <c r="AE123" s="135">
        <f t="shared" si="47"/>
        <v>0</v>
      </c>
      <c r="AF123" s="135">
        <f t="shared" si="47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45"/>
        <v>5</v>
      </c>
      <c r="C124" s="136">
        <v>5</v>
      </c>
      <c r="D124" s="135">
        <f t="shared" si="48"/>
        <v>5</v>
      </c>
      <c r="E124" s="135">
        <f t="shared" si="48"/>
        <v>5</v>
      </c>
      <c r="F124" s="135">
        <f t="shared" si="48"/>
        <v>5</v>
      </c>
      <c r="G124" s="135">
        <f t="shared" si="48"/>
        <v>5</v>
      </c>
      <c r="H124" s="135">
        <f t="shared" si="48"/>
        <v>5</v>
      </c>
      <c r="I124" s="135">
        <f t="shared" si="48"/>
        <v>5</v>
      </c>
      <c r="J124" s="135">
        <f t="shared" si="48"/>
        <v>5</v>
      </c>
      <c r="K124" s="135">
        <f t="shared" si="48"/>
        <v>5</v>
      </c>
      <c r="L124" s="135">
        <f t="shared" si="48"/>
        <v>5</v>
      </c>
      <c r="M124" s="135">
        <f t="shared" si="48"/>
        <v>5</v>
      </c>
      <c r="N124" s="135">
        <f t="shared" si="48"/>
        <v>5</v>
      </c>
      <c r="O124" s="135">
        <f t="shared" si="48"/>
        <v>5</v>
      </c>
      <c r="P124" s="135">
        <f t="shared" si="48"/>
        <v>5</v>
      </c>
      <c r="Q124" s="135">
        <f t="shared" si="48"/>
        <v>5</v>
      </c>
      <c r="R124" s="135">
        <f t="shared" si="48"/>
        <v>5</v>
      </c>
      <c r="S124" s="135">
        <f t="shared" si="48"/>
        <v>5</v>
      </c>
      <c r="T124" s="135">
        <f t="shared" si="47"/>
        <v>5</v>
      </c>
      <c r="U124" s="135">
        <f t="shared" si="47"/>
        <v>5</v>
      </c>
      <c r="V124" s="135">
        <f t="shared" si="47"/>
        <v>5</v>
      </c>
      <c r="W124" s="135">
        <f t="shared" si="47"/>
        <v>5</v>
      </c>
      <c r="X124" s="135">
        <f t="shared" si="47"/>
        <v>5</v>
      </c>
      <c r="Y124" s="135">
        <f t="shared" si="47"/>
        <v>5</v>
      </c>
      <c r="Z124" s="135">
        <f t="shared" si="47"/>
        <v>5</v>
      </c>
      <c r="AA124" s="135">
        <f t="shared" si="47"/>
        <v>5</v>
      </c>
      <c r="AB124" s="135">
        <f t="shared" si="47"/>
        <v>5</v>
      </c>
      <c r="AC124" s="135">
        <f t="shared" si="47"/>
        <v>5</v>
      </c>
      <c r="AD124" s="135">
        <f t="shared" si="47"/>
        <v>5</v>
      </c>
      <c r="AE124" s="135">
        <f t="shared" si="47"/>
        <v>5</v>
      </c>
      <c r="AF124" s="135">
        <f t="shared" si="47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45"/>
        <v>1</v>
      </c>
      <c r="C125" s="136">
        <v>1</v>
      </c>
      <c r="D125" s="135">
        <f t="shared" si="48"/>
        <v>1</v>
      </c>
      <c r="E125" s="135">
        <f t="shared" si="48"/>
        <v>1</v>
      </c>
      <c r="F125" s="135">
        <f t="shared" si="48"/>
        <v>1</v>
      </c>
      <c r="G125" s="135">
        <f t="shared" si="48"/>
        <v>1</v>
      </c>
      <c r="H125" s="135">
        <f t="shared" si="48"/>
        <v>1</v>
      </c>
      <c r="I125" s="135">
        <f t="shared" si="48"/>
        <v>1</v>
      </c>
      <c r="J125" s="135">
        <f t="shared" si="48"/>
        <v>1</v>
      </c>
      <c r="K125" s="135">
        <f t="shared" si="48"/>
        <v>1</v>
      </c>
      <c r="L125" s="135">
        <f t="shared" si="48"/>
        <v>1</v>
      </c>
      <c r="M125" s="135">
        <f t="shared" si="48"/>
        <v>1</v>
      </c>
      <c r="N125" s="135">
        <f t="shared" si="48"/>
        <v>1</v>
      </c>
      <c r="O125" s="135">
        <f t="shared" si="48"/>
        <v>1</v>
      </c>
      <c r="P125" s="135">
        <f t="shared" si="48"/>
        <v>1</v>
      </c>
      <c r="Q125" s="135">
        <f t="shared" si="48"/>
        <v>1</v>
      </c>
      <c r="R125" s="135">
        <f t="shared" si="48"/>
        <v>1</v>
      </c>
      <c r="S125" s="135">
        <f t="shared" si="48"/>
        <v>1</v>
      </c>
      <c r="T125" s="135">
        <f t="shared" si="47"/>
        <v>1</v>
      </c>
      <c r="U125" s="135">
        <f t="shared" si="47"/>
        <v>1</v>
      </c>
      <c r="V125" s="135">
        <f t="shared" si="47"/>
        <v>1</v>
      </c>
      <c r="W125" s="135">
        <f t="shared" si="47"/>
        <v>1</v>
      </c>
      <c r="X125" s="135">
        <f t="shared" si="47"/>
        <v>1</v>
      </c>
      <c r="Y125" s="135">
        <f t="shared" si="47"/>
        <v>1</v>
      </c>
      <c r="Z125" s="135">
        <f t="shared" si="47"/>
        <v>1</v>
      </c>
      <c r="AA125" s="135">
        <f t="shared" si="47"/>
        <v>1</v>
      </c>
      <c r="AB125" s="135">
        <f t="shared" si="47"/>
        <v>1</v>
      </c>
      <c r="AC125" s="135">
        <f t="shared" si="47"/>
        <v>1</v>
      </c>
      <c r="AD125" s="135">
        <f t="shared" si="47"/>
        <v>1</v>
      </c>
      <c r="AE125" s="135">
        <f t="shared" si="47"/>
        <v>1</v>
      </c>
      <c r="AF125" s="135">
        <f t="shared" si="47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45"/>
        <v>1.58</v>
      </c>
      <c r="C126" s="136">
        <v>1.58</v>
      </c>
      <c r="D126" s="135">
        <f t="shared" si="48"/>
        <v>1.58</v>
      </c>
      <c r="E126" s="135">
        <f t="shared" si="48"/>
        <v>1.58</v>
      </c>
      <c r="F126" s="135">
        <f t="shared" si="48"/>
        <v>1.58</v>
      </c>
      <c r="G126" s="135">
        <f t="shared" si="48"/>
        <v>1.58</v>
      </c>
      <c r="H126" s="135">
        <f t="shared" si="48"/>
        <v>1.58</v>
      </c>
      <c r="I126" s="135">
        <f t="shared" si="48"/>
        <v>1.58</v>
      </c>
      <c r="J126" s="135">
        <f t="shared" si="48"/>
        <v>1.58</v>
      </c>
      <c r="K126" s="135">
        <f t="shared" si="48"/>
        <v>1.58</v>
      </c>
      <c r="L126" s="135">
        <f t="shared" si="48"/>
        <v>1.58</v>
      </c>
      <c r="M126" s="135">
        <f t="shared" si="48"/>
        <v>1.58</v>
      </c>
      <c r="N126" s="135">
        <f t="shared" si="48"/>
        <v>1.58</v>
      </c>
      <c r="O126" s="135">
        <f t="shared" si="48"/>
        <v>1.58</v>
      </c>
      <c r="P126" s="135">
        <f t="shared" si="48"/>
        <v>1.58</v>
      </c>
      <c r="Q126" s="135">
        <f t="shared" si="48"/>
        <v>1.58</v>
      </c>
      <c r="R126" s="135">
        <f t="shared" si="48"/>
        <v>1.58</v>
      </c>
      <c r="S126" s="135">
        <f t="shared" si="48"/>
        <v>1.58</v>
      </c>
      <c r="T126" s="135">
        <f t="shared" si="47"/>
        <v>1.58</v>
      </c>
      <c r="U126" s="135">
        <f t="shared" si="47"/>
        <v>1.58</v>
      </c>
      <c r="V126" s="135">
        <f t="shared" si="47"/>
        <v>1.58</v>
      </c>
      <c r="W126" s="135">
        <f t="shared" si="47"/>
        <v>1.58</v>
      </c>
      <c r="X126" s="135">
        <f t="shared" si="47"/>
        <v>1.58</v>
      </c>
      <c r="Y126" s="135">
        <f t="shared" si="47"/>
        <v>1.58</v>
      </c>
      <c r="Z126" s="135">
        <f t="shared" si="47"/>
        <v>1.58</v>
      </c>
      <c r="AA126" s="135">
        <f t="shared" si="47"/>
        <v>1.58</v>
      </c>
      <c r="AB126" s="135">
        <f t="shared" si="47"/>
        <v>1.58</v>
      </c>
      <c r="AC126" s="135">
        <f t="shared" si="47"/>
        <v>1.58</v>
      </c>
      <c r="AD126" s="135">
        <f t="shared" si="47"/>
        <v>1.58</v>
      </c>
      <c r="AE126" s="135">
        <f t="shared" si="47"/>
        <v>1.58</v>
      </c>
      <c r="AF126" s="135">
        <f t="shared" si="47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45"/>
        <v>1.46</v>
      </c>
      <c r="C127" s="136">
        <v>1.46</v>
      </c>
      <c r="D127" s="135">
        <f t="shared" si="48"/>
        <v>1.46</v>
      </c>
      <c r="E127" s="135">
        <f t="shared" si="48"/>
        <v>1.46</v>
      </c>
      <c r="F127" s="135">
        <f t="shared" si="48"/>
        <v>1.46</v>
      </c>
      <c r="G127" s="135">
        <f t="shared" si="48"/>
        <v>1.46</v>
      </c>
      <c r="H127" s="135">
        <f t="shared" si="48"/>
        <v>1.46</v>
      </c>
      <c r="I127" s="135">
        <f t="shared" si="48"/>
        <v>1.46</v>
      </c>
      <c r="J127" s="135">
        <f t="shared" si="48"/>
        <v>1.46</v>
      </c>
      <c r="K127" s="135">
        <f t="shared" si="48"/>
        <v>1.46</v>
      </c>
      <c r="L127" s="135">
        <f t="shared" si="48"/>
        <v>1.46</v>
      </c>
      <c r="M127" s="135">
        <f t="shared" si="48"/>
        <v>1.46</v>
      </c>
      <c r="N127" s="135">
        <f t="shared" si="48"/>
        <v>1.46</v>
      </c>
      <c r="O127" s="135">
        <f t="shared" si="48"/>
        <v>1.46</v>
      </c>
      <c r="P127" s="135">
        <f t="shared" si="48"/>
        <v>1.46</v>
      </c>
      <c r="Q127" s="135">
        <f t="shared" si="48"/>
        <v>1.46</v>
      </c>
      <c r="R127" s="135">
        <f t="shared" si="48"/>
        <v>1.46</v>
      </c>
      <c r="S127" s="135">
        <f t="shared" si="48"/>
        <v>1.46</v>
      </c>
      <c r="T127" s="135">
        <f t="shared" ref="T127:AF128" si="49">S127</f>
        <v>1.46</v>
      </c>
      <c r="U127" s="135">
        <f t="shared" si="49"/>
        <v>1.46</v>
      </c>
      <c r="V127" s="135">
        <f t="shared" si="49"/>
        <v>1.46</v>
      </c>
      <c r="W127" s="135">
        <f t="shared" si="49"/>
        <v>1.46</v>
      </c>
      <c r="X127" s="135">
        <f t="shared" si="49"/>
        <v>1.46</v>
      </c>
      <c r="Y127" s="135">
        <f t="shared" si="49"/>
        <v>1.46</v>
      </c>
      <c r="Z127" s="135">
        <f t="shared" si="49"/>
        <v>1.46</v>
      </c>
      <c r="AA127" s="135">
        <f t="shared" si="49"/>
        <v>1.46</v>
      </c>
      <c r="AB127" s="135">
        <f t="shared" si="49"/>
        <v>1.46</v>
      </c>
      <c r="AC127" s="135">
        <f t="shared" si="49"/>
        <v>1.46</v>
      </c>
      <c r="AD127" s="135">
        <f t="shared" si="49"/>
        <v>1.46</v>
      </c>
      <c r="AE127" s="135">
        <f t="shared" si="49"/>
        <v>1.46</v>
      </c>
      <c r="AF127" s="135">
        <f t="shared" si="49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45"/>
        <v>1.48</v>
      </c>
      <c r="C128" s="136">
        <v>1.48</v>
      </c>
      <c r="D128" s="135">
        <f t="shared" si="48"/>
        <v>1.48</v>
      </c>
      <c r="E128" s="135">
        <f t="shared" si="48"/>
        <v>1.48</v>
      </c>
      <c r="F128" s="135">
        <f t="shared" si="48"/>
        <v>1.48</v>
      </c>
      <c r="G128" s="135">
        <f t="shared" si="48"/>
        <v>1.48</v>
      </c>
      <c r="H128" s="135">
        <f t="shared" si="48"/>
        <v>1.48</v>
      </c>
      <c r="I128" s="135">
        <f t="shared" si="48"/>
        <v>1.48</v>
      </c>
      <c r="J128" s="135">
        <f t="shared" si="48"/>
        <v>1.48</v>
      </c>
      <c r="K128" s="135">
        <f t="shared" si="48"/>
        <v>1.48</v>
      </c>
      <c r="L128" s="135">
        <f t="shared" si="48"/>
        <v>1.48</v>
      </c>
      <c r="M128" s="135">
        <f t="shared" si="48"/>
        <v>1.48</v>
      </c>
      <c r="N128" s="135">
        <f t="shared" si="48"/>
        <v>1.48</v>
      </c>
      <c r="O128" s="135">
        <f t="shared" si="48"/>
        <v>1.48</v>
      </c>
      <c r="P128" s="135">
        <f t="shared" si="48"/>
        <v>1.48</v>
      </c>
      <c r="Q128" s="135">
        <f t="shared" si="48"/>
        <v>1.48</v>
      </c>
      <c r="R128" s="135">
        <f t="shared" si="48"/>
        <v>1.48</v>
      </c>
      <c r="S128" s="135">
        <f t="shared" si="48"/>
        <v>1.48</v>
      </c>
      <c r="T128" s="135">
        <f t="shared" si="49"/>
        <v>1.48</v>
      </c>
      <c r="U128" s="135">
        <f t="shared" si="49"/>
        <v>1.48</v>
      </c>
      <c r="V128" s="135">
        <f t="shared" si="49"/>
        <v>1.48</v>
      </c>
      <c r="W128" s="135">
        <f t="shared" si="49"/>
        <v>1.48</v>
      </c>
      <c r="X128" s="135">
        <f t="shared" si="49"/>
        <v>1.48</v>
      </c>
      <c r="Y128" s="135">
        <f t="shared" si="49"/>
        <v>1.48</v>
      </c>
      <c r="Z128" s="135">
        <f t="shared" si="49"/>
        <v>1.48</v>
      </c>
      <c r="AA128" s="135">
        <f t="shared" si="49"/>
        <v>1.48</v>
      </c>
      <c r="AB128" s="135">
        <f t="shared" si="49"/>
        <v>1.48</v>
      </c>
      <c r="AC128" s="135">
        <f t="shared" si="49"/>
        <v>1.48</v>
      </c>
      <c r="AD128" s="135">
        <f t="shared" si="49"/>
        <v>1.48</v>
      </c>
      <c r="AE128" s="135">
        <f t="shared" si="49"/>
        <v>1.48</v>
      </c>
      <c r="AF128" s="135">
        <f t="shared" si="49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50">AF130</f>
        <v>2.2000000000000002</v>
      </c>
      <c r="C130" s="136">
        <v>2.2000000000000002</v>
      </c>
      <c r="D130" s="135">
        <f t="shared" ref="D130:S137" si="51">C130</f>
        <v>2.2000000000000002</v>
      </c>
      <c r="E130" s="135">
        <f t="shared" si="51"/>
        <v>2.2000000000000002</v>
      </c>
      <c r="F130" s="135">
        <f t="shared" si="51"/>
        <v>2.2000000000000002</v>
      </c>
      <c r="G130" s="135">
        <f t="shared" si="51"/>
        <v>2.2000000000000002</v>
      </c>
      <c r="H130" s="135">
        <f t="shared" si="51"/>
        <v>2.2000000000000002</v>
      </c>
      <c r="I130" s="135">
        <f t="shared" si="51"/>
        <v>2.2000000000000002</v>
      </c>
      <c r="J130" s="135">
        <f t="shared" si="51"/>
        <v>2.2000000000000002</v>
      </c>
      <c r="K130" s="135">
        <f t="shared" si="51"/>
        <v>2.2000000000000002</v>
      </c>
      <c r="L130" s="135">
        <f t="shared" si="51"/>
        <v>2.2000000000000002</v>
      </c>
      <c r="M130" s="135">
        <f t="shared" si="51"/>
        <v>2.2000000000000002</v>
      </c>
      <c r="N130" s="135">
        <f t="shared" si="51"/>
        <v>2.2000000000000002</v>
      </c>
      <c r="O130" s="135">
        <f t="shared" si="51"/>
        <v>2.2000000000000002</v>
      </c>
      <c r="P130" s="135">
        <f t="shared" si="51"/>
        <v>2.2000000000000002</v>
      </c>
      <c r="Q130" s="135">
        <f t="shared" si="51"/>
        <v>2.2000000000000002</v>
      </c>
      <c r="R130" s="135">
        <f t="shared" si="51"/>
        <v>2.2000000000000002</v>
      </c>
      <c r="S130" s="135">
        <f t="shared" si="51"/>
        <v>2.2000000000000002</v>
      </c>
      <c r="T130" s="135">
        <f t="shared" ref="T130:AF137" si="52">S130</f>
        <v>2.2000000000000002</v>
      </c>
      <c r="U130" s="135">
        <f t="shared" si="52"/>
        <v>2.2000000000000002</v>
      </c>
      <c r="V130" s="135">
        <f t="shared" si="52"/>
        <v>2.2000000000000002</v>
      </c>
      <c r="W130" s="135">
        <f t="shared" si="52"/>
        <v>2.2000000000000002</v>
      </c>
      <c r="X130" s="135">
        <f t="shared" si="52"/>
        <v>2.2000000000000002</v>
      </c>
      <c r="Y130" s="135">
        <f t="shared" si="52"/>
        <v>2.2000000000000002</v>
      </c>
      <c r="Z130" s="135">
        <f t="shared" si="52"/>
        <v>2.2000000000000002</v>
      </c>
      <c r="AA130" s="135">
        <f t="shared" si="52"/>
        <v>2.2000000000000002</v>
      </c>
      <c r="AB130" s="135">
        <f t="shared" si="52"/>
        <v>2.2000000000000002</v>
      </c>
      <c r="AC130" s="135">
        <f t="shared" si="52"/>
        <v>2.2000000000000002</v>
      </c>
      <c r="AD130" s="135">
        <f t="shared" si="52"/>
        <v>2.2000000000000002</v>
      </c>
      <c r="AE130" s="135">
        <f t="shared" si="52"/>
        <v>2.2000000000000002</v>
      </c>
      <c r="AF130" s="135">
        <f t="shared" si="52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50"/>
        <v>2</v>
      </c>
      <c r="C131" s="136">
        <v>2</v>
      </c>
      <c r="D131" s="135">
        <f t="shared" si="51"/>
        <v>2</v>
      </c>
      <c r="E131" s="135">
        <f t="shared" si="51"/>
        <v>2</v>
      </c>
      <c r="F131" s="135">
        <f t="shared" si="51"/>
        <v>2</v>
      </c>
      <c r="G131" s="135">
        <f t="shared" si="51"/>
        <v>2</v>
      </c>
      <c r="H131" s="135">
        <f t="shared" si="51"/>
        <v>2</v>
      </c>
      <c r="I131" s="135">
        <f t="shared" si="51"/>
        <v>2</v>
      </c>
      <c r="J131" s="135">
        <f t="shared" si="51"/>
        <v>2</v>
      </c>
      <c r="K131" s="135">
        <f t="shared" si="51"/>
        <v>2</v>
      </c>
      <c r="L131" s="135">
        <f t="shared" si="51"/>
        <v>2</v>
      </c>
      <c r="M131" s="135">
        <f t="shared" si="51"/>
        <v>2</v>
      </c>
      <c r="N131" s="135">
        <f t="shared" si="51"/>
        <v>2</v>
      </c>
      <c r="O131" s="135">
        <f t="shared" si="51"/>
        <v>2</v>
      </c>
      <c r="P131" s="135">
        <f t="shared" si="51"/>
        <v>2</v>
      </c>
      <c r="Q131" s="135">
        <f t="shared" si="51"/>
        <v>2</v>
      </c>
      <c r="R131" s="135">
        <f t="shared" si="51"/>
        <v>2</v>
      </c>
      <c r="S131" s="135">
        <f t="shared" si="51"/>
        <v>2</v>
      </c>
      <c r="T131" s="135">
        <f t="shared" si="52"/>
        <v>2</v>
      </c>
      <c r="U131" s="135">
        <f t="shared" si="52"/>
        <v>2</v>
      </c>
      <c r="V131" s="135">
        <f t="shared" si="52"/>
        <v>2</v>
      </c>
      <c r="W131" s="135">
        <f t="shared" si="52"/>
        <v>2</v>
      </c>
      <c r="X131" s="135">
        <f t="shared" si="52"/>
        <v>2</v>
      </c>
      <c r="Y131" s="135">
        <f t="shared" si="52"/>
        <v>2</v>
      </c>
      <c r="Z131" s="135">
        <f t="shared" si="52"/>
        <v>2</v>
      </c>
      <c r="AA131" s="135">
        <f t="shared" si="52"/>
        <v>2</v>
      </c>
      <c r="AB131" s="135">
        <f t="shared" si="52"/>
        <v>2</v>
      </c>
      <c r="AC131" s="135">
        <f t="shared" si="52"/>
        <v>2</v>
      </c>
      <c r="AD131" s="135">
        <f t="shared" si="52"/>
        <v>2</v>
      </c>
      <c r="AE131" s="135">
        <f t="shared" si="52"/>
        <v>2</v>
      </c>
      <c r="AF131" s="135">
        <f t="shared" si="52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50"/>
        <v>1.25</v>
      </c>
      <c r="C132" s="136">
        <v>1.25</v>
      </c>
      <c r="D132" s="135">
        <f t="shared" si="51"/>
        <v>1.25</v>
      </c>
      <c r="E132" s="135">
        <f t="shared" si="51"/>
        <v>1.25</v>
      </c>
      <c r="F132" s="135">
        <f t="shared" si="51"/>
        <v>1.25</v>
      </c>
      <c r="G132" s="135">
        <f t="shared" si="51"/>
        <v>1.25</v>
      </c>
      <c r="H132" s="135">
        <f t="shared" si="51"/>
        <v>1.25</v>
      </c>
      <c r="I132" s="135">
        <f t="shared" si="51"/>
        <v>1.25</v>
      </c>
      <c r="J132" s="135">
        <f t="shared" si="51"/>
        <v>1.25</v>
      </c>
      <c r="K132" s="135">
        <f t="shared" si="51"/>
        <v>1.25</v>
      </c>
      <c r="L132" s="135">
        <f t="shared" si="51"/>
        <v>1.25</v>
      </c>
      <c r="M132" s="135">
        <f t="shared" si="51"/>
        <v>1.25</v>
      </c>
      <c r="N132" s="135">
        <f t="shared" si="51"/>
        <v>1.25</v>
      </c>
      <c r="O132" s="135">
        <f t="shared" si="51"/>
        <v>1.25</v>
      </c>
      <c r="P132" s="135">
        <f t="shared" si="51"/>
        <v>1.25</v>
      </c>
      <c r="Q132" s="135">
        <f t="shared" si="51"/>
        <v>1.25</v>
      </c>
      <c r="R132" s="135">
        <f t="shared" si="51"/>
        <v>1.25</v>
      </c>
      <c r="S132" s="135">
        <f t="shared" si="51"/>
        <v>1.25</v>
      </c>
      <c r="T132" s="135">
        <f t="shared" si="52"/>
        <v>1.25</v>
      </c>
      <c r="U132" s="135">
        <f t="shared" si="52"/>
        <v>1.25</v>
      </c>
      <c r="V132" s="135">
        <f t="shared" si="52"/>
        <v>1.25</v>
      </c>
      <c r="W132" s="135">
        <f t="shared" si="52"/>
        <v>1.25</v>
      </c>
      <c r="X132" s="135">
        <f t="shared" si="52"/>
        <v>1.25</v>
      </c>
      <c r="Y132" s="135">
        <f t="shared" si="52"/>
        <v>1.25</v>
      </c>
      <c r="Z132" s="135">
        <f t="shared" si="52"/>
        <v>1.25</v>
      </c>
      <c r="AA132" s="135">
        <f t="shared" si="52"/>
        <v>1.25</v>
      </c>
      <c r="AB132" s="135">
        <f t="shared" si="52"/>
        <v>1.25</v>
      </c>
      <c r="AC132" s="135">
        <f t="shared" si="52"/>
        <v>1.25</v>
      </c>
      <c r="AD132" s="135">
        <f t="shared" si="52"/>
        <v>1.25</v>
      </c>
      <c r="AE132" s="135">
        <f t="shared" si="52"/>
        <v>1.25</v>
      </c>
      <c r="AF132" s="135">
        <f t="shared" si="52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50"/>
        <v>1.1499999999999999</v>
      </c>
      <c r="C133" s="136">
        <v>1.1499999999999999</v>
      </c>
      <c r="D133" s="135">
        <f t="shared" si="51"/>
        <v>1.1499999999999999</v>
      </c>
      <c r="E133" s="135">
        <f t="shared" si="51"/>
        <v>1.1499999999999999</v>
      </c>
      <c r="F133" s="135">
        <f t="shared" si="51"/>
        <v>1.1499999999999999</v>
      </c>
      <c r="G133" s="135">
        <f t="shared" si="51"/>
        <v>1.1499999999999999</v>
      </c>
      <c r="H133" s="135">
        <f t="shared" si="51"/>
        <v>1.1499999999999999</v>
      </c>
      <c r="I133" s="135">
        <f t="shared" si="51"/>
        <v>1.1499999999999999</v>
      </c>
      <c r="J133" s="135">
        <f t="shared" si="51"/>
        <v>1.1499999999999999</v>
      </c>
      <c r="K133" s="135">
        <f t="shared" si="51"/>
        <v>1.1499999999999999</v>
      </c>
      <c r="L133" s="135">
        <f t="shared" si="51"/>
        <v>1.1499999999999999</v>
      </c>
      <c r="M133" s="135">
        <f t="shared" si="51"/>
        <v>1.1499999999999999</v>
      </c>
      <c r="N133" s="135">
        <f t="shared" si="51"/>
        <v>1.1499999999999999</v>
      </c>
      <c r="O133" s="135">
        <f t="shared" si="51"/>
        <v>1.1499999999999999</v>
      </c>
      <c r="P133" s="135">
        <f t="shared" si="51"/>
        <v>1.1499999999999999</v>
      </c>
      <c r="Q133" s="135">
        <f t="shared" si="51"/>
        <v>1.1499999999999999</v>
      </c>
      <c r="R133" s="135">
        <f t="shared" si="51"/>
        <v>1.1499999999999999</v>
      </c>
      <c r="S133" s="135">
        <f t="shared" si="51"/>
        <v>1.1499999999999999</v>
      </c>
      <c r="T133" s="135">
        <f t="shared" si="52"/>
        <v>1.1499999999999999</v>
      </c>
      <c r="U133" s="135">
        <f t="shared" si="52"/>
        <v>1.1499999999999999</v>
      </c>
      <c r="V133" s="135">
        <f t="shared" si="52"/>
        <v>1.1499999999999999</v>
      </c>
      <c r="W133" s="135">
        <f t="shared" si="52"/>
        <v>1.1499999999999999</v>
      </c>
      <c r="X133" s="135">
        <f t="shared" si="52"/>
        <v>1.1499999999999999</v>
      </c>
      <c r="Y133" s="135">
        <f t="shared" si="52"/>
        <v>1.1499999999999999</v>
      </c>
      <c r="Z133" s="135">
        <f t="shared" si="52"/>
        <v>1.1499999999999999</v>
      </c>
      <c r="AA133" s="135">
        <f t="shared" si="52"/>
        <v>1.1499999999999999</v>
      </c>
      <c r="AB133" s="135">
        <f t="shared" si="52"/>
        <v>1.1499999999999999</v>
      </c>
      <c r="AC133" s="135">
        <f t="shared" si="52"/>
        <v>1.1499999999999999</v>
      </c>
      <c r="AD133" s="135">
        <f t="shared" si="52"/>
        <v>1.1499999999999999</v>
      </c>
      <c r="AE133" s="135">
        <f t="shared" si="52"/>
        <v>1.1499999999999999</v>
      </c>
      <c r="AF133" s="135">
        <f t="shared" si="52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50"/>
        <v>2.133</v>
      </c>
      <c r="C134" s="136">
        <v>2.133</v>
      </c>
      <c r="D134" s="135">
        <f t="shared" si="51"/>
        <v>2.133</v>
      </c>
      <c r="E134" s="135">
        <f t="shared" si="51"/>
        <v>2.133</v>
      </c>
      <c r="F134" s="135">
        <f t="shared" si="51"/>
        <v>2.133</v>
      </c>
      <c r="G134" s="135">
        <f t="shared" si="51"/>
        <v>2.133</v>
      </c>
      <c r="H134" s="135">
        <f t="shared" si="51"/>
        <v>2.133</v>
      </c>
      <c r="I134" s="135">
        <f t="shared" si="51"/>
        <v>2.133</v>
      </c>
      <c r="J134" s="135">
        <f t="shared" si="51"/>
        <v>2.133</v>
      </c>
      <c r="K134" s="135">
        <f t="shared" si="51"/>
        <v>2.133</v>
      </c>
      <c r="L134" s="135">
        <f t="shared" si="51"/>
        <v>2.133</v>
      </c>
      <c r="M134" s="135">
        <f t="shared" si="51"/>
        <v>2.133</v>
      </c>
      <c r="N134" s="135">
        <f t="shared" si="51"/>
        <v>2.133</v>
      </c>
      <c r="O134" s="135">
        <f t="shared" si="51"/>
        <v>2.133</v>
      </c>
      <c r="P134" s="135">
        <f t="shared" si="51"/>
        <v>2.133</v>
      </c>
      <c r="Q134" s="135">
        <f t="shared" si="51"/>
        <v>2.133</v>
      </c>
      <c r="R134" s="135">
        <f t="shared" si="51"/>
        <v>2.133</v>
      </c>
      <c r="S134" s="135">
        <f t="shared" si="51"/>
        <v>2.133</v>
      </c>
      <c r="T134" s="135">
        <f t="shared" si="52"/>
        <v>2.133</v>
      </c>
      <c r="U134" s="135">
        <f t="shared" si="52"/>
        <v>2.133</v>
      </c>
      <c r="V134" s="135">
        <f t="shared" si="52"/>
        <v>2.133</v>
      </c>
      <c r="W134" s="135">
        <f t="shared" si="52"/>
        <v>2.133</v>
      </c>
      <c r="X134" s="135">
        <f t="shared" si="52"/>
        <v>2.133</v>
      </c>
      <c r="Y134" s="135">
        <f t="shared" si="52"/>
        <v>2.133</v>
      </c>
      <c r="Z134" s="135">
        <f t="shared" si="52"/>
        <v>2.133</v>
      </c>
      <c r="AA134" s="135">
        <f t="shared" si="52"/>
        <v>2.133</v>
      </c>
      <c r="AB134" s="135">
        <f t="shared" si="52"/>
        <v>2.133</v>
      </c>
      <c r="AC134" s="135">
        <f t="shared" si="52"/>
        <v>2.133</v>
      </c>
      <c r="AD134" s="135">
        <f t="shared" si="52"/>
        <v>2.133</v>
      </c>
      <c r="AE134" s="135">
        <f t="shared" si="52"/>
        <v>2.133</v>
      </c>
      <c r="AF134" s="135">
        <f t="shared" si="52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50"/>
        <v>2.09</v>
      </c>
      <c r="C135" s="136">
        <v>2.09</v>
      </c>
      <c r="D135" s="135">
        <f t="shared" si="51"/>
        <v>2.09</v>
      </c>
      <c r="E135" s="135">
        <f t="shared" si="51"/>
        <v>2.09</v>
      </c>
      <c r="F135" s="135">
        <f t="shared" si="51"/>
        <v>2.09</v>
      </c>
      <c r="G135" s="135">
        <f t="shared" si="51"/>
        <v>2.09</v>
      </c>
      <c r="H135" s="135">
        <f t="shared" si="51"/>
        <v>2.09</v>
      </c>
      <c r="I135" s="135">
        <f t="shared" si="51"/>
        <v>2.09</v>
      </c>
      <c r="J135" s="135">
        <f t="shared" si="51"/>
        <v>2.09</v>
      </c>
      <c r="K135" s="135">
        <f t="shared" si="51"/>
        <v>2.09</v>
      </c>
      <c r="L135" s="135">
        <f t="shared" si="51"/>
        <v>2.09</v>
      </c>
      <c r="M135" s="135">
        <f t="shared" si="51"/>
        <v>2.09</v>
      </c>
      <c r="N135" s="135">
        <f t="shared" si="51"/>
        <v>2.09</v>
      </c>
      <c r="O135" s="135">
        <f t="shared" si="51"/>
        <v>2.09</v>
      </c>
      <c r="P135" s="135">
        <f t="shared" si="51"/>
        <v>2.09</v>
      </c>
      <c r="Q135" s="135">
        <f t="shared" si="51"/>
        <v>2.09</v>
      </c>
      <c r="R135" s="135">
        <f t="shared" si="51"/>
        <v>2.09</v>
      </c>
      <c r="S135" s="135">
        <f t="shared" si="51"/>
        <v>2.09</v>
      </c>
      <c r="T135" s="135">
        <f t="shared" si="52"/>
        <v>2.09</v>
      </c>
      <c r="U135" s="135">
        <f t="shared" si="52"/>
        <v>2.09</v>
      </c>
      <c r="V135" s="135">
        <f t="shared" si="52"/>
        <v>2.09</v>
      </c>
      <c r="W135" s="135">
        <f t="shared" si="52"/>
        <v>2.09</v>
      </c>
      <c r="X135" s="135">
        <f t="shared" si="52"/>
        <v>2.09</v>
      </c>
      <c r="Y135" s="135">
        <f t="shared" si="52"/>
        <v>2.09</v>
      </c>
      <c r="Z135" s="135">
        <f t="shared" si="52"/>
        <v>2.09</v>
      </c>
      <c r="AA135" s="135">
        <f t="shared" si="52"/>
        <v>2.09</v>
      </c>
      <c r="AB135" s="135">
        <f t="shared" si="52"/>
        <v>2.09</v>
      </c>
      <c r="AC135" s="135">
        <f t="shared" si="52"/>
        <v>2.09</v>
      </c>
      <c r="AD135" s="135">
        <f t="shared" si="52"/>
        <v>2.09</v>
      </c>
      <c r="AE135" s="135">
        <f t="shared" si="52"/>
        <v>2.09</v>
      </c>
      <c r="AF135" s="135">
        <f t="shared" si="52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50"/>
        <v>1.1399999999999999</v>
      </c>
      <c r="C136" s="136">
        <v>1.1399999999999999</v>
      </c>
      <c r="D136" s="135">
        <f t="shared" si="51"/>
        <v>1.1399999999999999</v>
      </c>
      <c r="E136" s="135">
        <f t="shared" si="51"/>
        <v>1.1399999999999999</v>
      </c>
      <c r="F136" s="135">
        <f t="shared" si="51"/>
        <v>1.1399999999999999</v>
      </c>
      <c r="G136" s="135">
        <f t="shared" si="51"/>
        <v>1.1399999999999999</v>
      </c>
      <c r="H136" s="135">
        <f t="shared" si="51"/>
        <v>1.1399999999999999</v>
      </c>
      <c r="I136" s="135">
        <f t="shared" si="51"/>
        <v>1.1399999999999999</v>
      </c>
      <c r="J136" s="135">
        <f t="shared" si="51"/>
        <v>1.1399999999999999</v>
      </c>
      <c r="K136" s="135">
        <f t="shared" si="51"/>
        <v>1.1399999999999999</v>
      </c>
      <c r="L136" s="135">
        <f t="shared" si="51"/>
        <v>1.1399999999999999</v>
      </c>
      <c r="M136" s="135">
        <f t="shared" si="51"/>
        <v>1.1399999999999999</v>
      </c>
      <c r="N136" s="135">
        <f t="shared" si="51"/>
        <v>1.1399999999999999</v>
      </c>
      <c r="O136" s="135">
        <f t="shared" si="51"/>
        <v>1.1399999999999999</v>
      </c>
      <c r="P136" s="135">
        <f t="shared" si="51"/>
        <v>1.1399999999999999</v>
      </c>
      <c r="Q136" s="135">
        <f t="shared" si="51"/>
        <v>1.1399999999999999</v>
      </c>
      <c r="R136" s="135">
        <f t="shared" si="51"/>
        <v>1.1399999999999999</v>
      </c>
      <c r="S136" s="135">
        <f t="shared" si="51"/>
        <v>1.1399999999999999</v>
      </c>
      <c r="T136" s="135">
        <f t="shared" si="52"/>
        <v>1.1399999999999999</v>
      </c>
      <c r="U136" s="135">
        <f t="shared" si="52"/>
        <v>1.1399999999999999</v>
      </c>
      <c r="V136" s="135">
        <f t="shared" si="52"/>
        <v>1.1399999999999999</v>
      </c>
      <c r="W136" s="135">
        <f t="shared" si="52"/>
        <v>1.1399999999999999</v>
      </c>
      <c r="X136" s="135">
        <f t="shared" si="52"/>
        <v>1.1399999999999999</v>
      </c>
      <c r="Y136" s="135">
        <f t="shared" si="52"/>
        <v>1.1399999999999999</v>
      </c>
      <c r="Z136" s="135">
        <f t="shared" si="52"/>
        <v>1.1399999999999999</v>
      </c>
      <c r="AA136" s="135">
        <f t="shared" si="52"/>
        <v>1.1399999999999999</v>
      </c>
      <c r="AB136" s="135">
        <f t="shared" si="52"/>
        <v>1.1399999999999999</v>
      </c>
      <c r="AC136" s="135">
        <f t="shared" si="52"/>
        <v>1.1399999999999999</v>
      </c>
      <c r="AD136" s="135">
        <f t="shared" si="52"/>
        <v>1.1399999999999999</v>
      </c>
      <c r="AE136" s="135">
        <f t="shared" si="52"/>
        <v>1.1399999999999999</v>
      </c>
      <c r="AF136" s="135">
        <f t="shared" si="52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50"/>
        <v>0.82</v>
      </c>
      <c r="C137" s="136">
        <v>0.82</v>
      </c>
      <c r="D137" s="135">
        <f t="shared" si="51"/>
        <v>0.82</v>
      </c>
      <c r="E137" s="135">
        <f t="shared" si="51"/>
        <v>0.82</v>
      </c>
      <c r="F137" s="135">
        <f t="shared" si="51"/>
        <v>0.82</v>
      </c>
      <c r="G137" s="135">
        <f t="shared" si="51"/>
        <v>0.82</v>
      </c>
      <c r="H137" s="135">
        <f t="shared" si="51"/>
        <v>0.82</v>
      </c>
      <c r="I137" s="135">
        <f t="shared" si="51"/>
        <v>0.82</v>
      </c>
      <c r="J137" s="135">
        <f t="shared" si="51"/>
        <v>0.82</v>
      </c>
      <c r="K137" s="135">
        <f t="shared" si="51"/>
        <v>0.82</v>
      </c>
      <c r="L137" s="135">
        <f t="shared" si="51"/>
        <v>0.82</v>
      </c>
      <c r="M137" s="135">
        <f t="shared" si="51"/>
        <v>0.82</v>
      </c>
      <c r="N137" s="135">
        <f t="shared" si="51"/>
        <v>0.82</v>
      </c>
      <c r="O137" s="135">
        <f t="shared" si="51"/>
        <v>0.82</v>
      </c>
      <c r="P137" s="135">
        <f t="shared" si="51"/>
        <v>0.82</v>
      </c>
      <c r="Q137" s="135">
        <f t="shared" si="51"/>
        <v>0.82</v>
      </c>
      <c r="R137" s="135">
        <f t="shared" si="51"/>
        <v>0.82</v>
      </c>
      <c r="S137" s="135">
        <f t="shared" si="51"/>
        <v>0.82</v>
      </c>
      <c r="T137" s="135">
        <f t="shared" si="52"/>
        <v>0.82</v>
      </c>
      <c r="U137" s="135">
        <f t="shared" si="52"/>
        <v>0.82</v>
      </c>
      <c r="V137" s="135">
        <f t="shared" si="52"/>
        <v>0.82</v>
      </c>
      <c r="W137" s="135">
        <f t="shared" si="52"/>
        <v>0.82</v>
      </c>
      <c r="X137" s="135">
        <f t="shared" si="52"/>
        <v>0.82</v>
      </c>
      <c r="Y137" s="135">
        <f t="shared" si="52"/>
        <v>0.82</v>
      </c>
      <c r="Z137" s="135">
        <f t="shared" si="52"/>
        <v>0.82</v>
      </c>
      <c r="AA137" s="135">
        <f t="shared" si="52"/>
        <v>0.82</v>
      </c>
      <c r="AB137" s="135">
        <f t="shared" si="52"/>
        <v>0.82</v>
      </c>
      <c r="AC137" s="135">
        <f t="shared" si="52"/>
        <v>0.82</v>
      </c>
      <c r="AD137" s="135">
        <f t="shared" si="52"/>
        <v>0.82</v>
      </c>
      <c r="AE137" s="135">
        <f t="shared" si="52"/>
        <v>0.82</v>
      </c>
      <c r="AF137" s="135">
        <f t="shared" si="52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53">AF139</f>
        <v>2</v>
      </c>
      <c r="C139" s="136">
        <v>2</v>
      </c>
      <c r="D139" s="135">
        <f t="shared" ref="D139:S145" si="54">C139</f>
        <v>2</v>
      </c>
      <c r="E139" s="135">
        <f t="shared" si="54"/>
        <v>2</v>
      </c>
      <c r="F139" s="135">
        <f t="shared" si="54"/>
        <v>2</v>
      </c>
      <c r="G139" s="135">
        <f t="shared" si="54"/>
        <v>2</v>
      </c>
      <c r="H139" s="135">
        <f t="shared" si="54"/>
        <v>2</v>
      </c>
      <c r="I139" s="135">
        <f t="shared" si="54"/>
        <v>2</v>
      </c>
      <c r="J139" s="135">
        <f t="shared" si="54"/>
        <v>2</v>
      </c>
      <c r="K139" s="135">
        <f t="shared" si="54"/>
        <v>2</v>
      </c>
      <c r="L139" s="135">
        <f t="shared" si="54"/>
        <v>2</v>
      </c>
      <c r="M139" s="135">
        <f t="shared" si="54"/>
        <v>2</v>
      </c>
      <c r="N139" s="135">
        <f t="shared" si="54"/>
        <v>2</v>
      </c>
      <c r="O139" s="135">
        <f t="shared" si="54"/>
        <v>2</v>
      </c>
      <c r="P139" s="135">
        <f t="shared" si="54"/>
        <v>2</v>
      </c>
      <c r="Q139" s="135">
        <f t="shared" si="54"/>
        <v>2</v>
      </c>
      <c r="R139" s="135">
        <f t="shared" si="54"/>
        <v>2</v>
      </c>
      <c r="S139" s="135">
        <f t="shared" si="54"/>
        <v>2</v>
      </c>
      <c r="T139" s="135">
        <f t="shared" ref="T139:AF145" si="55">S139</f>
        <v>2</v>
      </c>
      <c r="U139" s="135">
        <f t="shared" si="55"/>
        <v>2</v>
      </c>
      <c r="V139" s="135">
        <f t="shared" si="55"/>
        <v>2</v>
      </c>
      <c r="W139" s="135">
        <f t="shared" si="55"/>
        <v>2</v>
      </c>
      <c r="X139" s="135">
        <f t="shared" si="55"/>
        <v>2</v>
      </c>
      <c r="Y139" s="135">
        <f t="shared" si="55"/>
        <v>2</v>
      </c>
      <c r="Z139" s="135">
        <f t="shared" si="55"/>
        <v>2</v>
      </c>
      <c r="AA139" s="135">
        <f t="shared" si="55"/>
        <v>2</v>
      </c>
      <c r="AB139" s="135">
        <f t="shared" si="55"/>
        <v>2</v>
      </c>
      <c r="AC139" s="135">
        <f t="shared" si="55"/>
        <v>2</v>
      </c>
      <c r="AD139" s="135">
        <f t="shared" si="55"/>
        <v>2</v>
      </c>
      <c r="AE139" s="135">
        <f t="shared" si="55"/>
        <v>2</v>
      </c>
      <c r="AF139" s="135">
        <f t="shared" si="55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53"/>
        <v>5.61</v>
      </c>
      <c r="C140" s="136">
        <v>5.61</v>
      </c>
      <c r="D140" s="135">
        <f t="shared" si="54"/>
        <v>5.61</v>
      </c>
      <c r="E140" s="135">
        <f t="shared" si="54"/>
        <v>5.61</v>
      </c>
      <c r="F140" s="135">
        <f t="shared" si="54"/>
        <v>5.61</v>
      </c>
      <c r="G140" s="135">
        <f t="shared" si="54"/>
        <v>5.61</v>
      </c>
      <c r="H140" s="135">
        <f t="shared" si="54"/>
        <v>5.61</v>
      </c>
      <c r="I140" s="135">
        <f t="shared" si="54"/>
        <v>5.61</v>
      </c>
      <c r="J140" s="135">
        <f t="shared" si="54"/>
        <v>5.61</v>
      </c>
      <c r="K140" s="135">
        <f t="shared" si="54"/>
        <v>5.61</v>
      </c>
      <c r="L140" s="135">
        <f t="shared" si="54"/>
        <v>5.61</v>
      </c>
      <c r="M140" s="135">
        <f t="shared" si="54"/>
        <v>5.61</v>
      </c>
      <c r="N140" s="135">
        <f t="shared" si="54"/>
        <v>5.61</v>
      </c>
      <c r="O140" s="135">
        <f t="shared" si="54"/>
        <v>5.61</v>
      </c>
      <c r="P140" s="135">
        <f t="shared" si="54"/>
        <v>5.61</v>
      </c>
      <c r="Q140" s="135">
        <f t="shared" si="54"/>
        <v>5.61</v>
      </c>
      <c r="R140" s="135">
        <f t="shared" si="54"/>
        <v>5.61</v>
      </c>
      <c r="S140" s="135">
        <f t="shared" si="54"/>
        <v>5.61</v>
      </c>
      <c r="T140" s="135">
        <f t="shared" si="55"/>
        <v>5.61</v>
      </c>
      <c r="U140" s="135">
        <f t="shared" si="55"/>
        <v>5.61</v>
      </c>
      <c r="V140" s="135">
        <f t="shared" si="55"/>
        <v>5.61</v>
      </c>
      <c r="W140" s="135">
        <f t="shared" si="55"/>
        <v>5.61</v>
      </c>
      <c r="X140" s="135">
        <f t="shared" si="55"/>
        <v>5.61</v>
      </c>
      <c r="Y140" s="135">
        <f t="shared" si="55"/>
        <v>5.61</v>
      </c>
      <c r="Z140" s="135">
        <f t="shared" si="55"/>
        <v>5.61</v>
      </c>
      <c r="AA140" s="135">
        <f t="shared" si="55"/>
        <v>5.61</v>
      </c>
      <c r="AB140" s="135">
        <f t="shared" si="55"/>
        <v>5.61</v>
      </c>
      <c r="AC140" s="135">
        <f t="shared" si="55"/>
        <v>5.61</v>
      </c>
      <c r="AD140" s="135">
        <f t="shared" si="55"/>
        <v>5.61</v>
      </c>
      <c r="AE140" s="135">
        <f t="shared" si="55"/>
        <v>5.61</v>
      </c>
      <c r="AF140" s="135">
        <f t="shared" si="55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53"/>
        <v>1.25</v>
      </c>
      <c r="C141" s="136">
        <v>1.25</v>
      </c>
      <c r="D141" s="135">
        <f t="shared" si="54"/>
        <v>1.25</v>
      </c>
      <c r="E141" s="135">
        <f t="shared" si="54"/>
        <v>1.25</v>
      </c>
      <c r="F141" s="135">
        <f t="shared" si="54"/>
        <v>1.25</v>
      </c>
      <c r="G141" s="135">
        <f t="shared" si="54"/>
        <v>1.25</v>
      </c>
      <c r="H141" s="135">
        <f t="shared" si="54"/>
        <v>1.25</v>
      </c>
      <c r="I141" s="135">
        <f t="shared" si="54"/>
        <v>1.25</v>
      </c>
      <c r="J141" s="135">
        <f t="shared" si="54"/>
        <v>1.25</v>
      </c>
      <c r="K141" s="135">
        <f t="shared" si="54"/>
        <v>1.25</v>
      </c>
      <c r="L141" s="135">
        <f t="shared" si="54"/>
        <v>1.25</v>
      </c>
      <c r="M141" s="135">
        <f t="shared" si="54"/>
        <v>1.25</v>
      </c>
      <c r="N141" s="135">
        <f t="shared" si="54"/>
        <v>1.25</v>
      </c>
      <c r="O141" s="135">
        <f t="shared" si="54"/>
        <v>1.25</v>
      </c>
      <c r="P141" s="135">
        <f t="shared" si="54"/>
        <v>1.25</v>
      </c>
      <c r="Q141" s="135">
        <f t="shared" si="54"/>
        <v>1.25</v>
      </c>
      <c r="R141" s="135">
        <f t="shared" si="54"/>
        <v>1.25</v>
      </c>
      <c r="S141" s="135">
        <f t="shared" si="54"/>
        <v>1.25</v>
      </c>
      <c r="T141" s="135">
        <f t="shared" si="55"/>
        <v>1.25</v>
      </c>
      <c r="U141" s="135">
        <f t="shared" si="55"/>
        <v>1.25</v>
      </c>
      <c r="V141" s="135">
        <f t="shared" si="55"/>
        <v>1.25</v>
      </c>
      <c r="W141" s="135">
        <f t="shared" si="55"/>
        <v>1.25</v>
      </c>
      <c r="X141" s="135">
        <f t="shared" si="55"/>
        <v>1.25</v>
      </c>
      <c r="Y141" s="135">
        <f t="shared" si="55"/>
        <v>1.25</v>
      </c>
      <c r="Z141" s="135">
        <f t="shared" si="55"/>
        <v>1.25</v>
      </c>
      <c r="AA141" s="135">
        <f t="shared" si="55"/>
        <v>1.25</v>
      </c>
      <c r="AB141" s="135">
        <f t="shared" si="55"/>
        <v>1.25</v>
      </c>
      <c r="AC141" s="135">
        <f t="shared" si="55"/>
        <v>1.25</v>
      </c>
      <c r="AD141" s="135">
        <f t="shared" si="55"/>
        <v>1.25</v>
      </c>
      <c r="AE141" s="135">
        <f t="shared" si="55"/>
        <v>1.25</v>
      </c>
      <c r="AF141" s="135">
        <f t="shared" si="55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53"/>
        <v>1.25</v>
      </c>
      <c r="C142" s="136">
        <v>1.25</v>
      </c>
      <c r="D142" s="135">
        <f t="shared" si="54"/>
        <v>1.25</v>
      </c>
      <c r="E142" s="135">
        <f t="shared" si="54"/>
        <v>1.25</v>
      </c>
      <c r="F142" s="135">
        <f t="shared" si="54"/>
        <v>1.25</v>
      </c>
      <c r="G142" s="135">
        <f t="shared" si="54"/>
        <v>1.25</v>
      </c>
      <c r="H142" s="135">
        <f t="shared" si="54"/>
        <v>1.25</v>
      </c>
      <c r="I142" s="135">
        <f t="shared" si="54"/>
        <v>1.25</v>
      </c>
      <c r="J142" s="135">
        <f t="shared" si="54"/>
        <v>1.25</v>
      </c>
      <c r="K142" s="135">
        <f t="shared" si="54"/>
        <v>1.25</v>
      </c>
      <c r="L142" s="135">
        <f t="shared" si="54"/>
        <v>1.25</v>
      </c>
      <c r="M142" s="135">
        <f t="shared" si="54"/>
        <v>1.25</v>
      </c>
      <c r="N142" s="135">
        <f t="shared" si="54"/>
        <v>1.25</v>
      </c>
      <c r="O142" s="135">
        <f t="shared" si="54"/>
        <v>1.25</v>
      </c>
      <c r="P142" s="135">
        <f t="shared" si="54"/>
        <v>1.25</v>
      </c>
      <c r="Q142" s="135">
        <f t="shared" si="54"/>
        <v>1.25</v>
      </c>
      <c r="R142" s="135">
        <f t="shared" si="54"/>
        <v>1.25</v>
      </c>
      <c r="S142" s="135">
        <f t="shared" si="54"/>
        <v>1.25</v>
      </c>
      <c r="T142" s="135">
        <f t="shared" si="55"/>
        <v>1.25</v>
      </c>
      <c r="U142" s="135">
        <f t="shared" si="55"/>
        <v>1.25</v>
      </c>
      <c r="V142" s="135">
        <f t="shared" si="55"/>
        <v>1.25</v>
      </c>
      <c r="W142" s="135">
        <f t="shared" si="55"/>
        <v>1.25</v>
      </c>
      <c r="X142" s="135">
        <f t="shared" si="55"/>
        <v>1.25</v>
      </c>
      <c r="Y142" s="135">
        <f t="shared" si="55"/>
        <v>1.25</v>
      </c>
      <c r="Z142" s="135">
        <f t="shared" si="55"/>
        <v>1.25</v>
      </c>
      <c r="AA142" s="135">
        <f t="shared" si="55"/>
        <v>1.25</v>
      </c>
      <c r="AB142" s="135">
        <f t="shared" si="55"/>
        <v>1.25</v>
      </c>
      <c r="AC142" s="135">
        <f t="shared" si="55"/>
        <v>1.25</v>
      </c>
      <c r="AD142" s="135">
        <f t="shared" si="55"/>
        <v>1.25</v>
      </c>
      <c r="AE142" s="135">
        <f t="shared" si="55"/>
        <v>1.25</v>
      </c>
      <c r="AF142" s="135">
        <f t="shared" si="55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53"/>
        <v>1.46</v>
      </c>
      <c r="C143" s="136">
        <v>1.46</v>
      </c>
      <c r="D143" s="135">
        <f t="shared" si="54"/>
        <v>1.46</v>
      </c>
      <c r="E143" s="135">
        <f t="shared" si="54"/>
        <v>1.46</v>
      </c>
      <c r="F143" s="135">
        <f t="shared" si="54"/>
        <v>1.46</v>
      </c>
      <c r="G143" s="135">
        <f t="shared" si="54"/>
        <v>1.46</v>
      </c>
      <c r="H143" s="135">
        <f t="shared" si="54"/>
        <v>1.46</v>
      </c>
      <c r="I143" s="135">
        <f t="shared" si="54"/>
        <v>1.46</v>
      </c>
      <c r="J143" s="135">
        <f t="shared" si="54"/>
        <v>1.46</v>
      </c>
      <c r="K143" s="135">
        <f t="shared" si="54"/>
        <v>1.46</v>
      </c>
      <c r="L143" s="135">
        <f t="shared" si="54"/>
        <v>1.46</v>
      </c>
      <c r="M143" s="135">
        <f t="shared" si="54"/>
        <v>1.46</v>
      </c>
      <c r="N143" s="135">
        <f t="shared" si="54"/>
        <v>1.46</v>
      </c>
      <c r="O143" s="135">
        <f t="shared" si="54"/>
        <v>1.46</v>
      </c>
      <c r="P143" s="135">
        <f t="shared" si="54"/>
        <v>1.46</v>
      </c>
      <c r="Q143" s="135">
        <f t="shared" si="54"/>
        <v>1.46</v>
      </c>
      <c r="R143" s="135">
        <f t="shared" si="54"/>
        <v>1.46</v>
      </c>
      <c r="S143" s="135">
        <f t="shared" si="54"/>
        <v>1.46</v>
      </c>
      <c r="T143" s="135">
        <f t="shared" si="55"/>
        <v>1.46</v>
      </c>
      <c r="U143" s="135">
        <f t="shared" si="55"/>
        <v>1.46</v>
      </c>
      <c r="V143" s="135">
        <f t="shared" si="55"/>
        <v>1.46</v>
      </c>
      <c r="W143" s="135">
        <f t="shared" si="55"/>
        <v>1.46</v>
      </c>
      <c r="X143" s="135">
        <f t="shared" si="55"/>
        <v>1.46</v>
      </c>
      <c r="Y143" s="135">
        <f t="shared" si="55"/>
        <v>1.46</v>
      </c>
      <c r="Z143" s="135">
        <f t="shared" si="55"/>
        <v>1.46</v>
      </c>
      <c r="AA143" s="135">
        <f t="shared" si="55"/>
        <v>1.46</v>
      </c>
      <c r="AB143" s="135">
        <f t="shared" si="55"/>
        <v>1.46</v>
      </c>
      <c r="AC143" s="135">
        <f t="shared" si="55"/>
        <v>1.46</v>
      </c>
      <c r="AD143" s="135">
        <f t="shared" si="55"/>
        <v>1.46</v>
      </c>
      <c r="AE143" s="135">
        <f t="shared" si="55"/>
        <v>1.46</v>
      </c>
      <c r="AF143" s="135">
        <f t="shared" si="55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53"/>
        <v>3</v>
      </c>
      <c r="C144" s="136">
        <v>3</v>
      </c>
      <c r="D144" s="135">
        <f t="shared" si="54"/>
        <v>3</v>
      </c>
      <c r="E144" s="135">
        <f t="shared" si="54"/>
        <v>3</v>
      </c>
      <c r="F144" s="135">
        <f t="shared" si="54"/>
        <v>3</v>
      </c>
      <c r="G144" s="135">
        <f t="shared" si="54"/>
        <v>3</v>
      </c>
      <c r="H144" s="135">
        <f t="shared" si="54"/>
        <v>3</v>
      </c>
      <c r="I144" s="135">
        <f t="shared" si="54"/>
        <v>3</v>
      </c>
      <c r="J144" s="135">
        <f t="shared" si="54"/>
        <v>3</v>
      </c>
      <c r="K144" s="135">
        <f t="shared" si="54"/>
        <v>3</v>
      </c>
      <c r="L144" s="135">
        <f t="shared" si="54"/>
        <v>3</v>
      </c>
      <c r="M144" s="135">
        <f t="shared" si="54"/>
        <v>3</v>
      </c>
      <c r="N144" s="135">
        <f t="shared" si="54"/>
        <v>3</v>
      </c>
      <c r="O144" s="135">
        <f t="shared" si="54"/>
        <v>3</v>
      </c>
      <c r="P144" s="135">
        <f t="shared" si="54"/>
        <v>3</v>
      </c>
      <c r="Q144" s="135">
        <f t="shared" si="54"/>
        <v>3</v>
      </c>
      <c r="R144" s="135">
        <f t="shared" si="54"/>
        <v>3</v>
      </c>
      <c r="S144" s="135">
        <f t="shared" si="54"/>
        <v>3</v>
      </c>
      <c r="T144" s="135">
        <f t="shared" si="55"/>
        <v>3</v>
      </c>
      <c r="U144" s="135">
        <f t="shared" si="55"/>
        <v>3</v>
      </c>
      <c r="V144" s="135">
        <f t="shared" si="55"/>
        <v>3</v>
      </c>
      <c r="W144" s="135">
        <f t="shared" si="55"/>
        <v>3</v>
      </c>
      <c r="X144" s="135">
        <f t="shared" si="55"/>
        <v>3</v>
      </c>
      <c r="Y144" s="135">
        <f t="shared" si="55"/>
        <v>3</v>
      </c>
      <c r="Z144" s="135">
        <f t="shared" si="55"/>
        <v>3</v>
      </c>
      <c r="AA144" s="135">
        <f t="shared" si="55"/>
        <v>3</v>
      </c>
      <c r="AB144" s="135">
        <f t="shared" si="55"/>
        <v>3</v>
      </c>
      <c r="AC144" s="135">
        <f t="shared" si="55"/>
        <v>3</v>
      </c>
      <c r="AD144" s="135">
        <f t="shared" si="55"/>
        <v>3</v>
      </c>
      <c r="AE144" s="135">
        <f t="shared" si="55"/>
        <v>3</v>
      </c>
      <c r="AF144" s="135">
        <f t="shared" si="55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53"/>
        <v>3.3</v>
      </c>
      <c r="C145" s="136">
        <v>3.3</v>
      </c>
      <c r="D145" s="135">
        <f t="shared" si="54"/>
        <v>3.3</v>
      </c>
      <c r="E145" s="135">
        <f t="shared" si="54"/>
        <v>3.3</v>
      </c>
      <c r="F145" s="135">
        <f t="shared" si="54"/>
        <v>3.3</v>
      </c>
      <c r="G145" s="135">
        <f t="shared" si="54"/>
        <v>3.3</v>
      </c>
      <c r="H145" s="135">
        <f t="shared" si="54"/>
        <v>3.3</v>
      </c>
      <c r="I145" s="135">
        <f t="shared" si="54"/>
        <v>3.3</v>
      </c>
      <c r="J145" s="135">
        <f t="shared" si="54"/>
        <v>3.3</v>
      </c>
      <c r="K145" s="135">
        <f t="shared" si="54"/>
        <v>3.3</v>
      </c>
      <c r="L145" s="135">
        <f t="shared" si="54"/>
        <v>3.3</v>
      </c>
      <c r="M145" s="135">
        <f t="shared" si="54"/>
        <v>3.3</v>
      </c>
      <c r="N145" s="135">
        <f t="shared" si="54"/>
        <v>3.3</v>
      </c>
      <c r="O145" s="135">
        <f t="shared" si="54"/>
        <v>3.3</v>
      </c>
      <c r="P145" s="135">
        <f t="shared" si="54"/>
        <v>3.3</v>
      </c>
      <c r="Q145" s="135">
        <f t="shared" si="54"/>
        <v>3.3</v>
      </c>
      <c r="R145" s="135">
        <f t="shared" si="54"/>
        <v>3.3</v>
      </c>
      <c r="S145" s="135">
        <f t="shared" si="54"/>
        <v>3.3</v>
      </c>
      <c r="T145" s="135">
        <f t="shared" si="55"/>
        <v>3.3</v>
      </c>
      <c r="U145" s="135">
        <f t="shared" si="55"/>
        <v>3.3</v>
      </c>
      <c r="V145" s="135">
        <f t="shared" si="55"/>
        <v>3.3</v>
      </c>
      <c r="W145" s="135">
        <f t="shared" si="55"/>
        <v>3.3</v>
      </c>
      <c r="X145" s="135">
        <f t="shared" si="55"/>
        <v>3.3</v>
      </c>
      <c r="Y145" s="135">
        <f t="shared" si="55"/>
        <v>3.3</v>
      </c>
      <c r="Z145" s="135">
        <f t="shared" si="55"/>
        <v>3.3</v>
      </c>
      <c r="AA145" s="135">
        <f t="shared" si="55"/>
        <v>3.3</v>
      </c>
      <c r="AB145" s="135">
        <f t="shared" si="55"/>
        <v>3.3</v>
      </c>
      <c r="AC145" s="135">
        <f t="shared" si="55"/>
        <v>3.3</v>
      </c>
      <c r="AD145" s="135">
        <f t="shared" si="55"/>
        <v>3.3</v>
      </c>
      <c r="AE145" s="135">
        <f t="shared" si="55"/>
        <v>3.3</v>
      </c>
      <c r="AF145" s="135">
        <f t="shared" si="55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56">C147</f>
        <v>1.76</v>
      </c>
      <c r="E147" s="135">
        <f t="shared" si="56"/>
        <v>1.76</v>
      </c>
      <c r="F147" s="135">
        <f t="shared" si="56"/>
        <v>1.76</v>
      </c>
      <c r="G147" s="135">
        <f t="shared" si="56"/>
        <v>1.76</v>
      </c>
      <c r="H147" s="135">
        <f t="shared" si="56"/>
        <v>1.76</v>
      </c>
      <c r="I147" s="135">
        <f t="shared" si="56"/>
        <v>1.76</v>
      </c>
      <c r="J147" s="135">
        <f t="shared" si="56"/>
        <v>1.76</v>
      </c>
      <c r="K147" s="135">
        <f t="shared" si="56"/>
        <v>1.76</v>
      </c>
      <c r="L147" s="135">
        <f t="shared" si="56"/>
        <v>1.76</v>
      </c>
      <c r="M147" s="135">
        <f t="shared" si="56"/>
        <v>1.76</v>
      </c>
      <c r="N147" s="135">
        <f t="shared" si="56"/>
        <v>1.76</v>
      </c>
      <c r="O147" s="135">
        <f t="shared" si="56"/>
        <v>1.76</v>
      </c>
      <c r="P147" s="135">
        <f t="shared" si="56"/>
        <v>1.76</v>
      </c>
      <c r="Q147" s="135">
        <f t="shared" si="56"/>
        <v>1.76</v>
      </c>
      <c r="R147" s="135">
        <f t="shared" si="56"/>
        <v>1.76</v>
      </c>
      <c r="S147" s="135">
        <f t="shared" si="56"/>
        <v>1.76</v>
      </c>
      <c r="T147" s="135">
        <f t="shared" ref="T147:AF148" si="57">S147</f>
        <v>1.76</v>
      </c>
      <c r="U147" s="135">
        <f t="shared" si="57"/>
        <v>1.76</v>
      </c>
      <c r="V147" s="135">
        <f t="shared" si="57"/>
        <v>1.76</v>
      </c>
      <c r="W147" s="135">
        <f t="shared" si="57"/>
        <v>1.76</v>
      </c>
      <c r="X147" s="135">
        <f t="shared" si="57"/>
        <v>1.76</v>
      </c>
      <c r="Y147" s="135">
        <f t="shared" si="57"/>
        <v>1.76</v>
      </c>
      <c r="Z147" s="135">
        <f t="shared" si="57"/>
        <v>1.76</v>
      </c>
      <c r="AA147" s="135">
        <f t="shared" si="57"/>
        <v>1.76</v>
      </c>
      <c r="AB147" s="135">
        <f t="shared" si="57"/>
        <v>1.76</v>
      </c>
      <c r="AC147" s="135">
        <f t="shared" si="57"/>
        <v>1.76</v>
      </c>
      <c r="AD147" s="135">
        <f t="shared" si="57"/>
        <v>1.76</v>
      </c>
      <c r="AE147" s="135">
        <f t="shared" si="57"/>
        <v>1.76</v>
      </c>
      <c r="AF147" s="135">
        <f t="shared" si="57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56"/>
        <v>0</v>
      </c>
      <c r="E148" s="135">
        <f t="shared" si="56"/>
        <v>0</v>
      </c>
      <c r="F148" s="135">
        <f t="shared" si="56"/>
        <v>0</v>
      </c>
      <c r="G148" s="135">
        <f t="shared" si="56"/>
        <v>0</v>
      </c>
      <c r="H148" s="135">
        <f t="shared" si="56"/>
        <v>0</v>
      </c>
      <c r="I148" s="135">
        <f t="shared" si="56"/>
        <v>0</v>
      </c>
      <c r="J148" s="135">
        <f t="shared" si="56"/>
        <v>0</v>
      </c>
      <c r="K148" s="135">
        <f t="shared" si="56"/>
        <v>0</v>
      </c>
      <c r="L148" s="135">
        <f t="shared" si="56"/>
        <v>0</v>
      </c>
      <c r="M148" s="135">
        <f t="shared" si="56"/>
        <v>0</v>
      </c>
      <c r="N148" s="135">
        <f t="shared" si="56"/>
        <v>0</v>
      </c>
      <c r="O148" s="135">
        <f t="shared" si="56"/>
        <v>0</v>
      </c>
      <c r="P148" s="135">
        <f t="shared" si="56"/>
        <v>0</v>
      </c>
      <c r="Q148" s="135">
        <f t="shared" si="56"/>
        <v>0</v>
      </c>
      <c r="R148" s="135">
        <f t="shared" si="56"/>
        <v>0</v>
      </c>
      <c r="S148" s="135">
        <f t="shared" si="56"/>
        <v>0</v>
      </c>
      <c r="T148" s="135">
        <f t="shared" si="57"/>
        <v>0</v>
      </c>
      <c r="U148" s="135">
        <f t="shared" si="57"/>
        <v>0</v>
      </c>
      <c r="V148" s="135">
        <f t="shared" si="57"/>
        <v>0</v>
      </c>
      <c r="W148" s="135">
        <f t="shared" si="57"/>
        <v>0</v>
      </c>
      <c r="X148" s="135">
        <f t="shared" si="57"/>
        <v>0</v>
      </c>
      <c r="Y148" s="135">
        <f t="shared" si="57"/>
        <v>0</v>
      </c>
      <c r="Z148" s="135">
        <f t="shared" si="57"/>
        <v>0</v>
      </c>
      <c r="AA148" s="135">
        <f t="shared" si="57"/>
        <v>0</v>
      </c>
      <c r="AB148" s="135">
        <f t="shared" si="57"/>
        <v>0</v>
      </c>
      <c r="AC148" s="135">
        <f t="shared" si="57"/>
        <v>0</v>
      </c>
      <c r="AD148" s="135">
        <f t="shared" si="57"/>
        <v>0</v>
      </c>
      <c r="AE148" s="135">
        <f t="shared" si="57"/>
        <v>0</v>
      </c>
      <c r="AF148" s="135">
        <f t="shared" si="57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58">C150</f>
        <v>0.1</v>
      </c>
      <c r="E150" s="135">
        <f t="shared" si="58"/>
        <v>0.1</v>
      </c>
      <c r="F150" s="135">
        <f t="shared" si="58"/>
        <v>0.1</v>
      </c>
      <c r="G150" s="135">
        <f t="shared" si="58"/>
        <v>0.1</v>
      </c>
      <c r="H150" s="135">
        <f t="shared" si="58"/>
        <v>0.1</v>
      </c>
      <c r="I150" s="135">
        <f t="shared" si="58"/>
        <v>0.1</v>
      </c>
      <c r="J150" s="135">
        <f t="shared" si="58"/>
        <v>0.1</v>
      </c>
      <c r="K150" s="135">
        <f t="shared" si="58"/>
        <v>0.1</v>
      </c>
      <c r="L150" s="135">
        <f t="shared" si="58"/>
        <v>0.1</v>
      </c>
      <c r="M150" s="135">
        <f t="shared" si="58"/>
        <v>0.1</v>
      </c>
      <c r="N150" s="135">
        <f t="shared" si="58"/>
        <v>0.1</v>
      </c>
      <c r="O150" s="135">
        <f t="shared" si="58"/>
        <v>0.1</v>
      </c>
      <c r="P150" s="135">
        <f t="shared" si="58"/>
        <v>0.1</v>
      </c>
      <c r="Q150" s="135">
        <f t="shared" si="58"/>
        <v>0.1</v>
      </c>
      <c r="R150" s="135">
        <f t="shared" si="58"/>
        <v>0.1</v>
      </c>
      <c r="S150" s="135">
        <f t="shared" si="58"/>
        <v>0.1</v>
      </c>
      <c r="T150" s="135">
        <f t="shared" ref="T150:AF153" si="59">S150</f>
        <v>0.1</v>
      </c>
      <c r="U150" s="135">
        <f t="shared" si="59"/>
        <v>0.1</v>
      </c>
      <c r="V150" s="135">
        <f t="shared" si="59"/>
        <v>0.1</v>
      </c>
      <c r="W150" s="135">
        <f t="shared" si="59"/>
        <v>0.1</v>
      </c>
      <c r="X150" s="135">
        <f t="shared" si="59"/>
        <v>0.1</v>
      </c>
      <c r="Y150" s="135">
        <f t="shared" si="59"/>
        <v>0.1</v>
      </c>
      <c r="Z150" s="135">
        <f t="shared" si="59"/>
        <v>0.1</v>
      </c>
      <c r="AA150" s="135">
        <f t="shared" si="59"/>
        <v>0.1</v>
      </c>
      <c r="AB150" s="135">
        <f t="shared" si="59"/>
        <v>0.1</v>
      </c>
      <c r="AC150" s="135">
        <f t="shared" si="59"/>
        <v>0.1</v>
      </c>
      <c r="AD150" s="135">
        <f t="shared" si="59"/>
        <v>0.1</v>
      </c>
      <c r="AE150" s="135">
        <f t="shared" si="59"/>
        <v>0.1</v>
      </c>
      <c r="AF150" s="135">
        <f t="shared" si="59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58"/>
        <v>2.0499999999999998</v>
      </c>
      <c r="E151" s="135">
        <f t="shared" si="58"/>
        <v>2.0499999999999998</v>
      </c>
      <c r="F151" s="135">
        <f t="shared" si="58"/>
        <v>2.0499999999999998</v>
      </c>
      <c r="G151" s="135">
        <f t="shared" si="58"/>
        <v>2.0499999999999998</v>
      </c>
      <c r="H151" s="135">
        <f t="shared" si="58"/>
        <v>2.0499999999999998</v>
      </c>
      <c r="I151" s="135">
        <f t="shared" si="58"/>
        <v>2.0499999999999998</v>
      </c>
      <c r="J151" s="135">
        <f t="shared" si="58"/>
        <v>2.0499999999999998</v>
      </c>
      <c r="K151" s="135">
        <f t="shared" si="58"/>
        <v>2.0499999999999998</v>
      </c>
      <c r="L151" s="135">
        <f t="shared" si="58"/>
        <v>2.0499999999999998</v>
      </c>
      <c r="M151" s="135">
        <f t="shared" si="58"/>
        <v>2.0499999999999998</v>
      </c>
      <c r="N151" s="135">
        <f t="shared" si="58"/>
        <v>2.0499999999999998</v>
      </c>
      <c r="O151" s="135">
        <f t="shared" si="58"/>
        <v>2.0499999999999998</v>
      </c>
      <c r="P151" s="135">
        <f t="shared" si="58"/>
        <v>2.0499999999999998</v>
      </c>
      <c r="Q151" s="135">
        <f t="shared" si="58"/>
        <v>2.0499999999999998</v>
      </c>
      <c r="R151" s="135">
        <f t="shared" si="58"/>
        <v>2.0499999999999998</v>
      </c>
      <c r="S151" s="135">
        <f t="shared" si="58"/>
        <v>2.0499999999999998</v>
      </c>
      <c r="T151" s="135">
        <f t="shared" si="59"/>
        <v>2.0499999999999998</v>
      </c>
      <c r="U151" s="135">
        <f t="shared" si="59"/>
        <v>2.0499999999999998</v>
      </c>
      <c r="V151" s="135">
        <f t="shared" si="59"/>
        <v>2.0499999999999998</v>
      </c>
      <c r="W151" s="135">
        <f t="shared" si="59"/>
        <v>2.0499999999999998</v>
      </c>
      <c r="X151" s="135">
        <f t="shared" si="59"/>
        <v>2.0499999999999998</v>
      </c>
      <c r="Y151" s="135">
        <f t="shared" si="59"/>
        <v>2.0499999999999998</v>
      </c>
      <c r="Z151" s="135">
        <f t="shared" si="59"/>
        <v>2.0499999999999998</v>
      </c>
      <c r="AA151" s="135">
        <f t="shared" si="59"/>
        <v>2.0499999999999998</v>
      </c>
      <c r="AB151" s="135">
        <f t="shared" si="59"/>
        <v>2.0499999999999998</v>
      </c>
      <c r="AC151" s="135">
        <f t="shared" si="59"/>
        <v>2.0499999999999998</v>
      </c>
      <c r="AD151" s="135">
        <f t="shared" si="59"/>
        <v>2.0499999999999998</v>
      </c>
      <c r="AE151" s="135">
        <f t="shared" si="59"/>
        <v>2.0499999999999998</v>
      </c>
      <c r="AF151" s="135">
        <f t="shared" si="59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58"/>
        <v>2.7</v>
      </c>
      <c r="E152" s="135">
        <f t="shared" si="58"/>
        <v>2.7</v>
      </c>
      <c r="F152" s="135">
        <f t="shared" si="58"/>
        <v>2.7</v>
      </c>
      <c r="G152" s="135">
        <f t="shared" si="58"/>
        <v>2.7</v>
      </c>
      <c r="H152" s="135">
        <f t="shared" si="58"/>
        <v>2.7</v>
      </c>
      <c r="I152" s="135">
        <f t="shared" si="58"/>
        <v>2.7</v>
      </c>
      <c r="J152" s="135">
        <f t="shared" si="58"/>
        <v>2.7</v>
      </c>
      <c r="K152" s="135">
        <f t="shared" si="58"/>
        <v>2.7</v>
      </c>
      <c r="L152" s="135">
        <f t="shared" si="58"/>
        <v>2.7</v>
      </c>
      <c r="M152" s="135">
        <f t="shared" si="58"/>
        <v>2.7</v>
      </c>
      <c r="N152" s="135">
        <f t="shared" si="58"/>
        <v>2.7</v>
      </c>
      <c r="O152" s="135">
        <f t="shared" si="58"/>
        <v>2.7</v>
      </c>
      <c r="P152" s="135">
        <f t="shared" si="58"/>
        <v>2.7</v>
      </c>
      <c r="Q152" s="135">
        <f t="shared" si="58"/>
        <v>2.7</v>
      </c>
      <c r="R152" s="135">
        <f t="shared" si="58"/>
        <v>2.7</v>
      </c>
      <c r="S152" s="135">
        <f t="shared" si="58"/>
        <v>2.7</v>
      </c>
      <c r="T152" s="135">
        <f t="shared" si="59"/>
        <v>2.7</v>
      </c>
      <c r="U152" s="135">
        <f t="shared" si="59"/>
        <v>2.7</v>
      </c>
      <c r="V152" s="135">
        <f t="shared" si="59"/>
        <v>2.7</v>
      </c>
      <c r="W152" s="135">
        <f t="shared" si="59"/>
        <v>2.7</v>
      </c>
      <c r="X152" s="135">
        <f t="shared" si="59"/>
        <v>2.7</v>
      </c>
      <c r="Y152" s="135">
        <f t="shared" si="59"/>
        <v>2.7</v>
      </c>
      <c r="Z152" s="135">
        <f t="shared" si="59"/>
        <v>2.7</v>
      </c>
      <c r="AA152" s="135">
        <f t="shared" si="59"/>
        <v>2.7</v>
      </c>
      <c r="AB152" s="135">
        <f t="shared" si="59"/>
        <v>2.7</v>
      </c>
      <c r="AC152" s="135">
        <f t="shared" si="59"/>
        <v>2.7</v>
      </c>
      <c r="AD152" s="135">
        <f t="shared" si="59"/>
        <v>2.7</v>
      </c>
      <c r="AE152" s="135">
        <f t="shared" si="59"/>
        <v>2.7</v>
      </c>
      <c r="AF152" s="135">
        <f t="shared" si="59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58"/>
        <v>2.15</v>
      </c>
      <c r="E153" s="135">
        <f t="shared" si="58"/>
        <v>2.15</v>
      </c>
      <c r="F153" s="135">
        <f t="shared" si="58"/>
        <v>2.15</v>
      </c>
      <c r="G153" s="135">
        <f t="shared" si="58"/>
        <v>2.15</v>
      </c>
      <c r="H153" s="135">
        <f t="shared" si="58"/>
        <v>2.15</v>
      </c>
      <c r="I153" s="135">
        <f t="shared" si="58"/>
        <v>2.15</v>
      </c>
      <c r="J153" s="135">
        <f t="shared" si="58"/>
        <v>2.15</v>
      </c>
      <c r="K153" s="135">
        <f t="shared" si="58"/>
        <v>2.15</v>
      </c>
      <c r="L153" s="135">
        <f t="shared" si="58"/>
        <v>2.15</v>
      </c>
      <c r="M153" s="135">
        <f t="shared" si="58"/>
        <v>2.15</v>
      </c>
      <c r="N153" s="135">
        <f t="shared" si="58"/>
        <v>2.15</v>
      </c>
      <c r="O153" s="135">
        <f t="shared" si="58"/>
        <v>2.15</v>
      </c>
      <c r="P153" s="135">
        <f t="shared" si="58"/>
        <v>2.15</v>
      </c>
      <c r="Q153" s="135">
        <f t="shared" si="58"/>
        <v>2.15</v>
      </c>
      <c r="R153" s="135">
        <f t="shared" si="58"/>
        <v>2.15</v>
      </c>
      <c r="S153" s="135">
        <f t="shared" si="58"/>
        <v>2.15</v>
      </c>
      <c r="T153" s="135">
        <f t="shared" si="59"/>
        <v>2.15</v>
      </c>
      <c r="U153" s="135">
        <f t="shared" si="59"/>
        <v>2.15</v>
      </c>
      <c r="V153" s="135">
        <f t="shared" si="59"/>
        <v>2.15</v>
      </c>
      <c r="W153" s="135">
        <f t="shared" si="59"/>
        <v>2.15</v>
      </c>
      <c r="X153" s="135">
        <f t="shared" si="59"/>
        <v>2.15</v>
      </c>
      <c r="Y153" s="135">
        <f t="shared" si="59"/>
        <v>2.15</v>
      </c>
      <c r="Z153" s="135">
        <f t="shared" si="59"/>
        <v>2.15</v>
      </c>
      <c r="AA153" s="135">
        <f t="shared" si="59"/>
        <v>2.15</v>
      </c>
      <c r="AB153" s="135">
        <f t="shared" si="59"/>
        <v>2.15</v>
      </c>
      <c r="AC153" s="135">
        <f t="shared" si="59"/>
        <v>2.15</v>
      </c>
      <c r="AD153" s="135">
        <f t="shared" si="59"/>
        <v>2.15</v>
      </c>
      <c r="AE153" s="135">
        <f t="shared" si="59"/>
        <v>2.15</v>
      </c>
      <c r="AF153" s="135">
        <f t="shared" si="59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60">AF155</f>
        <v>0.9</v>
      </c>
      <c r="C155" s="136">
        <v>0.9</v>
      </c>
      <c r="D155" s="135">
        <f t="shared" ref="D155:S167" si="61">C155</f>
        <v>0.9</v>
      </c>
      <c r="E155" s="135">
        <f t="shared" si="61"/>
        <v>0.9</v>
      </c>
      <c r="F155" s="135">
        <f t="shared" si="61"/>
        <v>0.9</v>
      </c>
      <c r="G155" s="135">
        <f t="shared" si="61"/>
        <v>0.9</v>
      </c>
      <c r="H155" s="135">
        <f t="shared" si="61"/>
        <v>0.9</v>
      </c>
      <c r="I155" s="135">
        <f t="shared" si="61"/>
        <v>0.9</v>
      </c>
      <c r="J155" s="135">
        <f t="shared" si="61"/>
        <v>0.9</v>
      </c>
      <c r="K155" s="135">
        <f t="shared" si="61"/>
        <v>0.9</v>
      </c>
      <c r="L155" s="135">
        <f t="shared" si="61"/>
        <v>0.9</v>
      </c>
      <c r="M155" s="135">
        <f t="shared" si="61"/>
        <v>0.9</v>
      </c>
      <c r="N155" s="135">
        <f t="shared" si="61"/>
        <v>0.9</v>
      </c>
      <c r="O155" s="135">
        <f t="shared" si="61"/>
        <v>0.9</v>
      </c>
      <c r="P155" s="135">
        <f t="shared" si="61"/>
        <v>0.9</v>
      </c>
      <c r="Q155" s="135">
        <f t="shared" si="61"/>
        <v>0.9</v>
      </c>
      <c r="R155" s="135">
        <f t="shared" si="61"/>
        <v>0.9</v>
      </c>
      <c r="S155" s="135">
        <f t="shared" si="61"/>
        <v>0.9</v>
      </c>
      <c r="T155" s="135">
        <f t="shared" ref="S155:AF167" si="62">S155</f>
        <v>0.9</v>
      </c>
      <c r="U155" s="135">
        <f t="shared" si="62"/>
        <v>0.9</v>
      </c>
      <c r="V155" s="135">
        <f t="shared" si="62"/>
        <v>0.9</v>
      </c>
      <c r="W155" s="135">
        <f t="shared" si="62"/>
        <v>0.9</v>
      </c>
      <c r="X155" s="135">
        <f t="shared" si="62"/>
        <v>0.9</v>
      </c>
      <c r="Y155" s="135">
        <f t="shared" si="62"/>
        <v>0.9</v>
      </c>
      <c r="Z155" s="135">
        <f t="shared" si="62"/>
        <v>0.9</v>
      </c>
      <c r="AA155" s="135">
        <f t="shared" si="62"/>
        <v>0.9</v>
      </c>
      <c r="AB155" s="135">
        <f t="shared" si="62"/>
        <v>0.9</v>
      </c>
      <c r="AC155" s="135">
        <f t="shared" si="62"/>
        <v>0.9</v>
      </c>
      <c r="AD155" s="135">
        <f t="shared" si="62"/>
        <v>0.9</v>
      </c>
      <c r="AE155" s="135">
        <f t="shared" si="62"/>
        <v>0.9</v>
      </c>
      <c r="AF155" s="135">
        <f t="shared" si="62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60"/>
        <v>1.08</v>
      </c>
      <c r="C156" s="136">
        <v>1.08</v>
      </c>
      <c r="D156" s="135">
        <f t="shared" si="61"/>
        <v>1.08</v>
      </c>
      <c r="E156" s="135">
        <f t="shared" si="61"/>
        <v>1.08</v>
      </c>
      <c r="F156" s="135">
        <f t="shared" si="61"/>
        <v>1.08</v>
      </c>
      <c r="G156" s="135">
        <f t="shared" si="61"/>
        <v>1.08</v>
      </c>
      <c r="H156" s="135">
        <f t="shared" si="61"/>
        <v>1.08</v>
      </c>
      <c r="I156" s="135">
        <f t="shared" si="61"/>
        <v>1.08</v>
      </c>
      <c r="J156" s="135">
        <f t="shared" si="61"/>
        <v>1.08</v>
      </c>
      <c r="K156" s="135">
        <f t="shared" si="61"/>
        <v>1.08</v>
      </c>
      <c r="L156" s="135">
        <f t="shared" si="61"/>
        <v>1.08</v>
      </c>
      <c r="M156" s="135">
        <f t="shared" si="61"/>
        <v>1.08</v>
      </c>
      <c r="N156" s="135">
        <f t="shared" si="61"/>
        <v>1.08</v>
      </c>
      <c r="O156" s="135">
        <f t="shared" si="61"/>
        <v>1.08</v>
      </c>
      <c r="P156" s="135">
        <f t="shared" si="61"/>
        <v>1.08</v>
      </c>
      <c r="Q156" s="135">
        <f t="shared" si="61"/>
        <v>1.08</v>
      </c>
      <c r="R156" s="135">
        <f t="shared" si="61"/>
        <v>1.08</v>
      </c>
      <c r="S156" s="135">
        <f t="shared" si="61"/>
        <v>1.08</v>
      </c>
      <c r="T156" s="135">
        <f t="shared" si="62"/>
        <v>1.08</v>
      </c>
      <c r="U156" s="135">
        <f t="shared" si="62"/>
        <v>1.08</v>
      </c>
      <c r="V156" s="135">
        <f t="shared" si="62"/>
        <v>1.08</v>
      </c>
      <c r="W156" s="135">
        <f t="shared" si="62"/>
        <v>1.08</v>
      </c>
      <c r="X156" s="135">
        <f t="shared" si="62"/>
        <v>1.08</v>
      </c>
      <c r="Y156" s="135">
        <f t="shared" si="62"/>
        <v>1.08</v>
      </c>
      <c r="Z156" s="135">
        <f t="shared" si="62"/>
        <v>1.08</v>
      </c>
      <c r="AA156" s="135">
        <f t="shared" si="62"/>
        <v>1.08</v>
      </c>
      <c r="AB156" s="135">
        <f t="shared" si="62"/>
        <v>1.08</v>
      </c>
      <c r="AC156" s="135">
        <f t="shared" si="62"/>
        <v>1.08</v>
      </c>
      <c r="AD156" s="135">
        <f t="shared" si="62"/>
        <v>1.08</v>
      </c>
      <c r="AE156" s="135">
        <f t="shared" si="62"/>
        <v>1.08</v>
      </c>
      <c r="AF156" s="135">
        <f t="shared" si="62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60"/>
        <v>2.37</v>
      </c>
      <c r="C157" s="136">
        <v>2.37</v>
      </c>
      <c r="D157" s="135">
        <f t="shared" si="61"/>
        <v>2.37</v>
      </c>
      <c r="E157" s="135">
        <f t="shared" si="61"/>
        <v>2.37</v>
      </c>
      <c r="F157" s="135">
        <f t="shared" si="61"/>
        <v>2.37</v>
      </c>
      <c r="G157" s="135">
        <f t="shared" si="61"/>
        <v>2.37</v>
      </c>
      <c r="H157" s="135">
        <f t="shared" si="61"/>
        <v>2.37</v>
      </c>
      <c r="I157" s="135">
        <f t="shared" si="61"/>
        <v>2.37</v>
      </c>
      <c r="J157" s="135">
        <f t="shared" si="61"/>
        <v>2.37</v>
      </c>
      <c r="K157" s="135">
        <f t="shared" si="61"/>
        <v>2.37</v>
      </c>
      <c r="L157" s="135">
        <f t="shared" si="61"/>
        <v>2.37</v>
      </c>
      <c r="M157" s="135">
        <f t="shared" si="61"/>
        <v>2.37</v>
      </c>
      <c r="N157" s="135">
        <f t="shared" si="61"/>
        <v>2.37</v>
      </c>
      <c r="O157" s="135">
        <f t="shared" si="61"/>
        <v>2.37</v>
      </c>
      <c r="P157" s="135">
        <f t="shared" si="61"/>
        <v>2.37</v>
      </c>
      <c r="Q157" s="135">
        <f t="shared" si="61"/>
        <v>2.37</v>
      </c>
      <c r="R157" s="135">
        <f t="shared" si="61"/>
        <v>2.37</v>
      </c>
      <c r="S157" s="135">
        <f t="shared" si="61"/>
        <v>2.37</v>
      </c>
      <c r="T157" s="135">
        <f t="shared" si="62"/>
        <v>2.37</v>
      </c>
      <c r="U157" s="135">
        <f t="shared" si="62"/>
        <v>2.37</v>
      </c>
      <c r="V157" s="135">
        <f t="shared" si="62"/>
        <v>2.37</v>
      </c>
      <c r="W157" s="135">
        <f t="shared" si="62"/>
        <v>2.37</v>
      </c>
      <c r="X157" s="135">
        <f t="shared" si="62"/>
        <v>2.37</v>
      </c>
      <c r="Y157" s="135">
        <f t="shared" si="62"/>
        <v>2.37</v>
      </c>
      <c r="Z157" s="135">
        <f t="shared" si="62"/>
        <v>2.37</v>
      </c>
      <c r="AA157" s="135">
        <f t="shared" si="62"/>
        <v>2.37</v>
      </c>
      <c r="AB157" s="135">
        <f t="shared" si="62"/>
        <v>2.37</v>
      </c>
      <c r="AC157" s="135">
        <f t="shared" si="62"/>
        <v>2.37</v>
      </c>
      <c r="AD157" s="135">
        <f t="shared" si="62"/>
        <v>2.37</v>
      </c>
      <c r="AE157" s="135">
        <f t="shared" si="62"/>
        <v>2.37</v>
      </c>
      <c r="AF157" s="135">
        <f t="shared" si="62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60"/>
        <v>1.81</v>
      </c>
      <c r="C158" s="136">
        <v>1.81</v>
      </c>
      <c r="D158" s="135">
        <f t="shared" si="61"/>
        <v>1.81</v>
      </c>
      <c r="E158" s="135">
        <f t="shared" si="61"/>
        <v>1.81</v>
      </c>
      <c r="F158" s="135">
        <f t="shared" si="61"/>
        <v>1.81</v>
      </c>
      <c r="G158" s="135">
        <f t="shared" si="61"/>
        <v>1.81</v>
      </c>
      <c r="H158" s="135">
        <f t="shared" si="61"/>
        <v>1.81</v>
      </c>
      <c r="I158" s="135">
        <f t="shared" si="61"/>
        <v>1.81</v>
      </c>
      <c r="J158" s="135">
        <f t="shared" si="61"/>
        <v>1.81</v>
      </c>
      <c r="K158" s="135">
        <f t="shared" si="61"/>
        <v>1.81</v>
      </c>
      <c r="L158" s="135">
        <f t="shared" si="61"/>
        <v>1.81</v>
      </c>
      <c r="M158" s="135">
        <f t="shared" si="61"/>
        <v>1.81</v>
      </c>
      <c r="N158" s="135">
        <f t="shared" si="61"/>
        <v>1.81</v>
      </c>
      <c r="O158" s="135">
        <f t="shared" si="61"/>
        <v>1.81</v>
      </c>
      <c r="P158" s="135">
        <f t="shared" si="61"/>
        <v>1.81</v>
      </c>
      <c r="Q158" s="135">
        <f t="shared" si="61"/>
        <v>1.81</v>
      </c>
      <c r="R158" s="135">
        <f t="shared" si="61"/>
        <v>1.81</v>
      </c>
      <c r="S158" s="135">
        <f t="shared" si="61"/>
        <v>1.81</v>
      </c>
      <c r="T158" s="135">
        <f t="shared" si="62"/>
        <v>1.81</v>
      </c>
      <c r="U158" s="135">
        <f t="shared" si="62"/>
        <v>1.81</v>
      </c>
      <c r="V158" s="135">
        <f t="shared" si="62"/>
        <v>1.81</v>
      </c>
      <c r="W158" s="135">
        <f t="shared" si="62"/>
        <v>1.81</v>
      </c>
      <c r="X158" s="135">
        <f t="shared" si="62"/>
        <v>1.81</v>
      </c>
      <c r="Y158" s="135">
        <f t="shared" si="62"/>
        <v>1.81</v>
      </c>
      <c r="Z158" s="135">
        <f t="shared" si="62"/>
        <v>1.81</v>
      </c>
      <c r="AA158" s="135">
        <f t="shared" si="62"/>
        <v>1.81</v>
      </c>
      <c r="AB158" s="135">
        <f t="shared" si="62"/>
        <v>1.81</v>
      </c>
      <c r="AC158" s="135">
        <f t="shared" si="62"/>
        <v>1.81</v>
      </c>
      <c r="AD158" s="135">
        <f t="shared" si="62"/>
        <v>1.81</v>
      </c>
      <c r="AE158" s="135">
        <f t="shared" si="62"/>
        <v>1.81</v>
      </c>
      <c r="AF158" s="135">
        <f t="shared" si="62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60"/>
        <v>1.0900000000000001</v>
      </c>
      <c r="C159" s="136">
        <v>1.0900000000000001</v>
      </c>
      <c r="D159" s="135">
        <f t="shared" si="61"/>
        <v>1.0900000000000001</v>
      </c>
      <c r="E159" s="135">
        <f t="shared" si="61"/>
        <v>1.0900000000000001</v>
      </c>
      <c r="F159" s="135">
        <f t="shared" si="61"/>
        <v>1.0900000000000001</v>
      </c>
      <c r="G159" s="135">
        <f t="shared" si="61"/>
        <v>1.0900000000000001</v>
      </c>
      <c r="H159" s="135">
        <f t="shared" si="61"/>
        <v>1.0900000000000001</v>
      </c>
      <c r="I159" s="135">
        <f t="shared" si="61"/>
        <v>1.0900000000000001</v>
      </c>
      <c r="J159" s="135">
        <f t="shared" si="61"/>
        <v>1.0900000000000001</v>
      </c>
      <c r="K159" s="135">
        <f t="shared" si="61"/>
        <v>1.0900000000000001</v>
      </c>
      <c r="L159" s="135">
        <f t="shared" si="61"/>
        <v>1.0900000000000001</v>
      </c>
      <c r="M159" s="135">
        <f t="shared" si="61"/>
        <v>1.0900000000000001</v>
      </c>
      <c r="N159" s="135">
        <f t="shared" si="61"/>
        <v>1.0900000000000001</v>
      </c>
      <c r="O159" s="135">
        <f t="shared" si="61"/>
        <v>1.0900000000000001</v>
      </c>
      <c r="P159" s="135">
        <f t="shared" si="61"/>
        <v>1.0900000000000001</v>
      </c>
      <c r="Q159" s="135">
        <f t="shared" si="61"/>
        <v>1.0900000000000001</v>
      </c>
      <c r="R159" s="135">
        <f t="shared" si="61"/>
        <v>1.0900000000000001</v>
      </c>
      <c r="S159" s="135">
        <f t="shared" si="61"/>
        <v>1.0900000000000001</v>
      </c>
      <c r="T159" s="135">
        <f t="shared" si="62"/>
        <v>1.0900000000000001</v>
      </c>
      <c r="U159" s="135">
        <f t="shared" si="62"/>
        <v>1.0900000000000001</v>
      </c>
      <c r="V159" s="135">
        <f t="shared" si="62"/>
        <v>1.0900000000000001</v>
      </c>
      <c r="W159" s="135">
        <f t="shared" si="62"/>
        <v>1.0900000000000001</v>
      </c>
      <c r="X159" s="135">
        <f t="shared" si="62"/>
        <v>1.0900000000000001</v>
      </c>
      <c r="Y159" s="135">
        <f t="shared" si="62"/>
        <v>1.0900000000000001</v>
      </c>
      <c r="Z159" s="135">
        <f t="shared" si="62"/>
        <v>1.0900000000000001</v>
      </c>
      <c r="AA159" s="135">
        <f t="shared" si="62"/>
        <v>1.0900000000000001</v>
      </c>
      <c r="AB159" s="135">
        <f t="shared" si="62"/>
        <v>1.0900000000000001</v>
      </c>
      <c r="AC159" s="135">
        <f t="shared" si="62"/>
        <v>1.0900000000000001</v>
      </c>
      <c r="AD159" s="135">
        <f t="shared" si="62"/>
        <v>1.0900000000000001</v>
      </c>
      <c r="AE159" s="135">
        <f t="shared" si="62"/>
        <v>1.0900000000000001</v>
      </c>
      <c r="AF159" s="135">
        <f t="shared" si="62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60"/>
        <v>1.58</v>
      </c>
      <c r="C160" s="136">
        <v>1.58</v>
      </c>
      <c r="D160" s="135">
        <f t="shared" si="61"/>
        <v>1.58</v>
      </c>
      <c r="E160" s="135">
        <f t="shared" si="61"/>
        <v>1.58</v>
      </c>
      <c r="F160" s="135">
        <f t="shared" si="61"/>
        <v>1.58</v>
      </c>
      <c r="G160" s="135">
        <f t="shared" si="61"/>
        <v>1.58</v>
      </c>
      <c r="H160" s="135">
        <f t="shared" si="61"/>
        <v>1.58</v>
      </c>
      <c r="I160" s="135">
        <f t="shared" si="61"/>
        <v>1.58</v>
      </c>
      <c r="J160" s="135">
        <f t="shared" si="61"/>
        <v>1.58</v>
      </c>
      <c r="K160" s="135">
        <f t="shared" si="61"/>
        <v>1.58</v>
      </c>
      <c r="L160" s="135">
        <f t="shared" si="61"/>
        <v>1.58</v>
      </c>
      <c r="M160" s="135">
        <f t="shared" si="61"/>
        <v>1.58</v>
      </c>
      <c r="N160" s="135">
        <f t="shared" si="61"/>
        <v>1.58</v>
      </c>
      <c r="O160" s="135">
        <f t="shared" si="61"/>
        <v>1.58</v>
      </c>
      <c r="P160" s="135">
        <f t="shared" si="61"/>
        <v>1.58</v>
      </c>
      <c r="Q160" s="135">
        <f t="shared" si="61"/>
        <v>1.58</v>
      </c>
      <c r="R160" s="135">
        <f t="shared" si="61"/>
        <v>1.58</v>
      </c>
      <c r="S160" s="135">
        <f t="shared" si="61"/>
        <v>1.58</v>
      </c>
      <c r="T160" s="135">
        <f t="shared" si="62"/>
        <v>1.58</v>
      </c>
      <c r="U160" s="135">
        <f t="shared" si="62"/>
        <v>1.58</v>
      </c>
      <c r="V160" s="135">
        <f t="shared" si="62"/>
        <v>1.58</v>
      </c>
      <c r="W160" s="135">
        <f t="shared" si="62"/>
        <v>1.58</v>
      </c>
      <c r="X160" s="135">
        <f t="shared" si="62"/>
        <v>1.58</v>
      </c>
      <c r="Y160" s="135">
        <f t="shared" si="62"/>
        <v>1.58</v>
      </c>
      <c r="Z160" s="135">
        <f t="shared" si="62"/>
        <v>1.58</v>
      </c>
      <c r="AA160" s="135">
        <f t="shared" si="62"/>
        <v>1.58</v>
      </c>
      <c r="AB160" s="135">
        <f t="shared" si="62"/>
        <v>1.58</v>
      </c>
      <c r="AC160" s="135">
        <f t="shared" si="62"/>
        <v>1.58</v>
      </c>
      <c r="AD160" s="135">
        <f t="shared" si="62"/>
        <v>1.58</v>
      </c>
      <c r="AE160" s="135">
        <f t="shared" si="62"/>
        <v>1.58</v>
      </c>
      <c r="AF160" s="135">
        <f t="shared" si="62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60"/>
        <v>2</v>
      </c>
      <c r="C161" s="136">
        <v>2</v>
      </c>
      <c r="D161" s="135">
        <f t="shared" si="61"/>
        <v>2</v>
      </c>
      <c r="E161" s="135">
        <f t="shared" si="61"/>
        <v>2</v>
      </c>
      <c r="F161" s="135">
        <f t="shared" si="61"/>
        <v>2</v>
      </c>
      <c r="G161" s="135">
        <f t="shared" si="61"/>
        <v>2</v>
      </c>
      <c r="H161" s="135">
        <f t="shared" si="61"/>
        <v>2</v>
      </c>
      <c r="I161" s="135">
        <f t="shared" si="61"/>
        <v>2</v>
      </c>
      <c r="J161" s="135">
        <f t="shared" si="61"/>
        <v>2</v>
      </c>
      <c r="K161" s="135">
        <f t="shared" si="61"/>
        <v>2</v>
      </c>
      <c r="L161" s="135">
        <f t="shared" si="61"/>
        <v>2</v>
      </c>
      <c r="M161" s="135">
        <f t="shared" si="61"/>
        <v>2</v>
      </c>
      <c r="N161" s="135">
        <f t="shared" si="61"/>
        <v>2</v>
      </c>
      <c r="O161" s="135">
        <f t="shared" si="61"/>
        <v>2</v>
      </c>
      <c r="P161" s="135">
        <f t="shared" si="61"/>
        <v>2</v>
      </c>
      <c r="Q161" s="135">
        <f t="shared" si="61"/>
        <v>2</v>
      </c>
      <c r="R161" s="135">
        <f t="shared" si="61"/>
        <v>2</v>
      </c>
      <c r="S161" s="135">
        <f t="shared" si="61"/>
        <v>2</v>
      </c>
      <c r="T161" s="135">
        <f t="shared" si="62"/>
        <v>2</v>
      </c>
      <c r="U161" s="135">
        <f t="shared" si="62"/>
        <v>2</v>
      </c>
      <c r="V161" s="135">
        <f t="shared" si="62"/>
        <v>2</v>
      </c>
      <c r="W161" s="135">
        <f t="shared" si="62"/>
        <v>2</v>
      </c>
      <c r="X161" s="135">
        <f t="shared" si="62"/>
        <v>2</v>
      </c>
      <c r="Y161" s="135">
        <f t="shared" si="62"/>
        <v>2</v>
      </c>
      <c r="Z161" s="135">
        <f t="shared" si="62"/>
        <v>2</v>
      </c>
      <c r="AA161" s="135">
        <f t="shared" si="62"/>
        <v>2</v>
      </c>
      <c r="AB161" s="135">
        <f t="shared" si="62"/>
        <v>2</v>
      </c>
      <c r="AC161" s="135">
        <f t="shared" si="62"/>
        <v>2</v>
      </c>
      <c r="AD161" s="135">
        <f t="shared" si="62"/>
        <v>2</v>
      </c>
      <c r="AE161" s="135">
        <f t="shared" si="62"/>
        <v>2</v>
      </c>
      <c r="AF161" s="135">
        <f t="shared" si="62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60"/>
        <v>0.47</v>
      </c>
      <c r="C162" s="136">
        <v>0.47</v>
      </c>
      <c r="D162" s="135">
        <f t="shared" si="61"/>
        <v>0.47</v>
      </c>
      <c r="E162" s="135">
        <f t="shared" si="61"/>
        <v>0.47</v>
      </c>
      <c r="F162" s="135">
        <f t="shared" si="61"/>
        <v>0.47</v>
      </c>
      <c r="G162" s="135">
        <f t="shared" si="61"/>
        <v>0.47</v>
      </c>
      <c r="H162" s="135">
        <f t="shared" si="61"/>
        <v>0.47</v>
      </c>
      <c r="I162" s="135">
        <f t="shared" si="61"/>
        <v>0.47</v>
      </c>
      <c r="J162" s="135">
        <f t="shared" si="61"/>
        <v>0.47</v>
      </c>
      <c r="K162" s="135">
        <f t="shared" si="61"/>
        <v>0.47</v>
      </c>
      <c r="L162" s="135">
        <f t="shared" si="61"/>
        <v>0.47</v>
      </c>
      <c r="M162" s="135">
        <f t="shared" si="61"/>
        <v>0.47</v>
      </c>
      <c r="N162" s="135">
        <f t="shared" si="61"/>
        <v>0.47</v>
      </c>
      <c r="O162" s="135">
        <f t="shared" si="61"/>
        <v>0.47</v>
      </c>
      <c r="P162" s="135">
        <f t="shared" si="61"/>
        <v>0.47</v>
      </c>
      <c r="Q162" s="135">
        <f t="shared" si="61"/>
        <v>0.47</v>
      </c>
      <c r="R162" s="135">
        <f t="shared" si="61"/>
        <v>0.47</v>
      </c>
      <c r="S162" s="135">
        <f t="shared" si="61"/>
        <v>0.47</v>
      </c>
      <c r="T162" s="135">
        <f t="shared" si="62"/>
        <v>0.47</v>
      </c>
      <c r="U162" s="135">
        <f t="shared" si="62"/>
        <v>0.47</v>
      </c>
      <c r="V162" s="135">
        <f t="shared" si="62"/>
        <v>0.47</v>
      </c>
      <c r="W162" s="135">
        <f t="shared" si="62"/>
        <v>0.47</v>
      </c>
      <c r="X162" s="135">
        <f t="shared" si="62"/>
        <v>0.47</v>
      </c>
      <c r="Y162" s="135">
        <f t="shared" si="62"/>
        <v>0.47</v>
      </c>
      <c r="Z162" s="135">
        <f t="shared" si="62"/>
        <v>0.47</v>
      </c>
      <c r="AA162" s="135">
        <f t="shared" si="62"/>
        <v>0.47</v>
      </c>
      <c r="AB162" s="135">
        <f t="shared" si="62"/>
        <v>0.47</v>
      </c>
      <c r="AC162" s="135">
        <f t="shared" si="62"/>
        <v>0.47</v>
      </c>
      <c r="AD162" s="135">
        <f t="shared" si="62"/>
        <v>0.47</v>
      </c>
      <c r="AE162" s="135">
        <f t="shared" si="62"/>
        <v>0.47</v>
      </c>
      <c r="AF162" s="135">
        <f t="shared" si="62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60"/>
        <v>0</v>
      </c>
      <c r="C163" s="136">
        <v>0</v>
      </c>
      <c r="D163" s="135">
        <f t="shared" si="61"/>
        <v>0</v>
      </c>
      <c r="E163" s="135">
        <f t="shared" si="61"/>
        <v>0</v>
      </c>
      <c r="F163" s="135">
        <f t="shared" si="61"/>
        <v>0</v>
      </c>
      <c r="G163" s="135">
        <f t="shared" si="61"/>
        <v>0</v>
      </c>
      <c r="H163" s="135">
        <f t="shared" si="61"/>
        <v>0</v>
      </c>
      <c r="I163" s="135">
        <f t="shared" si="61"/>
        <v>0</v>
      </c>
      <c r="J163" s="135">
        <f t="shared" si="61"/>
        <v>0</v>
      </c>
      <c r="K163" s="135">
        <f t="shared" si="61"/>
        <v>0</v>
      </c>
      <c r="L163" s="135">
        <f t="shared" si="61"/>
        <v>0</v>
      </c>
      <c r="M163" s="135">
        <f t="shared" si="61"/>
        <v>0</v>
      </c>
      <c r="N163" s="135">
        <f t="shared" si="61"/>
        <v>0</v>
      </c>
      <c r="O163" s="135">
        <f t="shared" si="61"/>
        <v>0</v>
      </c>
      <c r="P163" s="135">
        <f t="shared" si="61"/>
        <v>0</v>
      </c>
      <c r="Q163" s="135">
        <f t="shared" si="61"/>
        <v>0</v>
      </c>
      <c r="R163" s="135">
        <f t="shared" si="61"/>
        <v>0</v>
      </c>
      <c r="S163" s="135">
        <f t="shared" si="61"/>
        <v>0</v>
      </c>
      <c r="T163" s="135">
        <f t="shared" si="62"/>
        <v>0</v>
      </c>
      <c r="U163" s="135">
        <f t="shared" si="62"/>
        <v>0</v>
      </c>
      <c r="V163" s="135">
        <f t="shared" si="62"/>
        <v>0</v>
      </c>
      <c r="W163" s="135">
        <f t="shared" si="62"/>
        <v>0</v>
      </c>
      <c r="X163" s="135">
        <f t="shared" si="62"/>
        <v>0</v>
      </c>
      <c r="Y163" s="135">
        <f t="shared" si="62"/>
        <v>0</v>
      </c>
      <c r="Z163" s="135">
        <f t="shared" si="62"/>
        <v>0</v>
      </c>
      <c r="AA163" s="135">
        <f t="shared" si="62"/>
        <v>0</v>
      </c>
      <c r="AB163" s="135">
        <f t="shared" si="62"/>
        <v>0</v>
      </c>
      <c r="AC163" s="135">
        <f t="shared" si="62"/>
        <v>0</v>
      </c>
      <c r="AD163" s="135">
        <f t="shared" si="62"/>
        <v>0</v>
      </c>
      <c r="AE163" s="135">
        <f t="shared" si="62"/>
        <v>0</v>
      </c>
      <c r="AF163" s="135">
        <f t="shared" si="62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60"/>
        <v>0</v>
      </c>
      <c r="C164" s="136">
        <v>0</v>
      </c>
      <c r="D164" s="135">
        <f t="shared" si="61"/>
        <v>0</v>
      </c>
      <c r="E164" s="135">
        <f t="shared" si="61"/>
        <v>0</v>
      </c>
      <c r="F164" s="135">
        <f t="shared" si="61"/>
        <v>0</v>
      </c>
      <c r="G164" s="135">
        <f t="shared" si="61"/>
        <v>0</v>
      </c>
      <c r="H164" s="135">
        <f t="shared" si="61"/>
        <v>0</v>
      </c>
      <c r="I164" s="135">
        <f t="shared" si="61"/>
        <v>0</v>
      </c>
      <c r="J164" s="135">
        <f t="shared" si="61"/>
        <v>0</v>
      </c>
      <c r="K164" s="135">
        <f t="shared" si="61"/>
        <v>0</v>
      </c>
      <c r="L164" s="135">
        <f t="shared" si="61"/>
        <v>0</v>
      </c>
      <c r="M164" s="135">
        <f t="shared" si="61"/>
        <v>0</v>
      </c>
      <c r="N164" s="135">
        <f t="shared" si="61"/>
        <v>0</v>
      </c>
      <c r="O164" s="135">
        <f t="shared" si="61"/>
        <v>0</v>
      </c>
      <c r="P164" s="135">
        <f t="shared" si="61"/>
        <v>0</v>
      </c>
      <c r="Q164" s="135">
        <f t="shared" si="61"/>
        <v>0</v>
      </c>
      <c r="R164" s="135">
        <f t="shared" si="61"/>
        <v>0</v>
      </c>
      <c r="S164" s="135">
        <f t="shared" si="62"/>
        <v>0</v>
      </c>
      <c r="T164" s="135">
        <f t="shared" si="62"/>
        <v>0</v>
      </c>
      <c r="U164" s="135">
        <f t="shared" si="62"/>
        <v>0</v>
      </c>
      <c r="V164" s="135">
        <f t="shared" si="62"/>
        <v>0</v>
      </c>
      <c r="W164" s="135">
        <f t="shared" si="62"/>
        <v>0</v>
      </c>
      <c r="X164" s="135">
        <f t="shared" si="62"/>
        <v>0</v>
      </c>
      <c r="Y164" s="135">
        <f t="shared" si="62"/>
        <v>0</v>
      </c>
      <c r="Z164" s="135">
        <f t="shared" si="62"/>
        <v>0</v>
      </c>
      <c r="AA164" s="135">
        <f t="shared" si="62"/>
        <v>0</v>
      </c>
      <c r="AB164" s="135">
        <f t="shared" si="62"/>
        <v>0</v>
      </c>
      <c r="AC164" s="135">
        <f t="shared" si="62"/>
        <v>0</v>
      </c>
      <c r="AD164" s="135">
        <f t="shared" si="62"/>
        <v>0</v>
      </c>
      <c r="AE164" s="135">
        <f t="shared" si="62"/>
        <v>0</v>
      </c>
      <c r="AF164" s="135">
        <f t="shared" si="62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60"/>
        <v>0.8</v>
      </c>
      <c r="C165" s="136">
        <v>0.8</v>
      </c>
      <c r="D165" s="135">
        <f t="shared" si="61"/>
        <v>0.8</v>
      </c>
      <c r="E165" s="135">
        <f t="shared" si="61"/>
        <v>0.8</v>
      </c>
      <c r="F165" s="135">
        <f t="shared" si="61"/>
        <v>0.8</v>
      </c>
      <c r="G165" s="135">
        <f t="shared" si="61"/>
        <v>0.8</v>
      </c>
      <c r="H165" s="135">
        <f t="shared" si="61"/>
        <v>0.8</v>
      </c>
      <c r="I165" s="135">
        <f t="shared" si="61"/>
        <v>0.8</v>
      </c>
      <c r="J165" s="135">
        <f t="shared" si="61"/>
        <v>0.8</v>
      </c>
      <c r="K165" s="135">
        <f t="shared" si="61"/>
        <v>0.8</v>
      </c>
      <c r="L165" s="135">
        <f t="shared" si="61"/>
        <v>0.8</v>
      </c>
      <c r="M165" s="135">
        <f t="shared" si="61"/>
        <v>0.8</v>
      </c>
      <c r="N165" s="135">
        <f t="shared" si="61"/>
        <v>0.8</v>
      </c>
      <c r="O165" s="135">
        <f t="shared" si="61"/>
        <v>0.8</v>
      </c>
      <c r="P165" s="135">
        <f t="shared" si="61"/>
        <v>0.8</v>
      </c>
      <c r="Q165" s="135">
        <f t="shared" si="61"/>
        <v>0.8</v>
      </c>
      <c r="R165" s="135">
        <f t="shared" si="61"/>
        <v>0.8</v>
      </c>
      <c r="S165" s="135">
        <f t="shared" si="62"/>
        <v>0.8</v>
      </c>
      <c r="T165" s="135">
        <f t="shared" si="62"/>
        <v>0.8</v>
      </c>
      <c r="U165" s="135">
        <f t="shared" si="62"/>
        <v>0.8</v>
      </c>
      <c r="V165" s="135">
        <f t="shared" si="62"/>
        <v>0.8</v>
      </c>
      <c r="W165" s="135">
        <f t="shared" si="62"/>
        <v>0.8</v>
      </c>
      <c r="X165" s="135">
        <f t="shared" si="62"/>
        <v>0.8</v>
      </c>
      <c r="Y165" s="135">
        <f t="shared" si="62"/>
        <v>0.8</v>
      </c>
      <c r="Z165" s="135">
        <f t="shared" si="62"/>
        <v>0.8</v>
      </c>
      <c r="AA165" s="135">
        <f t="shared" si="62"/>
        <v>0.8</v>
      </c>
      <c r="AB165" s="135">
        <f t="shared" si="62"/>
        <v>0.8</v>
      </c>
      <c r="AC165" s="135">
        <f t="shared" si="62"/>
        <v>0.8</v>
      </c>
      <c r="AD165" s="135">
        <f t="shared" si="62"/>
        <v>0.8</v>
      </c>
      <c r="AE165" s="135">
        <f t="shared" si="62"/>
        <v>0.8</v>
      </c>
      <c r="AF165" s="135">
        <f t="shared" si="62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60"/>
        <v>1.5</v>
      </c>
      <c r="C166" s="136">
        <v>1.5</v>
      </c>
      <c r="D166" s="135">
        <f t="shared" si="61"/>
        <v>1.5</v>
      </c>
      <c r="E166" s="135">
        <f t="shared" si="61"/>
        <v>1.5</v>
      </c>
      <c r="F166" s="135">
        <f t="shared" si="61"/>
        <v>1.5</v>
      </c>
      <c r="G166" s="135">
        <f t="shared" si="61"/>
        <v>1.5</v>
      </c>
      <c r="H166" s="135">
        <f t="shared" si="61"/>
        <v>1.5</v>
      </c>
      <c r="I166" s="135">
        <f t="shared" si="61"/>
        <v>1.5</v>
      </c>
      <c r="J166" s="135">
        <f t="shared" si="61"/>
        <v>1.5</v>
      </c>
      <c r="K166" s="135">
        <f t="shared" si="61"/>
        <v>1.5</v>
      </c>
      <c r="L166" s="135">
        <f t="shared" si="61"/>
        <v>1.5</v>
      </c>
      <c r="M166" s="135">
        <f t="shared" si="61"/>
        <v>1.5</v>
      </c>
      <c r="N166" s="135">
        <f t="shared" si="61"/>
        <v>1.5</v>
      </c>
      <c r="O166" s="135">
        <f t="shared" si="61"/>
        <v>1.5</v>
      </c>
      <c r="P166" s="135">
        <f t="shared" si="61"/>
        <v>1.5</v>
      </c>
      <c r="Q166" s="135">
        <f t="shared" si="61"/>
        <v>1.5</v>
      </c>
      <c r="R166" s="135">
        <f t="shared" si="61"/>
        <v>1.5</v>
      </c>
      <c r="S166" s="135">
        <f t="shared" si="62"/>
        <v>1.5</v>
      </c>
      <c r="T166" s="135">
        <f t="shared" si="62"/>
        <v>1.5</v>
      </c>
      <c r="U166" s="135">
        <f t="shared" si="62"/>
        <v>1.5</v>
      </c>
      <c r="V166" s="135">
        <f t="shared" si="62"/>
        <v>1.5</v>
      </c>
      <c r="W166" s="135">
        <f t="shared" si="62"/>
        <v>1.5</v>
      </c>
      <c r="X166" s="135">
        <f t="shared" si="62"/>
        <v>1.5</v>
      </c>
      <c r="Y166" s="135">
        <f t="shared" si="62"/>
        <v>1.5</v>
      </c>
      <c r="Z166" s="135">
        <f t="shared" si="62"/>
        <v>1.5</v>
      </c>
      <c r="AA166" s="135">
        <f t="shared" si="62"/>
        <v>1.5</v>
      </c>
      <c r="AB166" s="135">
        <f t="shared" si="62"/>
        <v>1.5</v>
      </c>
      <c r="AC166" s="135">
        <f t="shared" si="62"/>
        <v>1.5</v>
      </c>
      <c r="AD166" s="135">
        <f t="shared" si="62"/>
        <v>1.5</v>
      </c>
      <c r="AE166" s="135">
        <f t="shared" si="62"/>
        <v>1.5</v>
      </c>
      <c r="AF166" s="135">
        <f t="shared" si="62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60"/>
        <v>1</v>
      </c>
      <c r="C167" s="136">
        <v>1</v>
      </c>
      <c r="D167" s="135">
        <f t="shared" si="61"/>
        <v>1</v>
      </c>
      <c r="E167" s="135">
        <f t="shared" si="61"/>
        <v>1</v>
      </c>
      <c r="F167" s="135">
        <f t="shared" si="61"/>
        <v>1</v>
      </c>
      <c r="G167" s="135">
        <f t="shared" si="61"/>
        <v>1</v>
      </c>
      <c r="H167" s="135">
        <f t="shared" si="61"/>
        <v>1</v>
      </c>
      <c r="I167" s="135">
        <f t="shared" si="61"/>
        <v>1</v>
      </c>
      <c r="J167" s="135">
        <f t="shared" si="61"/>
        <v>1</v>
      </c>
      <c r="K167" s="135">
        <f t="shared" si="61"/>
        <v>1</v>
      </c>
      <c r="L167" s="135">
        <f t="shared" si="61"/>
        <v>1</v>
      </c>
      <c r="M167" s="135">
        <f t="shared" si="61"/>
        <v>1</v>
      </c>
      <c r="N167" s="135">
        <f t="shared" si="61"/>
        <v>1</v>
      </c>
      <c r="O167" s="135">
        <f t="shared" si="61"/>
        <v>1</v>
      </c>
      <c r="P167" s="135">
        <f t="shared" si="61"/>
        <v>1</v>
      </c>
      <c r="Q167" s="135">
        <f t="shared" si="61"/>
        <v>1</v>
      </c>
      <c r="R167" s="135">
        <f t="shared" si="61"/>
        <v>1</v>
      </c>
      <c r="S167" s="135">
        <f t="shared" si="62"/>
        <v>1</v>
      </c>
      <c r="T167" s="135">
        <f t="shared" si="62"/>
        <v>1</v>
      </c>
      <c r="U167" s="135">
        <f t="shared" si="62"/>
        <v>1</v>
      </c>
      <c r="V167" s="135">
        <f t="shared" si="62"/>
        <v>1</v>
      </c>
      <c r="W167" s="135">
        <f t="shared" si="62"/>
        <v>1</v>
      </c>
      <c r="X167" s="135">
        <f t="shared" si="62"/>
        <v>1</v>
      </c>
      <c r="Y167" s="135">
        <f t="shared" si="62"/>
        <v>1</v>
      </c>
      <c r="Z167" s="135">
        <f t="shared" si="62"/>
        <v>1</v>
      </c>
      <c r="AA167" s="135">
        <f t="shared" si="62"/>
        <v>1</v>
      </c>
      <c r="AB167" s="135">
        <f t="shared" si="62"/>
        <v>1</v>
      </c>
      <c r="AC167" s="135">
        <f t="shared" si="62"/>
        <v>1</v>
      </c>
      <c r="AD167" s="135">
        <f t="shared" si="62"/>
        <v>1</v>
      </c>
      <c r="AE167" s="135">
        <f t="shared" si="62"/>
        <v>1</v>
      </c>
      <c r="AF167" s="135">
        <f t="shared" si="62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63">AF169</f>
        <v>1</v>
      </c>
      <c r="C169" s="136">
        <v>1</v>
      </c>
      <c r="D169" s="135">
        <f t="shared" ref="D169:S176" si="64">C169</f>
        <v>1</v>
      </c>
      <c r="E169" s="135">
        <f t="shared" si="64"/>
        <v>1</v>
      </c>
      <c r="F169" s="135">
        <f t="shared" si="64"/>
        <v>1</v>
      </c>
      <c r="G169" s="135">
        <f t="shared" si="64"/>
        <v>1</v>
      </c>
      <c r="H169" s="135">
        <f t="shared" si="64"/>
        <v>1</v>
      </c>
      <c r="I169" s="135">
        <f t="shared" si="64"/>
        <v>1</v>
      </c>
      <c r="J169" s="135">
        <f t="shared" si="64"/>
        <v>1</v>
      </c>
      <c r="K169" s="135">
        <f t="shared" si="64"/>
        <v>1</v>
      </c>
      <c r="L169" s="135">
        <f t="shared" si="64"/>
        <v>1</v>
      </c>
      <c r="M169" s="135">
        <f t="shared" si="64"/>
        <v>1</v>
      </c>
      <c r="N169" s="135">
        <f t="shared" si="64"/>
        <v>1</v>
      </c>
      <c r="O169" s="135">
        <f t="shared" si="64"/>
        <v>1</v>
      </c>
      <c r="P169" s="135">
        <f t="shared" si="64"/>
        <v>1</v>
      </c>
      <c r="Q169" s="135">
        <f t="shared" si="64"/>
        <v>1</v>
      </c>
      <c r="R169" s="135">
        <f t="shared" si="64"/>
        <v>1</v>
      </c>
      <c r="S169" s="135">
        <f t="shared" si="64"/>
        <v>1</v>
      </c>
      <c r="T169" s="135">
        <f t="shared" ref="S169:AF176" si="65">S169</f>
        <v>1</v>
      </c>
      <c r="U169" s="135">
        <f t="shared" si="65"/>
        <v>1</v>
      </c>
      <c r="V169" s="135">
        <f t="shared" si="65"/>
        <v>1</v>
      </c>
      <c r="W169" s="135">
        <f t="shared" si="65"/>
        <v>1</v>
      </c>
      <c r="X169" s="135">
        <f t="shared" si="65"/>
        <v>1</v>
      </c>
      <c r="Y169" s="135">
        <f t="shared" si="65"/>
        <v>1</v>
      </c>
      <c r="Z169" s="135">
        <f t="shared" si="65"/>
        <v>1</v>
      </c>
      <c r="AA169" s="135">
        <f t="shared" si="65"/>
        <v>1</v>
      </c>
      <c r="AB169" s="135">
        <f t="shared" si="65"/>
        <v>1</v>
      </c>
      <c r="AC169" s="135">
        <f t="shared" si="65"/>
        <v>1</v>
      </c>
      <c r="AD169" s="135">
        <f t="shared" si="65"/>
        <v>1</v>
      </c>
      <c r="AE169" s="135">
        <f t="shared" si="65"/>
        <v>1</v>
      </c>
      <c r="AF169" s="135">
        <f t="shared" si="65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63"/>
        <v>0.42</v>
      </c>
      <c r="C170" s="136">
        <v>0.42</v>
      </c>
      <c r="D170" s="135">
        <f t="shared" si="64"/>
        <v>0.42</v>
      </c>
      <c r="E170" s="135">
        <f t="shared" si="64"/>
        <v>0.42</v>
      </c>
      <c r="F170" s="135">
        <f t="shared" si="64"/>
        <v>0.42</v>
      </c>
      <c r="G170" s="135">
        <f t="shared" si="64"/>
        <v>0.42</v>
      </c>
      <c r="H170" s="135">
        <f t="shared" si="64"/>
        <v>0.42</v>
      </c>
      <c r="I170" s="135">
        <f t="shared" si="64"/>
        <v>0.42</v>
      </c>
      <c r="J170" s="135">
        <f t="shared" si="64"/>
        <v>0.42</v>
      </c>
      <c r="K170" s="135">
        <f t="shared" si="64"/>
        <v>0.42</v>
      </c>
      <c r="L170" s="135">
        <f t="shared" si="64"/>
        <v>0.42</v>
      </c>
      <c r="M170" s="135">
        <f t="shared" si="64"/>
        <v>0.42</v>
      </c>
      <c r="N170" s="135">
        <f t="shared" si="64"/>
        <v>0.42</v>
      </c>
      <c r="O170" s="135">
        <f t="shared" si="64"/>
        <v>0.42</v>
      </c>
      <c r="P170" s="135">
        <f t="shared" si="64"/>
        <v>0.42</v>
      </c>
      <c r="Q170" s="135">
        <f t="shared" si="64"/>
        <v>0.42</v>
      </c>
      <c r="R170" s="135">
        <f t="shared" si="64"/>
        <v>0.42</v>
      </c>
      <c r="S170" s="135">
        <f t="shared" si="65"/>
        <v>0.42</v>
      </c>
      <c r="T170" s="135">
        <f t="shared" si="65"/>
        <v>0.42</v>
      </c>
      <c r="U170" s="135">
        <f t="shared" si="65"/>
        <v>0.42</v>
      </c>
      <c r="V170" s="135">
        <f t="shared" si="65"/>
        <v>0.42</v>
      </c>
      <c r="W170" s="135">
        <f t="shared" si="65"/>
        <v>0.42</v>
      </c>
      <c r="X170" s="135">
        <f t="shared" si="65"/>
        <v>0.42</v>
      </c>
      <c r="Y170" s="135">
        <f t="shared" si="65"/>
        <v>0.42</v>
      </c>
      <c r="Z170" s="135">
        <f t="shared" si="65"/>
        <v>0.42</v>
      </c>
      <c r="AA170" s="135">
        <f t="shared" si="65"/>
        <v>0.42</v>
      </c>
      <c r="AB170" s="135">
        <f t="shared" si="65"/>
        <v>0.42</v>
      </c>
      <c r="AC170" s="135">
        <f t="shared" si="65"/>
        <v>0.42</v>
      </c>
      <c r="AD170" s="135">
        <f t="shared" si="65"/>
        <v>0.42</v>
      </c>
      <c r="AE170" s="135">
        <f t="shared" si="65"/>
        <v>0.42</v>
      </c>
      <c r="AF170" s="135">
        <f t="shared" si="65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63"/>
        <v>0.46</v>
      </c>
      <c r="C171" s="136">
        <v>0.46</v>
      </c>
      <c r="D171" s="135">
        <f t="shared" si="64"/>
        <v>0.46</v>
      </c>
      <c r="E171" s="135">
        <f t="shared" si="64"/>
        <v>0.46</v>
      </c>
      <c r="F171" s="135">
        <f t="shared" si="64"/>
        <v>0.46</v>
      </c>
      <c r="G171" s="135">
        <f t="shared" si="64"/>
        <v>0.46</v>
      </c>
      <c r="H171" s="135">
        <f t="shared" si="64"/>
        <v>0.46</v>
      </c>
      <c r="I171" s="135">
        <f t="shared" si="64"/>
        <v>0.46</v>
      </c>
      <c r="J171" s="135">
        <f t="shared" si="64"/>
        <v>0.46</v>
      </c>
      <c r="K171" s="135">
        <f t="shared" si="64"/>
        <v>0.46</v>
      </c>
      <c r="L171" s="135">
        <f t="shared" si="64"/>
        <v>0.46</v>
      </c>
      <c r="M171" s="135">
        <f t="shared" si="64"/>
        <v>0.46</v>
      </c>
      <c r="N171" s="135">
        <f t="shared" si="64"/>
        <v>0.46</v>
      </c>
      <c r="O171" s="135">
        <f t="shared" si="64"/>
        <v>0.46</v>
      </c>
      <c r="P171" s="135">
        <f t="shared" si="64"/>
        <v>0.46</v>
      </c>
      <c r="Q171" s="135">
        <f t="shared" si="64"/>
        <v>0.46</v>
      </c>
      <c r="R171" s="135">
        <f t="shared" si="64"/>
        <v>0.46</v>
      </c>
      <c r="S171" s="135">
        <f t="shared" si="65"/>
        <v>0.46</v>
      </c>
      <c r="T171" s="135">
        <f t="shared" si="65"/>
        <v>0.46</v>
      </c>
      <c r="U171" s="135">
        <f t="shared" si="65"/>
        <v>0.46</v>
      </c>
      <c r="V171" s="135">
        <f t="shared" si="65"/>
        <v>0.46</v>
      </c>
      <c r="W171" s="135">
        <f t="shared" si="65"/>
        <v>0.46</v>
      </c>
      <c r="X171" s="135">
        <f t="shared" si="65"/>
        <v>0.46</v>
      </c>
      <c r="Y171" s="135">
        <f t="shared" si="65"/>
        <v>0.46</v>
      </c>
      <c r="Z171" s="135">
        <f t="shared" si="65"/>
        <v>0.46</v>
      </c>
      <c r="AA171" s="135">
        <f t="shared" si="65"/>
        <v>0.46</v>
      </c>
      <c r="AB171" s="135">
        <f t="shared" si="65"/>
        <v>0.46</v>
      </c>
      <c r="AC171" s="135">
        <f t="shared" si="65"/>
        <v>0.46</v>
      </c>
      <c r="AD171" s="135">
        <f t="shared" si="65"/>
        <v>0.46</v>
      </c>
      <c r="AE171" s="135">
        <f t="shared" si="65"/>
        <v>0.46</v>
      </c>
      <c r="AF171" s="135">
        <f t="shared" si="65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63"/>
        <v>0.85</v>
      </c>
      <c r="C172" s="136">
        <v>0.85</v>
      </c>
      <c r="D172" s="135">
        <f t="shared" si="64"/>
        <v>0.85</v>
      </c>
      <c r="E172" s="135">
        <f t="shared" si="64"/>
        <v>0.85</v>
      </c>
      <c r="F172" s="135">
        <f t="shared" si="64"/>
        <v>0.85</v>
      </c>
      <c r="G172" s="135">
        <f t="shared" si="64"/>
        <v>0.85</v>
      </c>
      <c r="H172" s="135">
        <f t="shared" si="64"/>
        <v>0.85</v>
      </c>
      <c r="I172" s="135">
        <f t="shared" si="64"/>
        <v>0.85</v>
      </c>
      <c r="J172" s="135">
        <f t="shared" si="64"/>
        <v>0.85</v>
      </c>
      <c r="K172" s="135">
        <f t="shared" si="64"/>
        <v>0.85</v>
      </c>
      <c r="L172" s="135">
        <f t="shared" si="64"/>
        <v>0.85</v>
      </c>
      <c r="M172" s="135">
        <f t="shared" si="64"/>
        <v>0.85</v>
      </c>
      <c r="N172" s="135">
        <f t="shared" si="64"/>
        <v>0.85</v>
      </c>
      <c r="O172" s="135">
        <f t="shared" si="64"/>
        <v>0.85</v>
      </c>
      <c r="P172" s="135">
        <f t="shared" si="64"/>
        <v>0.85</v>
      </c>
      <c r="Q172" s="135">
        <f t="shared" si="64"/>
        <v>0.85</v>
      </c>
      <c r="R172" s="135">
        <f t="shared" si="64"/>
        <v>0.85</v>
      </c>
      <c r="S172" s="135">
        <f t="shared" si="65"/>
        <v>0.85</v>
      </c>
      <c r="T172" s="135">
        <f t="shared" si="65"/>
        <v>0.85</v>
      </c>
      <c r="U172" s="135">
        <f t="shared" si="65"/>
        <v>0.85</v>
      </c>
      <c r="V172" s="135">
        <f t="shared" si="65"/>
        <v>0.85</v>
      </c>
      <c r="W172" s="135">
        <f t="shared" si="65"/>
        <v>0.85</v>
      </c>
      <c r="X172" s="135">
        <f t="shared" si="65"/>
        <v>0.85</v>
      </c>
      <c r="Y172" s="135">
        <f t="shared" si="65"/>
        <v>0.85</v>
      </c>
      <c r="Z172" s="135">
        <f t="shared" si="65"/>
        <v>0.85</v>
      </c>
      <c r="AA172" s="135">
        <f t="shared" si="65"/>
        <v>0.85</v>
      </c>
      <c r="AB172" s="135">
        <f t="shared" si="65"/>
        <v>0.85</v>
      </c>
      <c r="AC172" s="135">
        <f t="shared" si="65"/>
        <v>0.85</v>
      </c>
      <c r="AD172" s="135">
        <f t="shared" si="65"/>
        <v>0.85</v>
      </c>
      <c r="AE172" s="135">
        <f t="shared" si="65"/>
        <v>0.85</v>
      </c>
      <c r="AF172" s="135">
        <f t="shared" si="65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63"/>
        <v>0.9</v>
      </c>
      <c r="C173" s="136">
        <v>0.9</v>
      </c>
      <c r="D173" s="135">
        <f t="shared" si="64"/>
        <v>0.9</v>
      </c>
      <c r="E173" s="135">
        <f t="shared" si="64"/>
        <v>0.9</v>
      </c>
      <c r="F173" s="135">
        <f t="shared" si="64"/>
        <v>0.9</v>
      </c>
      <c r="G173" s="135">
        <f t="shared" si="64"/>
        <v>0.9</v>
      </c>
      <c r="H173" s="135">
        <f t="shared" si="64"/>
        <v>0.9</v>
      </c>
      <c r="I173" s="135">
        <f t="shared" si="64"/>
        <v>0.9</v>
      </c>
      <c r="J173" s="135">
        <f t="shared" si="64"/>
        <v>0.9</v>
      </c>
      <c r="K173" s="135">
        <f t="shared" si="64"/>
        <v>0.9</v>
      </c>
      <c r="L173" s="135">
        <f t="shared" si="64"/>
        <v>0.9</v>
      </c>
      <c r="M173" s="135">
        <f t="shared" si="64"/>
        <v>0.9</v>
      </c>
      <c r="N173" s="135">
        <f t="shared" si="64"/>
        <v>0.9</v>
      </c>
      <c r="O173" s="135">
        <f t="shared" si="64"/>
        <v>0.9</v>
      </c>
      <c r="P173" s="135">
        <f t="shared" si="64"/>
        <v>0.9</v>
      </c>
      <c r="Q173" s="135">
        <f t="shared" si="64"/>
        <v>0.9</v>
      </c>
      <c r="R173" s="135">
        <f t="shared" si="64"/>
        <v>0.9</v>
      </c>
      <c r="S173" s="135">
        <f t="shared" si="65"/>
        <v>0.9</v>
      </c>
      <c r="T173" s="135">
        <f t="shared" si="65"/>
        <v>0.9</v>
      </c>
      <c r="U173" s="135">
        <f t="shared" si="65"/>
        <v>0.9</v>
      </c>
      <c r="V173" s="135">
        <f t="shared" si="65"/>
        <v>0.9</v>
      </c>
      <c r="W173" s="135">
        <f t="shared" si="65"/>
        <v>0.9</v>
      </c>
      <c r="X173" s="135">
        <f t="shared" si="65"/>
        <v>0.9</v>
      </c>
      <c r="Y173" s="135">
        <f t="shared" si="65"/>
        <v>0.9</v>
      </c>
      <c r="Z173" s="135">
        <f t="shared" si="65"/>
        <v>0.9</v>
      </c>
      <c r="AA173" s="135">
        <f t="shared" si="65"/>
        <v>0.9</v>
      </c>
      <c r="AB173" s="135">
        <f t="shared" si="65"/>
        <v>0.9</v>
      </c>
      <c r="AC173" s="135">
        <f t="shared" si="65"/>
        <v>0.9</v>
      </c>
      <c r="AD173" s="135">
        <f t="shared" si="65"/>
        <v>0.9</v>
      </c>
      <c r="AE173" s="135">
        <f t="shared" si="65"/>
        <v>0.9</v>
      </c>
      <c r="AF173" s="135">
        <f t="shared" si="65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63"/>
        <v>0.44</v>
      </c>
      <c r="C174" s="136">
        <v>0.44</v>
      </c>
      <c r="D174" s="135">
        <f t="shared" si="64"/>
        <v>0.44</v>
      </c>
      <c r="E174" s="135">
        <f t="shared" si="64"/>
        <v>0.44</v>
      </c>
      <c r="F174" s="135">
        <f t="shared" si="64"/>
        <v>0.44</v>
      </c>
      <c r="G174" s="135">
        <f t="shared" si="64"/>
        <v>0.44</v>
      </c>
      <c r="H174" s="135">
        <f t="shared" si="64"/>
        <v>0.44</v>
      </c>
      <c r="I174" s="135">
        <f t="shared" si="64"/>
        <v>0.44</v>
      </c>
      <c r="J174" s="135">
        <f t="shared" si="64"/>
        <v>0.44</v>
      </c>
      <c r="K174" s="135">
        <f t="shared" si="64"/>
        <v>0.44</v>
      </c>
      <c r="L174" s="135">
        <f t="shared" si="64"/>
        <v>0.44</v>
      </c>
      <c r="M174" s="135">
        <f t="shared" si="64"/>
        <v>0.44</v>
      </c>
      <c r="N174" s="135">
        <f t="shared" si="64"/>
        <v>0.44</v>
      </c>
      <c r="O174" s="135">
        <f t="shared" si="64"/>
        <v>0.44</v>
      </c>
      <c r="P174" s="135">
        <f t="shared" si="64"/>
        <v>0.44</v>
      </c>
      <c r="Q174" s="135">
        <f t="shared" si="64"/>
        <v>0.44</v>
      </c>
      <c r="R174" s="135">
        <f t="shared" si="64"/>
        <v>0.44</v>
      </c>
      <c r="S174" s="135">
        <f t="shared" si="65"/>
        <v>0.44</v>
      </c>
      <c r="T174" s="135">
        <f t="shared" si="65"/>
        <v>0.44</v>
      </c>
      <c r="U174" s="135">
        <f t="shared" si="65"/>
        <v>0.44</v>
      </c>
      <c r="V174" s="135">
        <f t="shared" si="65"/>
        <v>0.44</v>
      </c>
      <c r="W174" s="135">
        <f t="shared" si="65"/>
        <v>0.44</v>
      </c>
      <c r="X174" s="135">
        <f t="shared" si="65"/>
        <v>0.44</v>
      </c>
      <c r="Y174" s="135">
        <f t="shared" si="65"/>
        <v>0.44</v>
      </c>
      <c r="Z174" s="135">
        <f t="shared" si="65"/>
        <v>0.44</v>
      </c>
      <c r="AA174" s="135">
        <f t="shared" si="65"/>
        <v>0.44</v>
      </c>
      <c r="AB174" s="135">
        <f t="shared" si="65"/>
        <v>0.44</v>
      </c>
      <c r="AC174" s="135">
        <f t="shared" si="65"/>
        <v>0.44</v>
      </c>
      <c r="AD174" s="135">
        <f t="shared" si="65"/>
        <v>0.44</v>
      </c>
      <c r="AE174" s="135">
        <f t="shared" si="65"/>
        <v>0.44</v>
      </c>
      <c r="AF174" s="135">
        <f t="shared" si="65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63"/>
        <v>2.1</v>
      </c>
      <c r="C175" s="136">
        <v>2.1</v>
      </c>
      <c r="D175" s="135">
        <f t="shared" si="64"/>
        <v>2.1</v>
      </c>
      <c r="E175" s="135">
        <f t="shared" si="64"/>
        <v>2.1</v>
      </c>
      <c r="F175" s="135">
        <f t="shared" si="64"/>
        <v>2.1</v>
      </c>
      <c r="G175" s="135">
        <f t="shared" si="64"/>
        <v>2.1</v>
      </c>
      <c r="H175" s="135">
        <f t="shared" si="64"/>
        <v>2.1</v>
      </c>
      <c r="I175" s="135">
        <f t="shared" si="64"/>
        <v>2.1</v>
      </c>
      <c r="J175" s="135">
        <f t="shared" si="64"/>
        <v>2.1</v>
      </c>
      <c r="K175" s="135">
        <f t="shared" si="64"/>
        <v>2.1</v>
      </c>
      <c r="L175" s="135">
        <f t="shared" si="64"/>
        <v>2.1</v>
      </c>
      <c r="M175" s="135">
        <f t="shared" si="64"/>
        <v>2.1</v>
      </c>
      <c r="N175" s="135">
        <f t="shared" si="64"/>
        <v>2.1</v>
      </c>
      <c r="O175" s="135">
        <f t="shared" si="64"/>
        <v>2.1</v>
      </c>
      <c r="P175" s="135">
        <f t="shared" si="64"/>
        <v>2.1</v>
      </c>
      <c r="Q175" s="135">
        <f t="shared" si="64"/>
        <v>2.1</v>
      </c>
      <c r="R175" s="135">
        <f t="shared" si="64"/>
        <v>2.1</v>
      </c>
      <c r="S175" s="135">
        <f t="shared" si="65"/>
        <v>2.1</v>
      </c>
      <c r="T175" s="135">
        <f t="shared" si="65"/>
        <v>2.1</v>
      </c>
      <c r="U175" s="135">
        <f t="shared" si="65"/>
        <v>2.1</v>
      </c>
      <c r="V175" s="135">
        <f t="shared" si="65"/>
        <v>2.1</v>
      </c>
      <c r="W175" s="135">
        <f t="shared" si="65"/>
        <v>2.1</v>
      </c>
      <c r="X175" s="135">
        <f t="shared" si="65"/>
        <v>2.1</v>
      </c>
      <c r="Y175" s="135">
        <f t="shared" si="65"/>
        <v>2.1</v>
      </c>
      <c r="Z175" s="135">
        <f t="shared" si="65"/>
        <v>2.1</v>
      </c>
      <c r="AA175" s="135">
        <f t="shared" si="65"/>
        <v>2.1</v>
      </c>
      <c r="AB175" s="135">
        <f t="shared" si="65"/>
        <v>2.1</v>
      </c>
      <c r="AC175" s="135">
        <f t="shared" si="65"/>
        <v>2.1</v>
      </c>
      <c r="AD175" s="135">
        <f t="shared" si="65"/>
        <v>2.1</v>
      </c>
      <c r="AE175" s="135">
        <f t="shared" si="65"/>
        <v>2.1</v>
      </c>
      <c r="AF175" s="135">
        <f t="shared" si="65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63"/>
        <v>0.9</v>
      </c>
      <c r="C176" s="136">
        <v>0.9</v>
      </c>
      <c r="D176" s="135">
        <f t="shared" si="64"/>
        <v>0.9</v>
      </c>
      <c r="E176" s="135">
        <f t="shared" si="64"/>
        <v>0.9</v>
      </c>
      <c r="F176" s="135">
        <f t="shared" si="64"/>
        <v>0.9</v>
      </c>
      <c r="G176" s="135">
        <f t="shared" si="64"/>
        <v>0.9</v>
      </c>
      <c r="H176" s="135">
        <f t="shared" si="64"/>
        <v>0.9</v>
      </c>
      <c r="I176" s="135">
        <f t="shared" si="64"/>
        <v>0.9</v>
      </c>
      <c r="J176" s="135">
        <f t="shared" si="64"/>
        <v>0.9</v>
      </c>
      <c r="K176" s="135">
        <f t="shared" si="64"/>
        <v>0.9</v>
      </c>
      <c r="L176" s="135">
        <f t="shared" si="64"/>
        <v>0.9</v>
      </c>
      <c r="M176" s="135">
        <f t="shared" si="64"/>
        <v>0.9</v>
      </c>
      <c r="N176" s="135">
        <f t="shared" si="64"/>
        <v>0.9</v>
      </c>
      <c r="O176" s="135">
        <f t="shared" si="64"/>
        <v>0.9</v>
      </c>
      <c r="P176" s="135">
        <f t="shared" si="64"/>
        <v>0.9</v>
      </c>
      <c r="Q176" s="135">
        <f t="shared" si="64"/>
        <v>0.9</v>
      </c>
      <c r="R176" s="135">
        <f t="shared" si="64"/>
        <v>0.9</v>
      </c>
      <c r="S176" s="135">
        <f t="shared" si="65"/>
        <v>0.9</v>
      </c>
      <c r="T176" s="135">
        <f t="shared" si="65"/>
        <v>0.9</v>
      </c>
      <c r="U176" s="135">
        <f t="shared" si="65"/>
        <v>0.9</v>
      </c>
      <c r="V176" s="135">
        <f t="shared" si="65"/>
        <v>0.9</v>
      </c>
      <c r="W176" s="135">
        <f t="shared" si="65"/>
        <v>0.9</v>
      </c>
      <c r="X176" s="135">
        <f t="shared" si="65"/>
        <v>0.9</v>
      </c>
      <c r="Y176" s="135">
        <f t="shared" si="65"/>
        <v>0.9</v>
      </c>
      <c r="Z176" s="135">
        <f t="shared" si="65"/>
        <v>0.9</v>
      </c>
      <c r="AA176" s="135">
        <f t="shared" si="65"/>
        <v>0.9</v>
      </c>
      <c r="AB176" s="135">
        <f t="shared" si="65"/>
        <v>0.9</v>
      </c>
      <c r="AC176" s="135">
        <f t="shared" si="65"/>
        <v>0.9</v>
      </c>
      <c r="AD176" s="135">
        <f t="shared" si="65"/>
        <v>0.9</v>
      </c>
      <c r="AE176" s="135">
        <f t="shared" si="65"/>
        <v>0.9</v>
      </c>
      <c r="AF176" s="135">
        <f t="shared" si="65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66">AF178</f>
        <v>0.57999999999999996</v>
      </c>
      <c r="C178" s="136">
        <v>0.57999999999999996</v>
      </c>
      <c r="D178" s="135">
        <f t="shared" ref="D178:S190" si="67">C178</f>
        <v>0.57999999999999996</v>
      </c>
      <c r="E178" s="135">
        <f t="shared" si="67"/>
        <v>0.57999999999999996</v>
      </c>
      <c r="F178" s="135">
        <f t="shared" si="67"/>
        <v>0.57999999999999996</v>
      </c>
      <c r="G178" s="135">
        <f t="shared" si="67"/>
        <v>0.57999999999999996</v>
      </c>
      <c r="H178" s="135">
        <f t="shared" si="67"/>
        <v>0.57999999999999996</v>
      </c>
      <c r="I178" s="135">
        <f t="shared" si="67"/>
        <v>0.57999999999999996</v>
      </c>
      <c r="J178" s="135">
        <f t="shared" si="67"/>
        <v>0.57999999999999996</v>
      </c>
      <c r="K178" s="135">
        <f t="shared" si="67"/>
        <v>0.57999999999999996</v>
      </c>
      <c r="L178" s="135">
        <f t="shared" si="67"/>
        <v>0.57999999999999996</v>
      </c>
      <c r="M178" s="135">
        <f t="shared" si="67"/>
        <v>0.57999999999999996</v>
      </c>
      <c r="N178" s="135">
        <f t="shared" si="67"/>
        <v>0.57999999999999996</v>
      </c>
      <c r="O178" s="135">
        <f t="shared" si="67"/>
        <v>0.57999999999999996</v>
      </c>
      <c r="P178" s="135">
        <f t="shared" si="67"/>
        <v>0.57999999999999996</v>
      </c>
      <c r="Q178" s="135">
        <f t="shared" si="67"/>
        <v>0.57999999999999996</v>
      </c>
      <c r="R178" s="135">
        <f t="shared" si="67"/>
        <v>0.57999999999999996</v>
      </c>
      <c r="S178" s="135">
        <f t="shared" si="67"/>
        <v>0.57999999999999996</v>
      </c>
      <c r="T178" s="135">
        <f t="shared" ref="S178:AF190" si="68">S178</f>
        <v>0.57999999999999996</v>
      </c>
      <c r="U178" s="135">
        <f t="shared" si="68"/>
        <v>0.57999999999999996</v>
      </c>
      <c r="V178" s="135">
        <f t="shared" si="68"/>
        <v>0.57999999999999996</v>
      </c>
      <c r="W178" s="135">
        <f t="shared" si="68"/>
        <v>0.57999999999999996</v>
      </c>
      <c r="X178" s="135">
        <f t="shared" si="68"/>
        <v>0.57999999999999996</v>
      </c>
      <c r="Y178" s="135">
        <f t="shared" si="68"/>
        <v>0.57999999999999996</v>
      </c>
      <c r="Z178" s="135">
        <f t="shared" si="68"/>
        <v>0.57999999999999996</v>
      </c>
      <c r="AA178" s="135">
        <f t="shared" si="68"/>
        <v>0.57999999999999996</v>
      </c>
      <c r="AB178" s="135">
        <f t="shared" si="68"/>
        <v>0.57999999999999996</v>
      </c>
      <c r="AC178" s="135">
        <f t="shared" si="68"/>
        <v>0.57999999999999996</v>
      </c>
      <c r="AD178" s="135">
        <f t="shared" si="68"/>
        <v>0.57999999999999996</v>
      </c>
      <c r="AE178" s="135">
        <f t="shared" si="68"/>
        <v>0.57999999999999996</v>
      </c>
      <c r="AF178" s="135">
        <f t="shared" si="68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66"/>
        <v>0.8</v>
      </c>
      <c r="C179" s="136">
        <v>0.8</v>
      </c>
      <c r="D179" s="135">
        <f t="shared" si="67"/>
        <v>0.8</v>
      </c>
      <c r="E179" s="135">
        <f t="shared" si="67"/>
        <v>0.8</v>
      </c>
      <c r="F179" s="135">
        <f t="shared" si="67"/>
        <v>0.8</v>
      </c>
      <c r="G179" s="135">
        <f t="shared" si="67"/>
        <v>0.8</v>
      </c>
      <c r="H179" s="135">
        <f t="shared" si="67"/>
        <v>0.8</v>
      </c>
      <c r="I179" s="135">
        <f t="shared" si="67"/>
        <v>0.8</v>
      </c>
      <c r="J179" s="135">
        <f t="shared" si="67"/>
        <v>0.8</v>
      </c>
      <c r="K179" s="135">
        <f t="shared" si="67"/>
        <v>0.8</v>
      </c>
      <c r="L179" s="135">
        <f t="shared" si="67"/>
        <v>0.8</v>
      </c>
      <c r="M179" s="135">
        <f t="shared" si="67"/>
        <v>0.8</v>
      </c>
      <c r="N179" s="135">
        <f t="shared" si="67"/>
        <v>0.8</v>
      </c>
      <c r="O179" s="135">
        <f t="shared" si="67"/>
        <v>0.8</v>
      </c>
      <c r="P179" s="135">
        <f t="shared" si="67"/>
        <v>0.8</v>
      </c>
      <c r="Q179" s="135">
        <f t="shared" si="67"/>
        <v>0.8</v>
      </c>
      <c r="R179" s="135">
        <f t="shared" si="67"/>
        <v>0.8</v>
      </c>
      <c r="S179" s="135">
        <f t="shared" si="67"/>
        <v>0.8</v>
      </c>
      <c r="T179" s="135">
        <f t="shared" si="68"/>
        <v>0.8</v>
      </c>
      <c r="U179" s="135">
        <f t="shared" si="68"/>
        <v>0.8</v>
      </c>
      <c r="V179" s="135">
        <f t="shared" si="68"/>
        <v>0.8</v>
      </c>
      <c r="W179" s="135">
        <f t="shared" si="68"/>
        <v>0.8</v>
      </c>
      <c r="X179" s="135">
        <f t="shared" si="68"/>
        <v>0.8</v>
      </c>
      <c r="Y179" s="135">
        <f t="shared" si="68"/>
        <v>0.8</v>
      </c>
      <c r="Z179" s="135">
        <f t="shared" si="68"/>
        <v>0.8</v>
      </c>
      <c r="AA179" s="135">
        <f t="shared" si="68"/>
        <v>0.8</v>
      </c>
      <c r="AB179" s="135">
        <f t="shared" si="68"/>
        <v>0.8</v>
      </c>
      <c r="AC179" s="135">
        <f t="shared" si="68"/>
        <v>0.8</v>
      </c>
      <c r="AD179" s="135">
        <f t="shared" si="68"/>
        <v>0.8</v>
      </c>
      <c r="AE179" s="135">
        <f t="shared" si="68"/>
        <v>0.8</v>
      </c>
      <c r="AF179" s="135">
        <f t="shared" si="68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66"/>
        <v>0</v>
      </c>
      <c r="C180" s="136">
        <v>0</v>
      </c>
      <c r="D180" s="135">
        <f t="shared" si="67"/>
        <v>0</v>
      </c>
      <c r="E180" s="135">
        <f t="shared" si="67"/>
        <v>0</v>
      </c>
      <c r="F180" s="135">
        <f t="shared" si="67"/>
        <v>0</v>
      </c>
      <c r="G180" s="135">
        <f t="shared" si="67"/>
        <v>0</v>
      </c>
      <c r="H180" s="135">
        <f t="shared" si="67"/>
        <v>0</v>
      </c>
      <c r="I180" s="135">
        <f t="shared" si="67"/>
        <v>0</v>
      </c>
      <c r="J180" s="135">
        <f t="shared" si="67"/>
        <v>0</v>
      </c>
      <c r="K180" s="135">
        <f t="shared" si="67"/>
        <v>0</v>
      </c>
      <c r="L180" s="135">
        <f t="shared" si="67"/>
        <v>0</v>
      </c>
      <c r="M180" s="135">
        <f t="shared" si="67"/>
        <v>0</v>
      </c>
      <c r="N180" s="135">
        <f t="shared" si="67"/>
        <v>0</v>
      </c>
      <c r="O180" s="135">
        <f t="shared" si="67"/>
        <v>0</v>
      </c>
      <c r="P180" s="135">
        <f t="shared" si="67"/>
        <v>0</v>
      </c>
      <c r="Q180" s="135">
        <f t="shared" si="67"/>
        <v>0</v>
      </c>
      <c r="R180" s="135">
        <f t="shared" si="67"/>
        <v>0</v>
      </c>
      <c r="S180" s="135">
        <f t="shared" si="67"/>
        <v>0</v>
      </c>
      <c r="T180" s="135">
        <f t="shared" si="68"/>
        <v>0</v>
      </c>
      <c r="U180" s="135">
        <f t="shared" si="68"/>
        <v>0</v>
      </c>
      <c r="V180" s="135">
        <f t="shared" si="68"/>
        <v>0</v>
      </c>
      <c r="W180" s="135">
        <f t="shared" si="68"/>
        <v>0</v>
      </c>
      <c r="X180" s="135">
        <f t="shared" si="68"/>
        <v>0</v>
      </c>
      <c r="Y180" s="135">
        <f t="shared" si="68"/>
        <v>0</v>
      </c>
      <c r="Z180" s="135">
        <f t="shared" si="68"/>
        <v>0</v>
      </c>
      <c r="AA180" s="135">
        <f t="shared" si="68"/>
        <v>0</v>
      </c>
      <c r="AB180" s="135">
        <f t="shared" si="68"/>
        <v>0</v>
      </c>
      <c r="AC180" s="135">
        <f t="shared" si="68"/>
        <v>0</v>
      </c>
      <c r="AD180" s="135">
        <f t="shared" si="68"/>
        <v>0</v>
      </c>
      <c r="AE180" s="135">
        <f t="shared" si="68"/>
        <v>0</v>
      </c>
      <c r="AF180" s="135">
        <f t="shared" si="68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66"/>
        <v>0.6</v>
      </c>
      <c r="C181" s="136">
        <v>0.6</v>
      </c>
      <c r="D181" s="135">
        <f t="shared" si="67"/>
        <v>0.6</v>
      </c>
      <c r="E181" s="135">
        <f t="shared" si="67"/>
        <v>0.6</v>
      </c>
      <c r="F181" s="135">
        <f t="shared" si="67"/>
        <v>0.6</v>
      </c>
      <c r="G181" s="135">
        <f t="shared" si="67"/>
        <v>0.6</v>
      </c>
      <c r="H181" s="135">
        <f t="shared" si="67"/>
        <v>0.6</v>
      </c>
      <c r="I181" s="135">
        <f t="shared" si="67"/>
        <v>0.6</v>
      </c>
      <c r="J181" s="135">
        <f t="shared" si="67"/>
        <v>0.6</v>
      </c>
      <c r="K181" s="135">
        <f t="shared" si="67"/>
        <v>0.6</v>
      </c>
      <c r="L181" s="135">
        <f t="shared" si="67"/>
        <v>0.6</v>
      </c>
      <c r="M181" s="135">
        <f t="shared" si="67"/>
        <v>0.6</v>
      </c>
      <c r="N181" s="135">
        <f t="shared" si="67"/>
        <v>0.6</v>
      </c>
      <c r="O181" s="135">
        <f t="shared" si="67"/>
        <v>0.6</v>
      </c>
      <c r="P181" s="135">
        <f t="shared" si="67"/>
        <v>0.6</v>
      </c>
      <c r="Q181" s="135">
        <f t="shared" si="67"/>
        <v>0.6</v>
      </c>
      <c r="R181" s="135">
        <f t="shared" si="67"/>
        <v>0.6</v>
      </c>
      <c r="S181" s="135">
        <f t="shared" si="67"/>
        <v>0.6</v>
      </c>
      <c r="T181" s="135">
        <f t="shared" si="68"/>
        <v>0.6</v>
      </c>
      <c r="U181" s="135">
        <f t="shared" si="68"/>
        <v>0.6</v>
      </c>
      <c r="V181" s="135">
        <f t="shared" si="68"/>
        <v>0.6</v>
      </c>
      <c r="W181" s="135">
        <f t="shared" si="68"/>
        <v>0.6</v>
      </c>
      <c r="X181" s="135">
        <f t="shared" si="68"/>
        <v>0.6</v>
      </c>
      <c r="Y181" s="135">
        <f t="shared" si="68"/>
        <v>0.6</v>
      </c>
      <c r="Z181" s="135">
        <f t="shared" si="68"/>
        <v>0.6</v>
      </c>
      <c r="AA181" s="135">
        <f t="shared" si="68"/>
        <v>0.6</v>
      </c>
      <c r="AB181" s="135">
        <f t="shared" si="68"/>
        <v>0.6</v>
      </c>
      <c r="AC181" s="135">
        <f t="shared" si="68"/>
        <v>0.6</v>
      </c>
      <c r="AD181" s="135">
        <f t="shared" si="68"/>
        <v>0.6</v>
      </c>
      <c r="AE181" s="135">
        <f t="shared" si="68"/>
        <v>0.6</v>
      </c>
      <c r="AF181" s="135">
        <f t="shared" si="68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66"/>
        <v>0.6</v>
      </c>
      <c r="C182" s="136">
        <v>0.6</v>
      </c>
      <c r="D182" s="135">
        <f t="shared" si="67"/>
        <v>0.6</v>
      </c>
      <c r="E182" s="135">
        <f t="shared" si="67"/>
        <v>0.6</v>
      </c>
      <c r="F182" s="135">
        <f t="shared" si="67"/>
        <v>0.6</v>
      </c>
      <c r="G182" s="135">
        <f t="shared" si="67"/>
        <v>0.6</v>
      </c>
      <c r="H182" s="135">
        <f t="shared" si="67"/>
        <v>0.6</v>
      </c>
      <c r="I182" s="135">
        <f t="shared" si="67"/>
        <v>0.6</v>
      </c>
      <c r="J182" s="135">
        <f t="shared" si="67"/>
        <v>0.6</v>
      </c>
      <c r="K182" s="135">
        <f t="shared" si="67"/>
        <v>0.6</v>
      </c>
      <c r="L182" s="135">
        <f t="shared" si="67"/>
        <v>0.6</v>
      </c>
      <c r="M182" s="135">
        <f t="shared" si="67"/>
        <v>0.6</v>
      </c>
      <c r="N182" s="135">
        <f t="shared" si="67"/>
        <v>0.6</v>
      </c>
      <c r="O182" s="135">
        <f t="shared" si="67"/>
        <v>0.6</v>
      </c>
      <c r="P182" s="135">
        <f t="shared" si="67"/>
        <v>0.6</v>
      </c>
      <c r="Q182" s="135">
        <f t="shared" si="67"/>
        <v>0.6</v>
      </c>
      <c r="R182" s="135">
        <f t="shared" si="67"/>
        <v>0.6</v>
      </c>
      <c r="S182" s="135">
        <f t="shared" si="67"/>
        <v>0.6</v>
      </c>
      <c r="T182" s="135">
        <f t="shared" si="68"/>
        <v>0.6</v>
      </c>
      <c r="U182" s="135">
        <f t="shared" si="68"/>
        <v>0.6</v>
      </c>
      <c r="V182" s="135">
        <f t="shared" si="68"/>
        <v>0.6</v>
      </c>
      <c r="W182" s="135">
        <f t="shared" si="68"/>
        <v>0.6</v>
      </c>
      <c r="X182" s="135">
        <f t="shared" si="68"/>
        <v>0.6</v>
      </c>
      <c r="Y182" s="135">
        <f t="shared" si="68"/>
        <v>0.6</v>
      </c>
      <c r="Z182" s="135">
        <f t="shared" si="68"/>
        <v>0.6</v>
      </c>
      <c r="AA182" s="135">
        <f t="shared" si="68"/>
        <v>0.6</v>
      </c>
      <c r="AB182" s="135">
        <f t="shared" si="68"/>
        <v>0.6</v>
      </c>
      <c r="AC182" s="135">
        <f t="shared" si="68"/>
        <v>0.6</v>
      </c>
      <c r="AD182" s="135">
        <f t="shared" si="68"/>
        <v>0.6</v>
      </c>
      <c r="AE182" s="135">
        <f t="shared" si="68"/>
        <v>0.6</v>
      </c>
      <c r="AF182" s="135">
        <f t="shared" si="68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66"/>
        <v>0.35</v>
      </c>
      <c r="C183" s="136">
        <v>0.35</v>
      </c>
      <c r="D183" s="135">
        <f t="shared" si="67"/>
        <v>0.35</v>
      </c>
      <c r="E183" s="135">
        <f t="shared" si="67"/>
        <v>0.35</v>
      </c>
      <c r="F183" s="135">
        <f t="shared" si="67"/>
        <v>0.35</v>
      </c>
      <c r="G183" s="135">
        <f t="shared" si="67"/>
        <v>0.35</v>
      </c>
      <c r="H183" s="135">
        <f t="shared" si="67"/>
        <v>0.35</v>
      </c>
      <c r="I183" s="135">
        <f t="shared" si="67"/>
        <v>0.35</v>
      </c>
      <c r="J183" s="135">
        <f t="shared" si="67"/>
        <v>0.35</v>
      </c>
      <c r="K183" s="135">
        <f t="shared" si="67"/>
        <v>0.35</v>
      </c>
      <c r="L183" s="135">
        <f t="shared" si="67"/>
        <v>0.35</v>
      </c>
      <c r="M183" s="135">
        <f t="shared" si="67"/>
        <v>0.35</v>
      </c>
      <c r="N183" s="135">
        <f t="shared" si="67"/>
        <v>0.35</v>
      </c>
      <c r="O183" s="135">
        <f t="shared" si="67"/>
        <v>0.35</v>
      </c>
      <c r="P183" s="135">
        <f t="shared" si="67"/>
        <v>0.35</v>
      </c>
      <c r="Q183" s="135">
        <f t="shared" si="67"/>
        <v>0.35</v>
      </c>
      <c r="R183" s="135">
        <f t="shared" si="67"/>
        <v>0.35</v>
      </c>
      <c r="S183" s="135">
        <f t="shared" si="67"/>
        <v>0.35</v>
      </c>
      <c r="T183" s="135">
        <f t="shared" si="68"/>
        <v>0.35</v>
      </c>
      <c r="U183" s="135">
        <f t="shared" si="68"/>
        <v>0.35</v>
      </c>
      <c r="V183" s="135">
        <f t="shared" si="68"/>
        <v>0.35</v>
      </c>
      <c r="W183" s="135">
        <f t="shared" si="68"/>
        <v>0.35</v>
      </c>
      <c r="X183" s="135">
        <f t="shared" si="68"/>
        <v>0.35</v>
      </c>
      <c r="Y183" s="135">
        <f t="shared" si="68"/>
        <v>0.35</v>
      </c>
      <c r="Z183" s="135">
        <f t="shared" si="68"/>
        <v>0.35</v>
      </c>
      <c r="AA183" s="135">
        <f t="shared" si="68"/>
        <v>0.35</v>
      </c>
      <c r="AB183" s="135">
        <f t="shared" si="68"/>
        <v>0.35</v>
      </c>
      <c r="AC183" s="135">
        <f t="shared" si="68"/>
        <v>0.35</v>
      </c>
      <c r="AD183" s="135">
        <f t="shared" si="68"/>
        <v>0.35</v>
      </c>
      <c r="AE183" s="135">
        <f t="shared" si="68"/>
        <v>0.35</v>
      </c>
      <c r="AF183" s="135">
        <f t="shared" si="68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66"/>
        <v>0.28999999999999998</v>
      </c>
      <c r="C184" s="136">
        <v>0.28999999999999998</v>
      </c>
      <c r="D184" s="135">
        <f t="shared" si="67"/>
        <v>0.28999999999999998</v>
      </c>
      <c r="E184" s="135">
        <f t="shared" si="67"/>
        <v>0.28999999999999998</v>
      </c>
      <c r="F184" s="135">
        <f t="shared" si="67"/>
        <v>0.28999999999999998</v>
      </c>
      <c r="G184" s="135">
        <f t="shared" si="67"/>
        <v>0.28999999999999998</v>
      </c>
      <c r="H184" s="135">
        <f t="shared" si="67"/>
        <v>0.28999999999999998</v>
      </c>
      <c r="I184" s="135">
        <f t="shared" si="67"/>
        <v>0.28999999999999998</v>
      </c>
      <c r="J184" s="135">
        <f t="shared" si="67"/>
        <v>0.28999999999999998</v>
      </c>
      <c r="K184" s="135">
        <f t="shared" si="67"/>
        <v>0.28999999999999998</v>
      </c>
      <c r="L184" s="135">
        <f t="shared" si="67"/>
        <v>0.28999999999999998</v>
      </c>
      <c r="M184" s="135">
        <f t="shared" si="67"/>
        <v>0.28999999999999998</v>
      </c>
      <c r="N184" s="135">
        <f t="shared" si="67"/>
        <v>0.28999999999999998</v>
      </c>
      <c r="O184" s="135">
        <f t="shared" si="67"/>
        <v>0.28999999999999998</v>
      </c>
      <c r="P184" s="135">
        <f t="shared" si="67"/>
        <v>0.28999999999999998</v>
      </c>
      <c r="Q184" s="135">
        <f t="shared" si="67"/>
        <v>0.28999999999999998</v>
      </c>
      <c r="R184" s="135">
        <f t="shared" si="67"/>
        <v>0.28999999999999998</v>
      </c>
      <c r="S184" s="135">
        <f t="shared" si="67"/>
        <v>0.28999999999999998</v>
      </c>
      <c r="T184" s="135">
        <f t="shared" si="68"/>
        <v>0.28999999999999998</v>
      </c>
      <c r="U184" s="135">
        <f t="shared" si="68"/>
        <v>0.28999999999999998</v>
      </c>
      <c r="V184" s="135">
        <f t="shared" si="68"/>
        <v>0.28999999999999998</v>
      </c>
      <c r="W184" s="135">
        <f t="shared" si="68"/>
        <v>0.28999999999999998</v>
      </c>
      <c r="X184" s="135">
        <f t="shared" si="68"/>
        <v>0.28999999999999998</v>
      </c>
      <c r="Y184" s="135">
        <f t="shared" si="68"/>
        <v>0.28999999999999998</v>
      </c>
      <c r="Z184" s="135">
        <f t="shared" si="68"/>
        <v>0.28999999999999998</v>
      </c>
      <c r="AA184" s="135">
        <f t="shared" si="68"/>
        <v>0.28999999999999998</v>
      </c>
      <c r="AB184" s="135">
        <f t="shared" si="68"/>
        <v>0.28999999999999998</v>
      </c>
      <c r="AC184" s="135">
        <f t="shared" si="68"/>
        <v>0.28999999999999998</v>
      </c>
      <c r="AD184" s="135">
        <f t="shared" si="68"/>
        <v>0.28999999999999998</v>
      </c>
      <c r="AE184" s="135">
        <f t="shared" si="68"/>
        <v>0.28999999999999998</v>
      </c>
      <c r="AF184" s="135">
        <f t="shared" si="68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66"/>
        <v>0.06</v>
      </c>
      <c r="C185" s="136">
        <v>0.06</v>
      </c>
      <c r="D185" s="135">
        <f t="shared" si="67"/>
        <v>0.06</v>
      </c>
      <c r="E185" s="135">
        <f t="shared" si="67"/>
        <v>0.06</v>
      </c>
      <c r="F185" s="135">
        <f t="shared" si="67"/>
        <v>0.06</v>
      </c>
      <c r="G185" s="135">
        <f t="shared" si="67"/>
        <v>0.06</v>
      </c>
      <c r="H185" s="135">
        <f t="shared" si="67"/>
        <v>0.06</v>
      </c>
      <c r="I185" s="135">
        <f t="shared" si="67"/>
        <v>0.06</v>
      </c>
      <c r="J185" s="135">
        <f t="shared" si="67"/>
        <v>0.06</v>
      </c>
      <c r="K185" s="135">
        <f t="shared" si="67"/>
        <v>0.06</v>
      </c>
      <c r="L185" s="135">
        <f t="shared" si="67"/>
        <v>0.06</v>
      </c>
      <c r="M185" s="135">
        <f t="shared" si="67"/>
        <v>0.06</v>
      </c>
      <c r="N185" s="135">
        <f t="shared" si="67"/>
        <v>0.06</v>
      </c>
      <c r="O185" s="135">
        <f t="shared" si="67"/>
        <v>0.06</v>
      </c>
      <c r="P185" s="135">
        <f t="shared" si="67"/>
        <v>0.06</v>
      </c>
      <c r="Q185" s="135">
        <f t="shared" si="67"/>
        <v>0.06</v>
      </c>
      <c r="R185" s="135">
        <f t="shared" si="67"/>
        <v>0.06</v>
      </c>
      <c r="S185" s="135">
        <f t="shared" si="67"/>
        <v>0.06</v>
      </c>
      <c r="T185" s="135">
        <f t="shared" si="68"/>
        <v>0.06</v>
      </c>
      <c r="U185" s="135">
        <f t="shared" si="68"/>
        <v>0.06</v>
      </c>
      <c r="V185" s="135">
        <f t="shared" si="68"/>
        <v>0.06</v>
      </c>
      <c r="W185" s="135">
        <f t="shared" si="68"/>
        <v>0.06</v>
      </c>
      <c r="X185" s="135">
        <f t="shared" si="68"/>
        <v>0.06</v>
      </c>
      <c r="Y185" s="135">
        <f t="shared" si="68"/>
        <v>0.06</v>
      </c>
      <c r="Z185" s="135">
        <f t="shared" si="68"/>
        <v>0.06</v>
      </c>
      <c r="AA185" s="135">
        <f t="shared" si="68"/>
        <v>0.06</v>
      </c>
      <c r="AB185" s="135">
        <f t="shared" si="68"/>
        <v>0.06</v>
      </c>
      <c r="AC185" s="135">
        <f t="shared" si="68"/>
        <v>0.06</v>
      </c>
      <c r="AD185" s="135">
        <f t="shared" si="68"/>
        <v>0.06</v>
      </c>
      <c r="AE185" s="135">
        <f t="shared" si="68"/>
        <v>0.06</v>
      </c>
      <c r="AF185" s="135">
        <f t="shared" si="68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66"/>
        <v>0.11</v>
      </c>
      <c r="C186" s="136">
        <v>0.11</v>
      </c>
      <c r="D186" s="135">
        <f t="shared" si="67"/>
        <v>0.11</v>
      </c>
      <c r="E186" s="135">
        <f t="shared" si="67"/>
        <v>0.11</v>
      </c>
      <c r="F186" s="135">
        <f t="shared" si="67"/>
        <v>0.11</v>
      </c>
      <c r="G186" s="135">
        <f t="shared" si="67"/>
        <v>0.11</v>
      </c>
      <c r="H186" s="135">
        <f t="shared" si="67"/>
        <v>0.11</v>
      </c>
      <c r="I186" s="135">
        <f t="shared" si="67"/>
        <v>0.11</v>
      </c>
      <c r="J186" s="135">
        <f t="shared" si="67"/>
        <v>0.11</v>
      </c>
      <c r="K186" s="135">
        <f t="shared" si="67"/>
        <v>0.11</v>
      </c>
      <c r="L186" s="135">
        <f t="shared" si="67"/>
        <v>0.11</v>
      </c>
      <c r="M186" s="135">
        <f t="shared" si="67"/>
        <v>0.11</v>
      </c>
      <c r="N186" s="135">
        <f t="shared" si="67"/>
        <v>0.11</v>
      </c>
      <c r="O186" s="135">
        <f t="shared" si="67"/>
        <v>0.11</v>
      </c>
      <c r="P186" s="135">
        <f t="shared" si="67"/>
        <v>0.11</v>
      </c>
      <c r="Q186" s="135">
        <f t="shared" si="67"/>
        <v>0.11</v>
      </c>
      <c r="R186" s="135">
        <f t="shared" si="67"/>
        <v>0.11</v>
      </c>
      <c r="S186" s="135">
        <f t="shared" si="67"/>
        <v>0.11</v>
      </c>
      <c r="T186" s="135">
        <f t="shared" si="68"/>
        <v>0.11</v>
      </c>
      <c r="U186" s="135">
        <f t="shared" si="68"/>
        <v>0.11</v>
      </c>
      <c r="V186" s="135">
        <f t="shared" si="68"/>
        <v>0.11</v>
      </c>
      <c r="W186" s="135">
        <f t="shared" si="68"/>
        <v>0.11</v>
      </c>
      <c r="X186" s="135">
        <f t="shared" si="68"/>
        <v>0.11</v>
      </c>
      <c r="Y186" s="135">
        <f t="shared" si="68"/>
        <v>0.11</v>
      </c>
      <c r="Z186" s="135">
        <f t="shared" si="68"/>
        <v>0.11</v>
      </c>
      <c r="AA186" s="135">
        <f t="shared" si="68"/>
        <v>0.11</v>
      </c>
      <c r="AB186" s="135">
        <f t="shared" si="68"/>
        <v>0.11</v>
      </c>
      <c r="AC186" s="135">
        <f t="shared" si="68"/>
        <v>0.11</v>
      </c>
      <c r="AD186" s="135">
        <f t="shared" si="68"/>
        <v>0.11</v>
      </c>
      <c r="AE186" s="135">
        <f t="shared" si="68"/>
        <v>0.11</v>
      </c>
      <c r="AF186" s="135">
        <f t="shared" si="68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66"/>
        <v>0.1</v>
      </c>
      <c r="C187" s="136">
        <v>0.1</v>
      </c>
      <c r="D187" s="135">
        <f t="shared" si="67"/>
        <v>0.1</v>
      </c>
      <c r="E187" s="135">
        <f t="shared" si="67"/>
        <v>0.1</v>
      </c>
      <c r="F187" s="135">
        <f t="shared" si="67"/>
        <v>0.1</v>
      </c>
      <c r="G187" s="135">
        <f t="shared" si="67"/>
        <v>0.1</v>
      </c>
      <c r="H187" s="135">
        <f t="shared" si="67"/>
        <v>0.1</v>
      </c>
      <c r="I187" s="135">
        <f t="shared" si="67"/>
        <v>0.1</v>
      </c>
      <c r="J187" s="135">
        <f t="shared" si="67"/>
        <v>0.1</v>
      </c>
      <c r="K187" s="135">
        <f t="shared" si="67"/>
        <v>0.1</v>
      </c>
      <c r="L187" s="135">
        <f t="shared" si="67"/>
        <v>0.1</v>
      </c>
      <c r="M187" s="135">
        <f t="shared" si="67"/>
        <v>0.1</v>
      </c>
      <c r="N187" s="135">
        <f t="shared" si="67"/>
        <v>0.1</v>
      </c>
      <c r="O187" s="135">
        <f t="shared" si="67"/>
        <v>0.1</v>
      </c>
      <c r="P187" s="135">
        <f t="shared" si="67"/>
        <v>0.1</v>
      </c>
      <c r="Q187" s="135">
        <f t="shared" si="67"/>
        <v>0.1</v>
      </c>
      <c r="R187" s="135">
        <f t="shared" si="67"/>
        <v>0.1</v>
      </c>
      <c r="S187" s="135">
        <f t="shared" si="68"/>
        <v>0.1</v>
      </c>
      <c r="T187" s="135">
        <f t="shared" si="68"/>
        <v>0.1</v>
      </c>
      <c r="U187" s="135">
        <f t="shared" si="68"/>
        <v>0.1</v>
      </c>
      <c r="V187" s="135">
        <f t="shared" si="68"/>
        <v>0.1</v>
      </c>
      <c r="W187" s="135">
        <f t="shared" si="68"/>
        <v>0.1</v>
      </c>
      <c r="X187" s="135">
        <f t="shared" si="68"/>
        <v>0.1</v>
      </c>
      <c r="Y187" s="135">
        <f t="shared" si="68"/>
        <v>0.1</v>
      </c>
      <c r="Z187" s="135">
        <f t="shared" si="68"/>
        <v>0.1</v>
      </c>
      <c r="AA187" s="135">
        <f t="shared" si="68"/>
        <v>0.1</v>
      </c>
      <c r="AB187" s="135">
        <f t="shared" si="68"/>
        <v>0.1</v>
      </c>
      <c r="AC187" s="135">
        <f t="shared" si="68"/>
        <v>0.1</v>
      </c>
      <c r="AD187" s="135">
        <f t="shared" si="68"/>
        <v>0.1</v>
      </c>
      <c r="AE187" s="135">
        <f t="shared" si="68"/>
        <v>0.1</v>
      </c>
      <c r="AF187" s="135">
        <f t="shared" si="68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66"/>
        <v>0.09</v>
      </c>
      <c r="C188" s="136">
        <v>0.09</v>
      </c>
      <c r="D188" s="135">
        <f t="shared" si="67"/>
        <v>0.09</v>
      </c>
      <c r="E188" s="135">
        <f t="shared" si="67"/>
        <v>0.09</v>
      </c>
      <c r="F188" s="135">
        <f t="shared" si="67"/>
        <v>0.09</v>
      </c>
      <c r="G188" s="135">
        <f t="shared" si="67"/>
        <v>0.09</v>
      </c>
      <c r="H188" s="135">
        <f t="shared" si="67"/>
        <v>0.09</v>
      </c>
      <c r="I188" s="135">
        <f t="shared" si="67"/>
        <v>0.09</v>
      </c>
      <c r="J188" s="135">
        <f t="shared" si="67"/>
        <v>0.09</v>
      </c>
      <c r="K188" s="135">
        <f t="shared" si="67"/>
        <v>0.09</v>
      </c>
      <c r="L188" s="135">
        <f t="shared" si="67"/>
        <v>0.09</v>
      </c>
      <c r="M188" s="135">
        <f t="shared" si="67"/>
        <v>0.09</v>
      </c>
      <c r="N188" s="135">
        <f t="shared" si="67"/>
        <v>0.09</v>
      </c>
      <c r="O188" s="135">
        <f t="shared" si="67"/>
        <v>0.09</v>
      </c>
      <c r="P188" s="135">
        <f t="shared" si="67"/>
        <v>0.09</v>
      </c>
      <c r="Q188" s="135">
        <f t="shared" si="67"/>
        <v>0.09</v>
      </c>
      <c r="R188" s="135">
        <f t="shared" si="67"/>
        <v>0.09</v>
      </c>
      <c r="S188" s="135">
        <f t="shared" si="68"/>
        <v>0.09</v>
      </c>
      <c r="T188" s="135">
        <f t="shared" si="68"/>
        <v>0.09</v>
      </c>
      <c r="U188" s="135">
        <f t="shared" si="68"/>
        <v>0.09</v>
      </c>
      <c r="V188" s="135">
        <f t="shared" si="68"/>
        <v>0.09</v>
      </c>
      <c r="W188" s="135">
        <f t="shared" si="68"/>
        <v>0.09</v>
      </c>
      <c r="X188" s="135">
        <f t="shared" si="68"/>
        <v>0.09</v>
      </c>
      <c r="Y188" s="135">
        <f t="shared" si="68"/>
        <v>0.09</v>
      </c>
      <c r="Z188" s="135">
        <f t="shared" si="68"/>
        <v>0.09</v>
      </c>
      <c r="AA188" s="135">
        <f t="shared" si="68"/>
        <v>0.09</v>
      </c>
      <c r="AB188" s="135">
        <f t="shared" si="68"/>
        <v>0.09</v>
      </c>
      <c r="AC188" s="135">
        <f t="shared" si="68"/>
        <v>0.09</v>
      </c>
      <c r="AD188" s="135">
        <f t="shared" si="68"/>
        <v>0.09</v>
      </c>
      <c r="AE188" s="135">
        <f t="shared" si="68"/>
        <v>0.09</v>
      </c>
      <c r="AF188" s="135">
        <f t="shared" si="68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66"/>
        <v>0.04</v>
      </c>
      <c r="C189" s="52">
        <v>0.04</v>
      </c>
      <c r="D189" s="135">
        <f t="shared" si="67"/>
        <v>0.04</v>
      </c>
      <c r="E189" s="135">
        <f t="shared" si="67"/>
        <v>0.04</v>
      </c>
      <c r="F189" s="135">
        <f t="shared" si="67"/>
        <v>0.04</v>
      </c>
      <c r="G189" s="135">
        <f t="shared" si="67"/>
        <v>0.04</v>
      </c>
      <c r="H189" s="135">
        <f t="shared" si="67"/>
        <v>0.04</v>
      </c>
      <c r="I189" s="135">
        <f t="shared" si="67"/>
        <v>0.04</v>
      </c>
      <c r="J189" s="135">
        <f t="shared" si="67"/>
        <v>0.04</v>
      </c>
      <c r="K189" s="135">
        <f t="shared" si="67"/>
        <v>0.04</v>
      </c>
      <c r="L189" s="135">
        <f t="shared" si="67"/>
        <v>0.04</v>
      </c>
      <c r="M189" s="135">
        <f t="shared" si="67"/>
        <v>0.04</v>
      </c>
      <c r="N189" s="135">
        <f t="shared" si="67"/>
        <v>0.04</v>
      </c>
      <c r="O189" s="135">
        <f t="shared" si="67"/>
        <v>0.04</v>
      </c>
      <c r="P189" s="135">
        <f t="shared" si="67"/>
        <v>0.04</v>
      </c>
      <c r="Q189" s="135">
        <f t="shared" si="67"/>
        <v>0.04</v>
      </c>
      <c r="R189" s="135">
        <f t="shared" si="67"/>
        <v>0.04</v>
      </c>
      <c r="S189" s="135">
        <f t="shared" si="68"/>
        <v>0.04</v>
      </c>
      <c r="T189" s="135">
        <f t="shared" si="68"/>
        <v>0.04</v>
      </c>
      <c r="U189" s="135">
        <f t="shared" si="68"/>
        <v>0.04</v>
      </c>
      <c r="V189" s="135">
        <f t="shared" si="68"/>
        <v>0.04</v>
      </c>
      <c r="W189" s="135">
        <f t="shared" si="68"/>
        <v>0.04</v>
      </c>
      <c r="X189" s="135">
        <f t="shared" si="68"/>
        <v>0.04</v>
      </c>
      <c r="Y189" s="135">
        <f t="shared" si="68"/>
        <v>0.04</v>
      </c>
      <c r="Z189" s="135">
        <f t="shared" si="68"/>
        <v>0.04</v>
      </c>
      <c r="AA189" s="135">
        <f t="shared" si="68"/>
        <v>0.04</v>
      </c>
      <c r="AB189" s="135">
        <f t="shared" si="68"/>
        <v>0.04</v>
      </c>
      <c r="AC189" s="135">
        <f t="shared" si="68"/>
        <v>0.04</v>
      </c>
      <c r="AD189" s="135">
        <f t="shared" si="68"/>
        <v>0.04</v>
      </c>
      <c r="AE189" s="135">
        <f t="shared" si="68"/>
        <v>0.04</v>
      </c>
      <c r="AF189" s="135">
        <f t="shared" si="68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66"/>
        <v>2.3E-2</v>
      </c>
      <c r="C190" s="52">
        <v>2.3E-2</v>
      </c>
      <c r="D190" s="135">
        <f>C190</f>
        <v>2.3E-2</v>
      </c>
      <c r="E190" s="135">
        <f t="shared" si="67"/>
        <v>2.3E-2</v>
      </c>
      <c r="F190" s="135">
        <f t="shared" si="67"/>
        <v>2.3E-2</v>
      </c>
      <c r="G190" s="135">
        <f t="shared" si="67"/>
        <v>2.3E-2</v>
      </c>
      <c r="H190" s="135">
        <f t="shared" si="67"/>
        <v>2.3E-2</v>
      </c>
      <c r="I190" s="135">
        <f t="shared" si="67"/>
        <v>2.3E-2</v>
      </c>
      <c r="J190" s="135">
        <f t="shared" si="67"/>
        <v>2.3E-2</v>
      </c>
      <c r="K190" s="135">
        <f t="shared" si="67"/>
        <v>2.3E-2</v>
      </c>
      <c r="L190" s="135">
        <f t="shared" si="67"/>
        <v>2.3E-2</v>
      </c>
      <c r="M190" s="135">
        <f t="shared" si="67"/>
        <v>2.3E-2</v>
      </c>
      <c r="N190" s="135">
        <f t="shared" si="67"/>
        <v>2.3E-2</v>
      </c>
      <c r="O190" s="135">
        <f t="shared" si="67"/>
        <v>2.3E-2</v>
      </c>
      <c r="P190" s="135">
        <f t="shared" si="67"/>
        <v>2.3E-2</v>
      </c>
      <c r="Q190" s="135">
        <f t="shared" si="67"/>
        <v>2.3E-2</v>
      </c>
      <c r="R190" s="135">
        <f t="shared" si="67"/>
        <v>2.3E-2</v>
      </c>
      <c r="S190" s="135">
        <f t="shared" si="68"/>
        <v>2.3E-2</v>
      </c>
      <c r="T190" s="135">
        <f t="shared" si="68"/>
        <v>2.3E-2</v>
      </c>
      <c r="U190" s="135">
        <f t="shared" si="68"/>
        <v>2.3E-2</v>
      </c>
      <c r="V190" s="135">
        <f t="shared" si="68"/>
        <v>2.3E-2</v>
      </c>
      <c r="W190" s="135">
        <f t="shared" si="68"/>
        <v>2.3E-2</v>
      </c>
      <c r="X190" s="135">
        <f t="shared" si="68"/>
        <v>2.3E-2</v>
      </c>
      <c r="Y190" s="135">
        <f t="shared" si="68"/>
        <v>2.3E-2</v>
      </c>
      <c r="Z190" s="135">
        <f t="shared" si="68"/>
        <v>2.3E-2</v>
      </c>
      <c r="AA190" s="135">
        <f t="shared" si="68"/>
        <v>2.3E-2</v>
      </c>
      <c r="AB190" s="135">
        <f t="shared" si="68"/>
        <v>2.3E-2</v>
      </c>
      <c r="AC190" s="135">
        <f t="shared" si="68"/>
        <v>2.3E-2</v>
      </c>
      <c r="AD190" s="135">
        <f t="shared" si="68"/>
        <v>2.3E-2</v>
      </c>
      <c r="AE190" s="135">
        <f t="shared" si="68"/>
        <v>2.3E-2</v>
      </c>
      <c r="AF190" s="135">
        <f t="shared" si="68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69">SUM(C101:C190)</f>
        <v>194.70600000000002</v>
      </c>
      <c r="D191" s="140">
        <f t="shared" si="69"/>
        <v>194.70600000000002</v>
      </c>
      <c r="E191" s="140">
        <f t="shared" si="69"/>
        <v>194.70600000000002</v>
      </c>
      <c r="F191" s="140">
        <f t="shared" si="69"/>
        <v>194.70600000000002</v>
      </c>
      <c r="G191" s="140">
        <f t="shared" si="69"/>
        <v>194.70600000000002</v>
      </c>
      <c r="H191" s="140">
        <f t="shared" si="69"/>
        <v>194.70600000000002</v>
      </c>
      <c r="I191" s="140">
        <f t="shared" si="69"/>
        <v>194.70600000000002</v>
      </c>
      <c r="J191" s="140">
        <f t="shared" si="69"/>
        <v>192.10600000000005</v>
      </c>
      <c r="K191" s="140">
        <f t="shared" si="69"/>
        <v>192.10600000000005</v>
      </c>
      <c r="L191" s="140">
        <f t="shared" si="69"/>
        <v>192.10600000000005</v>
      </c>
      <c r="M191" s="140">
        <f t="shared" si="69"/>
        <v>192.10600000000005</v>
      </c>
      <c r="N191" s="140">
        <f t="shared" si="69"/>
        <v>192.10600000000005</v>
      </c>
      <c r="O191" s="140">
        <f t="shared" si="69"/>
        <v>192.10600000000005</v>
      </c>
      <c r="P191" s="140">
        <f t="shared" si="69"/>
        <v>192.10600000000005</v>
      </c>
      <c r="Q191" s="140">
        <f t="shared" si="69"/>
        <v>192.10600000000005</v>
      </c>
      <c r="R191" s="140">
        <f t="shared" si="69"/>
        <v>192.10600000000005</v>
      </c>
      <c r="S191" s="140">
        <f t="shared" si="69"/>
        <v>192.10600000000005</v>
      </c>
      <c r="T191" s="140">
        <f t="shared" si="69"/>
        <v>192.10600000000005</v>
      </c>
      <c r="U191" s="140">
        <f t="shared" si="69"/>
        <v>192.10600000000005</v>
      </c>
      <c r="V191" s="140">
        <f t="shared" si="69"/>
        <v>192.10600000000005</v>
      </c>
      <c r="W191" s="140">
        <f t="shared" si="69"/>
        <v>192.10600000000005</v>
      </c>
      <c r="X191" s="140">
        <f t="shared" si="69"/>
        <v>192.10600000000005</v>
      </c>
      <c r="Y191" s="140">
        <f t="shared" si="69"/>
        <v>192.10600000000005</v>
      </c>
      <c r="Z191" s="140">
        <f t="shared" si="69"/>
        <v>192.10600000000005</v>
      </c>
      <c r="AA191" s="140">
        <f t="shared" si="69"/>
        <v>192.10600000000005</v>
      </c>
      <c r="AB191" s="140">
        <f t="shared" si="69"/>
        <v>192.10600000000005</v>
      </c>
      <c r="AC191" s="140">
        <f t="shared" si="69"/>
        <v>192.10600000000005</v>
      </c>
      <c r="AD191" s="140">
        <f t="shared" si="69"/>
        <v>192.10600000000005</v>
      </c>
      <c r="AE191" s="140">
        <f t="shared" si="69"/>
        <v>192.10600000000005</v>
      </c>
      <c r="AF191" s="140">
        <f t="shared" si="69"/>
        <v>192.10600000000005</v>
      </c>
      <c r="AG191" s="141">
        <f t="shared" si="69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70">AF193</f>
        <v>0.3</v>
      </c>
      <c r="C193" s="142">
        <v>0.3</v>
      </c>
      <c r="D193" s="142">
        <f t="shared" ref="D193:S198" si="71">C193</f>
        <v>0.3</v>
      </c>
      <c r="E193" s="142">
        <f t="shared" si="71"/>
        <v>0.3</v>
      </c>
      <c r="F193" s="142">
        <f t="shared" si="71"/>
        <v>0.3</v>
      </c>
      <c r="G193" s="142">
        <f t="shared" si="71"/>
        <v>0.3</v>
      </c>
      <c r="H193" s="142">
        <f t="shared" si="71"/>
        <v>0.3</v>
      </c>
      <c r="I193" s="142">
        <f t="shared" si="71"/>
        <v>0.3</v>
      </c>
      <c r="J193" s="142">
        <f t="shared" si="71"/>
        <v>0.3</v>
      </c>
      <c r="K193" s="142">
        <f t="shared" si="71"/>
        <v>0.3</v>
      </c>
      <c r="L193" s="142">
        <f t="shared" si="71"/>
        <v>0.3</v>
      </c>
      <c r="M193" s="142">
        <f t="shared" si="71"/>
        <v>0.3</v>
      </c>
      <c r="N193" s="142">
        <f t="shared" si="71"/>
        <v>0.3</v>
      </c>
      <c r="O193" s="142">
        <f t="shared" si="71"/>
        <v>0.3</v>
      </c>
      <c r="P193" s="142">
        <f t="shared" si="71"/>
        <v>0.3</v>
      </c>
      <c r="Q193" s="142">
        <f t="shared" si="71"/>
        <v>0.3</v>
      </c>
      <c r="R193" s="142">
        <f t="shared" si="71"/>
        <v>0.3</v>
      </c>
      <c r="S193" s="142">
        <f t="shared" si="71"/>
        <v>0.3</v>
      </c>
      <c r="T193" s="142">
        <f t="shared" ref="T193:AF198" si="72">S193</f>
        <v>0.3</v>
      </c>
      <c r="U193" s="142">
        <f t="shared" si="72"/>
        <v>0.3</v>
      </c>
      <c r="V193" s="142">
        <f t="shared" si="72"/>
        <v>0.3</v>
      </c>
      <c r="W193" s="142">
        <f t="shared" si="72"/>
        <v>0.3</v>
      </c>
      <c r="X193" s="142">
        <f t="shared" si="72"/>
        <v>0.3</v>
      </c>
      <c r="Y193" s="142">
        <f t="shared" si="72"/>
        <v>0.3</v>
      </c>
      <c r="Z193" s="142">
        <f t="shared" si="72"/>
        <v>0.3</v>
      </c>
      <c r="AA193" s="142">
        <f t="shared" si="72"/>
        <v>0.3</v>
      </c>
      <c r="AB193" s="142">
        <f t="shared" si="72"/>
        <v>0.3</v>
      </c>
      <c r="AC193" s="142">
        <f t="shared" si="72"/>
        <v>0.3</v>
      </c>
      <c r="AD193" s="142">
        <f t="shared" si="72"/>
        <v>0.3</v>
      </c>
      <c r="AE193" s="142">
        <f t="shared" si="72"/>
        <v>0.3</v>
      </c>
      <c r="AF193" s="142">
        <f t="shared" si="72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70"/>
        <v>0.4</v>
      </c>
      <c r="C194" s="135">
        <v>0.4</v>
      </c>
      <c r="D194" s="135">
        <f t="shared" si="71"/>
        <v>0.4</v>
      </c>
      <c r="E194" s="135">
        <f t="shared" si="71"/>
        <v>0.4</v>
      </c>
      <c r="F194" s="135">
        <f t="shared" si="71"/>
        <v>0.4</v>
      </c>
      <c r="G194" s="135">
        <f t="shared" si="71"/>
        <v>0.4</v>
      </c>
      <c r="H194" s="135">
        <f t="shared" si="71"/>
        <v>0.4</v>
      </c>
      <c r="I194" s="135">
        <f t="shared" si="71"/>
        <v>0.4</v>
      </c>
      <c r="J194" s="135">
        <f t="shared" si="71"/>
        <v>0.4</v>
      </c>
      <c r="K194" s="135">
        <f t="shared" si="71"/>
        <v>0.4</v>
      </c>
      <c r="L194" s="135">
        <f t="shared" si="71"/>
        <v>0.4</v>
      </c>
      <c r="M194" s="135">
        <f t="shared" si="71"/>
        <v>0.4</v>
      </c>
      <c r="N194" s="135">
        <f t="shared" si="71"/>
        <v>0.4</v>
      </c>
      <c r="O194" s="135">
        <f t="shared" si="71"/>
        <v>0.4</v>
      </c>
      <c r="P194" s="135">
        <f t="shared" si="71"/>
        <v>0.4</v>
      </c>
      <c r="Q194" s="135">
        <f t="shared" si="71"/>
        <v>0.4</v>
      </c>
      <c r="R194" s="135">
        <f t="shared" si="71"/>
        <v>0.4</v>
      </c>
      <c r="S194" s="135">
        <f t="shared" si="71"/>
        <v>0.4</v>
      </c>
      <c r="T194" s="135">
        <f t="shared" si="72"/>
        <v>0.4</v>
      </c>
      <c r="U194" s="135">
        <f t="shared" si="72"/>
        <v>0.4</v>
      </c>
      <c r="V194" s="135">
        <f t="shared" si="72"/>
        <v>0.4</v>
      </c>
      <c r="W194" s="135">
        <f>V194</f>
        <v>0.4</v>
      </c>
      <c r="X194" s="135">
        <f>W194</f>
        <v>0.4</v>
      </c>
      <c r="Y194" s="135">
        <f t="shared" si="72"/>
        <v>0.4</v>
      </c>
      <c r="Z194" s="135">
        <f t="shared" si="72"/>
        <v>0.4</v>
      </c>
      <c r="AA194" s="135">
        <f t="shared" si="72"/>
        <v>0.4</v>
      </c>
      <c r="AB194" s="135">
        <f t="shared" si="72"/>
        <v>0.4</v>
      </c>
      <c r="AC194" s="135">
        <f t="shared" si="72"/>
        <v>0.4</v>
      </c>
      <c r="AD194" s="135">
        <f t="shared" si="72"/>
        <v>0.4</v>
      </c>
      <c r="AE194" s="135">
        <f t="shared" si="72"/>
        <v>0.4</v>
      </c>
      <c r="AF194" s="135">
        <f t="shared" si="72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70"/>
        <v>1.5</v>
      </c>
      <c r="C195" s="135">
        <v>1.5</v>
      </c>
      <c r="D195" s="135">
        <f t="shared" si="71"/>
        <v>1.5</v>
      </c>
      <c r="E195" s="135">
        <f t="shared" si="71"/>
        <v>1.5</v>
      </c>
      <c r="F195" s="135">
        <f t="shared" si="71"/>
        <v>1.5</v>
      </c>
      <c r="G195" s="135">
        <f t="shared" si="71"/>
        <v>1.5</v>
      </c>
      <c r="H195" s="135">
        <f t="shared" si="71"/>
        <v>1.5</v>
      </c>
      <c r="I195" s="135">
        <f t="shared" si="71"/>
        <v>1.5</v>
      </c>
      <c r="J195" s="135">
        <f t="shared" si="71"/>
        <v>1.5</v>
      </c>
      <c r="K195" s="135">
        <f t="shared" si="71"/>
        <v>1.5</v>
      </c>
      <c r="L195" s="135">
        <f t="shared" si="71"/>
        <v>1.5</v>
      </c>
      <c r="M195" s="135">
        <f t="shared" si="71"/>
        <v>1.5</v>
      </c>
      <c r="N195" s="135">
        <f t="shared" si="71"/>
        <v>1.5</v>
      </c>
      <c r="O195" s="135">
        <f t="shared" si="71"/>
        <v>1.5</v>
      </c>
      <c r="P195" s="135">
        <f t="shared" si="71"/>
        <v>1.5</v>
      </c>
      <c r="Q195" s="135">
        <f t="shared" si="71"/>
        <v>1.5</v>
      </c>
      <c r="R195" s="135">
        <f t="shared" si="71"/>
        <v>1.5</v>
      </c>
      <c r="S195" s="135">
        <f t="shared" si="71"/>
        <v>1.5</v>
      </c>
      <c r="T195" s="135">
        <f t="shared" si="72"/>
        <v>1.5</v>
      </c>
      <c r="U195" s="135">
        <f t="shared" si="72"/>
        <v>1.5</v>
      </c>
      <c r="V195" s="135">
        <f t="shared" si="72"/>
        <v>1.5</v>
      </c>
      <c r="W195" s="135">
        <f t="shared" si="72"/>
        <v>1.5</v>
      </c>
      <c r="X195" s="135">
        <f t="shared" si="72"/>
        <v>1.5</v>
      </c>
      <c r="Y195" s="135">
        <f t="shared" si="72"/>
        <v>1.5</v>
      </c>
      <c r="Z195" s="135">
        <f t="shared" si="72"/>
        <v>1.5</v>
      </c>
      <c r="AA195" s="135">
        <f t="shared" si="72"/>
        <v>1.5</v>
      </c>
      <c r="AB195" s="135">
        <f t="shared" si="72"/>
        <v>1.5</v>
      </c>
      <c r="AC195" s="135">
        <f t="shared" si="72"/>
        <v>1.5</v>
      </c>
      <c r="AD195" s="135">
        <f t="shared" si="72"/>
        <v>1.5</v>
      </c>
      <c r="AE195" s="135">
        <f t="shared" si="72"/>
        <v>1.5</v>
      </c>
      <c r="AF195" s="135">
        <f t="shared" si="72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70"/>
        <v>0.3</v>
      </c>
      <c r="C196" s="135">
        <v>0.3</v>
      </c>
      <c r="D196" s="135">
        <f t="shared" si="71"/>
        <v>0.3</v>
      </c>
      <c r="E196" s="135">
        <f t="shared" si="71"/>
        <v>0.3</v>
      </c>
      <c r="F196" s="135">
        <f t="shared" si="71"/>
        <v>0.3</v>
      </c>
      <c r="G196" s="135">
        <f t="shared" si="71"/>
        <v>0.3</v>
      </c>
      <c r="H196" s="135">
        <f t="shared" si="71"/>
        <v>0.3</v>
      </c>
      <c r="I196" s="135">
        <f t="shared" si="71"/>
        <v>0.3</v>
      </c>
      <c r="J196" s="135">
        <f t="shared" si="71"/>
        <v>0.3</v>
      </c>
      <c r="K196" s="135">
        <f t="shared" si="71"/>
        <v>0.3</v>
      </c>
      <c r="L196" s="135">
        <f t="shared" si="71"/>
        <v>0.3</v>
      </c>
      <c r="M196" s="135">
        <f t="shared" si="71"/>
        <v>0.3</v>
      </c>
      <c r="N196" s="135">
        <f t="shared" si="71"/>
        <v>0.3</v>
      </c>
      <c r="O196" s="135">
        <f t="shared" si="71"/>
        <v>0.3</v>
      </c>
      <c r="P196" s="135">
        <f t="shared" si="71"/>
        <v>0.3</v>
      </c>
      <c r="Q196" s="135">
        <f t="shared" si="71"/>
        <v>0.3</v>
      </c>
      <c r="R196" s="135">
        <f t="shared" si="71"/>
        <v>0.3</v>
      </c>
      <c r="S196" s="135">
        <f t="shared" si="71"/>
        <v>0.3</v>
      </c>
      <c r="T196" s="135">
        <f t="shared" si="72"/>
        <v>0.3</v>
      </c>
      <c r="U196" s="135">
        <f t="shared" si="72"/>
        <v>0.3</v>
      </c>
      <c r="V196" s="135">
        <f t="shared" si="72"/>
        <v>0.3</v>
      </c>
      <c r="W196" s="135">
        <f t="shared" si="72"/>
        <v>0.3</v>
      </c>
      <c r="X196" s="135">
        <f t="shared" si="72"/>
        <v>0.3</v>
      </c>
      <c r="Y196" s="135">
        <f t="shared" si="72"/>
        <v>0.3</v>
      </c>
      <c r="Z196" s="135">
        <f t="shared" si="72"/>
        <v>0.3</v>
      </c>
      <c r="AA196" s="135">
        <f t="shared" si="72"/>
        <v>0.3</v>
      </c>
      <c r="AB196" s="135">
        <f t="shared" si="72"/>
        <v>0.3</v>
      </c>
      <c r="AC196" s="135">
        <f t="shared" si="72"/>
        <v>0.3</v>
      </c>
      <c r="AD196" s="135">
        <f t="shared" si="72"/>
        <v>0.3</v>
      </c>
      <c r="AE196" s="135">
        <f t="shared" si="72"/>
        <v>0.3</v>
      </c>
      <c r="AF196" s="135">
        <f t="shared" si="72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70"/>
        <v>0.4</v>
      </c>
      <c r="C197" s="135">
        <v>0.4</v>
      </c>
      <c r="D197" s="135">
        <f t="shared" si="71"/>
        <v>0.4</v>
      </c>
      <c r="E197" s="135">
        <f t="shared" si="71"/>
        <v>0.4</v>
      </c>
      <c r="F197" s="135">
        <f t="shared" si="71"/>
        <v>0.4</v>
      </c>
      <c r="G197" s="135">
        <f t="shared" si="71"/>
        <v>0.4</v>
      </c>
      <c r="H197" s="135">
        <f t="shared" si="71"/>
        <v>0.4</v>
      </c>
      <c r="I197" s="135">
        <f t="shared" si="71"/>
        <v>0.4</v>
      </c>
      <c r="J197" s="135">
        <f t="shared" si="71"/>
        <v>0.4</v>
      </c>
      <c r="K197" s="135">
        <f t="shared" si="71"/>
        <v>0.4</v>
      </c>
      <c r="L197" s="135">
        <f t="shared" si="71"/>
        <v>0.4</v>
      </c>
      <c r="M197" s="135">
        <f t="shared" si="71"/>
        <v>0.4</v>
      </c>
      <c r="N197" s="135">
        <f t="shared" si="71"/>
        <v>0.4</v>
      </c>
      <c r="O197" s="135">
        <f t="shared" si="71"/>
        <v>0.4</v>
      </c>
      <c r="P197" s="135">
        <f t="shared" si="71"/>
        <v>0.4</v>
      </c>
      <c r="Q197" s="135">
        <f t="shared" si="71"/>
        <v>0.4</v>
      </c>
      <c r="R197" s="135">
        <f t="shared" si="71"/>
        <v>0.4</v>
      </c>
      <c r="S197" s="135">
        <f t="shared" si="71"/>
        <v>0.4</v>
      </c>
      <c r="T197" s="135">
        <f t="shared" si="72"/>
        <v>0.4</v>
      </c>
      <c r="U197" s="135">
        <f t="shared" si="72"/>
        <v>0.4</v>
      </c>
      <c r="V197" s="135">
        <f t="shared" si="72"/>
        <v>0.4</v>
      </c>
      <c r="W197" s="135">
        <f t="shared" si="72"/>
        <v>0.4</v>
      </c>
      <c r="X197" s="135">
        <f t="shared" si="72"/>
        <v>0.4</v>
      </c>
      <c r="Y197" s="135">
        <f t="shared" si="72"/>
        <v>0.4</v>
      </c>
      <c r="Z197" s="135">
        <f t="shared" si="72"/>
        <v>0.4</v>
      </c>
      <c r="AA197" s="135">
        <f t="shared" si="72"/>
        <v>0.4</v>
      </c>
      <c r="AB197" s="135">
        <f t="shared" si="72"/>
        <v>0.4</v>
      </c>
      <c r="AC197" s="135">
        <f t="shared" si="72"/>
        <v>0.4</v>
      </c>
      <c r="AD197" s="135">
        <f t="shared" si="72"/>
        <v>0.4</v>
      </c>
      <c r="AE197" s="135">
        <f t="shared" si="72"/>
        <v>0.4</v>
      </c>
      <c r="AF197" s="135">
        <f t="shared" si="72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70"/>
        <v>0.64</v>
      </c>
      <c r="C198" s="145">
        <v>0.64</v>
      </c>
      <c r="D198" s="145">
        <f t="shared" si="71"/>
        <v>0.64</v>
      </c>
      <c r="E198" s="145">
        <f t="shared" si="71"/>
        <v>0.64</v>
      </c>
      <c r="F198" s="145">
        <f t="shared" si="71"/>
        <v>0.64</v>
      </c>
      <c r="G198" s="145">
        <f t="shared" si="71"/>
        <v>0.64</v>
      </c>
      <c r="H198" s="145">
        <f t="shared" si="71"/>
        <v>0.64</v>
      </c>
      <c r="I198" s="145">
        <f t="shared" si="71"/>
        <v>0.64</v>
      </c>
      <c r="J198" s="145">
        <f t="shared" si="71"/>
        <v>0.64</v>
      </c>
      <c r="K198" s="145">
        <f t="shared" si="71"/>
        <v>0.64</v>
      </c>
      <c r="L198" s="145">
        <f t="shared" si="71"/>
        <v>0.64</v>
      </c>
      <c r="M198" s="145">
        <f t="shared" si="71"/>
        <v>0.64</v>
      </c>
      <c r="N198" s="145">
        <f t="shared" si="71"/>
        <v>0.64</v>
      </c>
      <c r="O198" s="145">
        <f t="shared" si="71"/>
        <v>0.64</v>
      </c>
      <c r="P198" s="145">
        <f t="shared" si="71"/>
        <v>0.64</v>
      </c>
      <c r="Q198" s="145">
        <f t="shared" si="71"/>
        <v>0.64</v>
      </c>
      <c r="R198" s="145">
        <f t="shared" si="71"/>
        <v>0.64</v>
      </c>
      <c r="S198" s="145">
        <f t="shared" si="71"/>
        <v>0.64</v>
      </c>
      <c r="T198" s="145">
        <f t="shared" si="72"/>
        <v>0.64</v>
      </c>
      <c r="U198" s="145">
        <f t="shared" si="72"/>
        <v>0.64</v>
      </c>
      <c r="V198" s="145">
        <f t="shared" si="72"/>
        <v>0.64</v>
      </c>
      <c r="W198" s="145">
        <f t="shared" si="72"/>
        <v>0.64</v>
      </c>
      <c r="X198" s="145">
        <f t="shared" si="72"/>
        <v>0.64</v>
      </c>
      <c r="Y198" s="145">
        <f t="shared" si="72"/>
        <v>0.64</v>
      </c>
      <c r="Z198" s="145">
        <f t="shared" si="72"/>
        <v>0.64</v>
      </c>
      <c r="AA198" s="145">
        <f t="shared" si="72"/>
        <v>0.64</v>
      </c>
      <c r="AB198" s="145">
        <f t="shared" si="72"/>
        <v>0.64</v>
      </c>
      <c r="AC198" s="145">
        <f t="shared" si="72"/>
        <v>0.64</v>
      </c>
      <c r="AD198" s="145">
        <f t="shared" si="72"/>
        <v>0.64</v>
      </c>
      <c r="AE198" s="145">
        <f t="shared" si="72"/>
        <v>0.64</v>
      </c>
      <c r="AF198" s="145">
        <f t="shared" si="72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73">SUM(D193:D198)</f>
        <v>3.54</v>
      </c>
      <c r="E199" s="148">
        <f t="shared" si="73"/>
        <v>3.54</v>
      </c>
      <c r="F199" s="148">
        <f t="shared" si="73"/>
        <v>3.54</v>
      </c>
      <c r="G199" s="148">
        <f t="shared" si="73"/>
        <v>3.54</v>
      </c>
      <c r="H199" s="148">
        <f t="shared" si="73"/>
        <v>3.54</v>
      </c>
      <c r="I199" s="148">
        <f t="shared" si="73"/>
        <v>3.54</v>
      </c>
      <c r="J199" s="148">
        <f t="shared" si="73"/>
        <v>3.54</v>
      </c>
      <c r="K199" s="148">
        <f t="shared" si="73"/>
        <v>3.54</v>
      </c>
      <c r="L199" s="148">
        <f t="shared" si="73"/>
        <v>3.54</v>
      </c>
      <c r="M199" s="148">
        <f>SUM(M193:M198)</f>
        <v>3.54</v>
      </c>
      <c r="N199" s="148">
        <f t="shared" ref="N199:S199" si="74">SUM(N193:N198)</f>
        <v>3.54</v>
      </c>
      <c r="O199" s="148">
        <f t="shared" si="74"/>
        <v>3.54</v>
      </c>
      <c r="P199" s="148">
        <f t="shared" si="74"/>
        <v>3.54</v>
      </c>
      <c r="Q199" s="148">
        <f t="shared" si="74"/>
        <v>3.54</v>
      </c>
      <c r="R199" s="148">
        <f t="shared" si="74"/>
        <v>3.54</v>
      </c>
      <c r="S199" s="148">
        <f t="shared" si="74"/>
        <v>3.54</v>
      </c>
      <c r="T199" s="148">
        <f>SUM(T193:T198)</f>
        <v>3.54</v>
      </c>
      <c r="U199" s="148">
        <f t="shared" ref="U199:AG199" si="75">SUM(U193:U198)</f>
        <v>3.54</v>
      </c>
      <c r="V199" s="148">
        <f t="shared" si="75"/>
        <v>3.54</v>
      </c>
      <c r="W199" s="148">
        <f t="shared" si="75"/>
        <v>3.54</v>
      </c>
      <c r="X199" s="148">
        <f t="shared" si="75"/>
        <v>3.54</v>
      </c>
      <c r="Y199" s="148">
        <f t="shared" si="75"/>
        <v>3.54</v>
      </c>
      <c r="Z199" s="148">
        <f t="shared" si="75"/>
        <v>3.54</v>
      </c>
      <c r="AA199" s="148">
        <f t="shared" si="75"/>
        <v>3.54</v>
      </c>
      <c r="AB199" s="148">
        <f t="shared" si="75"/>
        <v>3.54</v>
      </c>
      <c r="AC199" s="148">
        <f t="shared" si="75"/>
        <v>3.54</v>
      </c>
      <c r="AD199" s="148">
        <f t="shared" si="75"/>
        <v>3.54</v>
      </c>
      <c r="AE199" s="148">
        <f t="shared" si="75"/>
        <v>3.54</v>
      </c>
      <c r="AF199" s="148">
        <f t="shared" si="75"/>
        <v>3.54</v>
      </c>
      <c r="AG199" s="149">
        <f t="shared" si="75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1542.94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19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2078/10/19)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2078/10/19)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76">B75</f>
        <v>953.44</v>
      </c>
      <c r="U213" s="173">
        <f t="shared" si="76"/>
        <v>936.43999999999994</v>
      </c>
      <c r="V213" s="173">
        <f t="shared" si="76"/>
        <v>881.44</v>
      </c>
      <c r="W213" s="173">
        <f t="shared" si="76"/>
        <v>905.13999999999987</v>
      </c>
      <c r="X213" s="173">
        <f t="shared" si="76"/>
        <v>923.33999999999992</v>
      </c>
      <c r="Y213" s="173">
        <f t="shared" si="76"/>
        <v>956.84</v>
      </c>
      <c r="Z213" s="173">
        <f t="shared" si="76"/>
        <v>993.43999999999994</v>
      </c>
      <c r="AA213" s="173">
        <f t="shared" si="76"/>
        <v>1064.1399999999999</v>
      </c>
      <c r="AB213" s="173">
        <f t="shared" si="76"/>
        <v>1179.74</v>
      </c>
      <c r="AC213" s="173">
        <f t="shared" si="76"/>
        <v>1295.1399999999999</v>
      </c>
      <c r="AD213" s="173">
        <f t="shared" si="76"/>
        <v>1445.24</v>
      </c>
      <c r="AE213" s="173">
        <f t="shared" si="76"/>
        <v>1515.04</v>
      </c>
      <c r="AF213" s="173">
        <f t="shared" si="76"/>
        <v>1542.94</v>
      </c>
      <c r="AG213" s="173">
        <f t="shared" si="76"/>
        <v>1486.04</v>
      </c>
      <c r="AH213" s="173">
        <f t="shared" si="76"/>
        <v>1380.64</v>
      </c>
      <c r="AI213" s="173">
        <f t="shared" si="76"/>
        <v>1311.64</v>
      </c>
      <c r="AJ213" s="173">
        <f t="shared" si="76"/>
        <v>1316.74</v>
      </c>
      <c r="AK213" s="173">
        <f t="shared" si="76"/>
        <v>1333.44</v>
      </c>
      <c r="AL213" s="173">
        <f t="shared" si="76"/>
        <v>1320.54</v>
      </c>
      <c r="AM213" s="173">
        <f t="shared" si="76"/>
        <v>1371.34</v>
      </c>
      <c r="AN213" s="173">
        <f t="shared" si="76"/>
        <v>1455.1399999999999</v>
      </c>
      <c r="AO213" s="173">
        <f t="shared" si="76"/>
        <v>1481.6399999999999</v>
      </c>
      <c r="AP213" s="173">
        <f t="shared" si="76"/>
        <v>1593.54</v>
      </c>
      <c r="AQ213" s="173">
        <f t="shared" si="76"/>
        <v>1645.14</v>
      </c>
      <c r="AR213" s="173">
        <f t="shared" si="76"/>
        <v>1613.44</v>
      </c>
      <c r="AS213" s="173">
        <f t="shared" si="76"/>
        <v>1564.04</v>
      </c>
      <c r="AT213" s="173">
        <f t="shared" si="76"/>
        <v>1505.94</v>
      </c>
      <c r="AU213" s="173">
        <f t="shared" si="76"/>
        <v>1439.84</v>
      </c>
      <c r="AV213" s="173">
        <f t="shared" si="76"/>
        <v>1341.54</v>
      </c>
      <c r="AW213" s="173">
        <f t="shared" si="76"/>
        <v>1195.6399999999999</v>
      </c>
      <c r="AX213" s="173">
        <f t="shared" si="76"/>
        <v>1080.4399999999998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77">C198</f>
        <v>0.64</v>
      </c>
      <c r="C234" s="176">
        <f t="shared" si="77"/>
        <v>0.64</v>
      </c>
      <c r="D234" s="176">
        <f t="shared" si="77"/>
        <v>0.64</v>
      </c>
      <c r="E234" s="176">
        <f t="shared" si="77"/>
        <v>0.64</v>
      </c>
      <c r="F234" s="176">
        <f t="shared" si="77"/>
        <v>0.64</v>
      </c>
      <c r="G234" s="176">
        <f t="shared" si="77"/>
        <v>0.64</v>
      </c>
      <c r="H234" s="176">
        <f t="shared" si="77"/>
        <v>0.64</v>
      </c>
      <c r="I234" s="176">
        <f t="shared" si="77"/>
        <v>0.64</v>
      </c>
      <c r="J234" s="176">
        <f t="shared" si="77"/>
        <v>0.64</v>
      </c>
      <c r="K234" s="176">
        <f t="shared" si="77"/>
        <v>0.64</v>
      </c>
      <c r="L234" s="176">
        <f t="shared" si="77"/>
        <v>0.64</v>
      </c>
      <c r="M234" s="176">
        <f t="shared" si="77"/>
        <v>0.64</v>
      </c>
      <c r="N234" s="176">
        <f t="shared" si="77"/>
        <v>0.64</v>
      </c>
      <c r="O234" s="176">
        <f t="shared" si="77"/>
        <v>0.64</v>
      </c>
      <c r="P234" s="176">
        <f t="shared" si="77"/>
        <v>0.64</v>
      </c>
      <c r="Q234" s="176">
        <f t="shared" si="77"/>
        <v>0.64</v>
      </c>
      <c r="R234" s="176">
        <f t="shared" si="77"/>
        <v>0.64</v>
      </c>
      <c r="S234" s="176">
        <f t="shared" si="77"/>
        <v>0.64</v>
      </c>
      <c r="T234" s="176">
        <f t="shared" si="77"/>
        <v>0.64</v>
      </c>
      <c r="U234" s="176">
        <f t="shared" si="77"/>
        <v>0.64</v>
      </c>
      <c r="V234" s="176">
        <f t="shared" si="77"/>
        <v>0.64</v>
      </c>
      <c r="W234" s="176">
        <f t="shared" si="77"/>
        <v>0.64</v>
      </c>
      <c r="X234" s="176">
        <f t="shared" si="77"/>
        <v>0.64</v>
      </c>
      <c r="Y234" s="176">
        <f t="shared" si="77"/>
        <v>0.64</v>
      </c>
      <c r="Z234" s="176">
        <f t="shared" si="77"/>
        <v>0.64</v>
      </c>
      <c r="AA234" s="176">
        <f t="shared" si="77"/>
        <v>0.64</v>
      </c>
      <c r="AB234" s="176">
        <f t="shared" si="77"/>
        <v>0.64</v>
      </c>
      <c r="AC234" s="176">
        <f t="shared" si="77"/>
        <v>0.64</v>
      </c>
      <c r="AD234" s="176">
        <f t="shared" si="77"/>
        <v>0.64</v>
      </c>
      <c r="AE234" s="176">
        <f t="shared" si="77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78">IF(C202&lt;100,"",C202-520)</f>
        <v/>
      </c>
      <c r="D235" s="119" t="str">
        <f t="shared" si="78"/>
        <v/>
      </c>
      <c r="E235" s="119" t="str">
        <f t="shared" si="78"/>
        <v/>
      </c>
      <c r="F235" s="119" t="str">
        <f t="shared" si="78"/>
        <v/>
      </c>
      <c r="G235" s="119" t="str">
        <f t="shared" si="78"/>
        <v/>
      </c>
      <c r="H235" s="119" t="str">
        <f t="shared" si="78"/>
        <v/>
      </c>
      <c r="I235" s="119" t="str">
        <f t="shared" si="78"/>
        <v/>
      </c>
      <c r="J235" s="119" t="str">
        <f t="shared" si="78"/>
        <v/>
      </c>
      <c r="K235" s="119" t="str">
        <f t="shared" si="78"/>
        <v/>
      </c>
      <c r="L235" s="119" t="str">
        <f t="shared" si="78"/>
        <v/>
      </c>
      <c r="M235" s="119" t="str">
        <f t="shared" si="78"/>
        <v/>
      </c>
      <c r="N235" s="119" t="str">
        <f t="shared" si="78"/>
        <v/>
      </c>
      <c r="O235" s="119" t="str">
        <f t="shared" si="78"/>
        <v/>
      </c>
      <c r="P235" s="119" t="str">
        <f t="shared" si="78"/>
        <v/>
      </c>
      <c r="Q235" s="119" t="str">
        <f t="shared" si="78"/>
        <v/>
      </c>
      <c r="R235" s="119" t="str">
        <f t="shared" si="78"/>
        <v/>
      </c>
      <c r="S235" s="119" t="str">
        <f t="shared" si="78"/>
        <v/>
      </c>
      <c r="T235" s="119" t="str">
        <f t="shared" si="78"/>
        <v/>
      </c>
      <c r="U235" s="119" t="str">
        <f t="shared" si="78"/>
        <v/>
      </c>
      <c r="V235" s="119" t="str">
        <f t="shared" si="78"/>
        <v/>
      </c>
      <c r="W235" s="119" t="str">
        <f t="shared" si="78"/>
        <v/>
      </c>
      <c r="X235" s="119" t="str">
        <f t="shared" si="78"/>
        <v/>
      </c>
      <c r="Y235" s="119" t="str">
        <f t="shared" si="78"/>
        <v/>
      </c>
      <c r="Z235" s="119" t="str">
        <f t="shared" si="78"/>
        <v/>
      </c>
      <c r="AA235" s="119" t="str">
        <f t="shared" si="78"/>
        <v/>
      </c>
      <c r="AB235" s="119" t="str">
        <f t="shared" si="78"/>
        <v/>
      </c>
      <c r="AC235" s="119" t="str">
        <f t="shared" si="78"/>
        <v/>
      </c>
      <c r="AD235" s="119" t="str">
        <f t="shared" si="78"/>
        <v/>
      </c>
      <c r="AE235" s="119" t="str">
        <f t="shared" si="78"/>
        <v/>
      </c>
      <c r="AF235" s="119" t="str">
        <f t="shared" si="78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79">IF(B203&lt;100,"",B203-620)</f>
        <v/>
      </c>
      <c r="C236" s="119" t="str">
        <f t="shared" si="79"/>
        <v/>
      </c>
      <c r="D236" s="119" t="str">
        <f t="shared" si="79"/>
        <v/>
      </c>
      <c r="E236" s="119" t="str">
        <f t="shared" si="79"/>
        <v/>
      </c>
      <c r="F236" s="119" t="str">
        <f t="shared" si="79"/>
        <v/>
      </c>
      <c r="G236" s="119" t="str">
        <f t="shared" si="79"/>
        <v/>
      </c>
      <c r="H236" s="119" t="str">
        <f t="shared" si="79"/>
        <v/>
      </c>
      <c r="I236" s="119" t="str">
        <f t="shared" si="79"/>
        <v/>
      </c>
      <c r="J236" s="119" t="str">
        <f t="shared" si="79"/>
        <v/>
      </c>
      <c r="K236" s="119" t="str">
        <f t="shared" si="79"/>
        <v/>
      </c>
      <c r="L236" s="119" t="str">
        <f t="shared" si="79"/>
        <v/>
      </c>
      <c r="M236" s="119" t="str">
        <f t="shared" si="79"/>
        <v/>
      </c>
      <c r="N236" s="119" t="str">
        <f t="shared" si="79"/>
        <v/>
      </c>
      <c r="O236" s="119" t="str">
        <f t="shared" si="79"/>
        <v/>
      </c>
      <c r="P236" s="119" t="str">
        <f t="shared" si="79"/>
        <v/>
      </c>
      <c r="Q236" s="119" t="str">
        <f t="shared" si="79"/>
        <v/>
      </c>
      <c r="R236" s="119" t="str">
        <f t="shared" si="79"/>
        <v/>
      </c>
      <c r="S236" s="119" t="str">
        <f t="shared" si="79"/>
        <v/>
      </c>
      <c r="T236" s="119" t="str">
        <f t="shared" si="79"/>
        <v/>
      </c>
      <c r="U236" s="119" t="str">
        <f t="shared" si="79"/>
        <v/>
      </c>
      <c r="V236" s="119" t="str">
        <f t="shared" si="79"/>
        <v/>
      </c>
      <c r="W236" s="119" t="str">
        <f t="shared" si="79"/>
        <v/>
      </c>
      <c r="X236" s="119" t="str">
        <f t="shared" si="79"/>
        <v/>
      </c>
      <c r="Y236" s="119" t="str">
        <f t="shared" si="79"/>
        <v/>
      </c>
      <c r="Z236" s="119" t="str">
        <f t="shared" si="79"/>
        <v/>
      </c>
      <c r="AA236" s="119" t="str">
        <f t="shared" si="79"/>
        <v/>
      </c>
      <c r="AB236" s="119" t="str">
        <f t="shared" si="79"/>
        <v/>
      </c>
      <c r="AC236" s="119" t="str">
        <f t="shared" si="79"/>
        <v/>
      </c>
      <c r="AD236" s="119" t="str">
        <f t="shared" si="79"/>
        <v/>
      </c>
      <c r="AE236" s="119" t="str">
        <f t="shared" si="79"/>
        <v/>
      </c>
      <c r="AF236" s="119" t="str">
        <f t="shared" si="79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80">IF(B204&lt;100,"",B204-330)</f>
        <v/>
      </c>
      <c r="C237" s="119" t="str">
        <f t="shared" si="80"/>
        <v/>
      </c>
      <c r="D237" s="119" t="str">
        <f t="shared" si="80"/>
        <v/>
      </c>
      <c r="E237" s="119" t="str">
        <f t="shared" si="80"/>
        <v/>
      </c>
      <c r="F237" s="119" t="str">
        <f t="shared" si="80"/>
        <v/>
      </c>
      <c r="G237" s="119" t="str">
        <f t="shared" si="80"/>
        <v/>
      </c>
      <c r="H237" s="119" t="str">
        <f t="shared" si="80"/>
        <v/>
      </c>
      <c r="I237" s="119" t="str">
        <f t="shared" si="80"/>
        <v/>
      </c>
      <c r="J237" s="119" t="str">
        <f t="shared" si="80"/>
        <v/>
      </c>
      <c r="K237" s="119" t="str">
        <f t="shared" si="80"/>
        <v/>
      </c>
      <c r="L237" s="119" t="str">
        <f t="shared" si="80"/>
        <v/>
      </c>
      <c r="M237" s="119" t="str">
        <f t="shared" si="80"/>
        <v/>
      </c>
      <c r="N237" s="119" t="str">
        <f t="shared" si="80"/>
        <v/>
      </c>
      <c r="O237" s="119" t="str">
        <f t="shared" si="80"/>
        <v/>
      </c>
      <c r="P237" s="119" t="str">
        <f t="shared" si="80"/>
        <v/>
      </c>
      <c r="Q237" s="119" t="str">
        <f t="shared" si="80"/>
        <v/>
      </c>
      <c r="R237" s="119" t="str">
        <f t="shared" si="80"/>
        <v/>
      </c>
      <c r="S237" s="119" t="str">
        <f t="shared" si="80"/>
        <v/>
      </c>
      <c r="T237" s="119" t="str">
        <f t="shared" si="80"/>
        <v/>
      </c>
      <c r="U237" s="119" t="str">
        <f t="shared" si="80"/>
        <v/>
      </c>
      <c r="V237" s="119" t="str">
        <f t="shared" si="80"/>
        <v/>
      </c>
      <c r="W237" s="119" t="str">
        <f t="shared" si="80"/>
        <v/>
      </c>
      <c r="X237" s="119" t="str">
        <f t="shared" si="80"/>
        <v/>
      </c>
      <c r="Y237" s="119" t="str">
        <f t="shared" si="80"/>
        <v/>
      </c>
      <c r="Z237" s="119" t="str">
        <f t="shared" si="80"/>
        <v/>
      </c>
      <c r="AA237" s="119" t="str">
        <f t="shared" si="80"/>
        <v/>
      </c>
      <c r="AB237" s="119" t="str">
        <f t="shared" si="80"/>
        <v/>
      </c>
      <c r="AC237" s="119" t="str">
        <f t="shared" si="80"/>
        <v/>
      </c>
      <c r="AD237" s="119" t="str">
        <f t="shared" si="80"/>
        <v/>
      </c>
      <c r="AE237" s="119" t="str">
        <f t="shared" si="80"/>
        <v/>
      </c>
      <c r="AF237" s="119" t="str">
        <f t="shared" si="80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81">IF(C205&lt;100,"",C205-1500)</f>
        <v/>
      </c>
      <c r="D238" s="119" t="str">
        <f t="shared" si="81"/>
        <v/>
      </c>
      <c r="E238" s="119" t="str">
        <f t="shared" si="81"/>
        <v/>
      </c>
      <c r="F238" s="119" t="str">
        <f t="shared" si="81"/>
        <v/>
      </c>
      <c r="G238" s="119" t="str">
        <f t="shared" si="81"/>
        <v/>
      </c>
      <c r="H238" s="119" t="str">
        <f t="shared" si="81"/>
        <v/>
      </c>
      <c r="I238" s="119" t="str">
        <f t="shared" si="81"/>
        <v/>
      </c>
      <c r="J238" s="119" t="str">
        <f t="shared" si="81"/>
        <v/>
      </c>
      <c r="K238" s="119" t="str">
        <f t="shared" si="81"/>
        <v/>
      </c>
      <c r="L238" s="119" t="str">
        <f t="shared" si="81"/>
        <v/>
      </c>
      <c r="M238" s="119" t="str">
        <f t="shared" si="81"/>
        <v/>
      </c>
      <c r="N238" s="119" t="str">
        <f t="shared" si="81"/>
        <v/>
      </c>
      <c r="O238" s="119" t="str">
        <f t="shared" si="81"/>
        <v/>
      </c>
      <c r="P238" s="119" t="str">
        <f t="shared" si="81"/>
        <v/>
      </c>
      <c r="Q238" s="119" t="str">
        <f t="shared" si="81"/>
        <v/>
      </c>
      <c r="R238" s="119" t="str">
        <f t="shared" si="81"/>
        <v/>
      </c>
      <c r="S238" s="119" t="str">
        <f t="shared" si="81"/>
        <v/>
      </c>
      <c r="T238" s="119" t="str">
        <f t="shared" si="81"/>
        <v/>
      </c>
      <c r="U238" s="119" t="str">
        <f t="shared" si="81"/>
        <v/>
      </c>
      <c r="V238" s="119" t="str">
        <f t="shared" si="81"/>
        <v/>
      </c>
      <c r="W238" s="119" t="str">
        <f t="shared" si="81"/>
        <v/>
      </c>
      <c r="X238" s="119" t="str">
        <f t="shared" si="81"/>
        <v/>
      </c>
      <c r="Y238" s="119" t="str">
        <f t="shared" si="81"/>
        <v/>
      </c>
      <c r="Z238" s="119" t="str">
        <f t="shared" si="81"/>
        <v/>
      </c>
      <c r="AA238" s="119" t="str">
        <f t="shared" si="81"/>
        <v/>
      </c>
      <c r="AB238" s="119" t="str">
        <f t="shared" si="81"/>
        <v/>
      </c>
      <c r="AC238" s="119" t="str">
        <f t="shared" si="81"/>
        <v/>
      </c>
      <c r="AD238" s="119" t="str">
        <f t="shared" si="81"/>
        <v/>
      </c>
      <c r="AE238" s="119" t="str">
        <f t="shared" si="81"/>
        <v/>
      </c>
      <c r="AF238" s="119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2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24">
      <iconSet iconSet="3TrafficLights2" reverse="1">
        <cfvo type="percent" val="0"/>
        <cfvo type="num" val="1"/>
        <cfvo type="num" val="1"/>
      </iconSet>
    </cfRule>
  </conditionalFormatting>
  <conditionalFormatting sqref="N37:O37 H57:L59 H60:O60 I61:O61 P60:R61 M39:P41 M58:W59 M11:AE11 AB22 AB81:AF81 C81:R81 C56:AF56 C82:AF83 D193:AF199 B193:B199 AB84:AF91 M53:AF55 C68:AF80 B9:AF10 B191:AF191 AG73 AB94:AF99 U212:AF212 I36:O36 N42:P42 R42 R40:T41 R39 Q39:Q42 P36:R37 S18:X22 U40:Y42 Z12:AB14 Y18:AA30 S36:AA36 Z40:AE43 X85:AA91 AF57:AF67">
    <cfRule type="expression" dxfId="5067" priority="520">
      <formula>B$9&gt;=20/24</formula>
    </cfRule>
    <cfRule type="expression" dxfId="5066" priority="521">
      <formula>AND(B$9&gt;=14/24,B$9&lt;20/24)</formula>
    </cfRule>
    <cfRule type="expression" dxfId="5065" priority="522">
      <formula>AND(B$9&gt;=8/24,B$9&lt;14/24)</formula>
    </cfRule>
    <cfRule type="expression" dxfId="5064" priority="523">
      <formula>B$9&lt;8/24</formula>
    </cfRule>
  </conditionalFormatting>
  <conditionalFormatting sqref="AL4:AL6">
    <cfRule type="iconSet" priority="51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063" priority="515">
      <formula>M$9&gt;=20/24</formula>
    </cfRule>
    <cfRule type="expression" dxfId="5062" priority="516">
      <formula>AND(M$9&gt;=14/24,M$9&lt;20/24)</formula>
    </cfRule>
    <cfRule type="expression" dxfId="5061" priority="517">
      <formula>AND(M$9&gt;=8/24,M$9&lt;14/24)</formula>
    </cfRule>
    <cfRule type="expression" dxfId="5060" priority="518">
      <formula>M$9&lt;8/24</formula>
    </cfRule>
  </conditionalFormatting>
  <conditionalFormatting sqref="N43:R43">
    <cfRule type="expression" dxfId="5059" priority="511">
      <formula>N$9&gt;=20/24</formula>
    </cfRule>
    <cfRule type="expression" dxfId="5058" priority="512">
      <formula>AND(N$9&gt;=14/24,N$9&lt;20/24)</formula>
    </cfRule>
    <cfRule type="expression" dxfId="5057" priority="513">
      <formula>AND(N$9&gt;=8/24,N$9&lt;14/24)</formula>
    </cfRule>
    <cfRule type="expression" dxfId="5056" priority="514">
      <formula>N$9&lt;8/24</formula>
    </cfRule>
  </conditionalFormatting>
  <conditionalFormatting sqref="S39:AE39">
    <cfRule type="expression" dxfId="5055" priority="503">
      <formula>S$9&gt;=20/24</formula>
    </cfRule>
    <cfRule type="expression" dxfId="5054" priority="504">
      <formula>AND(S$9&gt;=14/24,S$9&lt;20/24)</formula>
    </cfRule>
    <cfRule type="expression" dxfId="5053" priority="505">
      <formula>AND(S$9&gt;=8/24,S$9&lt;14/24)</formula>
    </cfRule>
    <cfRule type="expression" dxfId="5052" priority="506">
      <formula>S$9&lt;8/24</formula>
    </cfRule>
  </conditionalFormatting>
  <conditionalFormatting sqref="S57:AE57">
    <cfRule type="expression" dxfId="5051" priority="499">
      <formula>S$9&gt;=20/24</formula>
    </cfRule>
    <cfRule type="expression" dxfId="5050" priority="500">
      <formula>AND(S$9&gt;=14/24,S$9&lt;20/24)</formula>
    </cfRule>
    <cfRule type="expression" dxfId="5049" priority="501">
      <formula>AND(S$9&gt;=8/24,S$9&lt;14/24)</formula>
    </cfRule>
    <cfRule type="expression" dxfId="5048" priority="502">
      <formula>S$9&lt;8/24</formula>
    </cfRule>
  </conditionalFormatting>
  <conditionalFormatting sqref="S81:AA81">
    <cfRule type="expression" dxfId="5047" priority="495">
      <formula>S$9&gt;=20/24</formula>
    </cfRule>
    <cfRule type="expression" dxfId="5046" priority="496">
      <formula>AND(S$9&gt;=14/24,S$9&lt;20/24)</formula>
    </cfRule>
    <cfRule type="expression" dxfId="5045" priority="497">
      <formula>AND(S$9&gt;=8/24,S$9&lt;14/24)</formula>
    </cfRule>
    <cfRule type="expression" dxfId="5044" priority="498">
      <formula>S$9&lt;8/24</formula>
    </cfRule>
  </conditionalFormatting>
  <conditionalFormatting sqref="U84:AA84">
    <cfRule type="expression" dxfId="5043" priority="491">
      <formula>U$9&gt;=20/24</formula>
    </cfRule>
    <cfRule type="expression" dxfId="5042" priority="492">
      <formula>AND(U$9&gt;=14/24,U$9&lt;20/24)</formula>
    </cfRule>
    <cfRule type="expression" dxfId="5041" priority="493">
      <formula>AND(U$9&gt;=8/24,U$9&lt;14/24)</formula>
    </cfRule>
    <cfRule type="expression" dxfId="5040" priority="494">
      <formula>U$9&lt;8/24</formula>
    </cfRule>
  </conditionalFormatting>
  <conditionalFormatting sqref="S37:AE37">
    <cfRule type="expression" dxfId="5039" priority="471">
      <formula>S$9&gt;=20/24</formula>
    </cfRule>
    <cfRule type="expression" dxfId="5038" priority="472">
      <formula>AND(S$9&gt;=14/24,S$9&lt;20/24)</formula>
    </cfRule>
    <cfRule type="expression" dxfId="5037" priority="473">
      <formula>AND(S$9&gt;=8/24,S$9&lt;14/24)</formula>
    </cfRule>
    <cfRule type="expression" dxfId="5036" priority="474">
      <formula>S$9&lt;8/24</formula>
    </cfRule>
  </conditionalFormatting>
  <conditionalFormatting sqref="Y31:AA32 Y35:AA35">
    <cfRule type="expression" dxfId="5035" priority="467">
      <formula>Y$9&gt;=20/24</formula>
    </cfRule>
    <cfRule type="expression" dxfId="5034" priority="468">
      <formula>AND(Y$9&gt;=14/24,Y$9&lt;20/24)</formula>
    </cfRule>
    <cfRule type="expression" dxfId="5033" priority="469">
      <formula>AND(Y$9&gt;=8/24,Y$9&lt;14/24)</formula>
    </cfRule>
    <cfRule type="expression" dxfId="5032" priority="470">
      <formula>Y$9&lt;8/24</formula>
    </cfRule>
  </conditionalFormatting>
  <conditionalFormatting sqref="S42:T43 U43:Y43 V45:AB45 AD45:AE45">
    <cfRule type="expression" dxfId="5031" priority="463">
      <formula>S$9&gt;=20/24</formula>
    </cfRule>
    <cfRule type="expression" dxfId="5030" priority="464">
      <formula>AND(S$9&gt;=14/24,S$9&lt;20/24)</formula>
    </cfRule>
    <cfRule type="expression" dxfId="5029" priority="465">
      <formula>AND(S$9&gt;=8/24,S$9&lt;14/24)</formula>
    </cfRule>
    <cfRule type="expression" dxfId="5028" priority="466">
      <formula>S$9&lt;8/24</formula>
    </cfRule>
  </conditionalFormatting>
  <conditionalFormatting sqref="S60:T67 X60:AE67">
    <cfRule type="expression" dxfId="5027" priority="451">
      <formula>S$9&gt;=20/24</formula>
    </cfRule>
    <cfRule type="expression" dxfId="5026" priority="452">
      <formula>AND(S$9&gt;=14/24,S$9&lt;20/24)</formula>
    </cfRule>
    <cfRule type="expression" dxfId="5025" priority="453">
      <formula>AND(S$9&gt;=8/24,S$9&lt;14/24)</formula>
    </cfRule>
    <cfRule type="expression" dxfId="5024" priority="454">
      <formula>S$9&lt;8/24</formula>
    </cfRule>
  </conditionalFormatting>
  <conditionalFormatting sqref="I62:R67">
    <cfRule type="expression" dxfId="5023" priority="447">
      <formula>I$9&gt;=20/24</formula>
    </cfRule>
    <cfRule type="expression" dxfId="5022" priority="448">
      <formula>AND(I$9&gt;=14/24,I$9&lt;20/24)</formula>
    </cfRule>
    <cfRule type="expression" dxfId="5021" priority="449">
      <formula>AND(I$9&gt;=8/24,I$9&lt;14/24)</formula>
    </cfRule>
    <cfRule type="expression" dxfId="5020" priority="450">
      <formula>I$9&lt;8/24</formula>
    </cfRule>
  </conditionalFormatting>
  <conditionalFormatting sqref="U94:AA97">
    <cfRule type="expression" dxfId="5019" priority="443">
      <formula>U$9&gt;=20/24</formula>
    </cfRule>
    <cfRule type="expression" dxfId="5018" priority="444">
      <formula>AND(U$9&gt;=14/24,U$9&lt;20/24)</formula>
    </cfRule>
    <cfRule type="expression" dxfId="5017" priority="445">
      <formula>AND(U$9&gt;=8/24,U$9&lt;14/24)</formula>
    </cfRule>
    <cfRule type="expression" dxfId="5016" priority="446">
      <formula>U$9&lt;8/24</formula>
    </cfRule>
  </conditionalFormatting>
  <conditionalFormatting sqref="AG51 K11:AF11 C38:AF38 C51:AF56 S18:X22 I36:X36 AB12:AB15 Z12:AA14 H37:AF37 Y18:AA32 H39:AF44 AB22 Y34:AA36 V45:AB45 AD45:AE45">
    <cfRule type="expression" dxfId="5015" priority="442">
      <formula>C11&gt;$AG11</formula>
    </cfRule>
  </conditionalFormatting>
  <conditionalFormatting sqref="A100:A156 A84:A97 A11:A14 A16:A32 A45:A72 A80:A82 A74:A78 A35:A43 A169:A199">
    <cfRule type="expression" dxfId="5014" priority="441">
      <formula>$AH11=0</formula>
    </cfRule>
  </conditionalFormatting>
  <conditionalFormatting sqref="U98:AA98">
    <cfRule type="expression" dxfId="5013" priority="437">
      <formula>U$9&gt;=20/24</formula>
    </cfRule>
    <cfRule type="expression" dxfId="5012" priority="438">
      <formula>AND(U$9&gt;=14/24,U$9&lt;20/24)</formula>
    </cfRule>
    <cfRule type="expression" dxfId="5011" priority="439">
      <formula>AND(U$9&gt;=8/24,U$9&lt;14/24)</formula>
    </cfRule>
    <cfRule type="expression" dxfId="5010" priority="440">
      <formula>U$9&lt;8/24</formula>
    </cfRule>
  </conditionalFormatting>
  <conditionalFormatting sqref="A98">
    <cfRule type="expression" dxfId="5009" priority="436">
      <formula>$AH98=0</formula>
    </cfRule>
  </conditionalFormatting>
  <conditionalFormatting sqref="AL32">
    <cfRule type="iconSet" priority="423">
      <iconSet iconSet="3TrafficLights2" reverse="1">
        <cfvo type="percent" val="0"/>
        <cfvo type="num" val="1"/>
        <cfvo type="num" val="1"/>
      </iconSet>
    </cfRule>
  </conditionalFormatting>
  <conditionalFormatting sqref="Y34:AA34">
    <cfRule type="expression" dxfId="5008" priority="411">
      <formula>Y$9&gt;=20/24</formula>
    </cfRule>
    <cfRule type="expression" dxfId="5007" priority="412">
      <formula>AND(Y$9&gt;=14/24,Y$9&lt;20/24)</formula>
    </cfRule>
    <cfRule type="expression" dxfId="5006" priority="413">
      <formula>AND(Y$9&gt;=8/24,Y$9&lt;14/24)</formula>
    </cfRule>
    <cfRule type="expression" dxfId="5005" priority="414">
      <formula>Y$9&lt;8/24</formula>
    </cfRule>
  </conditionalFormatting>
  <conditionalFormatting sqref="A34">
    <cfRule type="expression" dxfId="5004" priority="410">
      <formula>$AH34=0</formula>
    </cfRule>
  </conditionalFormatting>
  <conditionalFormatting sqref="A83">
    <cfRule type="expression" dxfId="5003" priority="409">
      <formula>$AH83=0</formula>
    </cfRule>
  </conditionalFormatting>
  <conditionalFormatting sqref="AB15">
    <cfRule type="expression" dxfId="5002" priority="405">
      <formula>AB$9&gt;=20/24</formula>
    </cfRule>
    <cfRule type="expression" dxfId="5001" priority="406">
      <formula>AND(AB$9&gt;=14/24,AB$9&lt;20/24)</formula>
    </cfRule>
    <cfRule type="expression" dxfId="5000" priority="407">
      <formula>AND(AB$9&gt;=8/24,AB$9&lt;14/24)</formula>
    </cfRule>
    <cfRule type="expression" dxfId="4999" priority="408">
      <formula>AB$9&lt;8/24</formula>
    </cfRule>
  </conditionalFormatting>
  <conditionalFormatting sqref="A15">
    <cfRule type="expression" dxfId="4998" priority="399">
      <formula>$AH15=0</formula>
    </cfRule>
  </conditionalFormatting>
  <conditionalFormatting sqref="A163:A168">
    <cfRule type="expression" dxfId="4997" priority="398">
      <formula>$AH163=0</formula>
    </cfRule>
  </conditionalFormatting>
  <conditionalFormatting sqref="A157:A162">
    <cfRule type="expression" dxfId="4996" priority="397">
      <formula>$AH157=0</formula>
    </cfRule>
  </conditionalFormatting>
  <conditionalFormatting sqref="AB44:AE44">
    <cfRule type="expression" dxfId="4995" priority="393">
      <formula>AB$9&gt;=20/24</formula>
    </cfRule>
    <cfRule type="expression" dxfId="4994" priority="394">
      <formula>AND(AB$9&gt;=14/24,AB$9&lt;20/24)</formula>
    </cfRule>
    <cfRule type="expression" dxfId="4993" priority="395">
      <formula>AND(AB$9&gt;=8/24,AB$9&lt;14/24)</formula>
    </cfRule>
    <cfRule type="expression" dxfId="4992" priority="396">
      <formula>AB$9&lt;8/24</formula>
    </cfRule>
  </conditionalFormatting>
  <conditionalFormatting sqref="S44:AA44">
    <cfRule type="expression" dxfId="4991" priority="385">
      <formula>S$9&gt;=20/24</formula>
    </cfRule>
    <cfRule type="expression" dxfId="4990" priority="386">
      <formula>AND(S$9&gt;=14/24,S$9&lt;20/24)</formula>
    </cfRule>
    <cfRule type="expression" dxfId="4989" priority="387">
      <formula>AND(S$9&gt;=8/24,S$9&lt;14/24)</formula>
    </cfRule>
    <cfRule type="expression" dxfId="4988" priority="388">
      <formula>S$9&lt;8/24</formula>
    </cfRule>
  </conditionalFormatting>
  <conditionalFormatting sqref="A44">
    <cfRule type="expression" dxfId="4987" priority="384">
      <formula>$AH44=0</formula>
    </cfRule>
  </conditionalFormatting>
  <conditionalFormatting sqref="A79">
    <cfRule type="expression" dxfId="4986" priority="383">
      <formula>$AH79=0</formula>
    </cfRule>
  </conditionalFormatting>
  <conditionalFormatting sqref="A73">
    <cfRule type="expression" dxfId="4985" priority="382">
      <formula>$AH73=0</formula>
    </cfRule>
  </conditionalFormatting>
  <conditionalFormatting sqref="AL34:AL35 AL7:AL31">
    <cfRule type="iconSet" priority="526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4984" priority="378">
      <formula>U$9&gt;=20/24</formula>
    </cfRule>
    <cfRule type="expression" dxfId="4983" priority="379">
      <formula>AND(U$9&gt;=14/24,U$9&lt;20/24)</formula>
    </cfRule>
    <cfRule type="expression" dxfId="4982" priority="380">
      <formula>AND(U$9&gt;=8/24,U$9&lt;14/24)</formula>
    </cfRule>
    <cfRule type="expression" dxfId="4981" priority="381">
      <formula>U$9&lt;8/24</formula>
    </cfRule>
  </conditionalFormatting>
  <conditionalFormatting sqref="U85:W91">
    <cfRule type="expression" dxfId="4980" priority="374">
      <formula>U$9&gt;=20/24</formula>
    </cfRule>
    <cfRule type="expression" dxfId="4979" priority="375">
      <formula>AND(U$9&gt;=14/24,U$9&lt;20/24)</formula>
    </cfRule>
    <cfRule type="expression" dxfId="4978" priority="376">
      <formula>AND(U$9&gt;=8/24,U$9&lt;14/24)</formula>
    </cfRule>
    <cfRule type="expression" dxfId="4977" priority="377">
      <formula>U$9&lt;8/24</formula>
    </cfRule>
  </conditionalFormatting>
  <conditionalFormatting sqref="S85:T91 C84:R91">
    <cfRule type="expression" dxfId="4976" priority="370">
      <formula>C$9&gt;=20/24</formula>
    </cfRule>
    <cfRule type="expression" dxfId="4975" priority="371">
      <formula>AND(C$9&gt;=14/24,C$9&lt;20/24)</formula>
    </cfRule>
    <cfRule type="expression" dxfId="4974" priority="372">
      <formula>AND(C$9&gt;=8/24,C$9&lt;14/24)</formula>
    </cfRule>
    <cfRule type="expression" dxfId="4973" priority="373">
      <formula>C$9&lt;8/24</formula>
    </cfRule>
  </conditionalFormatting>
  <conditionalFormatting sqref="S84:T84">
    <cfRule type="expression" dxfId="4972" priority="366">
      <formula>S$9&gt;=20/24</formula>
    </cfRule>
    <cfRule type="expression" dxfId="4971" priority="367">
      <formula>AND(S$9&gt;=14/24,S$9&lt;20/24)</formula>
    </cfRule>
    <cfRule type="expression" dxfId="4970" priority="368">
      <formula>AND(S$9&gt;=8/24,S$9&lt;14/24)</formula>
    </cfRule>
    <cfRule type="expression" dxfId="4969" priority="369">
      <formula>S$9&lt;8/24</formula>
    </cfRule>
  </conditionalFormatting>
  <conditionalFormatting sqref="G95:M97 C94:F97">
    <cfRule type="expression" dxfId="4968" priority="362">
      <formula>C$9&gt;=20/24</formula>
    </cfRule>
    <cfRule type="expression" dxfId="4967" priority="363">
      <formula>AND(C$9&gt;=14/24,C$9&lt;20/24)</formula>
    </cfRule>
    <cfRule type="expression" dxfId="4966" priority="364">
      <formula>AND(C$9&gt;=8/24,C$9&lt;14/24)</formula>
    </cfRule>
    <cfRule type="expression" dxfId="4965" priority="365">
      <formula>C$9&lt;8/24</formula>
    </cfRule>
  </conditionalFormatting>
  <conditionalFormatting sqref="N95:R97 O94:R94">
    <cfRule type="expression" dxfId="4964" priority="358">
      <formula>N$9&gt;=20/24</formula>
    </cfRule>
    <cfRule type="expression" dxfId="4963" priority="359">
      <formula>AND(N$9&gt;=14/24,N$9&lt;20/24)</formula>
    </cfRule>
    <cfRule type="expression" dxfId="4962" priority="360">
      <formula>AND(N$9&gt;=8/24,N$9&lt;14/24)</formula>
    </cfRule>
    <cfRule type="expression" dxfId="4961" priority="361">
      <formula>N$9&lt;8/24</formula>
    </cfRule>
  </conditionalFormatting>
  <conditionalFormatting sqref="S94:T97">
    <cfRule type="expression" dxfId="4960" priority="354">
      <formula>S$9&gt;=20/24</formula>
    </cfRule>
    <cfRule type="expression" dxfId="4959" priority="355">
      <formula>AND(S$9&gt;=14/24,S$9&lt;20/24)</formula>
    </cfRule>
    <cfRule type="expression" dxfId="4958" priority="356">
      <formula>AND(S$9&gt;=8/24,S$9&lt;14/24)</formula>
    </cfRule>
    <cfRule type="expression" dxfId="4957" priority="357">
      <formula>S$9&lt;8/24</formula>
    </cfRule>
  </conditionalFormatting>
  <conditionalFormatting sqref="C98:M98">
    <cfRule type="expression" dxfId="4956" priority="350">
      <formula>C$9&gt;=20/24</formula>
    </cfRule>
    <cfRule type="expression" dxfId="4955" priority="351">
      <formula>AND(C$9&gt;=14/24,C$9&lt;20/24)</formula>
    </cfRule>
    <cfRule type="expression" dxfId="4954" priority="352">
      <formula>AND(C$9&gt;=8/24,C$9&lt;14/24)</formula>
    </cfRule>
    <cfRule type="expression" dxfId="4953" priority="353">
      <formula>C$9&lt;8/24</formula>
    </cfRule>
  </conditionalFormatting>
  <conditionalFormatting sqref="N98:R98">
    <cfRule type="expression" dxfId="4952" priority="346">
      <formula>N$9&gt;=20/24</formula>
    </cfRule>
    <cfRule type="expression" dxfId="4951" priority="347">
      <formula>AND(N$9&gt;=14/24,N$9&lt;20/24)</formula>
    </cfRule>
    <cfRule type="expression" dxfId="4950" priority="348">
      <formula>AND(N$9&gt;=8/24,N$9&lt;14/24)</formula>
    </cfRule>
    <cfRule type="expression" dxfId="4949" priority="349">
      <formula>N$9&lt;8/24</formula>
    </cfRule>
  </conditionalFormatting>
  <conditionalFormatting sqref="S98:T98">
    <cfRule type="expression" dxfId="4948" priority="342">
      <formula>S$9&gt;=20/24</formula>
    </cfRule>
    <cfRule type="expression" dxfId="4947" priority="343">
      <formula>AND(S$9&gt;=14/24,S$9&lt;20/24)</formula>
    </cfRule>
    <cfRule type="expression" dxfId="4946" priority="344">
      <formula>AND(S$9&gt;=8/24,S$9&lt;14/24)</formula>
    </cfRule>
    <cfRule type="expression" dxfId="4945" priority="345">
      <formula>S$9&lt;8/24</formula>
    </cfRule>
  </conditionalFormatting>
  <conditionalFormatting sqref="M94:N94">
    <cfRule type="expression" dxfId="4944" priority="338">
      <formula>M$9&gt;=20/24</formula>
    </cfRule>
    <cfRule type="expression" dxfId="4943" priority="339">
      <formula>AND(M$9&gt;=14/24,M$9&lt;20/24)</formula>
    </cfRule>
    <cfRule type="expression" dxfId="4942" priority="340">
      <formula>AND(M$9&gt;=8/24,M$9&lt;14/24)</formula>
    </cfRule>
    <cfRule type="expression" dxfId="4941" priority="341">
      <formula>M$9&lt;8/24</formula>
    </cfRule>
  </conditionalFormatting>
  <conditionalFormatting sqref="G94:L94">
    <cfRule type="expression" dxfId="4940" priority="334">
      <formula>G$9&gt;=20/24</formula>
    </cfRule>
    <cfRule type="expression" dxfId="4939" priority="335">
      <formula>AND(G$9&gt;=14/24,G$9&lt;20/24)</formula>
    </cfRule>
    <cfRule type="expression" dxfId="4938" priority="336">
      <formula>AND(G$9&gt;=8/24,G$9&lt;14/24)</formula>
    </cfRule>
    <cfRule type="expression" dxfId="4937" priority="337">
      <formula>G$9&lt;8/24</formula>
    </cfRule>
  </conditionalFormatting>
  <conditionalFormatting sqref="U94:W94">
    <cfRule type="expression" dxfId="4936" priority="330">
      <formula>U$9&gt;=20/24</formula>
    </cfRule>
    <cfRule type="expression" dxfId="4935" priority="331">
      <formula>AND(U$9&gt;=14/24,U$9&lt;20/24)</formula>
    </cfRule>
    <cfRule type="expression" dxfId="4934" priority="332">
      <formula>AND(U$9&gt;=8/24,U$9&lt;14/24)</formula>
    </cfRule>
    <cfRule type="expression" dxfId="4933" priority="333">
      <formula>U$9&lt;8/24</formula>
    </cfRule>
  </conditionalFormatting>
  <conditionalFormatting sqref="N94:T94">
    <cfRule type="expression" dxfId="4932" priority="326">
      <formula>N$9&gt;=20/24</formula>
    </cfRule>
    <cfRule type="expression" dxfId="4931" priority="327">
      <formula>AND(N$9&gt;=14/24,N$9&lt;20/24)</formula>
    </cfRule>
    <cfRule type="expression" dxfId="4930" priority="328">
      <formula>AND(N$9&gt;=8/24,N$9&lt;14/24)</formula>
    </cfRule>
    <cfRule type="expression" dxfId="4929" priority="329">
      <formula>N$9&lt;8/24</formula>
    </cfRule>
  </conditionalFormatting>
  <conditionalFormatting sqref="U99:AA99">
    <cfRule type="expression" dxfId="4928" priority="322">
      <formula>U$9&gt;=20/24</formula>
    </cfRule>
    <cfRule type="expression" dxfId="4927" priority="323">
      <formula>AND(U$9&gt;=14/24,U$9&lt;20/24)</formula>
    </cfRule>
    <cfRule type="expression" dxfId="4926" priority="324">
      <formula>AND(U$9&gt;=8/24,U$9&lt;14/24)</formula>
    </cfRule>
    <cfRule type="expression" dxfId="4925" priority="325">
      <formula>U$9&lt;8/24</formula>
    </cfRule>
  </conditionalFormatting>
  <conditionalFormatting sqref="C99:M99">
    <cfRule type="expression" dxfId="4924" priority="318">
      <formula>C$9&gt;=20/24</formula>
    </cfRule>
    <cfRule type="expression" dxfId="4923" priority="319">
      <formula>AND(C$9&gt;=14/24,C$9&lt;20/24)</formula>
    </cfRule>
    <cfRule type="expression" dxfId="4922" priority="320">
      <formula>AND(C$9&gt;=8/24,C$9&lt;14/24)</formula>
    </cfRule>
    <cfRule type="expression" dxfId="4921" priority="321">
      <formula>C$9&lt;8/24</formula>
    </cfRule>
  </conditionalFormatting>
  <conditionalFormatting sqref="N99:R99">
    <cfRule type="expression" dxfId="4920" priority="314">
      <formula>N$9&gt;=20/24</formula>
    </cfRule>
    <cfRule type="expression" dxfId="4919" priority="315">
      <formula>AND(N$9&gt;=14/24,N$9&lt;20/24)</formula>
    </cfRule>
    <cfRule type="expression" dxfId="4918" priority="316">
      <formula>AND(N$9&gt;=8/24,N$9&lt;14/24)</formula>
    </cfRule>
    <cfRule type="expression" dxfId="4917" priority="317">
      <formula>N$9&lt;8/24</formula>
    </cfRule>
  </conditionalFormatting>
  <conditionalFormatting sqref="S99:T99">
    <cfRule type="expression" dxfId="4916" priority="310">
      <formula>S$9&gt;=20/24</formula>
    </cfRule>
    <cfRule type="expression" dxfId="4915" priority="311">
      <formula>AND(S$9&gt;=14/24,S$9&lt;20/24)</formula>
    </cfRule>
    <cfRule type="expression" dxfId="4914" priority="312">
      <formula>AND(S$9&gt;=8/24,S$9&lt;14/24)</formula>
    </cfRule>
    <cfRule type="expression" dxfId="4913" priority="313">
      <formula>S$9&lt;8/24</formula>
    </cfRule>
  </conditionalFormatting>
  <conditionalFormatting sqref="S12:Y16 Z15:AA16">
    <cfRule type="expression" dxfId="4912" priority="306">
      <formula>S$9&gt;=20/24</formula>
    </cfRule>
    <cfRule type="expression" dxfId="4911" priority="307">
      <formula>AND(S$9&gt;=14/24,S$9&lt;20/24)</formula>
    </cfRule>
    <cfRule type="expression" dxfId="4910" priority="308">
      <formula>AND(S$9&gt;=8/24,S$9&lt;14/24)</formula>
    </cfRule>
    <cfRule type="expression" dxfId="4909" priority="309">
      <formula>S$9&lt;8/24</formula>
    </cfRule>
  </conditionalFormatting>
  <conditionalFormatting sqref="S17:AA17">
    <cfRule type="expression" dxfId="4908" priority="302">
      <formula>S$9&gt;=20/24</formula>
    </cfRule>
    <cfRule type="expression" dxfId="4907" priority="303">
      <formula>AND(S$9&gt;=14/24,S$9&lt;20/24)</formula>
    </cfRule>
    <cfRule type="expression" dxfId="4906" priority="304">
      <formula>AND(S$9&gt;=8/24,S$9&lt;14/24)</formula>
    </cfRule>
    <cfRule type="expression" dxfId="4905" priority="305">
      <formula>S$9&lt;8/24</formula>
    </cfRule>
  </conditionalFormatting>
  <conditionalFormatting sqref="S12:Y13">
    <cfRule type="expression" dxfId="4904" priority="298">
      <formula>S$9&gt;=20/24</formula>
    </cfRule>
    <cfRule type="expression" dxfId="4903" priority="299">
      <formula>AND(S$9&gt;=14/24,S$9&lt;20/24)</formula>
    </cfRule>
    <cfRule type="expression" dxfId="4902" priority="300">
      <formula>AND(S$9&gt;=8/24,S$9&lt;14/24)</formula>
    </cfRule>
    <cfRule type="expression" dxfId="4901" priority="301">
      <formula>S$9&lt;8/24</formula>
    </cfRule>
  </conditionalFormatting>
  <conditionalFormatting sqref="AB58:AE59">
    <cfRule type="expression" dxfId="4900" priority="294">
      <formula>AB$9&gt;=20/24</formula>
    </cfRule>
    <cfRule type="expression" dxfId="4899" priority="295">
      <formula>AND(AB$9&gt;=14/24,AB$9&lt;20/24)</formula>
    </cfRule>
    <cfRule type="expression" dxfId="4898" priority="296">
      <formula>AND(AB$9&gt;=8/24,AB$9&lt;14/24)</formula>
    </cfRule>
    <cfRule type="expression" dxfId="4897" priority="297">
      <formula>AB$9&lt;8/24</formula>
    </cfRule>
  </conditionalFormatting>
  <conditionalFormatting sqref="AL33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96" priority="527">
      <formula>C$9&gt;=20/24</formula>
    </cfRule>
    <cfRule type="expression" dxfId="4895" priority="528">
      <formula>AND(C$9&gt;=14/24,C$9&lt;20/24)</formula>
    </cfRule>
    <cfRule type="expression" dxfId="4894" priority="529">
      <formula>AND(C$9&gt;=8/24,C$9&lt;14/24)</formula>
    </cfRule>
    <cfRule type="expression" dxfId="4893" priority="530">
      <formula>C$9&lt;8/24</formula>
    </cfRule>
  </conditionalFormatting>
  <conditionalFormatting sqref="A200">
    <cfRule type="expression" dxfId="4892" priority="531">
      <formula>$AH200=0</formula>
    </cfRule>
  </conditionalFormatting>
  <conditionalFormatting sqref="AG212">
    <cfRule type="expression" dxfId="4891" priority="532">
      <formula>B$9&gt;=20/24</formula>
    </cfRule>
    <cfRule type="expression" dxfId="4890" priority="533">
      <formula>AND(B$9&gt;=14/24,B$9&lt;20/24)</formula>
    </cfRule>
    <cfRule type="expression" dxfId="4889" priority="534">
      <formula>AND(B$9&gt;=8/24,B$9&lt;14/24)</formula>
    </cfRule>
    <cfRule type="expression" dxfId="4888" priority="535">
      <formula>B$9&lt;8/24</formula>
    </cfRule>
  </conditionalFormatting>
  <conditionalFormatting sqref="S8">
    <cfRule type="expression" dxfId="4887" priority="288">
      <formula>U$9&gt;=20/24</formula>
    </cfRule>
    <cfRule type="expression" dxfId="4886" priority="289">
      <formula>AND(U$9&gt;=14/24,U$9&lt;20/24)</formula>
    </cfRule>
    <cfRule type="expression" dxfId="4885" priority="290">
      <formula>AND(U$9&gt;=8/24,U$9&lt;14/24)</formula>
    </cfRule>
    <cfRule type="expression" dxfId="4884" priority="291">
      <formula>U$9&lt;8/24</formula>
    </cfRule>
  </conditionalFormatting>
  <conditionalFormatting sqref="AB8">
    <cfRule type="expression" dxfId="4883" priority="284">
      <formula>AD$9&gt;=20/24</formula>
    </cfRule>
    <cfRule type="expression" dxfId="4882" priority="285">
      <formula>AND(AD$9&gt;=14/24,AD$9&lt;20/24)</formula>
    </cfRule>
    <cfRule type="expression" dxfId="4881" priority="286">
      <formula>AND(AD$9&gt;=8/24,AD$9&lt;14/24)</formula>
    </cfRule>
    <cfRule type="expression" dxfId="4880" priority="287">
      <formula>AD$9&lt;8/24</formula>
    </cfRule>
  </conditionalFormatting>
  <conditionalFormatting sqref="AH212:AX212">
    <cfRule type="expression" dxfId="4879" priority="536">
      <formula>AG$9&gt;=20/24</formula>
    </cfRule>
    <cfRule type="expression" dxfId="4878" priority="537">
      <formula>AND(AG$9&gt;=14/24,AG$9&lt;20/24)</formula>
    </cfRule>
    <cfRule type="expression" dxfId="4877" priority="538">
      <formula>AND(AG$9&gt;=8/24,AG$9&lt;14/24)</formula>
    </cfRule>
    <cfRule type="expression" dxfId="4876" priority="539">
      <formula>AG$9&lt;8/24</formula>
    </cfRule>
  </conditionalFormatting>
  <conditionalFormatting sqref="T212">
    <cfRule type="expression" dxfId="4875" priority="540">
      <formula>AX$9&gt;=20/24</formula>
    </cfRule>
    <cfRule type="expression" dxfId="4874" priority="541">
      <formula>AND(AX$9&gt;=14/24,AX$9&lt;20/24)</formula>
    </cfRule>
    <cfRule type="expression" dxfId="4873" priority="542">
      <formula>AND(AX$9&gt;=8/24,AX$9&lt;14/24)</formula>
    </cfRule>
    <cfRule type="expression" dxfId="4872" priority="543">
      <formula>AX$9&lt;8/24</formula>
    </cfRule>
  </conditionalFormatting>
  <conditionalFormatting sqref="A99">
    <cfRule type="expression" dxfId="4871" priority="283">
      <formula>$AH99=0</formula>
    </cfRule>
  </conditionalFormatting>
  <conditionalFormatting sqref="Y33:AA33">
    <cfRule type="expression" dxfId="4870" priority="271">
      <formula>Y$9&gt;=20/24</formula>
    </cfRule>
    <cfRule type="expression" dxfId="4869" priority="272">
      <formula>AND(Y$9&gt;=14/24,Y$9&lt;20/24)</formula>
    </cfRule>
    <cfRule type="expression" dxfId="4868" priority="273">
      <formula>AND(Y$9&gt;=8/24,Y$9&lt;14/24)</formula>
    </cfRule>
    <cfRule type="expression" dxfId="4867" priority="274">
      <formula>Y$9&lt;8/24</formula>
    </cfRule>
  </conditionalFormatting>
  <conditionalFormatting sqref="Y33:AA33">
    <cfRule type="expression" dxfId="4866" priority="270">
      <formula>Y33&gt;$AG33</formula>
    </cfRule>
  </conditionalFormatting>
  <conditionalFormatting sqref="B94:B99 B68:B83 B53:B62 C57:G62 H61:H62">
    <cfRule type="expression" dxfId="4865" priority="266">
      <formula>B$9&gt;=20/24</formula>
    </cfRule>
    <cfRule type="expression" dxfId="4864" priority="267">
      <formula>AND(B$9&gt;=14/24,B$9&lt;20/24)</formula>
    </cfRule>
    <cfRule type="expression" dxfId="4863" priority="268">
      <formula>AND(B$9&gt;=8/24,B$9&lt;14/24)</formula>
    </cfRule>
    <cfRule type="expression" dxfId="4862" priority="269">
      <formula>B$9&lt;8/24</formula>
    </cfRule>
  </conditionalFormatting>
  <conditionalFormatting sqref="B63:H67">
    <cfRule type="expression" dxfId="4861" priority="262">
      <formula>B$9&gt;=20/24</formula>
    </cfRule>
    <cfRule type="expression" dxfId="4860" priority="263">
      <formula>AND(B$9&gt;=14/24,B$9&lt;20/24)</formula>
    </cfRule>
    <cfRule type="expression" dxfId="4859" priority="264">
      <formula>AND(B$9&gt;=8/24,B$9&lt;14/24)</formula>
    </cfRule>
    <cfRule type="expression" dxfId="4858" priority="265">
      <formula>B$9&lt;8/24</formula>
    </cfRule>
  </conditionalFormatting>
  <conditionalFormatting sqref="B38 B51:B56">
    <cfRule type="expression" dxfId="4857" priority="261">
      <formula>B38&gt;$AG38</formula>
    </cfRule>
  </conditionalFormatting>
  <conditionalFormatting sqref="B84:B90">
    <cfRule type="expression" dxfId="4856" priority="257">
      <formula>B$9&gt;=20/24</formula>
    </cfRule>
    <cfRule type="expression" dxfId="4855" priority="258">
      <formula>AND(B$9&gt;=14/24,B$9&lt;20/24)</formula>
    </cfRule>
    <cfRule type="expression" dxfId="4854" priority="259">
      <formula>AND(B$9&gt;=8/24,B$9&lt;14/24)</formula>
    </cfRule>
    <cfRule type="expression" dxfId="4853" priority="260">
      <formula>B$9&lt;8/24</formula>
    </cfRule>
  </conditionalFormatting>
  <conditionalFormatting sqref="B91">
    <cfRule type="expression" dxfId="4852" priority="253">
      <formula>B$9&gt;=20/24</formula>
    </cfRule>
    <cfRule type="expression" dxfId="4851" priority="254">
      <formula>AND(B$9&gt;=14/24,B$9&lt;20/24)</formula>
    </cfRule>
    <cfRule type="expression" dxfId="4850" priority="255">
      <formula>AND(B$9&gt;=8/24,B$9&lt;14/24)</formula>
    </cfRule>
    <cfRule type="expression" dxfId="4849" priority="256">
      <formula>B$9&lt;8/24</formula>
    </cfRule>
  </conditionalFormatting>
  <conditionalFormatting sqref="B11:J21 K12:R21 H23:H36 B23:G37 B22:R22 I23:X35">
    <cfRule type="expression" dxfId="4848" priority="249">
      <formula>B$9&gt;=20/24</formula>
    </cfRule>
    <cfRule type="expression" dxfId="4847" priority="250">
      <formula>AND(B$9&gt;=14/24,B$9&lt;20/24)</formula>
    </cfRule>
    <cfRule type="expression" dxfId="4846" priority="251">
      <formula>AND(B$9&gt;=8/24,B$9&lt;14/24)</formula>
    </cfRule>
    <cfRule type="expression" dxfId="4845" priority="252">
      <formula>B$9&lt;8/24</formula>
    </cfRule>
  </conditionalFormatting>
  <conditionalFormatting sqref="B11:J21 K12:R21 H23:H36 B23:G37 B22:R22 I23:X35">
    <cfRule type="expression" dxfId="4844" priority="248">
      <formula>B11&gt;$AG11</formula>
    </cfRule>
  </conditionalFormatting>
  <conditionalFormatting sqref="B39:G50 H45:U50 V46:AA50">
    <cfRule type="expression" dxfId="4843" priority="244">
      <formula>B$9&gt;=20/24</formula>
    </cfRule>
    <cfRule type="expression" dxfId="4842" priority="245">
      <formula>AND(B$9&gt;=14/24,B$9&lt;20/24)</formula>
    </cfRule>
    <cfRule type="expression" dxfId="4841" priority="246">
      <formula>AND(B$9&gt;=8/24,B$9&lt;14/24)</formula>
    </cfRule>
    <cfRule type="expression" dxfId="4840" priority="247">
      <formula>B$9&lt;8/24</formula>
    </cfRule>
  </conditionalFormatting>
  <conditionalFormatting sqref="B39:G50 H45:U50 V46:AA50">
    <cfRule type="expression" dxfId="4839" priority="243">
      <formula>B39&gt;$AG39</formula>
    </cfRule>
  </conditionalFormatting>
  <conditionalFormatting sqref="M37">
    <cfRule type="expression" dxfId="4838" priority="239">
      <formula>M$9&gt;=20/24</formula>
    </cfRule>
    <cfRule type="expression" dxfId="4837" priority="240">
      <formula>AND(M$9&gt;=14/24,M$9&lt;20/24)</formula>
    </cfRule>
    <cfRule type="expression" dxfId="4836" priority="241">
      <formula>AND(M$9&gt;=8/24,M$9&lt;14/24)</formula>
    </cfRule>
    <cfRule type="expression" dxfId="4835" priority="242">
      <formula>M$9&lt;8/24</formula>
    </cfRule>
  </conditionalFormatting>
  <conditionalFormatting sqref="M42">
    <cfRule type="expression" dxfId="4834" priority="235">
      <formula>M$9&gt;=20/24</formula>
    </cfRule>
    <cfRule type="expression" dxfId="4833" priority="236">
      <formula>AND(M$9&gt;=14/24,M$9&lt;20/24)</formula>
    </cfRule>
    <cfRule type="expression" dxfId="4832" priority="237">
      <formula>AND(M$9&gt;=8/24,M$9&lt;14/24)</formula>
    </cfRule>
    <cfRule type="expression" dxfId="4831" priority="238">
      <formula>M$9&lt;8/24</formula>
    </cfRule>
  </conditionalFormatting>
  <conditionalFormatting sqref="M43">
    <cfRule type="expression" dxfId="4830" priority="231">
      <formula>M$9&gt;=20/24</formula>
    </cfRule>
    <cfRule type="expression" dxfId="4829" priority="232">
      <formula>AND(M$9&gt;=14/24,M$9&lt;20/24)</formula>
    </cfRule>
    <cfRule type="expression" dxfId="4828" priority="233">
      <formula>AND(M$9&gt;=8/24,M$9&lt;14/24)</formula>
    </cfRule>
    <cfRule type="expression" dxfId="4827" priority="234">
      <formula>M$9&lt;8/24</formula>
    </cfRule>
  </conditionalFormatting>
  <conditionalFormatting sqref="M44:R44">
    <cfRule type="expression" dxfId="4826" priority="227">
      <formula>M$9&gt;=20/24</formula>
    </cfRule>
    <cfRule type="expression" dxfId="4825" priority="228">
      <formula>AND(M$9&gt;=14/24,M$9&lt;20/24)</formula>
    </cfRule>
    <cfRule type="expression" dxfId="4824" priority="229">
      <formula>AND(M$9&gt;=8/24,M$9&lt;14/24)</formula>
    </cfRule>
    <cfRule type="expression" dxfId="4823" priority="230">
      <formula>M$9&lt;8/24</formula>
    </cfRule>
  </conditionalFormatting>
  <conditionalFormatting sqref="AB18:AB21">
    <cfRule type="expression" dxfId="4822" priority="223">
      <formula>AB$9&gt;=20/24</formula>
    </cfRule>
    <cfRule type="expression" dxfId="4821" priority="224">
      <formula>AND(AB$9&gt;=14/24,AB$9&lt;20/24)</formula>
    </cfRule>
    <cfRule type="expression" dxfId="4820" priority="225">
      <formula>AND(AB$9&gt;=8/24,AB$9&lt;14/24)</formula>
    </cfRule>
    <cfRule type="expression" dxfId="4819" priority="226">
      <formula>AB$9&lt;8/24</formula>
    </cfRule>
  </conditionalFormatting>
  <conditionalFormatting sqref="AB18:AB21">
    <cfRule type="expression" dxfId="4818" priority="222">
      <formula>AB18&gt;$AG18</formula>
    </cfRule>
  </conditionalFormatting>
  <conditionalFormatting sqref="AB16">
    <cfRule type="expression" dxfId="4817" priority="218">
      <formula>AB$9&gt;=20/24</formula>
    </cfRule>
    <cfRule type="expression" dxfId="4816" priority="219">
      <formula>AND(AB$9&gt;=14/24,AB$9&lt;20/24)</formula>
    </cfRule>
    <cfRule type="expression" dxfId="4815" priority="220">
      <formula>AND(AB$9&gt;=8/24,AB$9&lt;14/24)</formula>
    </cfRule>
    <cfRule type="expression" dxfId="4814" priority="221">
      <formula>AB$9&lt;8/24</formula>
    </cfRule>
  </conditionalFormatting>
  <conditionalFormatting sqref="AB17">
    <cfRule type="expression" dxfId="4813" priority="214">
      <formula>AB$9&gt;=20/24</formula>
    </cfRule>
    <cfRule type="expression" dxfId="4812" priority="215">
      <formula>AND(AB$9&gt;=14/24,AB$9&lt;20/24)</formula>
    </cfRule>
    <cfRule type="expression" dxfId="4811" priority="216">
      <formula>AND(AB$9&gt;=8/24,AB$9&lt;14/24)</formula>
    </cfRule>
    <cfRule type="expression" dxfId="4810" priority="217">
      <formula>AB$9&lt;8/24</formula>
    </cfRule>
  </conditionalFormatting>
  <conditionalFormatting sqref="AB23:AB30 AB36">
    <cfRule type="expression" dxfId="4809" priority="210">
      <formula>AB$9&gt;=20/24</formula>
    </cfRule>
    <cfRule type="expression" dxfId="4808" priority="211">
      <formula>AND(AB$9&gt;=14/24,AB$9&lt;20/24)</formula>
    </cfRule>
    <cfRule type="expression" dxfId="4807" priority="212">
      <formula>AND(AB$9&gt;=8/24,AB$9&lt;14/24)</formula>
    </cfRule>
    <cfRule type="expression" dxfId="4806" priority="213">
      <formula>AB$9&lt;8/24</formula>
    </cfRule>
  </conditionalFormatting>
  <conditionalFormatting sqref="AB31:AB32 AB35">
    <cfRule type="expression" dxfId="4805" priority="206">
      <formula>AB$9&gt;=20/24</formula>
    </cfRule>
    <cfRule type="expression" dxfId="4804" priority="207">
      <formula>AND(AB$9&gt;=14/24,AB$9&lt;20/24)</formula>
    </cfRule>
    <cfRule type="expression" dxfId="4803" priority="208">
      <formula>AND(AB$9&gt;=8/24,AB$9&lt;14/24)</formula>
    </cfRule>
    <cfRule type="expression" dxfId="4802" priority="209">
      <formula>AB$9&lt;8/24</formula>
    </cfRule>
  </conditionalFormatting>
  <conditionalFormatting sqref="AB23:AB32 AB34:AB36">
    <cfRule type="expression" dxfId="4801" priority="205">
      <formula>AB23&gt;$AG23</formula>
    </cfRule>
  </conditionalFormatting>
  <conditionalFormatting sqref="AB34">
    <cfRule type="expression" dxfId="4800" priority="201">
      <formula>AB$9&gt;=20/24</formula>
    </cfRule>
    <cfRule type="expression" dxfId="4799" priority="202">
      <formula>AND(AB$9&gt;=14/24,AB$9&lt;20/24)</formula>
    </cfRule>
    <cfRule type="expression" dxfId="4798" priority="203">
      <formula>AND(AB$9&gt;=8/24,AB$9&lt;14/24)</formula>
    </cfRule>
    <cfRule type="expression" dxfId="4797" priority="204">
      <formula>AB$9&lt;8/24</formula>
    </cfRule>
  </conditionalFormatting>
  <conditionalFormatting sqref="AB33">
    <cfRule type="expression" dxfId="4796" priority="197">
      <formula>AB$9&gt;=20/24</formula>
    </cfRule>
    <cfRule type="expression" dxfId="4795" priority="198">
      <formula>AND(AB$9&gt;=14/24,AB$9&lt;20/24)</formula>
    </cfRule>
    <cfRule type="expression" dxfId="4794" priority="199">
      <formula>AND(AB$9&gt;=8/24,AB$9&lt;14/24)</formula>
    </cfRule>
    <cfRule type="expression" dxfId="4793" priority="200">
      <formula>AB$9&lt;8/24</formula>
    </cfRule>
  </conditionalFormatting>
  <conditionalFormatting sqref="AB33">
    <cfRule type="expression" dxfId="4792" priority="196">
      <formula>AB33&gt;$AG33</formula>
    </cfRule>
  </conditionalFormatting>
  <conditionalFormatting sqref="AB46:AB50">
    <cfRule type="expression" dxfId="4791" priority="192">
      <formula>AB$9&gt;=20/24</formula>
    </cfRule>
    <cfRule type="expression" dxfId="4790" priority="193">
      <formula>AND(AB$9&gt;=14/24,AB$9&lt;20/24)</formula>
    </cfRule>
    <cfRule type="expression" dxfId="4789" priority="194">
      <formula>AND(AB$9&gt;=8/24,AB$9&lt;14/24)</formula>
    </cfRule>
    <cfRule type="expression" dxfId="4788" priority="195">
      <formula>AB$9&lt;8/24</formula>
    </cfRule>
  </conditionalFormatting>
  <conditionalFormatting sqref="AB46:AB50">
    <cfRule type="expression" dxfId="4787" priority="191">
      <formula>AB46&gt;$AG46</formula>
    </cfRule>
  </conditionalFormatting>
  <conditionalFormatting sqref="AC22 AC12:AC14">
    <cfRule type="expression" dxfId="4786" priority="187">
      <formula>AC$9&gt;=20/24</formula>
    </cfRule>
    <cfRule type="expression" dxfId="4785" priority="188">
      <formula>AND(AC$9&gt;=14/24,AC$9&lt;20/24)</formula>
    </cfRule>
    <cfRule type="expression" dxfId="4784" priority="189">
      <formula>AND(AC$9&gt;=8/24,AC$9&lt;14/24)</formula>
    </cfRule>
    <cfRule type="expression" dxfId="4783" priority="190">
      <formula>AC$9&lt;8/24</formula>
    </cfRule>
  </conditionalFormatting>
  <conditionalFormatting sqref="AC12:AC15 AC22">
    <cfRule type="expression" dxfId="4782" priority="186">
      <formula>AC12&gt;$AG12</formula>
    </cfRule>
  </conditionalFormatting>
  <conditionalFormatting sqref="AC15">
    <cfRule type="expression" dxfId="4781" priority="182">
      <formula>AC$9&gt;=20/24</formula>
    </cfRule>
    <cfRule type="expression" dxfId="4780" priority="183">
      <formula>AND(AC$9&gt;=14/24,AC$9&lt;20/24)</formula>
    </cfRule>
    <cfRule type="expression" dxfId="4779" priority="184">
      <formula>AND(AC$9&gt;=8/24,AC$9&lt;14/24)</formula>
    </cfRule>
    <cfRule type="expression" dxfId="4778" priority="185">
      <formula>AC$9&lt;8/24</formula>
    </cfRule>
  </conditionalFormatting>
  <conditionalFormatting sqref="AC18:AC21">
    <cfRule type="expression" dxfId="4777" priority="178">
      <formula>AC$9&gt;=20/24</formula>
    </cfRule>
    <cfRule type="expression" dxfId="4776" priority="179">
      <formula>AND(AC$9&gt;=14/24,AC$9&lt;20/24)</formula>
    </cfRule>
    <cfRule type="expression" dxfId="4775" priority="180">
      <formula>AND(AC$9&gt;=8/24,AC$9&lt;14/24)</formula>
    </cfRule>
    <cfRule type="expression" dxfId="4774" priority="181">
      <formula>AC$9&lt;8/24</formula>
    </cfRule>
  </conditionalFormatting>
  <conditionalFormatting sqref="AC18:AC21">
    <cfRule type="expression" dxfId="4773" priority="177">
      <formula>AC18&gt;$AG18</formula>
    </cfRule>
  </conditionalFormatting>
  <conditionalFormatting sqref="AC16">
    <cfRule type="expression" dxfId="4772" priority="173">
      <formula>AC$9&gt;=20/24</formula>
    </cfRule>
    <cfRule type="expression" dxfId="4771" priority="174">
      <formula>AND(AC$9&gt;=14/24,AC$9&lt;20/24)</formula>
    </cfRule>
    <cfRule type="expression" dxfId="4770" priority="175">
      <formula>AND(AC$9&gt;=8/24,AC$9&lt;14/24)</formula>
    </cfRule>
    <cfRule type="expression" dxfId="4769" priority="176">
      <formula>AC$9&lt;8/24</formula>
    </cfRule>
  </conditionalFormatting>
  <conditionalFormatting sqref="AC17">
    <cfRule type="expression" dxfId="4768" priority="169">
      <formula>AC$9&gt;=20/24</formula>
    </cfRule>
    <cfRule type="expression" dxfId="4767" priority="170">
      <formula>AND(AC$9&gt;=14/24,AC$9&lt;20/24)</formula>
    </cfRule>
    <cfRule type="expression" dxfId="4766" priority="171">
      <formula>AND(AC$9&gt;=8/24,AC$9&lt;14/24)</formula>
    </cfRule>
    <cfRule type="expression" dxfId="4765" priority="172">
      <formula>AC$9&lt;8/24</formula>
    </cfRule>
  </conditionalFormatting>
  <conditionalFormatting sqref="AC23:AC30 AC36">
    <cfRule type="expression" dxfId="4764" priority="165">
      <formula>AC$9&gt;=20/24</formula>
    </cfRule>
    <cfRule type="expression" dxfId="4763" priority="166">
      <formula>AND(AC$9&gt;=14/24,AC$9&lt;20/24)</formula>
    </cfRule>
    <cfRule type="expression" dxfId="4762" priority="167">
      <formula>AND(AC$9&gt;=8/24,AC$9&lt;14/24)</formula>
    </cfRule>
    <cfRule type="expression" dxfId="4761" priority="168">
      <formula>AC$9&lt;8/24</formula>
    </cfRule>
  </conditionalFormatting>
  <conditionalFormatting sqref="AC31:AC32 AC35">
    <cfRule type="expression" dxfId="4760" priority="161">
      <formula>AC$9&gt;=20/24</formula>
    </cfRule>
    <cfRule type="expression" dxfId="4759" priority="162">
      <formula>AND(AC$9&gt;=14/24,AC$9&lt;20/24)</formula>
    </cfRule>
    <cfRule type="expression" dxfId="4758" priority="163">
      <formula>AND(AC$9&gt;=8/24,AC$9&lt;14/24)</formula>
    </cfRule>
    <cfRule type="expression" dxfId="4757" priority="164">
      <formula>AC$9&lt;8/24</formula>
    </cfRule>
  </conditionalFormatting>
  <conditionalFormatting sqref="AC23:AC32 AC34:AC36">
    <cfRule type="expression" dxfId="4756" priority="160">
      <formula>AC23&gt;$AG23</formula>
    </cfRule>
  </conditionalFormatting>
  <conditionalFormatting sqref="AC34">
    <cfRule type="expression" dxfId="4755" priority="156">
      <formula>AC$9&gt;=20/24</formula>
    </cfRule>
    <cfRule type="expression" dxfId="4754" priority="157">
      <formula>AND(AC$9&gt;=14/24,AC$9&lt;20/24)</formula>
    </cfRule>
    <cfRule type="expression" dxfId="4753" priority="158">
      <formula>AND(AC$9&gt;=8/24,AC$9&lt;14/24)</formula>
    </cfRule>
    <cfRule type="expression" dxfId="4752" priority="159">
      <formula>AC$9&lt;8/24</formula>
    </cfRule>
  </conditionalFormatting>
  <conditionalFormatting sqref="AC33">
    <cfRule type="expression" dxfId="4751" priority="152">
      <formula>AC$9&gt;=20/24</formula>
    </cfRule>
    <cfRule type="expression" dxfId="4750" priority="153">
      <formula>AND(AC$9&gt;=14/24,AC$9&lt;20/24)</formula>
    </cfRule>
    <cfRule type="expression" dxfId="4749" priority="154">
      <formula>AND(AC$9&gt;=8/24,AC$9&lt;14/24)</formula>
    </cfRule>
    <cfRule type="expression" dxfId="4748" priority="155">
      <formula>AC$9&lt;8/24</formula>
    </cfRule>
  </conditionalFormatting>
  <conditionalFormatting sqref="AC33">
    <cfRule type="expression" dxfId="4747" priority="151">
      <formula>AC33&gt;$AG33</formula>
    </cfRule>
  </conditionalFormatting>
  <conditionalFormatting sqref="AC45">
    <cfRule type="expression" dxfId="4746" priority="147">
      <formula>AC$9&gt;=20/24</formula>
    </cfRule>
    <cfRule type="expression" dxfId="4745" priority="148">
      <formula>AND(AC$9&gt;=14/24,AC$9&lt;20/24)</formula>
    </cfRule>
    <cfRule type="expression" dxfId="4744" priority="149">
      <formula>AND(AC$9&gt;=8/24,AC$9&lt;14/24)</formula>
    </cfRule>
    <cfRule type="expression" dxfId="4743" priority="150">
      <formula>AC$9&lt;8/24</formula>
    </cfRule>
  </conditionalFormatting>
  <conditionalFormatting sqref="AC45">
    <cfRule type="expression" dxfId="4742" priority="146">
      <formula>AC45&gt;$AG45</formula>
    </cfRule>
  </conditionalFormatting>
  <conditionalFormatting sqref="AC46:AC50">
    <cfRule type="expression" dxfId="4741" priority="142">
      <formula>AC$9&gt;=20/24</formula>
    </cfRule>
    <cfRule type="expression" dxfId="4740" priority="143">
      <formula>AND(AC$9&gt;=14/24,AC$9&lt;20/24)</formula>
    </cfRule>
    <cfRule type="expression" dxfId="4739" priority="144">
      <formula>AND(AC$9&gt;=8/24,AC$9&lt;14/24)</formula>
    </cfRule>
    <cfRule type="expression" dxfId="4738" priority="145">
      <formula>AC$9&lt;8/24</formula>
    </cfRule>
  </conditionalFormatting>
  <conditionalFormatting sqref="AC46:AC50">
    <cfRule type="expression" dxfId="4737" priority="141">
      <formula>AC46&gt;$AG46</formula>
    </cfRule>
  </conditionalFormatting>
  <conditionalFormatting sqref="AD22 AD12:AD14">
    <cfRule type="expression" dxfId="4736" priority="137">
      <formula>AD$9&gt;=20/24</formula>
    </cfRule>
    <cfRule type="expression" dxfId="4735" priority="138">
      <formula>AND(AD$9&gt;=14/24,AD$9&lt;20/24)</formula>
    </cfRule>
    <cfRule type="expression" dxfId="4734" priority="139">
      <formula>AND(AD$9&gt;=8/24,AD$9&lt;14/24)</formula>
    </cfRule>
    <cfRule type="expression" dxfId="4733" priority="140">
      <formula>AD$9&lt;8/24</formula>
    </cfRule>
  </conditionalFormatting>
  <conditionalFormatting sqref="AD12:AD15 AD22">
    <cfRule type="expression" dxfId="4732" priority="136">
      <formula>AD12&gt;$AG12</formula>
    </cfRule>
  </conditionalFormatting>
  <conditionalFormatting sqref="AD15">
    <cfRule type="expression" dxfId="4731" priority="132">
      <formula>AD$9&gt;=20/24</formula>
    </cfRule>
    <cfRule type="expression" dxfId="4730" priority="133">
      <formula>AND(AD$9&gt;=14/24,AD$9&lt;20/24)</formula>
    </cfRule>
    <cfRule type="expression" dxfId="4729" priority="134">
      <formula>AND(AD$9&gt;=8/24,AD$9&lt;14/24)</formula>
    </cfRule>
    <cfRule type="expression" dxfId="4728" priority="135">
      <formula>AD$9&lt;8/24</formula>
    </cfRule>
  </conditionalFormatting>
  <conditionalFormatting sqref="AD18:AD21">
    <cfRule type="expression" dxfId="4727" priority="128">
      <formula>AD$9&gt;=20/24</formula>
    </cfRule>
    <cfRule type="expression" dxfId="4726" priority="129">
      <formula>AND(AD$9&gt;=14/24,AD$9&lt;20/24)</formula>
    </cfRule>
    <cfRule type="expression" dxfId="4725" priority="130">
      <formula>AND(AD$9&gt;=8/24,AD$9&lt;14/24)</formula>
    </cfRule>
    <cfRule type="expression" dxfId="4724" priority="131">
      <formula>AD$9&lt;8/24</formula>
    </cfRule>
  </conditionalFormatting>
  <conditionalFormatting sqref="AD18:AD21">
    <cfRule type="expression" dxfId="4723" priority="127">
      <formula>AD18&gt;$AG18</formula>
    </cfRule>
  </conditionalFormatting>
  <conditionalFormatting sqref="AD16">
    <cfRule type="expression" dxfId="4722" priority="123">
      <formula>AD$9&gt;=20/24</formula>
    </cfRule>
    <cfRule type="expression" dxfId="4721" priority="124">
      <formula>AND(AD$9&gt;=14/24,AD$9&lt;20/24)</formula>
    </cfRule>
    <cfRule type="expression" dxfId="4720" priority="125">
      <formula>AND(AD$9&gt;=8/24,AD$9&lt;14/24)</formula>
    </cfRule>
    <cfRule type="expression" dxfId="4719" priority="126">
      <formula>AD$9&lt;8/24</formula>
    </cfRule>
  </conditionalFormatting>
  <conditionalFormatting sqref="AD17">
    <cfRule type="expression" dxfId="4718" priority="119">
      <formula>AD$9&gt;=20/24</formula>
    </cfRule>
    <cfRule type="expression" dxfId="4717" priority="120">
      <formula>AND(AD$9&gt;=14/24,AD$9&lt;20/24)</formula>
    </cfRule>
    <cfRule type="expression" dxfId="4716" priority="121">
      <formula>AND(AD$9&gt;=8/24,AD$9&lt;14/24)</formula>
    </cfRule>
    <cfRule type="expression" dxfId="4715" priority="122">
      <formula>AD$9&lt;8/24</formula>
    </cfRule>
  </conditionalFormatting>
  <conditionalFormatting sqref="AD23:AD30 AD36">
    <cfRule type="expression" dxfId="4714" priority="115">
      <formula>AD$9&gt;=20/24</formula>
    </cfRule>
    <cfRule type="expression" dxfId="4713" priority="116">
      <formula>AND(AD$9&gt;=14/24,AD$9&lt;20/24)</formula>
    </cfRule>
    <cfRule type="expression" dxfId="4712" priority="117">
      <formula>AND(AD$9&gt;=8/24,AD$9&lt;14/24)</formula>
    </cfRule>
    <cfRule type="expression" dxfId="4711" priority="118">
      <formula>AD$9&lt;8/24</formula>
    </cfRule>
  </conditionalFormatting>
  <conditionalFormatting sqref="AD31:AD32 AD35">
    <cfRule type="expression" dxfId="4710" priority="111">
      <formula>AD$9&gt;=20/24</formula>
    </cfRule>
    <cfRule type="expression" dxfId="4709" priority="112">
      <formula>AND(AD$9&gt;=14/24,AD$9&lt;20/24)</formula>
    </cfRule>
    <cfRule type="expression" dxfId="4708" priority="113">
      <formula>AND(AD$9&gt;=8/24,AD$9&lt;14/24)</formula>
    </cfRule>
    <cfRule type="expression" dxfId="4707" priority="114">
      <formula>AD$9&lt;8/24</formula>
    </cfRule>
  </conditionalFormatting>
  <conditionalFormatting sqref="AD23:AD32 AD34:AD36">
    <cfRule type="expression" dxfId="4706" priority="110">
      <formula>AD23&gt;$AG23</formula>
    </cfRule>
  </conditionalFormatting>
  <conditionalFormatting sqref="AD34">
    <cfRule type="expression" dxfId="4705" priority="106">
      <formula>AD$9&gt;=20/24</formula>
    </cfRule>
    <cfRule type="expression" dxfId="4704" priority="107">
      <formula>AND(AD$9&gt;=14/24,AD$9&lt;20/24)</formula>
    </cfRule>
    <cfRule type="expression" dxfId="4703" priority="108">
      <formula>AND(AD$9&gt;=8/24,AD$9&lt;14/24)</formula>
    </cfRule>
    <cfRule type="expression" dxfId="4702" priority="109">
      <formula>AD$9&lt;8/24</formula>
    </cfRule>
  </conditionalFormatting>
  <conditionalFormatting sqref="AD33">
    <cfRule type="expression" dxfId="4701" priority="102">
      <formula>AD$9&gt;=20/24</formula>
    </cfRule>
    <cfRule type="expression" dxfId="4700" priority="103">
      <formula>AND(AD$9&gt;=14/24,AD$9&lt;20/24)</formula>
    </cfRule>
    <cfRule type="expression" dxfId="4699" priority="104">
      <formula>AND(AD$9&gt;=8/24,AD$9&lt;14/24)</formula>
    </cfRule>
    <cfRule type="expression" dxfId="4698" priority="105">
      <formula>AD$9&lt;8/24</formula>
    </cfRule>
  </conditionalFormatting>
  <conditionalFormatting sqref="AD33">
    <cfRule type="expression" dxfId="4697" priority="101">
      <formula>AD33&gt;$AG33</formula>
    </cfRule>
  </conditionalFormatting>
  <conditionalFormatting sqref="AD46:AD50">
    <cfRule type="expression" dxfId="4696" priority="97">
      <formula>AD$9&gt;=20/24</formula>
    </cfRule>
    <cfRule type="expression" dxfId="4695" priority="98">
      <formula>AND(AD$9&gt;=14/24,AD$9&lt;20/24)</formula>
    </cfRule>
    <cfRule type="expression" dxfId="4694" priority="99">
      <formula>AND(AD$9&gt;=8/24,AD$9&lt;14/24)</formula>
    </cfRule>
    <cfRule type="expression" dxfId="4693" priority="100">
      <formula>AD$9&lt;8/24</formula>
    </cfRule>
  </conditionalFormatting>
  <conditionalFormatting sqref="AD46:AD50">
    <cfRule type="expression" dxfId="4692" priority="96">
      <formula>AD46&gt;$AG46</formula>
    </cfRule>
  </conditionalFormatting>
  <conditionalFormatting sqref="AE22 AE12:AE14">
    <cfRule type="expression" dxfId="4691" priority="92">
      <formula>AE$9&gt;=20/24</formula>
    </cfRule>
    <cfRule type="expression" dxfId="4690" priority="93">
      <formula>AND(AE$9&gt;=14/24,AE$9&lt;20/24)</formula>
    </cfRule>
    <cfRule type="expression" dxfId="4689" priority="94">
      <formula>AND(AE$9&gt;=8/24,AE$9&lt;14/24)</formula>
    </cfRule>
    <cfRule type="expression" dxfId="4688" priority="95">
      <formula>AE$9&lt;8/24</formula>
    </cfRule>
  </conditionalFormatting>
  <conditionalFormatting sqref="AE12:AE15 AE22">
    <cfRule type="expression" dxfId="4687" priority="91">
      <formula>AE12&gt;$AG12</formula>
    </cfRule>
  </conditionalFormatting>
  <conditionalFormatting sqref="AE15">
    <cfRule type="expression" dxfId="4686" priority="87">
      <formula>AE$9&gt;=20/24</formula>
    </cfRule>
    <cfRule type="expression" dxfId="4685" priority="88">
      <formula>AND(AE$9&gt;=14/24,AE$9&lt;20/24)</formula>
    </cfRule>
    <cfRule type="expression" dxfId="4684" priority="89">
      <formula>AND(AE$9&gt;=8/24,AE$9&lt;14/24)</formula>
    </cfRule>
    <cfRule type="expression" dxfId="4683" priority="90">
      <formula>AE$9&lt;8/24</formula>
    </cfRule>
  </conditionalFormatting>
  <conditionalFormatting sqref="AE18:AE21">
    <cfRule type="expression" dxfId="4682" priority="83">
      <formula>AE$9&gt;=20/24</formula>
    </cfRule>
    <cfRule type="expression" dxfId="4681" priority="84">
      <formula>AND(AE$9&gt;=14/24,AE$9&lt;20/24)</formula>
    </cfRule>
    <cfRule type="expression" dxfId="4680" priority="85">
      <formula>AND(AE$9&gt;=8/24,AE$9&lt;14/24)</formula>
    </cfRule>
    <cfRule type="expression" dxfId="4679" priority="86">
      <formula>AE$9&lt;8/24</formula>
    </cfRule>
  </conditionalFormatting>
  <conditionalFormatting sqref="AE18:AE21">
    <cfRule type="expression" dxfId="4678" priority="82">
      <formula>AE18&gt;$AG18</formula>
    </cfRule>
  </conditionalFormatting>
  <conditionalFormatting sqref="AE16">
    <cfRule type="expression" dxfId="4677" priority="78">
      <formula>AE$9&gt;=20/24</formula>
    </cfRule>
    <cfRule type="expression" dxfId="4676" priority="79">
      <formula>AND(AE$9&gt;=14/24,AE$9&lt;20/24)</formula>
    </cfRule>
    <cfRule type="expression" dxfId="4675" priority="80">
      <formula>AND(AE$9&gt;=8/24,AE$9&lt;14/24)</formula>
    </cfRule>
    <cfRule type="expression" dxfId="4674" priority="81">
      <formula>AE$9&lt;8/24</formula>
    </cfRule>
  </conditionalFormatting>
  <conditionalFormatting sqref="AE17">
    <cfRule type="expression" dxfId="4673" priority="74">
      <formula>AE$9&gt;=20/24</formula>
    </cfRule>
    <cfRule type="expression" dxfId="4672" priority="75">
      <formula>AND(AE$9&gt;=14/24,AE$9&lt;20/24)</formula>
    </cfRule>
    <cfRule type="expression" dxfId="4671" priority="76">
      <formula>AND(AE$9&gt;=8/24,AE$9&lt;14/24)</formula>
    </cfRule>
    <cfRule type="expression" dxfId="4670" priority="77">
      <formula>AE$9&lt;8/24</formula>
    </cfRule>
  </conditionalFormatting>
  <conditionalFormatting sqref="AE23:AE30 AE36">
    <cfRule type="expression" dxfId="4669" priority="70">
      <formula>AE$9&gt;=20/24</formula>
    </cfRule>
    <cfRule type="expression" dxfId="4668" priority="71">
      <formula>AND(AE$9&gt;=14/24,AE$9&lt;20/24)</formula>
    </cfRule>
    <cfRule type="expression" dxfId="4667" priority="72">
      <formula>AND(AE$9&gt;=8/24,AE$9&lt;14/24)</formula>
    </cfRule>
    <cfRule type="expression" dxfId="4666" priority="73">
      <formula>AE$9&lt;8/24</formula>
    </cfRule>
  </conditionalFormatting>
  <conditionalFormatting sqref="AE31:AE32 AE35">
    <cfRule type="expression" dxfId="4665" priority="66">
      <formula>AE$9&gt;=20/24</formula>
    </cfRule>
    <cfRule type="expression" dxfId="4664" priority="67">
      <formula>AND(AE$9&gt;=14/24,AE$9&lt;20/24)</formula>
    </cfRule>
    <cfRule type="expression" dxfId="4663" priority="68">
      <formula>AND(AE$9&gt;=8/24,AE$9&lt;14/24)</formula>
    </cfRule>
    <cfRule type="expression" dxfId="4662" priority="69">
      <formula>AE$9&lt;8/24</formula>
    </cfRule>
  </conditionalFormatting>
  <conditionalFormatting sqref="AE23:AE32 AE34:AE36">
    <cfRule type="expression" dxfId="4661" priority="65">
      <formula>AE23&gt;$AG23</formula>
    </cfRule>
  </conditionalFormatting>
  <conditionalFormatting sqref="AE34">
    <cfRule type="expression" dxfId="4660" priority="61">
      <formula>AE$9&gt;=20/24</formula>
    </cfRule>
    <cfRule type="expression" dxfId="4659" priority="62">
      <formula>AND(AE$9&gt;=14/24,AE$9&lt;20/24)</formula>
    </cfRule>
    <cfRule type="expression" dxfId="4658" priority="63">
      <formula>AND(AE$9&gt;=8/24,AE$9&lt;14/24)</formula>
    </cfRule>
    <cfRule type="expression" dxfId="4657" priority="64">
      <formula>AE$9&lt;8/24</formula>
    </cfRule>
  </conditionalFormatting>
  <conditionalFormatting sqref="AE33">
    <cfRule type="expression" dxfId="4656" priority="57">
      <formula>AE$9&gt;=20/24</formula>
    </cfRule>
    <cfRule type="expression" dxfId="4655" priority="58">
      <formula>AND(AE$9&gt;=14/24,AE$9&lt;20/24)</formula>
    </cfRule>
    <cfRule type="expression" dxfId="4654" priority="59">
      <formula>AND(AE$9&gt;=8/24,AE$9&lt;14/24)</formula>
    </cfRule>
    <cfRule type="expression" dxfId="4653" priority="60">
      <formula>AE$9&lt;8/24</formula>
    </cfRule>
  </conditionalFormatting>
  <conditionalFormatting sqref="AE33">
    <cfRule type="expression" dxfId="4652" priority="56">
      <formula>AE33&gt;$AG33</formula>
    </cfRule>
  </conditionalFormatting>
  <conditionalFormatting sqref="AE46:AE50">
    <cfRule type="expression" dxfId="4651" priority="52">
      <formula>AE$9&gt;=20/24</formula>
    </cfRule>
    <cfRule type="expression" dxfId="4650" priority="53">
      <formula>AND(AE$9&gt;=14/24,AE$9&lt;20/24)</formula>
    </cfRule>
    <cfRule type="expression" dxfId="4649" priority="54">
      <formula>AND(AE$9&gt;=8/24,AE$9&lt;14/24)</formula>
    </cfRule>
    <cfRule type="expression" dxfId="4648" priority="55">
      <formula>AE$9&lt;8/24</formula>
    </cfRule>
  </conditionalFormatting>
  <conditionalFormatting sqref="AE46:AE50">
    <cfRule type="expression" dxfId="4647" priority="51">
      <formula>AE46&gt;$AG46</formula>
    </cfRule>
  </conditionalFormatting>
  <conditionalFormatting sqref="AF22 AF12:AF14">
    <cfRule type="expression" dxfId="4646" priority="47">
      <formula>AF$9&gt;=20/24</formula>
    </cfRule>
    <cfRule type="expression" dxfId="4645" priority="48">
      <formula>AND(AF$9&gt;=14/24,AF$9&lt;20/24)</formula>
    </cfRule>
    <cfRule type="expression" dxfId="4644" priority="49">
      <formula>AND(AF$9&gt;=8/24,AF$9&lt;14/24)</formula>
    </cfRule>
    <cfRule type="expression" dxfId="4643" priority="50">
      <formula>AF$9&lt;8/24</formula>
    </cfRule>
  </conditionalFormatting>
  <conditionalFormatting sqref="AF12:AF15 AF22">
    <cfRule type="expression" dxfId="4642" priority="46">
      <formula>AF12&gt;$AG12</formula>
    </cfRule>
  </conditionalFormatting>
  <conditionalFormatting sqref="AF15">
    <cfRule type="expression" dxfId="4641" priority="42">
      <formula>AF$9&gt;=20/24</formula>
    </cfRule>
    <cfRule type="expression" dxfId="4640" priority="43">
      <formula>AND(AF$9&gt;=14/24,AF$9&lt;20/24)</formula>
    </cfRule>
    <cfRule type="expression" dxfId="4639" priority="44">
      <formula>AND(AF$9&gt;=8/24,AF$9&lt;14/24)</formula>
    </cfRule>
    <cfRule type="expression" dxfId="4638" priority="45">
      <formula>AF$9&lt;8/24</formula>
    </cfRule>
  </conditionalFormatting>
  <conditionalFormatting sqref="AF18:AF21">
    <cfRule type="expression" dxfId="4637" priority="38">
      <formula>AF$9&gt;=20/24</formula>
    </cfRule>
    <cfRule type="expression" dxfId="4636" priority="39">
      <formula>AND(AF$9&gt;=14/24,AF$9&lt;20/24)</formula>
    </cfRule>
    <cfRule type="expression" dxfId="4635" priority="40">
      <formula>AND(AF$9&gt;=8/24,AF$9&lt;14/24)</formula>
    </cfRule>
    <cfRule type="expression" dxfId="4634" priority="41">
      <formula>AF$9&lt;8/24</formula>
    </cfRule>
  </conditionalFormatting>
  <conditionalFormatting sqref="AF18:AF21">
    <cfRule type="expression" dxfId="4633" priority="37">
      <formula>AF18&gt;$AG18</formula>
    </cfRule>
  </conditionalFormatting>
  <conditionalFormatting sqref="AF16">
    <cfRule type="expression" dxfId="4632" priority="33">
      <formula>AF$9&gt;=20/24</formula>
    </cfRule>
    <cfRule type="expression" dxfId="4631" priority="34">
      <formula>AND(AF$9&gt;=14/24,AF$9&lt;20/24)</formula>
    </cfRule>
    <cfRule type="expression" dxfId="4630" priority="35">
      <formula>AND(AF$9&gt;=8/24,AF$9&lt;14/24)</formula>
    </cfRule>
    <cfRule type="expression" dxfId="4629" priority="36">
      <formula>AF$9&lt;8/24</formula>
    </cfRule>
  </conditionalFormatting>
  <conditionalFormatting sqref="AF17">
    <cfRule type="expression" dxfId="4628" priority="29">
      <formula>AF$9&gt;=20/24</formula>
    </cfRule>
    <cfRule type="expression" dxfId="4627" priority="30">
      <formula>AND(AF$9&gt;=14/24,AF$9&lt;20/24)</formula>
    </cfRule>
    <cfRule type="expression" dxfId="4626" priority="31">
      <formula>AND(AF$9&gt;=8/24,AF$9&lt;14/24)</formula>
    </cfRule>
    <cfRule type="expression" dxfId="4625" priority="32">
      <formula>AF$9&lt;8/24</formula>
    </cfRule>
  </conditionalFormatting>
  <conditionalFormatting sqref="AF23:AF30 AF36">
    <cfRule type="expression" dxfId="4624" priority="25">
      <formula>AF$9&gt;=20/24</formula>
    </cfRule>
    <cfRule type="expression" dxfId="4623" priority="26">
      <formula>AND(AF$9&gt;=14/24,AF$9&lt;20/24)</formula>
    </cfRule>
    <cfRule type="expression" dxfId="4622" priority="27">
      <formula>AND(AF$9&gt;=8/24,AF$9&lt;14/24)</formula>
    </cfRule>
    <cfRule type="expression" dxfId="4621" priority="28">
      <formula>AF$9&lt;8/24</formula>
    </cfRule>
  </conditionalFormatting>
  <conditionalFormatting sqref="AF31:AF32 AF35">
    <cfRule type="expression" dxfId="4620" priority="21">
      <formula>AF$9&gt;=20/24</formula>
    </cfRule>
    <cfRule type="expression" dxfId="4619" priority="22">
      <formula>AND(AF$9&gt;=14/24,AF$9&lt;20/24)</formula>
    </cfRule>
    <cfRule type="expression" dxfId="4618" priority="23">
      <formula>AND(AF$9&gt;=8/24,AF$9&lt;14/24)</formula>
    </cfRule>
    <cfRule type="expression" dxfId="4617" priority="24">
      <formula>AF$9&lt;8/24</formula>
    </cfRule>
  </conditionalFormatting>
  <conditionalFormatting sqref="AF23:AF32 AF34:AF36">
    <cfRule type="expression" dxfId="4616" priority="20">
      <formula>AF23&gt;$AG23</formula>
    </cfRule>
  </conditionalFormatting>
  <conditionalFormatting sqref="AF34">
    <cfRule type="expression" dxfId="4615" priority="16">
      <formula>AF$9&gt;=20/24</formula>
    </cfRule>
    <cfRule type="expression" dxfId="4614" priority="17">
      <formula>AND(AF$9&gt;=14/24,AF$9&lt;20/24)</formula>
    </cfRule>
    <cfRule type="expression" dxfId="4613" priority="18">
      <formula>AND(AF$9&gt;=8/24,AF$9&lt;14/24)</formula>
    </cfRule>
    <cfRule type="expression" dxfId="4612" priority="19">
      <formula>AF$9&lt;8/24</formula>
    </cfRule>
  </conditionalFormatting>
  <conditionalFormatting sqref="AF33">
    <cfRule type="expression" dxfId="4611" priority="12">
      <formula>AF$9&gt;=20/24</formula>
    </cfRule>
    <cfRule type="expression" dxfId="4610" priority="13">
      <formula>AND(AF$9&gt;=14/24,AF$9&lt;20/24)</formula>
    </cfRule>
    <cfRule type="expression" dxfId="4609" priority="14">
      <formula>AND(AF$9&gt;=8/24,AF$9&lt;14/24)</formula>
    </cfRule>
    <cfRule type="expression" dxfId="4608" priority="15">
      <formula>AF$9&lt;8/24</formula>
    </cfRule>
  </conditionalFormatting>
  <conditionalFormatting sqref="AF33">
    <cfRule type="expression" dxfId="4607" priority="11">
      <formula>AF33&gt;$AG33</formula>
    </cfRule>
  </conditionalFormatting>
  <conditionalFormatting sqref="AF45">
    <cfRule type="expression" dxfId="4606" priority="7">
      <formula>AF$9&gt;=20/24</formula>
    </cfRule>
    <cfRule type="expression" dxfId="4605" priority="8">
      <formula>AND(AF$9&gt;=14/24,AF$9&lt;20/24)</formula>
    </cfRule>
    <cfRule type="expression" dxfId="4604" priority="9">
      <formula>AND(AF$9&gt;=8/24,AF$9&lt;14/24)</formula>
    </cfRule>
    <cfRule type="expression" dxfId="4603" priority="10">
      <formula>AF$9&lt;8/24</formula>
    </cfRule>
  </conditionalFormatting>
  <conditionalFormatting sqref="AF45">
    <cfRule type="expression" dxfId="4602" priority="6">
      <formula>AF45&gt;$AG45</formula>
    </cfRule>
  </conditionalFormatting>
  <conditionalFormatting sqref="AF46:AF50">
    <cfRule type="expression" dxfId="4601" priority="2">
      <formula>AF$9&gt;=20/24</formula>
    </cfRule>
    <cfRule type="expression" dxfId="4600" priority="3">
      <formula>AND(AF$9&gt;=14/24,AF$9&lt;20/24)</formula>
    </cfRule>
    <cfRule type="expression" dxfId="4599" priority="4">
      <formula>AND(AF$9&gt;=8/24,AF$9&lt;14/24)</formula>
    </cfRule>
    <cfRule type="expression" dxfId="4598" priority="5">
      <formula>AF$9&lt;8/24</formula>
    </cfRule>
  </conditionalFormatting>
  <conditionalFormatting sqref="AF46:AF50">
    <cfRule type="expression" dxfId="4597" priority="1">
      <formula>AF46&gt;$AG46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" id="{DC587BB0-CED3-485A-A8A0-4AFBD8619DB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J39" sqref="J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2078/10/20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462.4</v>
      </c>
      <c r="C5" s="32">
        <f t="shared" si="0"/>
        <v>433.9</v>
      </c>
      <c r="D5" s="32">
        <f t="shared" si="0"/>
        <v>440.5</v>
      </c>
      <c r="E5" s="32">
        <f t="shared" si="0"/>
        <v>439.9</v>
      </c>
      <c r="F5" s="32">
        <f t="shared" si="0"/>
        <v>454</v>
      </c>
      <c r="G5" s="32">
        <f t="shared" si="0"/>
        <v>432.3</v>
      </c>
      <c r="H5" s="32">
        <f t="shared" si="0"/>
        <v>502.3</v>
      </c>
      <c r="I5" s="32">
        <f t="shared" si="0"/>
        <v>534.6</v>
      </c>
      <c r="J5" s="32">
        <f t="shared" si="0"/>
        <v>279.3</v>
      </c>
      <c r="K5" s="32">
        <f t="shared" si="0"/>
        <v>332.8</v>
      </c>
      <c r="L5" s="32">
        <f t="shared" si="0"/>
        <v>334.5</v>
      </c>
      <c r="M5" s="32">
        <f t="shared" si="0"/>
        <v>312</v>
      </c>
      <c r="N5" s="32">
        <f t="shared" si="0"/>
        <v>303.5</v>
      </c>
      <c r="O5" s="32">
        <f t="shared" si="0"/>
        <v>360.5</v>
      </c>
      <c r="P5" s="32">
        <f t="shared" si="0"/>
        <v>274</v>
      </c>
      <c r="Q5" s="32">
        <f t="shared" si="0"/>
        <v>521</v>
      </c>
      <c r="R5" s="32">
        <f t="shared" si="0"/>
        <v>498</v>
      </c>
      <c r="S5" s="32">
        <f t="shared" si="0"/>
        <v>590.20000000000005</v>
      </c>
      <c r="T5" s="32">
        <f t="shared" si="0"/>
        <v>625.5</v>
      </c>
      <c r="U5" s="32">
        <f t="shared" si="0"/>
        <v>505.8</v>
      </c>
      <c r="V5" s="32">
        <f t="shared" si="0"/>
        <v>382.5</v>
      </c>
      <c r="W5" s="32">
        <f t="shared" si="0"/>
        <v>452.1</v>
      </c>
      <c r="X5" s="32">
        <f t="shared" si="0"/>
        <v>444.1</v>
      </c>
      <c r="Y5" s="32">
        <f t="shared" si="0"/>
        <v>399.2</v>
      </c>
      <c r="Z5" s="32">
        <f t="shared" si="0"/>
        <v>408.59999999999997</v>
      </c>
      <c r="AA5" s="32">
        <f t="shared" si="0"/>
        <v>375.79999999999995</v>
      </c>
      <c r="AB5" s="32">
        <f t="shared" si="0"/>
        <v>0</v>
      </c>
      <c r="AC5" s="32">
        <f t="shared" si="0"/>
        <v>0</v>
      </c>
      <c r="AD5" s="32">
        <f t="shared" si="0"/>
        <v>433.5</v>
      </c>
      <c r="AE5" s="32">
        <f t="shared" si="0"/>
        <v>385</v>
      </c>
      <c r="AF5" s="32">
        <f>B68</f>
        <v>504.20000000000005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1585MW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1022.04</v>
      </c>
      <c r="C7" s="37">
        <f t="shared" ref="C7:AF7" si="1">C75</f>
        <v>997.04</v>
      </c>
      <c r="D7" s="37">
        <f t="shared" si="1"/>
        <v>969.04</v>
      </c>
      <c r="E7" s="37">
        <f t="shared" si="1"/>
        <v>956.24</v>
      </c>
      <c r="F7" s="37">
        <f t="shared" si="1"/>
        <v>970.63999999999987</v>
      </c>
      <c r="G7" s="37">
        <f t="shared" si="1"/>
        <v>995.74</v>
      </c>
      <c r="H7" s="37">
        <f t="shared" si="1"/>
        <v>1041.6399999999999</v>
      </c>
      <c r="I7" s="37">
        <f t="shared" si="1"/>
        <v>1139.6399999999999</v>
      </c>
      <c r="J7" s="37">
        <f t="shared" si="1"/>
        <v>1227.8399999999999</v>
      </c>
      <c r="K7" s="37">
        <f t="shared" si="1"/>
        <v>1391.24</v>
      </c>
      <c r="L7" s="37">
        <f t="shared" si="1"/>
        <v>1546.6400000000003</v>
      </c>
      <c r="M7" s="37">
        <f t="shared" si="1"/>
        <v>1585.2400000000002</v>
      </c>
      <c r="N7" s="37">
        <f t="shared" si="1"/>
        <v>1532.24</v>
      </c>
      <c r="O7" s="37">
        <f t="shared" si="1"/>
        <v>1504.54</v>
      </c>
      <c r="P7" s="37">
        <f t="shared" si="1"/>
        <v>1420.74</v>
      </c>
      <c r="Q7" s="37">
        <f t="shared" si="1"/>
        <v>1399.94</v>
      </c>
      <c r="R7" s="37">
        <f t="shared" si="1"/>
        <v>1333.04</v>
      </c>
      <c r="S7" s="37">
        <f t="shared" si="1"/>
        <v>1284.6399999999999</v>
      </c>
      <c r="T7" s="37">
        <f t="shared" si="1"/>
        <v>1335.02</v>
      </c>
      <c r="U7" s="37">
        <f t="shared" si="1"/>
        <v>1381.34</v>
      </c>
      <c r="V7" s="37">
        <f t="shared" si="1"/>
        <v>1372.64</v>
      </c>
      <c r="W7" s="37">
        <f t="shared" si="1"/>
        <v>1420.14</v>
      </c>
      <c r="X7" s="37">
        <f t="shared" si="1"/>
        <v>1559.6399999999999</v>
      </c>
      <c r="Y7" s="37">
        <f t="shared" si="1"/>
        <v>1610.74</v>
      </c>
      <c r="Z7" s="37">
        <f t="shared" si="1"/>
        <v>1540.54</v>
      </c>
      <c r="AA7" s="37">
        <f t="shared" si="1"/>
        <v>1510.24</v>
      </c>
      <c r="AB7" s="37">
        <f t="shared" si="1"/>
        <v>1459.04</v>
      </c>
      <c r="AC7" s="37">
        <f t="shared" si="1"/>
        <v>3.54</v>
      </c>
      <c r="AD7" s="37">
        <f t="shared" si="1"/>
        <v>3.54</v>
      </c>
      <c r="AE7" s="37">
        <f t="shared" si="1"/>
        <v>960.24</v>
      </c>
      <c r="AF7" s="37">
        <f t="shared" si="1"/>
        <v>914.83999999999992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13</v>
      </c>
      <c r="C11" s="49">
        <v>13</v>
      </c>
      <c r="D11" s="49">
        <v>13</v>
      </c>
      <c r="E11" s="49">
        <v>13</v>
      </c>
      <c r="F11" s="49">
        <v>13</v>
      </c>
      <c r="G11" s="49">
        <v>13</v>
      </c>
      <c r="H11" s="49">
        <v>20</v>
      </c>
      <c r="I11" s="49">
        <v>30</v>
      </c>
      <c r="J11" s="49">
        <v>50</v>
      </c>
      <c r="K11" s="49">
        <v>280</v>
      </c>
      <c r="L11" s="49">
        <v>360</v>
      </c>
      <c r="M11" s="50">
        <v>360</v>
      </c>
      <c r="N11" s="50">
        <v>320</v>
      </c>
      <c r="O11" s="50">
        <v>320</v>
      </c>
      <c r="P11" s="50">
        <v>165</v>
      </c>
      <c r="Q11" s="50">
        <v>90</v>
      </c>
      <c r="R11" s="177">
        <v>30</v>
      </c>
      <c r="S11" s="50">
        <v>15</v>
      </c>
      <c r="T11" s="50">
        <v>15</v>
      </c>
      <c r="U11" s="50">
        <v>15</v>
      </c>
      <c r="V11" s="50">
        <v>100</v>
      </c>
      <c r="W11" s="50">
        <v>150</v>
      </c>
      <c r="X11" s="50">
        <v>200</v>
      </c>
      <c r="Y11" s="50">
        <v>250</v>
      </c>
      <c r="Z11" s="51">
        <v>230</v>
      </c>
      <c r="AA11" s="50">
        <v>230</v>
      </c>
      <c r="AB11" s="50">
        <v>230</v>
      </c>
      <c r="AC11" s="50"/>
      <c r="AD11" s="50"/>
      <c r="AE11" s="50">
        <v>15</v>
      </c>
      <c r="AF11" s="49">
        <v>15</v>
      </c>
      <c r="AG11" s="52">
        <v>456</v>
      </c>
      <c r="AH11" s="53">
        <f>MAX(B11:AF11)</f>
        <v>360</v>
      </c>
      <c r="AI11" s="54">
        <f>MIN(B11:AF11)</f>
        <v>13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0">
        <v>35</v>
      </c>
      <c r="C12" s="49">
        <v>35</v>
      </c>
      <c r="D12" s="49">
        <v>35</v>
      </c>
      <c r="E12" s="49">
        <v>35</v>
      </c>
      <c r="F12" s="49">
        <v>35</v>
      </c>
      <c r="G12" s="49">
        <v>35</v>
      </c>
      <c r="H12" s="49">
        <v>35</v>
      </c>
      <c r="I12" s="49">
        <v>35</v>
      </c>
      <c r="J12" s="49">
        <v>35</v>
      </c>
      <c r="K12" s="49">
        <v>35</v>
      </c>
      <c r="L12" s="49">
        <v>35</v>
      </c>
      <c r="M12" s="49">
        <v>35</v>
      </c>
      <c r="N12" s="49">
        <v>35</v>
      </c>
      <c r="O12" s="49">
        <v>35</v>
      </c>
      <c r="P12" s="49">
        <v>35</v>
      </c>
      <c r="Q12" s="49">
        <v>35</v>
      </c>
      <c r="R12" s="49">
        <v>35</v>
      </c>
      <c r="S12" s="49">
        <v>35</v>
      </c>
      <c r="T12" s="49">
        <v>35</v>
      </c>
      <c r="U12" s="49">
        <v>35</v>
      </c>
      <c r="V12" s="49">
        <v>35</v>
      </c>
      <c r="W12" s="49">
        <v>35</v>
      </c>
      <c r="X12" s="49">
        <v>35</v>
      </c>
      <c r="Y12" s="49">
        <v>35</v>
      </c>
      <c r="Z12" s="49">
        <v>35</v>
      </c>
      <c r="AA12" s="49">
        <v>35</v>
      </c>
      <c r="AB12" s="50">
        <v>35</v>
      </c>
      <c r="AC12" s="50"/>
      <c r="AD12" s="50"/>
      <c r="AE12" s="50">
        <v>35</v>
      </c>
      <c r="AF12" s="50">
        <v>35</v>
      </c>
      <c r="AG12" s="58">
        <v>60</v>
      </c>
      <c r="AH12" s="53">
        <f t="shared" ref="AH12:AH75" si="2">MAX(B12:AF12)</f>
        <v>35</v>
      </c>
      <c r="AI12" s="54">
        <f t="shared" ref="AI12:AI75" si="3">MIN(B12:AF12)</f>
        <v>35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0">
        <v>21.1</v>
      </c>
      <c r="C13" s="49">
        <v>20</v>
      </c>
      <c r="D13" s="49">
        <v>20</v>
      </c>
      <c r="E13" s="49">
        <v>20</v>
      </c>
      <c r="F13" s="49">
        <v>20</v>
      </c>
      <c r="G13" s="49">
        <v>20</v>
      </c>
      <c r="H13" s="49">
        <v>20</v>
      </c>
      <c r="I13" s="49">
        <v>20</v>
      </c>
      <c r="J13" s="49">
        <v>20</v>
      </c>
      <c r="K13" s="49">
        <v>20</v>
      </c>
      <c r="L13" s="49">
        <v>20</v>
      </c>
      <c r="M13" s="49">
        <v>20.5</v>
      </c>
      <c r="N13" s="49">
        <v>20.5</v>
      </c>
      <c r="O13" s="49">
        <v>20.5</v>
      </c>
      <c r="P13" s="49">
        <v>20.5</v>
      </c>
      <c r="Q13" s="49">
        <v>20.5</v>
      </c>
      <c r="R13" s="49">
        <v>20.5</v>
      </c>
      <c r="S13" s="49">
        <v>20.5</v>
      </c>
      <c r="T13" s="49">
        <v>20.5</v>
      </c>
      <c r="U13" s="49">
        <v>20.5</v>
      </c>
      <c r="V13" s="49">
        <v>20.5</v>
      </c>
      <c r="W13" s="49">
        <v>20.5</v>
      </c>
      <c r="X13" s="49">
        <v>20.5</v>
      </c>
      <c r="Y13" s="49">
        <v>20.5</v>
      </c>
      <c r="Z13" s="49">
        <v>20.5</v>
      </c>
      <c r="AA13" s="49">
        <v>20.5</v>
      </c>
      <c r="AB13" s="50">
        <v>20.5</v>
      </c>
      <c r="AC13" s="50"/>
      <c r="AD13" s="50"/>
      <c r="AE13" s="50">
        <v>19.2</v>
      </c>
      <c r="AF13" s="50">
        <v>19.3</v>
      </c>
      <c r="AG13" s="58">
        <v>52.4</v>
      </c>
      <c r="AH13" s="53">
        <f t="shared" si="2"/>
        <v>21.1</v>
      </c>
      <c r="AI13" s="54">
        <f t="shared" si="3"/>
        <v>19.2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0">
        <v>37.200000000000003</v>
      </c>
      <c r="C14" s="49">
        <v>36</v>
      </c>
      <c r="D14" s="49">
        <v>36.1</v>
      </c>
      <c r="E14" s="49">
        <v>36.1</v>
      </c>
      <c r="F14" s="49">
        <v>36.1</v>
      </c>
      <c r="G14" s="49">
        <v>36.1</v>
      </c>
      <c r="H14" s="49">
        <v>37</v>
      </c>
      <c r="I14" s="49">
        <v>37</v>
      </c>
      <c r="J14" s="49">
        <v>37</v>
      </c>
      <c r="K14" s="49">
        <v>37</v>
      </c>
      <c r="L14" s="49">
        <v>37</v>
      </c>
      <c r="M14" s="50">
        <v>37.200000000000003</v>
      </c>
      <c r="N14" s="50">
        <v>37.200000000000003</v>
      </c>
      <c r="O14" s="50">
        <v>37.200000000000003</v>
      </c>
      <c r="P14" s="50">
        <v>37.200000000000003</v>
      </c>
      <c r="Q14" s="50">
        <v>37.200000000000003</v>
      </c>
      <c r="R14" s="50">
        <v>37.200000000000003</v>
      </c>
      <c r="S14" s="50">
        <v>37.200000000000003</v>
      </c>
      <c r="T14" s="50">
        <v>37.200000000000003</v>
      </c>
      <c r="U14" s="50">
        <v>37.200000000000003</v>
      </c>
      <c r="V14" s="50">
        <v>37.200000000000003</v>
      </c>
      <c r="W14" s="50">
        <v>37.200000000000003</v>
      </c>
      <c r="X14" s="50">
        <v>37.200000000000003</v>
      </c>
      <c r="Y14" s="50">
        <v>37.200000000000003</v>
      </c>
      <c r="Z14" s="50">
        <v>37.200000000000003</v>
      </c>
      <c r="AA14" s="50">
        <v>37.200000000000003</v>
      </c>
      <c r="AB14" s="50">
        <v>37.4</v>
      </c>
      <c r="AC14" s="50"/>
      <c r="AD14" s="50"/>
      <c r="AE14" s="50">
        <v>39.5</v>
      </c>
      <c r="AF14" s="50">
        <v>49.1</v>
      </c>
      <c r="AG14" s="58">
        <v>50</v>
      </c>
      <c r="AH14" s="53">
        <f t="shared" si="2"/>
        <v>49.1</v>
      </c>
      <c r="AI14" s="54">
        <f t="shared" si="3"/>
        <v>36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0">
        <v>22.5</v>
      </c>
      <c r="C15" s="60">
        <v>21.9</v>
      </c>
      <c r="D15" s="60">
        <v>21.9</v>
      </c>
      <c r="E15" s="60">
        <v>21.9</v>
      </c>
      <c r="F15" s="60">
        <v>21.9</v>
      </c>
      <c r="G15" s="60">
        <v>21.9</v>
      </c>
      <c r="H15" s="60">
        <v>21.9</v>
      </c>
      <c r="I15" s="60">
        <v>21.9</v>
      </c>
      <c r="J15" s="60">
        <v>21.9</v>
      </c>
      <c r="K15" s="60">
        <v>21.9</v>
      </c>
      <c r="L15" s="60">
        <v>21.9</v>
      </c>
      <c r="M15" s="50">
        <v>21</v>
      </c>
      <c r="N15" s="50">
        <v>21</v>
      </c>
      <c r="O15" s="50">
        <v>21</v>
      </c>
      <c r="P15" s="50">
        <v>21</v>
      </c>
      <c r="Q15" s="50">
        <v>21</v>
      </c>
      <c r="R15" s="50">
        <v>21</v>
      </c>
      <c r="S15" s="50">
        <v>21</v>
      </c>
      <c r="T15" s="50">
        <v>21</v>
      </c>
      <c r="U15" s="50">
        <v>21</v>
      </c>
      <c r="V15" s="50">
        <v>21</v>
      </c>
      <c r="W15" s="50">
        <v>21</v>
      </c>
      <c r="X15" s="50">
        <v>21</v>
      </c>
      <c r="Y15" s="50">
        <v>21</v>
      </c>
      <c r="Z15" s="50">
        <v>21</v>
      </c>
      <c r="AA15" s="50">
        <v>21</v>
      </c>
      <c r="AB15" s="50">
        <v>21.7</v>
      </c>
      <c r="AC15" s="50"/>
      <c r="AD15" s="50"/>
      <c r="AE15" s="50">
        <v>22.3</v>
      </c>
      <c r="AF15" s="50">
        <v>22.3</v>
      </c>
      <c r="AG15" s="61">
        <v>45</v>
      </c>
      <c r="AH15" s="53">
        <f t="shared" si="2"/>
        <v>22.5</v>
      </c>
      <c r="AI15" s="54">
        <f t="shared" si="3"/>
        <v>21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62">
        <v>10</v>
      </c>
      <c r="N16" s="62">
        <v>10</v>
      </c>
      <c r="O16" s="62">
        <v>10</v>
      </c>
      <c r="P16" s="62">
        <v>10</v>
      </c>
      <c r="Q16" s="62">
        <v>10</v>
      </c>
      <c r="R16" s="62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50">
        <v>10</v>
      </c>
      <c r="AC16" s="50"/>
      <c r="AD16" s="50"/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59">
        <v>9</v>
      </c>
      <c r="D17" s="59">
        <v>9</v>
      </c>
      <c r="E17" s="59">
        <v>9</v>
      </c>
      <c r="F17" s="59">
        <v>9</v>
      </c>
      <c r="G17" s="59">
        <v>9</v>
      </c>
      <c r="H17" s="59">
        <v>9</v>
      </c>
      <c r="I17" s="59">
        <v>9</v>
      </c>
      <c r="J17" s="59">
        <v>9</v>
      </c>
      <c r="K17" s="59">
        <v>9</v>
      </c>
      <c r="L17" s="59">
        <v>9</v>
      </c>
      <c r="M17" s="59">
        <v>9</v>
      </c>
      <c r="N17" s="59">
        <v>9</v>
      </c>
      <c r="O17" s="59">
        <v>9</v>
      </c>
      <c r="P17" s="59">
        <v>9</v>
      </c>
      <c r="Q17" s="59">
        <v>9</v>
      </c>
      <c r="R17" s="5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0">
        <v>9</v>
      </c>
      <c r="AC17" s="50"/>
      <c r="AD17" s="50"/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/>
      <c r="AD18" s="50"/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9.1</v>
      </c>
      <c r="C19" s="50">
        <v>9.1</v>
      </c>
      <c r="D19" s="50">
        <v>9.1</v>
      </c>
      <c r="E19" s="50">
        <v>9.1</v>
      </c>
      <c r="F19" s="50">
        <v>9.1</v>
      </c>
      <c r="G19" s="50">
        <v>9.1</v>
      </c>
      <c r="H19" s="50">
        <v>9.1</v>
      </c>
      <c r="I19" s="50">
        <v>9.1</v>
      </c>
      <c r="J19" s="50">
        <v>9.1</v>
      </c>
      <c r="K19" s="50">
        <v>9.1</v>
      </c>
      <c r="L19" s="50">
        <v>9.1</v>
      </c>
      <c r="M19" s="50">
        <v>9.1</v>
      </c>
      <c r="N19" s="50">
        <v>9.1</v>
      </c>
      <c r="O19" s="50">
        <v>9.1</v>
      </c>
      <c r="P19" s="50">
        <v>9.1</v>
      </c>
      <c r="Q19" s="50">
        <v>9.1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/>
      <c r="AD19" s="50"/>
      <c r="AE19" s="50">
        <v>9.1</v>
      </c>
      <c r="AF19" s="50">
        <v>9.1</v>
      </c>
      <c r="AG19" s="58">
        <v>30</v>
      </c>
      <c r="AH19" s="53">
        <f t="shared" si="2"/>
        <v>9.1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/>
      <c r="AD20" s="50"/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/>
      <c r="AD21" s="50"/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9.8000000000000007</v>
      </c>
      <c r="C22" s="50">
        <v>9.8000000000000007</v>
      </c>
      <c r="D22" s="49">
        <v>10.5</v>
      </c>
      <c r="E22" s="49">
        <v>10.5</v>
      </c>
      <c r="F22" s="49">
        <v>10.5</v>
      </c>
      <c r="G22" s="49">
        <v>10.5</v>
      </c>
      <c r="H22" s="49">
        <v>10.5</v>
      </c>
      <c r="I22" s="49">
        <v>10.5</v>
      </c>
      <c r="J22" s="49">
        <v>10.5</v>
      </c>
      <c r="K22" s="49">
        <v>10.5</v>
      </c>
      <c r="L22" s="49">
        <v>11.2</v>
      </c>
      <c r="M22" s="50">
        <v>11.2</v>
      </c>
      <c r="N22" s="50">
        <v>11.2</v>
      </c>
      <c r="O22" s="50">
        <v>11.2</v>
      </c>
      <c r="P22" s="50">
        <v>11.2</v>
      </c>
      <c r="Q22" s="50">
        <v>11.2</v>
      </c>
      <c r="R22" s="50">
        <v>11.2</v>
      </c>
      <c r="S22" s="50">
        <v>11.2</v>
      </c>
      <c r="T22" s="50">
        <v>11.2</v>
      </c>
      <c r="U22" s="50">
        <v>11.2</v>
      </c>
      <c r="V22" s="50">
        <v>11.2</v>
      </c>
      <c r="W22" s="50">
        <v>11.2</v>
      </c>
      <c r="X22" s="50">
        <v>11.2</v>
      </c>
      <c r="Y22" s="50">
        <v>18.100000000000001</v>
      </c>
      <c r="Z22" s="50">
        <v>18.100000000000001</v>
      </c>
      <c r="AA22" s="50">
        <v>18.100000000000001</v>
      </c>
      <c r="AB22" s="50">
        <v>11.9</v>
      </c>
      <c r="AC22" s="50"/>
      <c r="AD22" s="50"/>
      <c r="AE22" s="50">
        <v>19.5</v>
      </c>
      <c r="AF22" s="50">
        <v>9.1</v>
      </c>
      <c r="AG22" s="58">
        <v>25</v>
      </c>
      <c r="AH22" s="53">
        <f t="shared" si="2"/>
        <v>19.5</v>
      </c>
      <c r="AI22" s="54">
        <f t="shared" si="3"/>
        <v>9.1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/>
      <c r="AD23" s="50"/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7</v>
      </c>
      <c r="C24" s="50">
        <v>7</v>
      </c>
      <c r="D24" s="50">
        <v>7</v>
      </c>
      <c r="E24" s="50">
        <v>7</v>
      </c>
      <c r="F24" s="50">
        <v>7</v>
      </c>
      <c r="G24" s="50">
        <v>7</v>
      </c>
      <c r="H24" s="50">
        <v>7</v>
      </c>
      <c r="I24" s="50">
        <v>7</v>
      </c>
      <c r="J24" s="50">
        <v>7</v>
      </c>
      <c r="K24" s="50">
        <v>7</v>
      </c>
      <c r="L24" s="50">
        <v>7</v>
      </c>
      <c r="M24" s="50">
        <v>7</v>
      </c>
      <c r="N24" s="50">
        <v>7</v>
      </c>
      <c r="O24" s="50">
        <v>7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/>
      <c r="AD24" s="50"/>
      <c r="AE24" s="50">
        <v>7</v>
      </c>
      <c r="AF24" s="50">
        <v>7</v>
      </c>
      <c r="AG24" s="58">
        <v>25</v>
      </c>
      <c r="AH24" s="53">
        <f t="shared" si="2"/>
        <v>7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/>
      <c r="AD25" s="50"/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6.5</v>
      </c>
      <c r="C26" s="50">
        <v>6.5</v>
      </c>
      <c r="D26" s="50">
        <v>6.5</v>
      </c>
      <c r="E26" s="50">
        <v>6.5</v>
      </c>
      <c r="F26" s="50">
        <v>6.5</v>
      </c>
      <c r="G26" s="50">
        <v>6.5</v>
      </c>
      <c r="H26" s="50">
        <v>6.5</v>
      </c>
      <c r="I26" s="50">
        <v>6.5</v>
      </c>
      <c r="J26" s="50">
        <v>6.5</v>
      </c>
      <c r="K26" s="50">
        <v>6.5</v>
      </c>
      <c r="L26" s="50">
        <v>6.5</v>
      </c>
      <c r="M26" s="50">
        <v>6.5</v>
      </c>
      <c r="N26" s="50">
        <v>6.5</v>
      </c>
      <c r="O26" s="50">
        <v>6.5</v>
      </c>
      <c r="P26" s="50">
        <v>6.5</v>
      </c>
      <c r="Q26" s="50">
        <v>6.5</v>
      </c>
      <c r="R26" s="50">
        <v>6.5</v>
      </c>
      <c r="S26" s="50">
        <v>6.5</v>
      </c>
      <c r="T26" s="50">
        <v>6.5</v>
      </c>
      <c r="U26" s="50">
        <v>6.5</v>
      </c>
      <c r="V26" s="50">
        <v>6.5</v>
      </c>
      <c r="W26" s="50">
        <v>6.5</v>
      </c>
      <c r="X26" s="50">
        <v>6.5</v>
      </c>
      <c r="Y26" s="50">
        <v>6.5</v>
      </c>
      <c r="Z26" s="50">
        <v>6.5</v>
      </c>
      <c r="AA26" s="50">
        <v>6.5</v>
      </c>
      <c r="AB26" s="50">
        <v>6.5</v>
      </c>
      <c r="AC26" s="50"/>
      <c r="AD26" s="50"/>
      <c r="AE26" s="50">
        <v>6.5</v>
      </c>
      <c r="AF26" s="50">
        <v>6.5</v>
      </c>
      <c r="AG26" s="58">
        <v>20</v>
      </c>
      <c r="AH26" s="53">
        <f t="shared" si="2"/>
        <v>6.5</v>
      </c>
      <c r="AI26" s="54">
        <f t="shared" si="3"/>
        <v>6.5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49"/>
      <c r="AD27" s="49"/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/>
      <c r="AD28" s="50"/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/>
      <c r="AD29" s="50"/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/>
      <c r="AD30" s="50"/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/>
      <c r="AD31" s="50"/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/>
      <c r="AD32" s="50"/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5</v>
      </c>
      <c r="C33" s="50">
        <v>5</v>
      </c>
      <c r="D33" s="50">
        <v>5</v>
      </c>
      <c r="E33" s="50">
        <v>5</v>
      </c>
      <c r="F33" s="50">
        <v>5</v>
      </c>
      <c r="G33" s="50">
        <v>5</v>
      </c>
      <c r="H33" s="50">
        <v>5</v>
      </c>
      <c r="I33" s="50">
        <v>5</v>
      </c>
      <c r="J33" s="50">
        <v>5</v>
      </c>
      <c r="K33" s="50">
        <v>5</v>
      </c>
      <c r="L33" s="5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5</v>
      </c>
      <c r="U33" s="50">
        <v>5</v>
      </c>
      <c r="V33" s="50">
        <v>5</v>
      </c>
      <c r="W33" s="50">
        <v>5</v>
      </c>
      <c r="X33" s="50">
        <v>5</v>
      </c>
      <c r="Y33" s="50">
        <v>5</v>
      </c>
      <c r="Z33" s="50">
        <v>5</v>
      </c>
      <c r="AA33" s="50">
        <v>5</v>
      </c>
      <c r="AB33" s="50">
        <v>5</v>
      </c>
      <c r="AC33" s="50"/>
      <c r="AD33" s="50"/>
      <c r="AE33" s="50">
        <v>5</v>
      </c>
      <c r="AF33" s="50">
        <v>5</v>
      </c>
      <c r="AG33" s="66">
        <v>11</v>
      </c>
      <c r="AH33" s="53">
        <f t="shared" si="2"/>
        <v>5</v>
      </c>
      <c r="AI33" s="54">
        <f t="shared" si="3"/>
        <v>5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/>
      <c r="AD34" s="50"/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/>
      <c r="AD35" s="50"/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/>
      <c r="AD36" s="60"/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30.4+15.4</f>
        <v>45.8</v>
      </c>
      <c r="C37" s="60">
        <f>30.5+15.6</f>
        <v>46.1</v>
      </c>
      <c r="D37" s="60">
        <f>31+15.8</f>
        <v>46.8</v>
      </c>
      <c r="E37" s="60">
        <f>31.4+15.9</f>
        <v>47.3</v>
      </c>
      <c r="F37" s="60">
        <v>46.9</v>
      </c>
      <c r="G37" s="60">
        <v>47</v>
      </c>
      <c r="H37" s="60">
        <v>47</v>
      </c>
      <c r="I37" s="60">
        <v>47</v>
      </c>
      <c r="J37" s="60">
        <v>47</v>
      </c>
      <c r="K37" s="60">
        <v>48</v>
      </c>
      <c r="L37" s="60">
        <f>28+14.8</f>
        <v>42.8</v>
      </c>
      <c r="M37" s="69">
        <f>27.6+14.7</f>
        <v>42.3</v>
      </c>
      <c r="N37" s="69">
        <v>44.7</v>
      </c>
      <c r="O37" s="69">
        <v>44.7</v>
      </c>
      <c r="P37" s="69">
        <v>46.5</v>
      </c>
      <c r="Q37" s="69">
        <v>46</v>
      </c>
      <c r="R37" s="69">
        <v>47.5</v>
      </c>
      <c r="S37" s="69">
        <f>17.3+31.5</f>
        <v>48.8</v>
      </c>
      <c r="T37" s="69">
        <v>42.1</v>
      </c>
      <c r="U37" s="69">
        <v>39.6</v>
      </c>
      <c r="V37" s="69">
        <v>43.5</v>
      </c>
      <c r="W37" s="69">
        <v>44.8</v>
      </c>
      <c r="X37" s="69">
        <v>42.1</v>
      </c>
      <c r="Y37" s="69">
        <v>48.8</v>
      </c>
      <c r="Z37" s="69">
        <v>40.799999999999997</v>
      </c>
      <c r="AA37" s="69">
        <f>15+28.4</f>
        <v>43.4</v>
      </c>
      <c r="AB37" s="69">
        <f>14.9+28.4</f>
        <v>43.3</v>
      </c>
      <c r="AC37" s="69"/>
      <c r="AD37" s="69"/>
      <c r="AE37" s="69">
        <f>15.2+27.7</f>
        <v>42.9</v>
      </c>
      <c r="AF37" s="60">
        <f>15.9+29.9</f>
        <v>45.8</v>
      </c>
      <c r="AG37" s="66">
        <v>240</v>
      </c>
      <c r="AH37" s="53">
        <f t="shared" si="2"/>
        <v>48.8</v>
      </c>
      <c r="AI37" s="54">
        <f t="shared" si="3"/>
        <v>39.6</v>
      </c>
      <c r="AK37" s="55"/>
    </row>
    <row r="38" spans="1:88" ht="15.75" thickBot="1" x14ac:dyDescent="0.3">
      <c r="A38" s="70" t="s">
        <v>46</v>
      </c>
      <c r="B38" s="71">
        <f>SUM(B11:B36)</f>
        <v>414.7</v>
      </c>
      <c r="C38" s="71">
        <f t="shared" ref="C38:AF38" si="4">SUM(C11:C36)</f>
        <v>411.79999999999995</v>
      </c>
      <c r="D38" s="71">
        <f t="shared" si="4"/>
        <v>412.59999999999997</v>
      </c>
      <c r="E38" s="71">
        <f t="shared" si="4"/>
        <v>412.59999999999997</v>
      </c>
      <c r="F38" s="71">
        <f t="shared" si="4"/>
        <v>412.59999999999997</v>
      </c>
      <c r="G38" s="71">
        <f t="shared" si="4"/>
        <v>412.59999999999997</v>
      </c>
      <c r="H38" s="71">
        <f t="shared" si="4"/>
        <v>420.49999999999994</v>
      </c>
      <c r="I38" s="71">
        <f t="shared" si="4"/>
        <v>430.49999999999994</v>
      </c>
      <c r="J38" s="71">
        <f t="shared" si="4"/>
        <v>450.49999999999994</v>
      </c>
      <c r="K38" s="71">
        <f t="shared" si="4"/>
        <v>680.5</v>
      </c>
      <c r="L38" s="71">
        <f t="shared" si="4"/>
        <v>761.20000000000016</v>
      </c>
      <c r="M38" s="71">
        <f t="shared" si="4"/>
        <v>761.00000000000011</v>
      </c>
      <c r="N38" s="71">
        <f t="shared" si="4"/>
        <v>721</v>
      </c>
      <c r="O38" s="71">
        <f t="shared" si="4"/>
        <v>721</v>
      </c>
      <c r="P38" s="71">
        <f t="shared" si="4"/>
        <v>566</v>
      </c>
      <c r="Q38" s="71">
        <f t="shared" si="4"/>
        <v>490.99999999999994</v>
      </c>
      <c r="R38" s="71">
        <f t="shared" si="4"/>
        <v>430.99999999999994</v>
      </c>
      <c r="S38" s="71">
        <f t="shared" si="4"/>
        <v>415.99999999999994</v>
      </c>
      <c r="T38" s="71">
        <f t="shared" si="4"/>
        <v>415.99999999999994</v>
      </c>
      <c r="U38" s="71">
        <f t="shared" si="4"/>
        <v>415.99999999999994</v>
      </c>
      <c r="V38" s="71">
        <f t="shared" si="4"/>
        <v>500.99999999999994</v>
      </c>
      <c r="W38" s="71">
        <f t="shared" si="4"/>
        <v>551</v>
      </c>
      <c r="X38" s="71">
        <f t="shared" si="4"/>
        <v>601</v>
      </c>
      <c r="Y38" s="71">
        <f t="shared" si="4"/>
        <v>657.90000000000009</v>
      </c>
      <c r="Z38" s="71">
        <f t="shared" si="4"/>
        <v>637.90000000000009</v>
      </c>
      <c r="AA38" s="71">
        <f t="shared" si="4"/>
        <v>637.90000000000009</v>
      </c>
      <c r="AB38" s="71">
        <f t="shared" si="4"/>
        <v>632.59999999999991</v>
      </c>
      <c r="AC38" s="71">
        <f t="shared" si="4"/>
        <v>0</v>
      </c>
      <c r="AD38" s="71">
        <f t="shared" si="4"/>
        <v>0</v>
      </c>
      <c r="AE38" s="71">
        <f t="shared" si="4"/>
        <v>426.59999999999997</v>
      </c>
      <c r="AF38" s="71">
        <f t="shared" si="4"/>
        <v>425.9</v>
      </c>
      <c r="AG38" s="66">
        <f>SUM(AG11:AG37)</f>
        <v>1492.8299999999997</v>
      </c>
      <c r="AH38" s="53">
        <f t="shared" si="2"/>
        <v>761.20000000000016</v>
      </c>
      <c r="AI38" s="54">
        <f t="shared" si="3"/>
        <v>0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</v>
      </c>
      <c r="I39" s="60">
        <v>48</v>
      </c>
      <c r="J39" s="60">
        <v>60</v>
      </c>
      <c r="K39" s="60">
        <v>145</v>
      </c>
      <c r="L39" s="60">
        <v>134.80000000000001</v>
      </c>
      <c r="M39" s="50">
        <v>145.6</v>
      </c>
      <c r="N39" s="50">
        <v>145.6</v>
      </c>
      <c r="O39" s="50">
        <v>145.6</v>
      </c>
      <c r="P39" s="50">
        <v>145.6</v>
      </c>
      <c r="Q39" s="50">
        <v>145</v>
      </c>
      <c r="R39" s="50">
        <v>97</v>
      </c>
      <c r="S39" s="50">
        <v>86.1</v>
      </c>
      <c r="T39" s="50">
        <v>70.2</v>
      </c>
      <c r="U39" s="50">
        <v>71.5</v>
      </c>
      <c r="V39" s="50">
        <v>81.599999999999994</v>
      </c>
      <c r="W39" s="50">
        <v>137.4</v>
      </c>
      <c r="X39" s="50">
        <v>142.30000000000001</v>
      </c>
      <c r="Y39" s="50">
        <v>144.5</v>
      </c>
      <c r="Z39" s="50">
        <v>143.6</v>
      </c>
      <c r="AA39" s="50">
        <v>110.6</v>
      </c>
      <c r="AB39" s="50">
        <v>96.6</v>
      </c>
      <c r="AC39" s="50"/>
      <c r="AD39" s="50"/>
      <c r="AE39" s="50">
        <v>0</v>
      </c>
      <c r="AF39" s="49">
        <v>0</v>
      </c>
      <c r="AG39" s="61">
        <v>144</v>
      </c>
      <c r="AH39" s="53">
        <f t="shared" si="2"/>
        <v>145.6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19.7</v>
      </c>
      <c r="D40" s="60">
        <v>19.399999999999999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20</v>
      </c>
      <c r="K40" s="60">
        <v>35</v>
      </c>
      <c r="L40" s="60">
        <v>22.6</v>
      </c>
      <c r="M40" s="72">
        <v>49.3</v>
      </c>
      <c r="N40" s="72">
        <v>70</v>
      </c>
      <c r="O40" s="72">
        <v>70</v>
      </c>
      <c r="P40" s="72">
        <v>70</v>
      </c>
      <c r="Q40" s="72">
        <v>71.7</v>
      </c>
      <c r="R40" s="72">
        <v>35</v>
      </c>
      <c r="S40" s="72">
        <v>35.1</v>
      </c>
      <c r="T40" s="72">
        <v>34.979999999999997</v>
      </c>
      <c r="U40" s="72">
        <v>30.7</v>
      </c>
      <c r="V40" s="72">
        <v>47.3</v>
      </c>
      <c r="W40" s="72">
        <v>70</v>
      </c>
      <c r="X40" s="72">
        <v>70</v>
      </c>
      <c r="Y40" s="72">
        <v>70</v>
      </c>
      <c r="Z40" s="72">
        <v>69.8</v>
      </c>
      <c r="AA40" s="72">
        <v>69.8</v>
      </c>
      <c r="AB40" s="72">
        <v>69.3</v>
      </c>
      <c r="AC40" s="72"/>
      <c r="AD40" s="72"/>
      <c r="AE40" s="72">
        <v>0</v>
      </c>
      <c r="AF40" s="60">
        <v>0</v>
      </c>
      <c r="AG40" s="66">
        <v>70</v>
      </c>
      <c r="AH40" s="53">
        <f t="shared" si="2"/>
        <v>71.7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0</v>
      </c>
      <c r="C41" s="60">
        <v>0</v>
      </c>
      <c r="D41" s="60">
        <v>0</v>
      </c>
      <c r="E41" s="60">
        <v>0</v>
      </c>
      <c r="F41" s="60">
        <v>0</v>
      </c>
      <c r="G41" s="60">
        <v>16</v>
      </c>
      <c r="H41" s="60">
        <v>46</v>
      </c>
      <c r="I41" s="60">
        <v>46</v>
      </c>
      <c r="J41" s="60">
        <v>32</v>
      </c>
      <c r="K41" s="60">
        <v>69</v>
      </c>
      <c r="L41" s="60">
        <v>67.5</v>
      </c>
      <c r="M41" s="72">
        <v>67.3</v>
      </c>
      <c r="N41" s="72">
        <v>66.2</v>
      </c>
      <c r="O41" s="72">
        <v>66.2</v>
      </c>
      <c r="P41" s="72">
        <v>66.2</v>
      </c>
      <c r="Q41" s="72">
        <v>65</v>
      </c>
      <c r="R41" s="72">
        <v>45.9</v>
      </c>
      <c r="S41" s="72">
        <v>45.7</v>
      </c>
      <c r="T41" s="72">
        <v>22.6</v>
      </c>
      <c r="U41" s="72">
        <v>34.700000000000003</v>
      </c>
      <c r="V41" s="72">
        <v>33.700000000000003</v>
      </c>
      <c r="W41" s="72">
        <v>68.400000000000006</v>
      </c>
      <c r="X41" s="72">
        <v>68</v>
      </c>
      <c r="Y41" s="72">
        <v>68</v>
      </c>
      <c r="Z41" s="72">
        <v>67.599999999999994</v>
      </c>
      <c r="AA41" s="72">
        <v>67.2</v>
      </c>
      <c r="AB41" s="72">
        <v>67.3</v>
      </c>
      <c r="AC41" s="72"/>
      <c r="AD41" s="72"/>
      <c r="AE41" s="72">
        <v>18.100000000000001</v>
      </c>
      <c r="AF41" s="60">
        <v>0</v>
      </c>
      <c r="AG41" s="66">
        <v>69</v>
      </c>
      <c r="AH41" s="53">
        <f t="shared" si="2"/>
        <v>69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50.6</v>
      </c>
      <c r="C42" s="60">
        <v>50.6</v>
      </c>
      <c r="D42" s="60">
        <v>50.6</v>
      </c>
      <c r="E42" s="60">
        <v>50.6</v>
      </c>
      <c r="F42" s="60">
        <v>50.6</v>
      </c>
      <c r="G42" s="60">
        <v>50.6</v>
      </c>
      <c r="H42" s="60">
        <v>50.3</v>
      </c>
      <c r="I42" s="60">
        <v>50.3</v>
      </c>
      <c r="J42" s="60">
        <v>50.3</v>
      </c>
      <c r="K42" s="60">
        <v>50.3</v>
      </c>
      <c r="L42" s="60">
        <v>50.3</v>
      </c>
      <c r="M42" s="72">
        <v>51.4</v>
      </c>
      <c r="N42" s="72">
        <v>51.4</v>
      </c>
      <c r="O42" s="72">
        <v>51.4</v>
      </c>
      <c r="P42" s="72">
        <v>51.4</v>
      </c>
      <c r="Q42" s="72">
        <v>51.4</v>
      </c>
      <c r="R42" s="72">
        <v>51.4</v>
      </c>
      <c r="S42" s="72">
        <v>51.4</v>
      </c>
      <c r="T42" s="72">
        <v>50.1</v>
      </c>
      <c r="U42" s="72">
        <v>50.1</v>
      </c>
      <c r="V42" s="72">
        <v>50.4</v>
      </c>
      <c r="W42" s="72">
        <v>48.3</v>
      </c>
      <c r="X42" s="72">
        <v>50.4</v>
      </c>
      <c r="Y42" s="72">
        <v>50.4</v>
      </c>
      <c r="Z42" s="72">
        <v>50.2</v>
      </c>
      <c r="AA42" s="72">
        <v>50.2</v>
      </c>
      <c r="AB42" s="72">
        <v>50.2</v>
      </c>
      <c r="AC42" s="72"/>
      <c r="AD42" s="72"/>
      <c r="AE42" s="72">
        <v>29.5</v>
      </c>
      <c r="AF42" s="60">
        <v>51.4</v>
      </c>
      <c r="AG42" s="66">
        <v>60</v>
      </c>
      <c r="AH42" s="53">
        <f t="shared" si="2"/>
        <v>51.4</v>
      </c>
      <c r="AI42" s="54">
        <f t="shared" si="3"/>
        <v>29.5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15</v>
      </c>
      <c r="G43" s="60">
        <v>10</v>
      </c>
      <c r="H43" s="60">
        <v>10</v>
      </c>
      <c r="I43" s="60">
        <v>10</v>
      </c>
      <c r="J43" s="60">
        <v>10</v>
      </c>
      <c r="K43" s="60">
        <v>10</v>
      </c>
      <c r="L43" s="60">
        <v>26.5</v>
      </c>
      <c r="M43" s="50">
        <v>22.3</v>
      </c>
      <c r="N43" s="50">
        <v>22.3</v>
      </c>
      <c r="O43" s="50">
        <v>22.3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9.6999999999999993</v>
      </c>
      <c r="X43" s="50">
        <v>23</v>
      </c>
      <c r="Y43" s="50">
        <v>23</v>
      </c>
      <c r="Z43" s="50">
        <v>23.3</v>
      </c>
      <c r="AA43" s="50">
        <v>15.2</v>
      </c>
      <c r="AB43" s="72">
        <v>15.2</v>
      </c>
      <c r="AC43" s="72"/>
      <c r="AD43" s="72"/>
      <c r="AE43" s="72">
        <v>0</v>
      </c>
      <c r="AF43" s="60">
        <v>0</v>
      </c>
      <c r="AG43" s="66">
        <v>30</v>
      </c>
      <c r="AH43" s="53">
        <f t="shared" si="2"/>
        <v>26.5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/>
      <c r="AD44" s="50"/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60">
        <v>16</v>
      </c>
      <c r="M45" s="179">
        <v>16</v>
      </c>
      <c r="N45" s="179">
        <v>16</v>
      </c>
      <c r="O45" s="179">
        <v>16</v>
      </c>
      <c r="P45" s="179">
        <v>16</v>
      </c>
      <c r="Q45" s="179">
        <v>16</v>
      </c>
      <c r="R45" s="179">
        <v>16</v>
      </c>
      <c r="S45" s="179">
        <v>16</v>
      </c>
      <c r="T45" s="179">
        <v>16</v>
      </c>
      <c r="U45" s="179">
        <v>16</v>
      </c>
      <c r="V45" s="179">
        <v>16</v>
      </c>
      <c r="W45" s="179">
        <v>16</v>
      </c>
      <c r="X45" s="179">
        <v>16</v>
      </c>
      <c r="Y45" s="50">
        <v>16</v>
      </c>
      <c r="Z45" s="50">
        <v>16</v>
      </c>
      <c r="AA45" s="50">
        <v>16</v>
      </c>
      <c r="AB45" s="50">
        <v>16</v>
      </c>
      <c r="AC45" s="50"/>
      <c r="AD45" s="50"/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5</v>
      </c>
      <c r="C46" s="50">
        <v>5</v>
      </c>
      <c r="D46" s="50">
        <v>5</v>
      </c>
      <c r="E46" s="50">
        <v>5</v>
      </c>
      <c r="F46" s="72">
        <v>5</v>
      </c>
      <c r="G46" s="72">
        <v>5</v>
      </c>
      <c r="H46" s="72">
        <v>5</v>
      </c>
      <c r="I46" s="72">
        <v>5</v>
      </c>
      <c r="J46" s="72">
        <v>5</v>
      </c>
      <c r="K46" s="72">
        <v>5</v>
      </c>
      <c r="L46" s="72">
        <v>5</v>
      </c>
      <c r="M46" s="72">
        <v>5</v>
      </c>
      <c r="N46" s="72">
        <v>5</v>
      </c>
      <c r="O46" s="72">
        <v>5</v>
      </c>
      <c r="P46" s="72">
        <v>5</v>
      </c>
      <c r="Q46" s="72">
        <v>5</v>
      </c>
      <c r="R46" s="72">
        <v>5</v>
      </c>
      <c r="S46" s="72">
        <v>5</v>
      </c>
      <c r="T46" s="72">
        <v>5</v>
      </c>
      <c r="U46" s="72">
        <v>5</v>
      </c>
      <c r="V46" s="72">
        <v>5</v>
      </c>
      <c r="W46" s="72">
        <v>5</v>
      </c>
      <c r="X46" s="72">
        <v>5</v>
      </c>
      <c r="Y46" s="50">
        <v>5</v>
      </c>
      <c r="Z46" s="50">
        <v>5</v>
      </c>
      <c r="AA46" s="50">
        <v>5</v>
      </c>
      <c r="AB46" s="50">
        <v>5</v>
      </c>
      <c r="AC46" s="50"/>
      <c r="AD46" s="50"/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72">
        <v>13</v>
      </c>
      <c r="M47" s="72">
        <v>13</v>
      </c>
      <c r="N47" s="72">
        <v>13</v>
      </c>
      <c r="O47" s="72">
        <v>13</v>
      </c>
      <c r="P47" s="72">
        <v>13</v>
      </c>
      <c r="Q47" s="72">
        <v>13</v>
      </c>
      <c r="R47" s="72">
        <v>13</v>
      </c>
      <c r="S47" s="72">
        <v>13</v>
      </c>
      <c r="T47" s="72">
        <v>13</v>
      </c>
      <c r="U47" s="72">
        <v>13</v>
      </c>
      <c r="V47" s="72">
        <v>13</v>
      </c>
      <c r="W47" s="72">
        <v>13</v>
      </c>
      <c r="X47" s="72">
        <v>13</v>
      </c>
      <c r="Y47" s="50">
        <v>13</v>
      </c>
      <c r="Z47" s="50">
        <v>13</v>
      </c>
      <c r="AA47" s="50">
        <v>13</v>
      </c>
      <c r="AB47" s="50">
        <v>13</v>
      </c>
      <c r="AC47" s="50"/>
      <c r="AD47" s="50"/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72">
        <v>5</v>
      </c>
      <c r="M48" s="72">
        <v>5</v>
      </c>
      <c r="N48" s="72">
        <v>5</v>
      </c>
      <c r="O48" s="72">
        <v>5</v>
      </c>
      <c r="P48" s="72">
        <v>5</v>
      </c>
      <c r="Q48" s="72">
        <v>5</v>
      </c>
      <c r="R48" s="72">
        <v>5</v>
      </c>
      <c r="S48" s="72">
        <v>5</v>
      </c>
      <c r="T48" s="72">
        <v>5</v>
      </c>
      <c r="U48" s="72">
        <v>5</v>
      </c>
      <c r="V48" s="72">
        <v>5</v>
      </c>
      <c r="W48" s="72">
        <v>5</v>
      </c>
      <c r="X48" s="72">
        <v>5</v>
      </c>
      <c r="Y48" s="50">
        <v>5</v>
      </c>
      <c r="Z48" s="50">
        <v>5</v>
      </c>
      <c r="AA48" s="50">
        <v>5</v>
      </c>
      <c r="AB48" s="50">
        <v>5</v>
      </c>
      <c r="AC48" s="50"/>
      <c r="AD48" s="50"/>
      <c r="AE48" s="50">
        <v>5</v>
      </c>
      <c r="AF48" s="50">
        <v>5</v>
      </c>
      <c r="AG48" s="66">
        <v>14</v>
      </c>
      <c r="AH48" s="53">
        <f t="shared" si="2"/>
        <v>5</v>
      </c>
      <c r="AI48" s="54">
        <f t="shared" si="3"/>
        <v>5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50">
        <v>6</v>
      </c>
      <c r="F49" s="50">
        <v>6</v>
      </c>
      <c r="G49" s="50">
        <v>6</v>
      </c>
      <c r="H49" s="50">
        <v>6</v>
      </c>
      <c r="I49" s="50">
        <v>6</v>
      </c>
      <c r="J49" s="50">
        <v>6</v>
      </c>
      <c r="K49" s="50">
        <v>6</v>
      </c>
      <c r="L49" s="72">
        <v>6</v>
      </c>
      <c r="M49" s="72">
        <v>6</v>
      </c>
      <c r="N49" s="72">
        <v>6</v>
      </c>
      <c r="O49" s="72">
        <v>6</v>
      </c>
      <c r="P49" s="72">
        <v>6</v>
      </c>
      <c r="Q49" s="72">
        <v>6</v>
      </c>
      <c r="R49" s="72">
        <v>6</v>
      </c>
      <c r="S49" s="72">
        <v>6</v>
      </c>
      <c r="T49" s="72">
        <v>6</v>
      </c>
      <c r="U49" s="72">
        <v>6</v>
      </c>
      <c r="V49" s="72">
        <v>6</v>
      </c>
      <c r="W49" s="72">
        <v>6</v>
      </c>
      <c r="X49" s="72">
        <v>6</v>
      </c>
      <c r="Y49" s="50">
        <v>6</v>
      </c>
      <c r="Z49" s="50">
        <v>6</v>
      </c>
      <c r="AA49" s="50">
        <v>6</v>
      </c>
      <c r="AB49" s="50">
        <v>6</v>
      </c>
      <c r="AC49" s="50"/>
      <c r="AD49" s="50"/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72">
        <v>4</v>
      </c>
      <c r="M50" s="72">
        <v>4</v>
      </c>
      <c r="N50" s="72">
        <v>4</v>
      </c>
      <c r="O50" s="72">
        <v>4</v>
      </c>
      <c r="P50" s="72">
        <v>4</v>
      </c>
      <c r="Q50" s="72">
        <v>4</v>
      </c>
      <c r="R50" s="72">
        <v>4</v>
      </c>
      <c r="S50" s="72">
        <v>4</v>
      </c>
      <c r="T50" s="72">
        <v>4</v>
      </c>
      <c r="U50" s="72">
        <v>4</v>
      </c>
      <c r="V50" s="72">
        <v>4</v>
      </c>
      <c r="W50" s="72">
        <v>4</v>
      </c>
      <c r="X50" s="72">
        <v>4</v>
      </c>
      <c r="Y50" s="50">
        <v>4</v>
      </c>
      <c r="Z50" s="50">
        <v>4</v>
      </c>
      <c r="AA50" s="50">
        <v>4</v>
      </c>
      <c r="AB50" s="50">
        <v>4</v>
      </c>
      <c r="AC50" s="50"/>
      <c r="AD50" s="50"/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103.14</v>
      </c>
      <c r="C52" s="71">
        <f t="shared" ref="C52:AF52" si="6">SUM(C39:C51)</f>
        <v>122.84</v>
      </c>
      <c r="D52" s="71">
        <f t="shared" si="6"/>
        <v>122.54</v>
      </c>
      <c r="E52" s="71">
        <f t="shared" si="6"/>
        <v>103.14</v>
      </c>
      <c r="F52" s="71">
        <f t="shared" si="6"/>
        <v>118.14</v>
      </c>
      <c r="G52" s="71">
        <f t="shared" si="6"/>
        <v>129.13999999999999</v>
      </c>
      <c r="H52" s="71">
        <f t="shared" si="6"/>
        <v>188.84</v>
      </c>
      <c r="I52" s="71">
        <f t="shared" si="6"/>
        <v>206.84</v>
      </c>
      <c r="J52" s="71">
        <f t="shared" si="6"/>
        <v>224.84</v>
      </c>
      <c r="K52" s="71">
        <f t="shared" si="6"/>
        <v>361.84000000000003</v>
      </c>
      <c r="L52" s="71">
        <f t="shared" si="6"/>
        <v>354.24</v>
      </c>
      <c r="M52" s="71">
        <f t="shared" si="6"/>
        <v>388.44</v>
      </c>
      <c r="N52" s="71">
        <f t="shared" si="6"/>
        <v>408.04</v>
      </c>
      <c r="O52" s="71">
        <f t="shared" si="6"/>
        <v>408.04</v>
      </c>
      <c r="P52" s="71">
        <f t="shared" si="6"/>
        <v>395.74</v>
      </c>
      <c r="Q52" s="71">
        <f t="shared" si="6"/>
        <v>395.64</v>
      </c>
      <c r="R52" s="71">
        <f t="shared" si="6"/>
        <v>281.84000000000003</v>
      </c>
      <c r="S52" s="71">
        <f t="shared" si="6"/>
        <v>270.83999999999997</v>
      </c>
      <c r="T52" s="71">
        <f t="shared" si="6"/>
        <v>230.42</v>
      </c>
      <c r="U52" s="71">
        <f t="shared" si="6"/>
        <v>239.54</v>
      </c>
      <c r="V52" s="71">
        <f t="shared" si="6"/>
        <v>265.54000000000002</v>
      </c>
      <c r="W52" s="71">
        <f t="shared" si="6"/>
        <v>386.34000000000003</v>
      </c>
      <c r="X52" s="71">
        <f t="shared" si="6"/>
        <v>406.24</v>
      </c>
      <c r="Y52" s="71">
        <f t="shared" si="6"/>
        <v>408.44</v>
      </c>
      <c r="Z52" s="71">
        <f t="shared" si="6"/>
        <v>407.04</v>
      </c>
      <c r="AA52" s="71">
        <f t="shared" si="6"/>
        <v>365.53999999999996</v>
      </c>
      <c r="AB52" s="71">
        <f t="shared" si="6"/>
        <v>351.14</v>
      </c>
      <c r="AC52" s="71">
        <f t="shared" si="6"/>
        <v>3.54</v>
      </c>
      <c r="AD52" s="71">
        <f t="shared" si="6"/>
        <v>3.54</v>
      </c>
      <c r="AE52" s="71">
        <f t="shared" si="6"/>
        <v>100.14</v>
      </c>
      <c r="AF52" s="71">
        <f t="shared" si="6"/>
        <v>103.94000000000001</v>
      </c>
      <c r="AG52" s="76">
        <f>SUM(AG39:AG51)</f>
        <v>489.91</v>
      </c>
      <c r="AH52" s="53">
        <f t="shared" si="2"/>
        <v>408.44</v>
      </c>
      <c r="AI52" s="54">
        <f t="shared" si="3"/>
        <v>3.54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10</v>
      </c>
      <c r="K53" s="60">
        <v>45</v>
      </c>
      <c r="L53" s="60">
        <v>59.9</v>
      </c>
      <c r="M53" s="77">
        <v>59.8</v>
      </c>
      <c r="N53" s="77">
        <v>54.2</v>
      </c>
      <c r="O53" s="77">
        <v>45</v>
      </c>
      <c r="P53" s="77">
        <v>60</v>
      </c>
      <c r="Q53" s="50">
        <v>60</v>
      </c>
      <c r="R53" s="50">
        <v>60</v>
      </c>
      <c r="S53" s="50">
        <v>60</v>
      </c>
      <c r="T53" s="50">
        <v>59.8</v>
      </c>
      <c r="U53" s="50">
        <v>60</v>
      </c>
      <c r="V53" s="50">
        <v>60</v>
      </c>
      <c r="W53" s="50">
        <v>60</v>
      </c>
      <c r="X53" s="50">
        <v>60</v>
      </c>
      <c r="Y53" s="50">
        <v>60</v>
      </c>
      <c r="Z53" s="50">
        <v>57.9</v>
      </c>
      <c r="AA53" s="50">
        <v>60.3</v>
      </c>
      <c r="AB53" s="50">
        <v>59.8</v>
      </c>
      <c r="AC53" s="50"/>
      <c r="AD53" s="50"/>
      <c r="AE53" s="50">
        <v>0</v>
      </c>
      <c r="AF53" s="50">
        <v>0</v>
      </c>
      <c r="AG53" s="61">
        <v>60</v>
      </c>
      <c r="AH53" s="53">
        <f t="shared" si="2"/>
        <v>60.3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5</v>
      </c>
      <c r="K54" s="60">
        <v>18</v>
      </c>
      <c r="L54" s="60">
        <v>28.2</v>
      </c>
      <c r="M54" s="77">
        <v>30.4</v>
      </c>
      <c r="N54" s="77">
        <v>26</v>
      </c>
      <c r="O54" s="77">
        <v>19</v>
      </c>
      <c r="P54" s="77">
        <v>28.2</v>
      </c>
      <c r="Q54" s="72">
        <v>28.8</v>
      </c>
      <c r="R54" s="72">
        <v>28.7</v>
      </c>
      <c r="S54" s="50">
        <v>29.2</v>
      </c>
      <c r="T54" s="50">
        <v>28.3</v>
      </c>
      <c r="U54" s="50">
        <v>29.5</v>
      </c>
      <c r="V54" s="72">
        <v>29.5</v>
      </c>
      <c r="W54" s="72">
        <v>29.5</v>
      </c>
      <c r="X54" s="72">
        <v>29.5</v>
      </c>
      <c r="Y54" s="72">
        <v>29.5</v>
      </c>
      <c r="Z54" s="72">
        <v>28.2</v>
      </c>
      <c r="AA54" s="72">
        <v>27.8</v>
      </c>
      <c r="AB54" s="72">
        <v>29.1</v>
      </c>
      <c r="AC54" s="72"/>
      <c r="AD54" s="72"/>
      <c r="AE54" s="72">
        <v>0</v>
      </c>
      <c r="AF54" s="72">
        <v>0</v>
      </c>
      <c r="AG54" s="66">
        <v>32</v>
      </c>
      <c r="AH54" s="53">
        <f t="shared" si="2"/>
        <v>30.4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60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2.9</v>
      </c>
      <c r="K55" s="79">
        <v>6.6</v>
      </c>
      <c r="L55" s="79">
        <v>10.3</v>
      </c>
      <c r="M55" s="80">
        <v>11.1</v>
      </c>
      <c r="N55" s="80">
        <v>11</v>
      </c>
      <c r="O55" s="80">
        <v>8</v>
      </c>
      <c r="P55" s="80">
        <v>10.3</v>
      </c>
      <c r="Q55" s="78">
        <v>10.5</v>
      </c>
      <c r="R55" s="78">
        <v>10.5</v>
      </c>
      <c r="S55" s="50">
        <v>10.6</v>
      </c>
      <c r="T55" s="50">
        <v>10.3</v>
      </c>
      <c r="U55" s="50">
        <v>10.8</v>
      </c>
      <c r="V55" s="78">
        <v>10.8</v>
      </c>
      <c r="W55" s="78">
        <v>10.8</v>
      </c>
      <c r="X55" s="78">
        <v>10.8</v>
      </c>
      <c r="Y55" s="78">
        <v>10.8</v>
      </c>
      <c r="Z55" s="78">
        <v>10.3</v>
      </c>
      <c r="AA55" s="78">
        <v>10.1</v>
      </c>
      <c r="AB55" s="78">
        <v>10.6</v>
      </c>
      <c r="AC55" s="78"/>
      <c r="AD55" s="78"/>
      <c r="AE55" s="78">
        <v>0</v>
      </c>
      <c r="AF55" s="78">
        <v>0</v>
      </c>
      <c r="AG55" s="81">
        <v>14</v>
      </c>
      <c r="AH55" s="53">
        <f t="shared" si="2"/>
        <v>11.1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17.899999999999999</v>
      </c>
      <c r="K56" s="71">
        <f t="shared" si="7"/>
        <v>69.599999999999994</v>
      </c>
      <c r="L56" s="71">
        <f t="shared" si="7"/>
        <v>98.399999999999991</v>
      </c>
      <c r="M56" s="71">
        <f t="shared" si="7"/>
        <v>101.29999999999998</v>
      </c>
      <c r="N56" s="71">
        <f t="shared" si="7"/>
        <v>91.2</v>
      </c>
      <c r="O56" s="71">
        <f t="shared" si="7"/>
        <v>72</v>
      </c>
      <c r="P56" s="71">
        <f t="shared" si="7"/>
        <v>98.5</v>
      </c>
      <c r="Q56" s="71">
        <f t="shared" si="7"/>
        <v>99.3</v>
      </c>
      <c r="R56" s="71">
        <f t="shared" si="7"/>
        <v>99.2</v>
      </c>
      <c r="S56" s="71">
        <f t="shared" si="7"/>
        <v>99.8</v>
      </c>
      <c r="T56" s="71">
        <f t="shared" si="7"/>
        <v>98.399999999999991</v>
      </c>
      <c r="U56" s="71">
        <f t="shared" si="7"/>
        <v>100.3</v>
      </c>
      <c r="V56" s="71">
        <f t="shared" si="7"/>
        <v>100.3</v>
      </c>
      <c r="W56" s="71">
        <f t="shared" si="7"/>
        <v>100.3</v>
      </c>
      <c r="X56" s="71">
        <f t="shared" si="7"/>
        <v>100.3</v>
      </c>
      <c r="Y56" s="71">
        <f t="shared" si="7"/>
        <v>100.3</v>
      </c>
      <c r="Z56" s="71">
        <f t="shared" si="7"/>
        <v>96.399999999999991</v>
      </c>
      <c r="AA56" s="71">
        <f t="shared" si="7"/>
        <v>98.199999999999989</v>
      </c>
      <c r="AB56" s="71">
        <f t="shared" si="7"/>
        <v>99.5</v>
      </c>
      <c r="AC56" s="71">
        <f t="shared" si="7"/>
        <v>0</v>
      </c>
      <c r="AD56" s="71">
        <f t="shared" si="7"/>
        <v>0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101.29999999999998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75.099999999999994</v>
      </c>
      <c r="C57" s="50">
        <v>72</v>
      </c>
      <c r="D57" s="50">
        <v>69.5</v>
      </c>
      <c r="E57" s="50">
        <v>76.400000000000006</v>
      </c>
      <c r="F57" s="50">
        <v>71</v>
      </c>
      <c r="G57" s="50">
        <v>69</v>
      </c>
      <c r="H57" s="50">
        <v>70</v>
      </c>
      <c r="I57" s="50">
        <v>70</v>
      </c>
      <c r="J57" s="50">
        <v>74</v>
      </c>
      <c r="K57" s="50">
        <v>71</v>
      </c>
      <c r="L57" s="50">
        <v>60.4</v>
      </c>
      <c r="M57" s="50">
        <v>73.8</v>
      </c>
      <c r="N57" s="50">
        <v>70</v>
      </c>
      <c r="O57" s="50">
        <v>72.5</v>
      </c>
      <c r="P57" s="50">
        <v>63</v>
      </c>
      <c r="Q57" s="50">
        <v>66</v>
      </c>
      <c r="R57" s="50">
        <v>72</v>
      </c>
      <c r="S57" s="50">
        <v>45</v>
      </c>
      <c r="T57" s="50">
        <v>70.5</v>
      </c>
      <c r="U57" s="50">
        <v>72.900000000000006</v>
      </c>
      <c r="V57" s="50">
        <v>65.099999999999994</v>
      </c>
      <c r="W57" s="50">
        <v>58.7</v>
      </c>
      <c r="X57" s="50">
        <v>59.1</v>
      </c>
      <c r="Y57" s="50">
        <v>64.099999999999994</v>
      </c>
      <c r="Z57" s="50">
        <v>70</v>
      </c>
      <c r="AA57" s="50">
        <v>69.2</v>
      </c>
      <c r="AB57" s="50">
        <v>50.2</v>
      </c>
      <c r="AC57" s="50"/>
      <c r="AD57" s="50"/>
      <c r="AE57" s="50">
        <v>58.6</v>
      </c>
      <c r="AF57" s="50">
        <v>60.7</v>
      </c>
      <c r="AG57" s="61"/>
      <c r="AH57" s="53">
        <f t="shared" si="2"/>
        <v>76.400000000000006</v>
      </c>
      <c r="AI57" s="54">
        <f t="shared" si="3"/>
        <v>45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80</v>
      </c>
      <c r="L58" s="72">
        <v>94.2</v>
      </c>
      <c r="M58" s="50">
        <v>101.2</v>
      </c>
      <c r="N58" s="50">
        <v>115</v>
      </c>
      <c r="O58" s="50">
        <v>103</v>
      </c>
      <c r="P58" s="50">
        <v>162</v>
      </c>
      <c r="Q58" s="50">
        <v>0</v>
      </c>
      <c r="R58" s="50">
        <v>0</v>
      </c>
      <c r="S58" s="50">
        <v>0</v>
      </c>
      <c r="T58" s="50">
        <v>45.7</v>
      </c>
      <c r="U58" s="50">
        <v>89.1</v>
      </c>
      <c r="V58" s="50">
        <v>81.2</v>
      </c>
      <c r="W58" s="50">
        <v>108</v>
      </c>
      <c r="X58" s="82">
        <v>168</v>
      </c>
      <c r="Y58" s="82">
        <v>179</v>
      </c>
      <c r="Z58" s="82">
        <v>155</v>
      </c>
      <c r="AA58" s="82">
        <f>64+112</f>
        <v>176</v>
      </c>
      <c r="AB58" s="72">
        <f>104+60</f>
        <v>164</v>
      </c>
      <c r="AC58" s="72"/>
      <c r="AD58" s="72"/>
      <c r="AE58" s="72">
        <v>0</v>
      </c>
      <c r="AF58" s="72">
        <v>0</v>
      </c>
      <c r="AG58" s="66"/>
      <c r="AH58" s="53">
        <f t="shared" si="2"/>
        <v>179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305</v>
      </c>
      <c r="C59" s="72">
        <v>318.8</v>
      </c>
      <c r="D59" s="72">
        <v>295</v>
      </c>
      <c r="E59" s="72">
        <v>296</v>
      </c>
      <c r="F59" s="72">
        <v>290</v>
      </c>
      <c r="G59" s="72">
        <v>330</v>
      </c>
      <c r="H59" s="50">
        <v>320</v>
      </c>
      <c r="I59" s="50">
        <v>320</v>
      </c>
      <c r="J59" s="50">
        <v>340</v>
      </c>
      <c r="K59" s="50">
        <v>2</v>
      </c>
      <c r="L59" s="50">
        <v>45</v>
      </c>
      <c r="M59" s="72">
        <v>26.7</v>
      </c>
      <c r="N59" s="72">
        <v>3</v>
      </c>
      <c r="O59" s="72">
        <v>10</v>
      </c>
      <c r="P59" s="72">
        <v>24</v>
      </c>
      <c r="Q59" s="72">
        <v>90</v>
      </c>
      <c r="R59" s="72">
        <v>335</v>
      </c>
      <c r="S59" s="72">
        <v>327</v>
      </c>
      <c r="T59" s="72">
        <v>345</v>
      </c>
      <c r="U59" s="72">
        <v>335.5</v>
      </c>
      <c r="V59" s="72">
        <v>225</v>
      </c>
      <c r="W59" s="72">
        <v>76.3</v>
      </c>
      <c r="X59" s="83">
        <v>85</v>
      </c>
      <c r="Y59" s="83">
        <v>68</v>
      </c>
      <c r="Z59" s="83">
        <v>65.2</v>
      </c>
      <c r="AA59" s="83">
        <v>50</v>
      </c>
      <c r="AB59" s="72">
        <v>35.200000000000003</v>
      </c>
      <c r="AC59" s="72"/>
      <c r="AD59" s="72"/>
      <c r="AE59" s="72">
        <v>332.9</v>
      </c>
      <c r="AF59" s="72">
        <v>324.3</v>
      </c>
      <c r="AG59" s="84"/>
      <c r="AH59" s="53">
        <f t="shared" si="2"/>
        <v>345</v>
      </c>
      <c r="AI59" s="54">
        <f t="shared" si="3"/>
        <v>2</v>
      </c>
      <c r="AK59" s="55"/>
    </row>
    <row r="60" spans="1:37" x14ac:dyDescent="0.25">
      <c r="A60" s="65" t="s">
        <v>68</v>
      </c>
      <c r="B60" s="57">
        <v>52.3</v>
      </c>
      <c r="C60" s="57">
        <v>0</v>
      </c>
      <c r="D60" s="57">
        <v>0</v>
      </c>
      <c r="E60" s="57">
        <v>0</v>
      </c>
      <c r="F60" s="57">
        <v>0</v>
      </c>
      <c r="G60" s="57">
        <v>55</v>
      </c>
      <c r="H60" s="57">
        <v>42.3</v>
      </c>
      <c r="I60" s="57">
        <v>42.3</v>
      </c>
      <c r="J60" s="57">
        <v>45.6</v>
      </c>
      <c r="K60" s="57">
        <v>50.5</v>
      </c>
      <c r="L60" s="57">
        <v>59.9</v>
      </c>
      <c r="M60" s="72">
        <v>56.1</v>
      </c>
      <c r="N60" s="72">
        <v>62</v>
      </c>
      <c r="O60" s="72">
        <v>58</v>
      </c>
      <c r="P60" s="72">
        <v>49.9</v>
      </c>
      <c r="Q60" s="72">
        <v>58</v>
      </c>
      <c r="R60" s="72">
        <v>55</v>
      </c>
      <c r="S60" s="72">
        <v>61</v>
      </c>
      <c r="T60" s="72">
        <v>59</v>
      </c>
      <c r="U60" s="72">
        <v>61</v>
      </c>
      <c r="V60" s="72">
        <v>57.5</v>
      </c>
      <c r="W60" s="72">
        <v>58</v>
      </c>
      <c r="X60" s="72">
        <v>56</v>
      </c>
      <c r="Y60" s="72">
        <v>54.8</v>
      </c>
      <c r="Z60" s="72">
        <v>58.2</v>
      </c>
      <c r="AA60" s="72">
        <v>58</v>
      </c>
      <c r="AB60" s="72">
        <v>57.2</v>
      </c>
      <c r="AC60" s="72"/>
      <c r="AD60" s="72"/>
      <c r="AE60" s="72">
        <v>42</v>
      </c>
      <c r="AF60" s="57">
        <v>0</v>
      </c>
      <c r="AG60" s="84"/>
      <c r="AH60" s="53">
        <f t="shared" si="2"/>
        <v>62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71.8</v>
      </c>
      <c r="C61" s="57">
        <v>71.599999999999994</v>
      </c>
      <c r="D61" s="57">
        <v>69.400000000000006</v>
      </c>
      <c r="E61" s="57">
        <v>68.099999999999994</v>
      </c>
      <c r="F61" s="57">
        <v>78.900000000000006</v>
      </c>
      <c r="G61" s="57">
        <v>0</v>
      </c>
      <c r="H61" s="57">
        <v>0</v>
      </c>
      <c r="I61" s="57">
        <v>70</v>
      </c>
      <c r="J61" s="57">
        <v>75</v>
      </c>
      <c r="K61" s="57">
        <v>75.8</v>
      </c>
      <c r="L61" s="57">
        <v>73.3</v>
      </c>
      <c r="M61" s="50">
        <v>76.7</v>
      </c>
      <c r="N61" s="50">
        <v>62</v>
      </c>
      <c r="O61" s="50">
        <v>60</v>
      </c>
      <c r="P61" s="50">
        <v>61.6</v>
      </c>
      <c r="Q61" s="50">
        <v>60</v>
      </c>
      <c r="R61" s="50">
        <v>59</v>
      </c>
      <c r="S61" s="50">
        <v>65</v>
      </c>
      <c r="T61" s="50">
        <v>70</v>
      </c>
      <c r="U61" s="50">
        <v>62</v>
      </c>
      <c r="V61" s="50">
        <v>72</v>
      </c>
      <c r="W61" s="50">
        <v>76.5</v>
      </c>
      <c r="X61" s="50">
        <v>79</v>
      </c>
      <c r="Y61" s="50">
        <v>73.2</v>
      </c>
      <c r="Z61" s="50">
        <v>50.8</v>
      </c>
      <c r="AA61" s="50">
        <v>55.4</v>
      </c>
      <c r="AB61" s="50">
        <v>69.2</v>
      </c>
      <c r="AC61" s="50"/>
      <c r="AD61" s="50"/>
      <c r="AE61" s="50">
        <v>0</v>
      </c>
      <c r="AF61" s="50">
        <v>0</v>
      </c>
      <c r="AG61" s="84"/>
      <c r="AH61" s="53">
        <f t="shared" si="2"/>
        <v>79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59">
        <v>5</v>
      </c>
      <c r="V62" s="59">
        <v>5</v>
      </c>
      <c r="W62" s="59">
        <v>5</v>
      </c>
      <c r="X62" s="59">
        <v>5</v>
      </c>
      <c r="Y62" s="59">
        <v>5</v>
      </c>
      <c r="Z62" s="59">
        <v>0</v>
      </c>
      <c r="AA62" s="59">
        <v>0</v>
      </c>
      <c r="AB62" s="59">
        <v>0</v>
      </c>
      <c r="AC62" s="59"/>
      <c r="AD62" s="59"/>
      <c r="AE62" s="59">
        <v>0</v>
      </c>
      <c r="AF62" s="59">
        <v>0</v>
      </c>
      <c r="AG62" s="84"/>
      <c r="AH62" s="53">
        <f t="shared" si="2"/>
        <v>5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72">
        <v>0</v>
      </c>
      <c r="D63" s="72">
        <v>0</v>
      </c>
      <c r="E63" s="72">
        <v>0</v>
      </c>
      <c r="F63" s="57">
        <v>0</v>
      </c>
      <c r="G63" s="57">
        <v>0</v>
      </c>
      <c r="H63" s="57">
        <v>0</v>
      </c>
      <c r="I63" s="57">
        <v>0</v>
      </c>
      <c r="J63" s="50">
        <v>0</v>
      </c>
      <c r="K63" s="50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/>
      <c r="AD63" s="59"/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72">
        <v>0</v>
      </c>
      <c r="D64" s="72">
        <v>0</v>
      </c>
      <c r="E64" s="72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/>
      <c r="AD64" s="57"/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72">
        <v>0</v>
      </c>
      <c r="D65" s="72">
        <v>0</v>
      </c>
      <c r="E65" s="72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/>
      <c r="AD65" s="57"/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7">
        <v>0</v>
      </c>
      <c r="C66" s="72">
        <v>0</v>
      </c>
      <c r="D66" s="72">
        <v>0</v>
      </c>
      <c r="E66" s="72">
        <v>0</v>
      </c>
      <c r="F66" s="57">
        <v>0</v>
      </c>
      <c r="G66" s="57">
        <v>0</v>
      </c>
      <c r="H66" s="57">
        <v>0</v>
      </c>
      <c r="I66" s="57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/>
      <c r="AD66" s="62"/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7">
        <v>0</v>
      </c>
      <c r="C67" s="72">
        <v>0</v>
      </c>
      <c r="D67" s="72">
        <v>0</v>
      </c>
      <c r="E67" s="72">
        <v>0</v>
      </c>
      <c r="F67" s="57">
        <v>0</v>
      </c>
      <c r="G67" s="57">
        <v>0</v>
      </c>
      <c r="H67" s="57">
        <v>0</v>
      </c>
      <c r="I67" s="57">
        <v>0</v>
      </c>
      <c r="J67" s="50">
        <v>0</v>
      </c>
      <c r="K67" s="50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/>
      <c r="AD67" s="62"/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504.20000000000005</v>
      </c>
      <c r="C68" s="71">
        <f>SUM(C57:C67)</f>
        <v>462.4</v>
      </c>
      <c r="D68" s="71">
        <f t="shared" ref="D68:AF68" si="8">SUM(D57:D67)</f>
        <v>433.9</v>
      </c>
      <c r="E68" s="71">
        <f t="shared" si="8"/>
        <v>440.5</v>
      </c>
      <c r="F68" s="71">
        <f t="shared" si="8"/>
        <v>439.9</v>
      </c>
      <c r="G68" s="71">
        <f t="shared" si="8"/>
        <v>454</v>
      </c>
      <c r="H68" s="71">
        <f t="shared" si="8"/>
        <v>432.3</v>
      </c>
      <c r="I68" s="71">
        <f t="shared" si="8"/>
        <v>502.3</v>
      </c>
      <c r="J68" s="71">
        <f t="shared" si="8"/>
        <v>534.6</v>
      </c>
      <c r="K68" s="71">
        <f t="shared" si="8"/>
        <v>279.3</v>
      </c>
      <c r="L68" s="71">
        <f t="shared" si="8"/>
        <v>332.8</v>
      </c>
      <c r="M68" s="71">
        <f t="shared" si="8"/>
        <v>334.5</v>
      </c>
      <c r="N68" s="71">
        <f t="shared" si="8"/>
        <v>312</v>
      </c>
      <c r="O68" s="71">
        <f t="shared" si="8"/>
        <v>303.5</v>
      </c>
      <c r="P68" s="71">
        <f t="shared" si="8"/>
        <v>360.5</v>
      </c>
      <c r="Q68" s="71">
        <f t="shared" si="8"/>
        <v>274</v>
      </c>
      <c r="R68" s="71">
        <f t="shared" si="8"/>
        <v>521</v>
      </c>
      <c r="S68" s="71">
        <f t="shared" si="8"/>
        <v>498</v>
      </c>
      <c r="T68" s="71">
        <f t="shared" si="8"/>
        <v>590.20000000000005</v>
      </c>
      <c r="U68" s="71">
        <f t="shared" si="8"/>
        <v>625.5</v>
      </c>
      <c r="V68" s="71">
        <f t="shared" si="8"/>
        <v>505.8</v>
      </c>
      <c r="W68" s="71">
        <f t="shared" si="8"/>
        <v>382.5</v>
      </c>
      <c r="X68" s="71">
        <f t="shared" si="8"/>
        <v>452.1</v>
      </c>
      <c r="Y68" s="71">
        <f t="shared" si="8"/>
        <v>444.1</v>
      </c>
      <c r="Z68" s="71">
        <f t="shared" si="8"/>
        <v>399.2</v>
      </c>
      <c r="AA68" s="71">
        <f t="shared" si="8"/>
        <v>408.59999999999997</v>
      </c>
      <c r="AB68" s="71">
        <f t="shared" si="8"/>
        <v>375.79999999999995</v>
      </c>
      <c r="AC68" s="71">
        <f t="shared" si="8"/>
        <v>0</v>
      </c>
      <c r="AD68" s="71">
        <f t="shared" si="8"/>
        <v>0</v>
      </c>
      <c r="AE68" s="71">
        <f t="shared" si="8"/>
        <v>433.5</v>
      </c>
      <c r="AF68" s="71">
        <f t="shared" si="8"/>
        <v>385</v>
      </c>
      <c r="AG68" s="76">
        <f>SUM(AG57:AG67)</f>
        <v>0</v>
      </c>
      <c r="AH68" s="53">
        <f t="shared" si="2"/>
        <v>625.5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1022.04</v>
      </c>
      <c r="C73" s="88">
        <f>C68+C56+C52+C38+C72</f>
        <v>997.04</v>
      </c>
      <c r="D73" s="88">
        <f t="shared" ref="D73:AG73" si="10">D68+D56+D52+D38+D72</f>
        <v>969.04</v>
      </c>
      <c r="E73" s="88">
        <f t="shared" si="10"/>
        <v>956.24</v>
      </c>
      <c r="F73" s="88">
        <f t="shared" si="10"/>
        <v>970.63999999999987</v>
      </c>
      <c r="G73" s="88">
        <f t="shared" si="10"/>
        <v>995.74</v>
      </c>
      <c r="H73" s="88">
        <f t="shared" si="10"/>
        <v>1041.6399999999999</v>
      </c>
      <c r="I73" s="88">
        <f t="shared" si="10"/>
        <v>1139.6399999999999</v>
      </c>
      <c r="J73" s="88">
        <f t="shared" si="10"/>
        <v>1227.8399999999999</v>
      </c>
      <c r="K73" s="88">
        <f t="shared" si="10"/>
        <v>1391.24</v>
      </c>
      <c r="L73" s="88">
        <f t="shared" si="10"/>
        <v>1546.6400000000003</v>
      </c>
      <c r="M73" s="88">
        <f t="shared" si="10"/>
        <v>1585.2400000000002</v>
      </c>
      <c r="N73" s="88">
        <f t="shared" si="10"/>
        <v>1532.24</v>
      </c>
      <c r="O73" s="88">
        <f t="shared" si="10"/>
        <v>1504.54</v>
      </c>
      <c r="P73" s="88">
        <f t="shared" si="10"/>
        <v>1420.74</v>
      </c>
      <c r="Q73" s="88">
        <f t="shared" si="10"/>
        <v>1259.94</v>
      </c>
      <c r="R73" s="88">
        <f t="shared" si="10"/>
        <v>1333.04</v>
      </c>
      <c r="S73" s="88">
        <f t="shared" si="10"/>
        <v>1284.6399999999999</v>
      </c>
      <c r="T73" s="88">
        <f t="shared" si="10"/>
        <v>1335.02</v>
      </c>
      <c r="U73" s="88">
        <f t="shared" si="10"/>
        <v>1381.34</v>
      </c>
      <c r="V73" s="88">
        <f t="shared" si="10"/>
        <v>1372.64</v>
      </c>
      <c r="W73" s="88">
        <f t="shared" si="10"/>
        <v>1420.14</v>
      </c>
      <c r="X73" s="88">
        <f t="shared" si="10"/>
        <v>1559.6399999999999</v>
      </c>
      <c r="Y73" s="88">
        <f t="shared" si="10"/>
        <v>1610.74</v>
      </c>
      <c r="Z73" s="88">
        <f t="shared" si="10"/>
        <v>1540.54</v>
      </c>
      <c r="AA73" s="88">
        <f t="shared" si="10"/>
        <v>1510.24</v>
      </c>
      <c r="AB73" s="88">
        <f t="shared" si="10"/>
        <v>1459.04</v>
      </c>
      <c r="AC73" s="88">
        <f t="shared" si="10"/>
        <v>3.54</v>
      </c>
      <c r="AD73" s="88">
        <f t="shared" si="10"/>
        <v>3.54</v>
      </c>
      <c r="AE73" s="88">
        <f t="shared" si="10"/>
        <v>960.24</v>
      </c>
      <c r="AF73" s="88">
        <f t="shared" si="10"/>
        <v>914.83999999999992</v>
      </c>
      <c r="AG73" s="88">
        <f t="shared" si="10"/>
        <v>2144.14</v>
      </c>
      <c r="AH73" s="53">
        <f t="shared" si="2"/>
        <v>1610.74</v>
      </c>
      <c r="AI73" s="54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>
        <v>140</v>
      </c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140</v>
      </c>
      <c r="AI74" s="54">
        <f t="shared" si="3"/>
        <v>140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1022.04</v>
      </c>
      <c r="C75" s="88">
        <f>C73+C74</f>
        <v>997.04</v>
      </c>
      <c r="D75" s="88">
        <f t="shared" ref="D75:AF75" si="11">D72+D68+D56+D52+D38+D74</f>
        <v>969.04</v>
      </c>
      <c r="E75" s="88">
        <f t="shared" si="11"/>
        <v>956.24</v>
      </c>
      <c r="F75" s="88">
        <f t="shared" si="11"/>
        <v>970.63999999999987</v>
      </c>
      <c r="G75" s="88">
        <f t="shared" si="11"/>
        <v>995.74</v>
      </c>
      <c r="H75" s="88">
        <f t="shared" si="11"/>
        <v>1041.6399999999999</v>
      </c>
      <c r="I75" s="88">
        <f t="shared" si="11"/>
        <v>1139.6399999999999</v>
      </c>
      <c r="J75" s="88">
        <f t="shared" si="11"/>
        <v>1227.8399999999999</v>
      </c>
      <c r="K75" s="88">
        <f t="shared" si="11"/>
        <v>1391.24</v>
      </c>
      <c r="L75" s="88">
        <f t="shared" si="11"/>
        <v>1546.6400000000003</v>
      </c>
      <c r="M75" s="88">
        <f t="shared" si="11"/>
        <v>1585.2400000000002</v>
      </c>
      <c r="N75" s="88">
        <f t="shared" si="11"/>
        <v>1532.24</v>
      </c>
      <c r="O75" s="88">
        <f t="shared" si="11"/>
        <v>1504.54</v>
      </c>
      <c r="P75" s="88">
        <f t="shared" si="11"/>
        <v>1420.74</v>
      </c>
      <c r="Q75" s="88">
        <f t="shared" si="11"/>
        <v>1399.94</v>
      </c>
      <c r="R75" s="88">
        <f t="shared" si="11"/>
        <v>1333.04</v>
      </c>
      <c r="S75" s="88">
        <f t="shared" si="11"/>
        <v>1284.6399999999999</v>
      </c>
      <c r="T75" s="88">
        <f t="shared" si="11"/>
        <v>1335.02</v>
      </c>
      <c r="U75" s="88">
        <f t="shared" si="11"/>
        <v>1381.34</v>
      </c>
      <c r="V75" s="88">
        <f t="shared" si="11"/>
        <v>1372.64</v>
      </c>
      <c r="W75" s="88">
        <f t="shared" si="11"/>
        <v>1420.14</v>
      </c>
      <c r="X75" s="88">
        <f t="shared" si="11"/>
        <v>1559.6399999999999</v>
      </c>
      <c r="Y75" s="88">
        <f t="shared" si="11"/>
        <v>1610.74</v>
      </c>
      <c r="Z75" s="88">
        <f t="shared" si="11"/>
        <v>1540.54</v>
      </c>
      <c r="AA75" s="88">
        <f t="shared" si="11"/>
        <v>1510.24</v>
      </c>
      <c r="AB75" s="88">
        <f t="shared" si="11"/>
        <v>1459.04</v>
      </c>
      <c r="AC75" s="88">
        <f t="shared" si="11"/>
        <v>3.54</v>
      </c>
      <c r="AD75" s="88">
        <f t="shared" si="11"/>
        <v>3.54</v>
      </c>
      <c r="AE75" s="88">
        <f t="shared" si="11"/>
        <v>960.24</v>
      </c>
      <c r="AF75" s="88">
        <f t="shared" si="11"/>
        <v>914.83999999999992</v>
      </c>
      <c r="AG75" s="76">
        <f>AG72+AG68+AG56+AG52+AG38+AG74</f>
        <v>2144.14</v>
      </c>
      <c r="AH75" s="53">
        <f t="shared" si="2"/>
        <v>1610.74</v>
      </c>
      <c r="AI75" s="54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2044.08</v>
      </c>
      <c r="C83" s="71">
        <f t="shared" ref="C83:AG83" si="20">SUM(C70:C82)</f>
        <v>1994.08</v>
      </c>
      <c r="D83" s="71">
        <f t="shared" si="20"/>
        <v>1938.08</v>
      </c>
      <c r="E83" s="71">
        <f t="shared" si="20"/>
        <v>1912.48</v>
      </c>
      <c r="F83" s="71">
        <f t="shared" si="20"/>
        <v>1941.2799999999997</v>
      </c>
      <c r="G83" s="71">
        <f t="shared" si="20"/>
        <v>1991.48</v>
      </c>
      <c r="H83" s="71">
        <f t="shared" si="20"/>
        <v>2083.2799999999997</v>
      </c>
      <c r="I83" s="71">
        <f t="shared" si="20"/>
        <v>2279.2799999999997</v>
      </c>
      <c r="J83" s="71">
        <f t="shared" si="20"/>
        <v>2455.6799999999998</v>
      </c>
      <c r="K83" s="71">
        <f t="shared" si="20"/>
        <v>2782.48</v>
      </c>
      <c r="L83" s="71">
        <f t="shared" si="20"/>
        <v>3093.2800000000007</v>
      </c>
      <c r="M83" s="71">
        <f t="shared" si="20"/>
        <v>3170.4800000000005</v>
      </c>
      <c r="N83" s="71">
        <f t="shared" si="20"/>
        <v>3064.48</v>
      </c>
      <c r="O83" s="71">
        <f t="shared" si="20"/>
        <v>3009.08</v>
      </c>
      <c r="P83" s="71">
        <f t="shared" si="20"/>
        <v>2841.48</v>
      </c>
      <c r="Q83" s="71">
        <f t="shared" si="20"/>
        <v>2799.88</v>
      </c>
      <c r="R83" s="71">
        <f t="shared" si="20"/>
        <v>2666.08</v>
      </c>
      <c r="S83" s="71">
        <f t="shared" si="20"/>
        <v>2569.2799999999997</v>
      </c>
      <c r="T83" s="71">
        <f t="shared" si="20"/>
        <v>2670.04</v>
      </c>
      <c r="U83" s="71">
        <f t="shared" si="20"/>
        <v>2762.68</v>
      </c>
      <c r="V83" s="71">
        <f t="shared" si="20"/>
        <v>2745.28</v>
      </c>
      <c r="W83" s="71">
        <f t="shared" si="20"/>
        <v>2840.28</v>
      </c>
      <c r="X83" s="71">
        <f t="shared" si="20"/>
        <v>3119.2799999999997</v>
      </c>
      <c r="Y83" s="71">
        <f t="shared" si="20"/>
        <v>3221.48</v>
      </c>
      <c r="Z83" s="71">
        <f t="shared" si="20"/>
        <v>3081.08</v>
      </c>
      <c r="AA83" s="71">
        <f t="shared" si="20"/>
        <v>3020.48</v>
      </c>
      <c r="AB83" s="71">
        <f t="shared" si="20"/>
        <v>2918.08</v>
      </c>
      <c r="AC83" s="71">
        <f t="shared" si="20"/>
        <v>7.08</v>
      </c>
      <c r="AD83" s="71">
        <f t="shared" si="20"/>
        <v>7.08</v>
      </c>
      <c r="AE83" s="71">
        <f t="shared" si="20"/>
        <v>1920.48</v>
      </c>
      <c r="AF83" s="71">
        <f t="shared" si="20"/>
        <v>1829.6799999999998</v>
      </c>
      <c r="AG83" s="76">
        <f t="shared" si="20"/>
        <v>4360.08</v>
      </c>
      <c r="AH83" s="53">
        <f t="shared" si="13"/>
        <v>3221.48</v>
      </c>
      <c r="AI83" s="54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50.045000000000002</v>
      </c>
      <c r="C84" s="95">
        <v>50.01</v>
      </c>
      <c r="D84" s="95">
        <v>50.040999999999997</v>
      </c>
      <c r="E84" s="95">
        <v>49.988</v>
      </c>
      <c r="F84" s="95">
        <v>50.012999999999998</v>
      </c>
      <c r="G84" s="95">
        <v>50.018999999999998</v>
      </c>
      <c r="H84" s="95">
        <v>50.045000000000002</v>
      </c>
      <c r="I84" s="95">
        <v>50.045000000000002</v>
      </c>
      <c r="J84" s="95">
        <v>50.07</v>
      </c>
      <c r="K84" s="95">
        <v>49.959000000000003</v>
      </c>
      <c r="L84" s="95">
        <v>50.073</v>
      </c>
      <c r="M84" s="95">
        <v>50.015999999999998</v>
      </c>
      <c r="N84" s="95">
        <v>50.045000000000002</v>
      </c>
      <c r="O84" s="95">
        <v>49.851999999999997</v>
      </c>
      <c r="P84" s="95">
        <v>49.851999999999997</v>
      </c>
      <c r="Q84" s="95">
        <v>49.902999999999999</v>
      </c>
      <c r="R84" s="95">
        <v>50.012999999999998</v>
      </c>
      <c r="S84" s="95">
        <v>49.843000000000004</v>
      </c>
      <c r="T84" s="95">
        <v>49.99</v>
      </c>
      <c r="U84" s="95">
        <v>50.015999999999998</v>
      </c>
      <c r="V84" s="95">
        <v>49.862000000000002</v>
      </c>
      <c r="W84" s="95">
        <v>50.048000000000002</v>
      </c>
      <c r="X84" s="95">
        <v>50.042000000000002</v>
      </c>
      <c r="Y84" s="95">
        <v>50.015000000000001</v>
      </c>
      <c r="Z84" s="95">
        <v>50.042999999999999</v>
      </c>
      <c r="AA84" s="95">
        <v>50.046999999999997</v>
      </c>
      <c r="AB84" s="95">
        <v>50.021000000000001</v>
      </c>
      <c r="AC84" s="95"/>
      <c r="AD84" s="95"/>
      <c r="AE84" s="95">
        <v>49.930999999999997</v>
      </c>
      <c r="AF84" s="95">
        <v>49.886000000000003</v>
      </c>
      <c r="AG84" s="96"/>
      <c r="AH84" s="53">
        <f t="shared" si="13"/>
        <v>50.073</v>
      </c>
      <c r="AI84" s="54">
        <f t="shared" si="14"/>
        <v>49.843000000000004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128.69999999999999</v>
      </c>
      <c r="C85" s="72">
        <v>127.9</v>
      </c>
      <c r="D85" s="72">
        <v>129</v>
      </c>
      <c r="E85" s="72">
        <v>128.69999999999999</v>
      </c>
      <c r="F85" s="72">
        <v>127</v>
      </c>
      <c r="G85" s="72">
        <v>124.7</v>
      </c>
      <c r="H85" s="72">
        <v>125.2</v>
      </c>
      <c r="I85" s="72">
        <v>125.2</v>
      </c>
      <c r="J85" s="72">
        <v>125.1</v>
      </c>
      <c r="K85" s="72">
        <v>125.8</v>
      </c>
      <c r="L85" s="72">
        <v>123.2</v>
      </c>
      <c r="M85" s="72">
        <v>123.6</v>
      </c>
      <c r="N85" s="72">
        <v>123.2</v>
      </c>
      <c r="O85" s="72">
        <v>123.2</v>
      </c>
      <c r="P85" s="72">
        <v>123.2</v>
      </c>
      <c r="Q85" s="72">
        <v>123.9</v>
      </c>
      <c r="R85" s="72">
        <v>124.6</v>
      </c>
      <c r="S85" s="72">
        <v>124.8</v>
      </c>
      <c r="T85" s="72">
        <v>123.2</v>
      </c>
      <c r="U85" s="99">
        <v>123.7</v>
      </c>
      <c r="V85" s="99">
        <v>124.3</v>
      </c>
      <c r="W85" s="99">
        <v>124.8</v>
      </c>
      <c r="X85" s="99">
        <v>124</v>
      </c>
      <c r="Y85" s="99">
        <v>125.3</v>
      </c>
      <c r="Z85" s="99">
        <v>125</v>
      </c>
      <c r="AA85" s="99">
        <v>124.9</v>
      </c>
      <c r="AB85" s="72">
        <v>125.5</v>
      </c>
      <c r="AC85" s="72"/>
      <c r="AD85" s="72"/>
      <c r="AE85" s="72">
        <v>124.9</v>
      </c>
      <c r="AF85" s="72">
        <v>124.1</v>
      </c>
      <c r="AG85" s="100"/>
      <c r="AH85" s="53">
        <f t="shared" si="13"/>
        <v>129</v>
      </c>
      <c r="AI85" s="54">
        <f t="shared" si="14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131.30000000000001</v>
      </c>
      <c r="C86" s="72">
        <v>130.6</v>
      </c>
      <c r="D86" s="72">
        <v>132</v>
      </c>
      <c r="E86" s="72">
        <v>131.4</v>
      </c>
      <c r="F86" s="72">
        <v>130.4</v>
      </c>
      <c r="G86" s="72">
        <v>128.5</v>
      </c>
      <c r="H86" s="72">
        <v>129.1</v>
      </c>
      <c r="I86" s="72">
        <v>129.1</v>
      </c>
      <c r="J86" s="72">
        <v>128.1</v>
      </c>
      <c r="K86" s="72">
        <v>128.1</v>
      </c>
      <c r="L86" s="72">
        <v>125.6</v>
      </c>
      <c r="M86" s="72">
        <v>125.3</v>
      </c>
      <c r="N86" s="72">
        <v>125.4</v>
      </c>
      <c r="O86" s="72">
        <v>125.4</v>
      </c>
      <c r="P86" s="72">
        <v>125.4</v>
      </c>
      <c r="Q86" s="72">
        <v>126.2</v>
      </c>
      <c r="R86" s="72">
        <v>126.8</v>
      </c>
      <c r="S86" s="72">
        <v>127</v>
      </c>
      <c r="T86" s="72">
        <v>125.8</v>
      </c>
      <c r="U86" s="99">
        <v>126.5</v>
      </c>
      <c r="V86" s="99">
        <v>126.9</v>
      </c>
      <c r="W86" s="99">
        <v>126.8</v>
      </c>
      <c r="X86" s="99">
        <v>125.9</v>
      </c>
      <c r="Y86" s="99">
        <v>126.4</v>
      </c>
      <c r="Z86" s="99">
        <v>126.5</v>
      </c>
      <c r="AA86" s="99">
        <v>126.6</v>
      </c>
      <c r="AB86" s="72">
        <v>127.4</v>
      </c>
      <c r="AC86" s="72"/>
      <c r="AD86" s="72"/>
      <c r="AE86" s="72">
        <v>127.4</v>
      </c>
      <c r="AF86" s="72">
        <v>128.1</v>
      </c>
      <c r="AG86" s="100"/>
      <c r="AH86" s="53">
        <f t="shared" si="13"/>
        <v>132</v>
      </c>
      <c r="AI86" s="54">
        <f t="shared" si="14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</v>
      </c>
      <c r="C87" s="72">
        <v>130.9</v>
      </c>
      <c r="D87" s="72">
        <v>131.19999999999999</v>
      </c>
      <c r="E87" s="72">
        <v>130.19999999999999</v>
      </c>
      <c r="F87" s="72">
        <v>128.9</v>
      </c>
      <c r="G87" s="72">
        <v>127.8</v>
      </c>
      <c r="H87" s="72">
        <v>128.19999999999999</v>
      </c>
      <c r="I87" s="72">
        <v>128.19999999999999</v>
      </c>
      <c r="J87" s="72">
        <v>126</v>
      </c>
      <c r="K87" s="72">
        <v>130.30000000000001</v>
      </c>
      <c r="L87" s="72">
        <v>128.5</v>
      </c>
      <c r="M87" s="72">
        <v>127.1</v>
      </c>
      <c r="N87" s="72">
        <v>128.6</v>
      </c>
      <c r="O87" s="72">
        <v>128.6</v>
      </c>
      <c r="P87" s="72">
        <v>128.6</v>
      </c>
      <c r="Q87" s="72">
        <v>127.3</v>
      </c>
      <c r="R87" s="72">
        <v>127.5</v>
      </c>
      <c r="S87" s="72">
        <v>125.6</v>
      </c>
      <c r="T87" s="72">
        <v>133</v>
      </c>
      <c r="U87" s="72">
        <v>130.19999999999999</v>
      </c>
      <c r="V87" s="72">
        <v>130.69999999999999</v>
      </c>
      <c r="W87" s="72">
        <v>130.4</v>
      </c>
      <c r="X87" s="99">
        <v>128.19999999999999</v>
      </c>
      <c r="Y87" s="99">
        <v>129.5</v>
      </c>
      <c r="Z87" s="99">
        <v>131</v>
      </c>
      <c r="AA87" s="99">
        <v>129.9</v>
      </c>
      <c r="AB87" s="72">
        <v>131.5</v>
      </c>
      <c r="AC87" s="72"/>
      <c r="AD87" s="72"/>
      <c r="AE87" s="72">
        <v>127.8</v>
      </c>
      <c r="AF87" s="72">
        <v>128</v>
      </c>
      <c r="AG87" s="100"/>
      <c r="AH87" s="53">
        <f t="shared" si="13"/>
        <v>133</v>
      </c>
      <c r="AI87" s="54">
        <f t="shared" si="14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132.5</v>
      </c>
      <c r="C88" s="72">
        <v>132.4</v>
      </c>
      <c r="D88" s="72">
        <v>132.5</v>
      </c>
      <c r="E88" s="72">
        <v>132.1</v>
      </c>
      <c r="F88" s="72">
        <v>131.4</v>
      </c>
      <c r="G88" s="72">
        <v>130.4</v>
      </c>
      <c r="H88" s="72">
        <v>131.6</v>
      </c>
      <c r="I88" s="72">
        <v>131.6</v>
      </c>
      <c r="J88" s="72">
        <v>130</v>
      </c>
      <c r="K88" s="72">
        <v>131.69999999999999</v>
      </c>
      <c r="L88" s="72">
        <v>131.1</v>
      </c>
      <c r="M88" s="72">
        <v>131.19999999999999</v>
      </c>
      <c r="N88" s="72">
        <v>132.4</v>
      </c>
      <c r="O88" s="72">
        <v>132.4</v>
      </c>
      <c r="P88" s="72">
        <v>132.4</v>
      </c>
      <c r="Q88" s="72">
        <v>131.6</v>
      </c>
      <c r="R88" s="72">
        <v>131.19999999999999</v>
      </c>
      <c r="S88" s="72">
        <v>128.9</v>
      </c>
      <c r="T88" s="72">
        <v>133.1</v>
      </c>
      <c r="U88" s="72">
        <v>132.30000000000001</v>
      </c>
      <c r="V88" s="72">
        <v>132.9</v>
      </c>
      <c r="W88" s="72">
        <v>133.1</v>
      </c>
      <c r="X88" s="99">
        <v>130.19999999999999</v>
      </c>
      <c r="Y88" s="99">
        <v>133.69999999999999</v>
      </c>
      <c r="Z88" s="99">
        <v>133.69999999999999</v>
      </c>
      <c r="AA88" s="99">
        <v>133.5</v>
      </c>
      <c r="AB88" s="72">
        <v>135.1</v>
      </c>
      <c r="AC88" s="72"/>
      <c r="AD88" s="72"/>
      <c r="AE88" s="72">
        <v>129.9</v>
      </c>
      <c r="AF88" s="72">
        <v>130.4</v>
      </c>
      <c r="AG88" s="100"/>
      <c r="AH88" s="53">
        <f t="shared" si="13"/>
        <v>135.1</v>
      </c>
      <c r="AI88" s="54">
        <f t="shared" si="14"/>
        <v>128.9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132.1</v>
      </c>
      <c r="C89" s="103">
        <v>130.19999999999999</v>
      </c>
      <c r="D89" s="103">
        <v>133.30000000000001</v>
      </c>
      <c r="E89" s="103">
        <v>132.1</v>
      </c>
      <c r="F89" s="103">
        <v>129</v>
      </c>
      <c r="G89" s="103">
        <v>127.7</v>
      </c>
      <c r="H89" s="103">
        <v>136</v>
      </c>
      <c r="I89" s="103">
        <v>136</v>
      </c>
      <c r="J89" s="103">
        <v>130.6</v>
      </c>
      <c r="K89" s="103">
        <v>134.69999999999999</v>
      </c>
      <c r="L89" s="103">
        <v>130.1</v>
      </c>
      <c r="M89" s="103">
        <v>131.80000000000001</v>
      </c>
      <c r="N89" s="103">
        <v>130.80000000000001</v>
      </c>
      <c r="O89" s="103">
        <v>130.80000000000001</v>
      </c>
      <c r="P89" s="103">
        <v>130.80000000000001</v>
      </c>
      <c r="Q89" s="103">
        <v>131.6</v>
      </c>
      <c r="R89" s="103">
        <v>132</v>
      </c>
      <c r="S89" s="103">
        <v>133.5</v>
      </c>
      <c r="T89" s="103">
        <v>131</v>
      </c>
      <c r="U89" s="103">
        <v>135.30000000000001</v>
      </c>
      <c r="V89" s="103">
        <v>133.5</v>
      </c>
      <c r="W89" s="103">
        <v>135.9</v>
      </c>
      <c r="X89" s="99">
        <v>134</v>
      </c>
      <c r="Y89" s="99">
        <v>134.69999999999999</v>
      </c>
      <c r="Z89" s="99">
        <v>136.5</v>
      </c>
      <c r="AA89" s="99">
        <v>130.9</v>
      </c>
      <c r="AB89" s="103">
        <v>131</v>
      </c>
      <c r="AC89" s="103"/>
      <c r="AD89" s="103"/>
      <c r="AE89" s="103">
        <v>128.5</v>
      </c>
      <c r="AF89" s="103">
        <v>126.6</v>
      </c>
      <c r="AG89" s="104"/>
      <c r="AH89" s="53">
        <f t="shared" si="13"/>
        <v>136.5</v>
      </c>
      <c r="AI89" s="54">
        <f t="shared" si="14"/>
        <v>126.6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136.30000000000001</v>
      </c>
      <c r="C90" s="72">
        <v>133.9</v>
      </c>
      <c r="D90" s="72">
        <v>134.69999999999999</v>
      </c>
      <c r="E90" s="72">
        <v>134.4</v>
      </c>
      <c r="F90" s="72">
        <v>135</v>
      </c>
      <c r="G90" s="72">
        <v>136</v>
      </c>
      <c r="H90" s="72">
        <v>132.9</v>
      </c>
      <c r="I90" s="72">
        <v>132.9</v>
      </c>
      <c r="J90" s="72">
        <v>131.6</v>
      </c>
      <c r="K90" s="72">
        <v>30</v>
      </c>
      <c r="L90" s="72">
        <v>130.6</v>
      </c>
      <c r="M90" s="72">
        <v>132.69999999999999</v>
      </c>
      <c r="N90" s="72">
        <v>130.69999999999999</v>
      </c>
      <c r="O90" s="72">
        <v>130.69999999999999</v>
      </c>
      <c r="P90" s="72">
        <v>130.69999999999999</v>
      </c>
      <c r="Q90" s="72">
        <v>134.6</v>
      </c>
      <c r="R90" s="72">
        <v>136.4</v>
      </c>
      <c r="S90" s="72">
        <v>135.1</v>
      </c>
      <c r="T90" s="72">
        <v>130.80000000000001</v>
      </c>
      <c r="U90" s="72">
        <v>134.30000000000001</v>
      </c>
      <c r="V90" s="72">
        <v>131.80000000000001</v>
      </c>
      <c r="W90" s="72">
        <v>132</v>
      </c>
      <c r="X90" s="99">
        <v>131.80000000000001</v>
      </c>
      <c r="Y90" s="99">
        <v>134.4</v>
      </c>
      <c r="Z90" s="99">
        <v>133.80000000000001</v>
      </c>
      <c r="AA90" s="99">
        <v>135.30000000000001</v>
      </c>
      <c r="AB90" s="72">
        <v>136.80000000000001</v>
      </c>
      <c r="AC90" s="72"/>
      <c r="AD90" s="72"/>
      <c r="AE90" s="72">
        <v>139.30000000000001</v>
      </c>
      <c r="AF90" s="72">
        <v>138.9</v>
      </c>
      <c r="AG90" s="100"/>
      <c r="AH90" s="53">
        <f t="shared" si="13"/>
        <v>139.30000000000001</v>
      </c>
      <c r="AI90" s="54">
        <f t="shared" si="14"/>
        <v>30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65.7</v>
      </c>
      <c r="C91" s="106">
        <v>65.5</v>
      </c>
      <c r="D91" s="106">
        <v>66.099999999999994</v>
      </c>
      <c r="E91" s="106">
        <v>65.8</v>
      </c>
      <c r="F91" s="106">
        <v>65.3</v>
      </c>
      <c r="G91" s="106">
        <v>64.5</v>
      </c>
      <c r="H91" s="106">
        <v>64.900000000000006</v>
      </c>
      <c r="I91" s="106">
        <v>64.900000000000006</v>
      </c>
      <c r="J91" s="106">
        <v>64.5</v>
      </c>
      <c r="K91" s="106">
        <v>64.400000000000006</v>
      </c>
      <c r="L91" s="106">
        <v>63.2</v>
      </c>
      <c r="M91" s="106">
        <v>63.1</v>
      </c>
      <c r="N91" s="106">
        <v>63.1</v>
      </c>
      <c r="O91" s="106">
        <v>63.1</v>
      </c>
      <c r="P91" s="106">
        <v>63.1</v>
      </c>
      <c r="Q91" s="106">
        <v>63.2</v>
      </c>
      <c r="R91" s="106">
        <v>63</v>
      </c>
      <c r="S91" s="106">
        <v>63.8</v>
      </c>
      <c r="T91" s="106">
        <v>63.2</v>
      </c>
      <c r="U91" s="106">
        <v>64.099999999999994</v>
      </c>
      <c r="V91" s="106">
        <v>63.9</v>
      </c>
      <c r="W91" s="106">
        <v>64.099999999999994</v>
      </c>
      <c r="X91" s="106">
        <v>63.6</v>
      </c>
      <c r="Y91" s="106">
        <v>63.5</v>
      </c>
      <c r="Z91" s="106">
        <v>63.8</v>
      </c>
      <c r="AA91" s="106">
        <v>64.2</v>
      </c>
      <c r="AB91" s="106">
        <v>64.5</v>
      </c>
      <c r="AC91" s="106"/>
      <c r="AD91" s="106"/>
      <c r="AE91" s="106">
        <v>63.9</v>
      </c>
      <c r="AF91" s="106">
        <v>64.2</v>
      </c>
      <c r="AG91" s="107"/>
      <c r="AH91" s="53">
        <f t="shared" si="13"/>
        <v>66.099999999999994</v>
      </c>
      <c r="AI91" s="54">
        <f t="shared" si="14"/>
        <v>63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265.34000000000003</v>
      </c>
      <c r="C93" s="113">
        <f>SUM(C15,C18,C21:C22,C42,C44:C45,C47,C49,C94:C97,C102,C108,C114,C123,C125,C137,C144,C147:C148,C155,C157,C159,C163:C165,C167:C169,C174,C180:C181,C183:C185,C193,C198)</f>
        <v>198.94</v>
      </c>
      <c r="D93" s="113">
        <f t="shared" ref="D93:AF93" si="21">SUM(D15,D18,D21:D22,D42,D44:D45,D47,D49,D94:D97,D102,D108,D114,D123,D125,D137,D144,D147:D148,D155,D157,D159,D163:D165,D167:D169,D174,D180:D181,D183:D185,D193,D198)</f>
        <v>192.23999999999995</v>
      </c>
      <c r="E93" s="113">
        <f t="shared" si="21"/>
        <v>190.03999999999996</v>
      </c>
      <c r="F93" s="113">
        <f t="shared" si="21"/>
        <v>191.23999999999998</v>
      </c>
      <c r="G93" s="112">
        <f t="shared" si="21"/>
        <v>210.53999999999996</v>
      </c>
      <c r="H93" s="112">
        <f t="shared" si="21"/>
        <v>237.23999999999998</v>
      </c>
      <c r="I93" s="112">
        <f t="shared" si="21"/>
        <v>273.14000000000004</v>
      </c>
      <c r="J93" s="112">
        <f t="shared" si="21"/>
        <v>314.64000000000004</v>
      </c>
      <c r="K93" s="112">
        <f t="shared" si="21"/>
        <v>390.54</v>
      </c>
      <c r="L93" s="112">
        <f t="shared" si="21"/>
        <v>447.74</v>
      </c>
      <c r="M93" s="112">
        <f t="shared" si="21"/>
        <v>460.64000000000004</v>
      </c>
      <c r="N93" s="112">
        <f t="shared" si="21"/>
        <v>426.54</v>
      </c>
      <c r="O93" s="112">
        <f t="shared" si="21"/>
        <v>446.04</v>
      </c>
      <c r="P93" s="112">
        <f t="shared" si="21"/>
        <v>434.04</v>
      </c>
      <c r="Q93" s="112">
        <f t="shared" si="21"/>
        <v>429.04</v>
      </c>
      <c r="R93" s="112">
        <f t="shared" si="21"/>
        <v>415.04</v>
      </c>
      <c r="S93" s="112">
        <f t="shared" si="21"/>
        <v>392.44</v>
      </c>
      <c r="T93" s="112">
        <f t="shared" si="21"/>
        <v>401.94</v>
      </c>
      <c r="U93" s="112">
        <f t="shared" si="21"/>
        <v>411.34000000000003</v>
      </c>
      <c r="V93" s="112">
        <f t="shared" si="21"/>
        <v>418.84000000000003</v>
      </c>
      <c r="W93" s="112">
        <f t="shared" si="21"/>
        <v>430.04</v>
      </c>
      <c r="X93" s="112">
        <f t="shared" si="21"/>
        <v>484.53999999999996</v>
      </c>
      <c r="Y93" s="112">
        <f t="shared" si="21"/>
        <v>521.43999999999994</v>
      </c>
      <c r="Z93" s="112">
        <f t="shared" si="21"/>
        <v>512.64</v>
      </c>
      <c r="AA93" s="112">
        <f t="shared" si="21"/>
        <v>503.14000000000004</v>
      </c>
      <c r="AB93" s="112">
        <f t="shared" si="21"/>
        <v>493.24000000000007</v>
      </c>
      <c r="AC93" s="112">
        <f t="shared" si="21"/>
        <v>34.840000000000003</v>
      </c>
      <c r="AD93" s="112">
        <f t="shared" si="21"/>
        <v>34.840000000000003</v>
      </c>
      <c r="AE93" s="112">
        <f t="shared" si="21"/>
        <v>272.64000000000004</v>
      </c>
      <c r="AF93" s="112">
        <f t="shared" si="21"/>
        <v>240.83999999999997</v>
      </c>
      <c r="AG93" s="114"/>
      <c r="AH93" s="53">
        <f>MAX(C93:AF93)</f>
        <v>521.43999999999994</v>
      </c>
      <c r="AI93" s="54">
        <f>MIN(C93:AF93)</f>
        <v>34.840000000000003</v>
      </c>
    </row>
    <row r="94" spans="1:88" x14ac:dyDescent="0.25">
      <c r="A94" s="115" t="s">
        <v>98</v>
      </c>
      <c r="B94" s="116">
        <v>26.1</v>
      </c>
      <c r="C94" s="57">
        <v>-44.2</v>
      </c>
      <c r="D94" s="57">
        <v>-39.9</v>
      </c>
      <c r="E94" s="57">
        <v>-42.9</v>
      </c>
      <c r="F94" s="57">
        <v>-39.799999999999997</v>
      </c>
      <c r="G94" s="117">
        <v>-16.5</v>
      </c>
      <c r="H94" s="117">
        <v>0</v>
      </c>
      <c r="I94" s="117">
        <v>2</v>
      </c>
      <c r="J94" s="117">
        <v>5.5</v>
      </c>
      <c r="K94" s="117">
        <v>37.6</v>
      </c>
      <c r="L94" s="117">
        <v>25.6</v>
      </c>
      <c r="M94" s="118">
        <v>45.2</v>
      </c>
      <c r="N94" s="117">
        <v>59.5</v>
      </c>
      <c r="O94" s="117">
        <v>64</v>
      </c>
      <c r="P94" s="117">
        <v>76</v>
      </c>
      <c r="Q94" s="117">
        <v>83</v>
      </c>
      <c r="R94" s="117">
        <v>35</v>
      </c>
      <c r="S94" s="117">
        <v>33.200000000000003</v>
      </c>
      <c r="T94" s="117">
        <v>13.2</v>
      </c>
      <c r="U94" s="118">
        <v>16.600000000000001</v>
      </c>
      <c r="V94" s="118">
        <v>20.8</v>
      </c>
      <c r="W94" s="118">
        <v>61.8</v>
      </c>
      <c r="X94" s="117">
        <v>60.1</v>
      </c>
      <c r="Y94" s="117">
        <v>57.7</v>
      </c>
      <c r="Z94" s="117">
        <v>67.099999999999994</v>
      </c>
      <c r="AA94" s="117">
        <v>64.400000000000006</v>
      </c>
      <c r="AB94" s="118">
        <v>67.7</v>
      </c>
      <c r="AC94" s="118"/>
      <c r="AD94" s="118"/>
      <c r="AE94" s="118">
        <v>8.5</v>
      </c>
      <c r="AF94" s="118">
        <v>-7</v>
      </c>
      <c r="AG94" s="119">
        <v>75</v>
      </c>
      <c r="AH94" s="53">
        <f t="shared" ref="AH94:AH99" si="22">IF(ABS(MAX(C94:AF94))&gt;ABS(MIN(C94:AF94)),MAX(C94:AF94),MIN(C94:AF94))</f>
        <v>83</v>
      </c>
      <c r="AI94" s="120">
        <f t="shared" ref="AI94:AI99" si="23">INDEX($C$9:$AF$9,1,MATCH(AH94,C94:AF94,0))</f>
        <v>0.5</v>
      </c>
    </row>
    <row r="95" spans="1:88" x14ac:dyDescent="0.25">
      <c r="A95" s="121" t="s">
        <v>99</v>
      </c>
      <c r="B95" s="122">
        <v>-20.7</v>
      </c>
      <c r="C95" s="59">
        <v>-27.3</v>
      </c>
      <c r="D95" s="59">
        <v>-29.5</v>
      </c>
      <c r="E95" s="59">
        <v>-29.2</v>
      </c>
      <c r="F95" s="59">
        <v>-30.3</v>
      </c>
      <c r="G95" s="59">
        <v>-41</v>
      </c>
      <c r="H95" s="59">
        <v>-32</v>
      </c>
      <c r="I95" s="59">
        <v>-12</v>
      </c>
      <c r="J95" s="59">
        <v>12</v>
      </c>
      <c r="K95" s="59">
        <v>25</v>
      </c>
      <c r="L95" s="59">
        <v>77.3</v>
      </c>
      <c r="M95" s="59">
        <v>65.5</v>
      </c>
      <c r="N95" s="59">
        <v>43</v>
      </c>
      <c r="O95" s="59">
        <v>76</v>
      </c>
      <c r="P95" s="59">
        <v>54</v>
      </c>
      <c r="Q95" s="59">
        <v>48</v>
      </c>
      <c r="R95" s="59">
        <v>51</v>
      </c>
      <c r="S95" s="59">
        <v>39</v>
      </c>
      <c r="T95" s="59">
        <v>69</v>
      </c>
      <c r="U95" s="59">
        <v>69.900000000000006</v>
      </c>
      <c r="V95" s="59">
        <v>67</v>
      </c>
      <c r="W95" s="59">
        <v>71</v>
      </c>
      <c r="X95" s="59">
        <v>90.5</v>
      </c>
      <c r="Y95" s="59">
        <v>106</v>
      </c>
      <c r="Z95" s="59">
        <v>91</v>
      </c>
      <c r="AA95" s="59">
        <v>92</v>
      </c>
      <c r="AB95" s="72">
        <v>87</v>
      </c>
      <c r="AC95" s="72"/>
      <c r="AD95" s="72"/>
      <c r="AE95" s="72">
        <v>0</v>
      </c>
      <c r="AF95" s="72">
        <v>-28.1</v>
      </c>
      <c r="AG95" s="119">
        <v>240</v>
      </c>
      <c r="AH95" s="53">
        <f t="shared" si="22"/>
        <v>106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11.8</v>
      </c>
      <c r="C96" s="59">
        <v>12</v>
      </c>
      <c r="D96" s="59">
        <v>12</v>
      </c>
      <c r="E96" s="59">
        <v>11.5</v>
      </c>
      <c r="F96" s="59">
        <v>10.9</v>
      </c>
      <c r="G96" s="59">
        <v>10.4</v>
      </c>
      <c r="H96" s="59">
        <v>10</v>
      </c>
      <c r="I96" s="59">
        <v>15</v>
      </c>
      <c r="J96" s="59">
        <v>18</v>
      </c>
      <c r="K96" s="59">
        <v>53.8</v>
      </c>
      <c r="L96" s="59">
        <v>56.9</v>
      </c>
      <c r="M96" s="59">
        <v>55.6</v>
      </c>
      <c r="N96" s="59">
        <v>60</v>
      </c>
      <c r="O96" s="59">
        <v>51</v>
      </c>
      <c r="P96" s="59">
        <v>53</v>
      </c>
      <c r="Q96" s="59">
        <v>55</v>
      </c>
      <c r="R96" s="59">
        <v>52</v>
      </c>
      <c r="S96" s="59">
        <v>53.9</v>
      </c>
      <c r="T96" s="59">
        <v>52.8</v>
      </c>
      <c r="U96" s="59">
        <v>53</v>
      </c>
      <c r="V96" s="59">
        <v>52</v>
      </c>
      <c r="W96" s="59">
        <v>52.5</v>
      </c>
      <c r="X96" s="59">
        <v>61.2</v>
      </c>
      <c r="Y96" s="59">
        <v>66.7</v>
      </c>
      <c r="Z96" s="59">
        <v>65.5</v>
      </c>
      <c r="AA96" s="59">
        <v>63</v>
      </c>
      <c r="AB96" s="72">
        <v>63.6</v>
      </c>
      <c r="AC96" s="72"/>
      <c r="AD96" s="72"/>
      <c r="AE96" s="72">
        <v>11.9</v>
      </c>
      <c r="AF96" s="72">
        <v>12</v>
      </c>
      <c r="AG96" s="119">
        <v>60</v>
      </c>
      <c r="AH96" s="53">
        <f t="shared" si="22"/>
        <v>66.7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78.8</v>
      </c>
      <c r="C97" s="62">
        <v>89.7</v>
      </c>
      <c r="D97" s="62">
        <v>80.2</v>
      </c>
      <c r="E97" s="62">
        <v>81.2</v>
      </c>
      <c r="F97" s="62">
        <v>81</v>
      </c>
      <c r="G97" s="62">
        <v>88.2</v>
      </c>
      <c r="H97" s="62">
        <v>90.1</v>
      </c>
      <c r="I97" s="62">
        <v>99</v>
      </c>
      <c r="J97" s="62">
        <v>110</v>
      </c>
      <c r="K97" s="62">
        <v>105</v>
      </c>
      <c r="L97" s="62">
        <v>118.1</v>
      </c>
      <c r="M97" s="62">
        <v>124.3</v>
      </c>
      <c r="N97" s="62">
        <v>94</v>
      </c>
      <c r="O97" s="62">
        <v>85</v>
      </c>
      <c r="P97" s="62">
        <v>81</v>
      </c>
      <c r="Q97" s="62">
        <v>73</v>
      </c>
      <c r="R97" s="62">
        <v>107</v>
      </c>
      <c r="S97" s="62">
        <v>96.3</v>
      </c>
      <c r="T97" s="62">
        <v>98.2</v>
      </c>
      <c r="U97" s="62">
        <v>103.1</v>
      </c>
      <c r="V97" s="62">
        <v>110</v>
      </c>
      <c r="W97" s="62">
        <v>77.8</v>
      </c>
      <c r="X97" s="62">
        <v>103.7</v>
      </c>
      <c r="Y97" s="62">
        <v>115.1</v>
      </c>
      <c r="Z97" s="62">
        <v>113.3</v>
      </c>
      <c r="AA97" s="62">
        <v>108</v>
      </c>
      <c r="AB97" s="125">
        <v>104.7</v>
      </c>
      <c r="AC97" s="125"/>
      <c r="AD97" s="125"/>
      <c r="AE97" s="125">
        <v>94.5</v>
      </c>
      <c r="AF97" s="125">
        <v>94.7</v>
      </c>
      <c r="AG97" s="126">
        <v>120</v>
      </c>
      <c r="AH97" s="53">
        <f t="shared" si="22"/>
        <v>124.3</v>
      </c>
      <c r="AI97" s="120">
        <f t="shared" si="23"/>
        <v>0.33333333333333331</v>
      </c>
    </row>
    <row r="98" spans="1:37" x14ac:dyDescent="0.25">
      <c r="A98" s="123" t="s">
        <v>102</v>
      </c>
      <c r="B98" s="124">
        <v>71.900000000000006</v>
      </c>
      <c r="C98" s="62">
        <v>85.2</v>
      </c>
      <c r="D98" s="62">
        <v>75.3</v>
      </c>
      <c r="E98" s="62">
        <v>76.5</v>
      </c>
      <c r="F98" s="62">
        <v>74.3</v>
      </c>
      <c r="G98" s="62">
        <v>92.6</v>
      </c>
      <c r="H98" s="62">
        <v>89.7</v>
      </c>
      <c r="I98" s="62">
        <v>89</v>
      </c>
      <c r="J98" s="62">
        <v>90.7</v>
      </c>
      <c r="K98" s="62">
        <v>70.5</v>
      </c>
      <c r="L98" s="62">
        <v>107.3</v>
      </c>
      <c r="M98" s="62">
        <v>83.8</v>
      </c>
      <c r="N98" s="62">
        <v>94</v>
      </c>
      <c r="O98" s="62">
        <v>100</v>
      </c>
      <c r="P98" s="62">
        <v>100</v>
      </c>
      <c r="Q98" s="62">
        <v>48</v>
      </c>
      <c r="R98" s="62">
        <v>78</v>
      </c>
      <c r="S98" s="62">
        <v>53.8</v>
      </c>
      <c r="T98" s="62">
        <v>105</v>
      </c>
      <c r="U98" s="62">
        <v>106</v>
      </c>
      <c r="V98" s="62">
        <v>96.2</v>
      </c>
      <c r="W98" s="62">
        <v>78</v>
      </c>
      <c r="X98" s="62">
        <v>96.1</v>
      </c>
      <c r="Y98" s="62">
        <v>96.1</v>
      </c>
      <c r="Z98" s="62">
        <v>86.4</v>
      </c>
      <c r="AA98" s="62">
        <v>86</v>
      </c>
      <c r="AB98" s="125">
        <v>77.8</v>
      </c>
      <c r="AC98" s="125"/>
      <c r="AD98" s="125"/>
      <c r="AE98" s="125">
        <v>88.2</v>
      </c>
      <c r="AF98" s="125">
        <v>95.5</v>
      </c>
      <c r="AG98" s="126"/>
      <c r="AH98" s="53">
        <f t="shared" si="22"/>
        <v>107.3</v>
      </c>
      <c r="AI98" s="120">
        <f t="shared" si="23"/>
        <v>0.3125</v>
      </c>
    </row>
    <row r="99" spans="1:37" ht="15.75" thickBot="1" x14ac:dyDescent="0.3">
      <c r="A99" s="123" t="s">
        <v>103</v>
      </c>
      <c r="B99" s="124">
        <v>52.5</v>
      </c>
      <c r="C99" s="62">
        <v>79.7</v>
      </c>
      <c r="D99" s="62">
        <v>77.900000000000006</v>
      </c>
      <c r="E99" s="62">
        <v>71.599999999999994</v>
      </c>
      <c r="F99" s="62">
        <v>64.3</v>
      </c>
      <c r="G99" s="62">
        <v>46</v>
      </c>
      <c r="H99" s="62">
        <v>39</v>
      </c>
      <c r="I99" s="62">
        <v>40</v>
      </c>
      <c r="J99" s="62">
        <v>39.6</v>
      </c>
      <c r="K99" s="62">
        <v>18.600000000000001</v>
      </c>
      <c r="L99" s="62">
        <v>37.299999999999997</v>
      </c>
      <c r="M99" s="62">
        <v>26</v>
      </c>
      <c r="N99" s="62">
        <v>23</v>
      </c>
      <c r="O99" s="62">
        <v>22</v>
      </c>
      <c r="P99" s="62">
        <v>15</v>
      </c>
      <c r="Q99" s="62">
        <v>2</v>
      </c>
      <c r="R99" s="62">
        <v>27</v>
      </c>
      <c r="S99" s="62">
        <v>12.9</v>
      </c>
      <c r="T99" s="62">
        <v>36.799999999999997</v>
      </c>
      <c r="U99" s="62">
        <v>41.7</v>
      </c>
      <c r="V99" s="62">
        <v>32.799999999999997</v>
      </c>
      <c r="W99" s="62">
        <v>16.3</v>
      </c>
      <c r="X99" s="62">
        <v>12.8</v>
      </c>
      <c r="Y99" s="62">
        <v>20.2</v>
      </c>
      <c r="Z99" s="62">
        <v>9.1</v>
      </c>
      <c r="AA99" s="62">
        <v>20.3</v>
      </c>
      <c r="AB99" s="125">
        <v>15.4</v>
      </c>
      <c r="AC99" s="125"/>
      <c r="AD99" s="125"/>
      <c r="AE99" s="125">
        <v>26.7</v>
      </c>
      <c r="AF99" s="125">
        <v>49</v>
      </c>
      <c r="AG99" s="127"/>
      <c r="AH99" s="53">
        <f t="shared" si="22"/>
        <v>79.7</v>
      </c>
      <c r="AI99" s="120">
        <f t="shared" si="23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1585.2400000000002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2078/10/20)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1022.04</v>
      </c>
      <c r="U213" s="173">
        <f t="shared" si="60"/>
        <v>997.04</v>
      </c>
      <c r="V213" s="173">
        <f t="shared" si="60"/>
        <v>969.04</v>
      </c>
      <c r="W213" s="173">
        <f t="shared" si="60"/>
        <v>956.24</v>
      </c>
      <c r="X213" s="173">
        <f t="shared" si="60"/>
        <v>970.63999999999987</v>
      </c>
      <c r="Y213" s="173">
        <f t="shared" si="60"/>
        <v>995.74</v>
      </c>
      <c r="Z213" s="173">
        <f t="shared" si="60"/>
        <v>1041.6399999999999</v>
      </c>
      <c r="AA213" s="173">
        <f t="shared" si="60"/>
        <v>1139.6399999999999</v>
      </c>
      <c r="AB213" s="173">
        <f t="shared" si="60"/>
        <v>1227.8399999999999</v>
      </c>
      <c r="AC213" s="173">
        <f t="shared" si="60"/>
        <v>1391.24</v>
      </c>
      <c r="AD213" s="173">
        <f t="shared" si="60"/>
        <v>1546.6400000000003</v>
      </c>
      <c r="AE213" s="173">
        <f t="shared" si="60"/>
        <v>1585.2400000000002</v>
      </c>
      <c r="AF213" s="173">
        <f t="shared" si="60"/>
        <v>1532.24</v>
      </c>
      <c r="AG213" s="173">
        <f t="shared" si="60"/>
        <v>1504.54</v>
      </c>
      <c r="AH213" s="173">
        <f t="shared" si="60"/>
        <v>1420.74</v>
      </c>
      <c r="AI213" s="173">
        <f t="shared" si="60"/>
        <v>1399.94</v>
      </c>
      <c r="AJ213" s="173">
        <f t="shared" si="60"/>
        <v>1333.04</v>
      </c>
      <c r="AK213" s="173">
        <f t="shared" si="60"/>
        <v>1284.6399999999999</v>
      </c>
      <c r="AL213" s="173">
        <f t="shared" si="60"/>
        <v>1335.02</v>
      </c>
      <c r="AM213" s="173">
        <f t="shared" si="60"/>
        <v>1381.34</v>
      </c>
      <c r="AN213" s="173">
        <f t="shared" si="60"/>
        <v>1372.64</v>
      </c>
      <c r="AO213" s="173">
        <f t="shared" si="60"/>
        <v>1420.14</v>
      </c>
      <c r="AP213" s="173">
        <f t="shared" si="60"/>
        <v>1559.6399999999999</v>
      </c>
      <c r="AQ213" s="173">
        <f t="shared" si="60"/>
        <v>1610.74</v>
      </c>
      <c r="AR213" s="173">
        <f t="shared" si="60"/>
        <v>1540.54</v>
      </c>
      <c r="AS213" s="173">
        <f t="shared" si="60"/>
        <v>1510.24</v>
      </c>
      <c r="AT213" s="173">
        <f t="shared" si="60"/>
        <v>1459.04</v>
      </c>
      <c r="AU213" s="173">
        <f t="shared" si="60"/>
        <v>3.54</v>
      </c>
      <c r="AV213" s="173">
        <f t="shared" si="60"/>
        <v>3.54</v>
      </c>
      <c r="AW213" s="173">
        <f t="shared" si="60"/>
        <v>960.24</v>
      </c>
      <c r="AX213" s="173">
        <f t="shared" si="60"/>
        <v>914.83999999999992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9">
      <iconSet iconSet="3TrafficLights2" reverse="1">
        <cfvo type="percent" val="0"/>
        <cfvo type="num" val="1"/>
        <cfvo type="num" val="1"/>
      </iconSet>
    </cfRule>
  </conditionalFormatting>
  <conditionalFormatting sqref="Q39:R39 M58:W59 X85:AA91 AB16:AE22 Q40:AE41 AB81:AF81 B81:R81 C56:AF56 B82:AF83 D193:AF199 B193:B199 C68:AF72 AB84:AF91 B84:B91 B73:AF80 B9:AF10 B191:AF191 AF57:AF67 AG73 AB94:AF99 B94:B99 U212:AF212 B53:B72 J60:R61 J57:L59 C57:I61 M37:R37 M39:P42 Q42:S42 M53:AF55 M11:AE14 AB42:AE43 V42:AA42 AC23:AE26 AC28:AF31 AC36:AF36 AF12:AF14 AF16:AF26">
    <cfRule type="expression" dxfId="4595" priority="475">
      <formula>B$9&gt;=20/24</formula>
    </cfRule>
    <cfRule type="expression" dxfId="4594" priority="476">
      <formula>AND(B$9&gt;=14/24,B$9&lt;20/24)</formula>
    </cfRule>
    <cfRule type="expression" dxfId="4593" priority="477">
      <formula>AND(B$9&gt;=8/24,B$9&lt;14/24)</formula>
    </cfRule>
    <cfRule type="expression" dxfId="4592" priority="478">
      <formula>B$9&lt;8/24</formula>
    </cfRule>
  </conditionalFormatting>
  <conditionalFormatting sqref="AL4:AL6">
    <cfRule type="iconSet" priority="47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591" priority="470">
      <formula>M$9&gt;=20/24</formula>
    </cfRule>
    <cfRule type="expression" dxfId="4590" priority="471">
      <formula>AND(M$9&gt;=14/24,M$9&lt;20/24)</formula>
    </cfRule>
    <cfRule type="expression" dxfId="4589" priority="472">
      <formula>AND(M$9&gt;=8/24,M$9&lt;14/24)</formula>
    </cfRule>
    <cfRule type="expression" dxfId="4588" priority="473">
      <formula>M$9&lt;8/24</formula>
    </cfRule>
  </conditionalFormatting>
  <conditionalFormatting sqref="M43:V43">
    <cfRule type="expression" dxfId="4587" priority="466">
      <formula>M$9&gt;=20/24</formula>
    </cfRule>
    <cfRule type="expression" dxfId="4586" priority="467">
      <formula>AND(M$9&gt;=14/24,M$9&lt;20/24)</formula>
    </cfRule>
    <cfRule type="expression" dxfId="4585" priority="468">
      <formula>AND(M$9&gt;=8/24,M$9&lt;14/24)</formula>
    </cfRule>
    <cfRule type="expression" dxfId="4584" priority="469">
      <formula>M$9&lt;8/24</formula>
    </cfRule>
  </conditionalFormatting>
  <conditionalFormatting sqref="AC32:AF32">
    <cfRule type="expression" dxfId="4583" priority="462">
      <formula>AC$9&gt;=20/24</formula>
    </cfRule>
    <cfRule type="expression" dxfId="4582" priority="463">
      <formula>AND(AC$9&gt;=14/24,AC$9&lt;20/24)</formula>
    </cfRule>
    <cfRule type="expression" dxfId="4581" priority="464">
      <formula>AND(AC$9&gt;=8/24,AC$9&lt;14/24)</formula>
    </cfRule>
    <cfRule type="expression" dxfId="4580" priority="465">
      <formula>AC$9&lt;8/24</formula>
    </cfRule>
  </conditionalFormatting>
  <conditionalFormatting sqref="S39:AE39">
    <cfRule type="expression" dxfId="4579" priority="458">
      <formula>S$9&gt;=20/24</formula>
    </cfRule>
    <cfRule type="expression" dxfId="4578" priority="459">
      <formula>AND(S$9&gt;=14/24,S$9&lt;20/24)</formula>
    </cfRule>
    <cfRule type="expression" dxfId="4577" priority="460">
      <formula>AND(S$9&gt;=8/24,S$9&lt;14/24)</formula>
    </cfRule>
    <cfRule type="expression" dxfId="4576" priority="461">
      <formula>S$9&lt;8/24</formula>
    </cfRule>
  </conditionalFormatting>
  <conditionalFormatting sqref="S57:AE57">
    <cfRule type="expression" dxfId="4575" priority="454">
      <formula>S$9&gt;=20/24</formula>
    </cfRule>
    <cfRule type="expression" dxfId="4574" priority="455">
      <formula>AND(S$9&gt;=14/24,S$9&lt;20/24)</formula>
    </cfRule>
    <cfRule type="expression" dxfId="4573" priority="456">
      <formula>AND(S$9&gt;=8/24,S$9&lt;14/24)</formula>
    </cfRule>
    <cfRule type="expression" dxfId="4572" priority="457">
      <formula>S$9&lt;8/24</formula>
    </cfRule>
  </conditionalFormatting>
  <conditionalFormatting sqref="S81:AA81">
    <cfRule type="expression" dxfId="4571" priority="450">
      <formula>S$9&gt;=20/24</formula>
    </cfRule>
    <cfRule type="expression" dxfId="4570" priority="451">
      <formula>AND(S$9&gt;=14/24,S$9&lt;20/24)</formula>
    </cfRule>
    <cfRule type="expression" dxfId="4569" priority="452">
      <formula>AND(S$9&gt;=8/24,S$9&lt;14/24)</formula>
    </cfRule>
    <cfRule type="expression" dxfId="4568" priority="453">
      <formula>S$9&lt;8/24</formula>
    </cfRule>
  </conditionalFormatting>
  <conditionalFormatting sqref="U84:AA84">
    <cfRule type="expression" dxfId="4567" priority="446">
      <formula>U$9&gt;=20/24</formula>
    </cfRule>
    <cfRule type="expression" dxfId="4566" priority="447">
      <formula>AND(U$9&gt;=14/24,U$9&lt;20/24)</formula>
    </cfRule>
    <cfRule type="expression" dxfId="4565" priority="448">
      <formula>AND(U$9&gt;=8/24,U$9&lt;14/24)</formula>
    </cfRule>
    <cfRule type="expression" dxfId="4564" priority="449">
      <formula>U$9&lt;8/24</formula>
    </cfRule>
  </conditionalFormatting>
  <conditionalFormatting sqref="S37:AE37">
    <cfRule type="expression" dxfId="4563" priority="426">
      <formula>S$9&gt;=20/24</formula>
    </cfRule>
    <cfRule type="expression" dxfId="4562" priority="427">
      <formula>AND(S$9&gt;=14/24,S$9&lt;20/24)</formula>
    </cfRule>
    <cfRule type="expression" dxfId="4561" priority="428">
      <formula>AND(S$9&gt;=8/24,S$9&lt;14/24)</formula>
    </cfRule>
    <cfRule type="expression" dxfId="4560" priority="429">
      <formula>S$9&lt;8/24</formula>
    </cfRule>
  </conditionalFormatting>
  <conditionalFormatting sqref="AC35:AF35">
    <cfRule type="expression" dxfId="4559" priority="422">
      <formula>AC$9&gt;=20/24</formula>
    </cfRule>
    <cfRule type="expression" dxfId="4558" priority="423">
      <formula>AND(AC$9&gt;=14/24,AC$9&lt;20/24)</formula>
    </cfRule>
    <cfRule type="expression" dxfId="4557" priority="424">
      <formula>AND(AC$9&gt;=8/24,AC$9&lt;14/24)</formula>
    </cfRule>
    <cfRule type="expression" dxfId="4556" priority="425">
      <formula>AC$9&lt;8/24</formula>
    </cfRule>
  </conditionalFormatting>
  <conditionalFormatting sqref="T42:U42 W43:AA43 Y45:AF48">
    <cfRule type="expression" dxfId="4555" priority="418">
      <formula>T$9&gt;=20/24</formula>
    </cfRule>
    <cfRule type="expression" dxfId="4554" priority="419">
      <formula>AND(T$9&gt;=14/24,T$9&lt;20/24)</formula>
    </cfRule>
    <cfRule type="expression" dxfId="4553" priority="420">
      <formula>AND(T$9&gt;=8/24,T$9&lt;14/24)</formula>
    </cfRule>
    <cfRule type="expression" dxfId="4552" priority="421">
      <formula>T$9&lt;8/24</formula>
    </cfRule>
  </conditionalFormatting>
  <conditionalFormatting sqref="Y49:AF49">
    <cfRule type="expression" dxfId="4551" priority="414">
      <formula>Y$9&gt;=20/24</formula>
    </cfRule>
    <cfRule type="expression" dxfId="4550" priority="415">
      <formula>AND(Y$9&gt;=14/24,Y$9&lt;20/24)</formula>
    </cfRule>
    <cfRule type="expression" dxfId="4549" priority="416">
      <formula>AND(Y$9&gt;=8/24,Y$9&lt;14/24)</formula>
    </cfRule>
    <cfRule type="expression" dxfId="4548" priority="417">
      <formula>Y$9&lt;8/24</formula>
    </cfRule>
  </conditionalFormatting>
  <conditionalFormatting sqref="Y50:AF50">
    <cfRule type="expression" dxfId="4547" priority="410">
      <formula>Y$9&gt;=20/24</formula>
    </cfRule>
    <cfRule type="expression" dxfId="4546" priority="411">
      <formula>AND(Y$9&gt;=14/24,Y$9&lt;20/24)</formula>
    </cfRule>
    <cfRule type="expression" dxfId="4545" priority="412">
      <formula>AND(Y$9&gt;=8/24,Y$9&lt;14/24)</formula>
    </cfRule>
    <cfRule type="expression" dxfId="4544" priority="413">
      <formula>Y$9&lt;8/24</formula>
    </cfRule>
  </conditionalFormatting>
  <conditionalFormatting sqref="S60:T61 X60:AE67">
    <cfRule type="expression" dxfId="4543" priority="406">
      <formula>S$9&gt;=20/24</formula>
    </cfRule>
    <cfRule type="expression" dxfId="4542" priority="407">
      <formula>AND(S$9&gt;=14/24,S$9&lt;20/24)</formula>
    </cfRule>
    <cfRule type="expression" dxfId="4541" priority="408">
      <formula>AND(S$9&gt;=8/24,S$9&lt;14/24)</formula>
    </cfRule>
    <cfRule type="expression" dxfId="4540" priority="409">
      <formula>S$9&lt;8/24</formula>
    </cfRule>
  </conditionalFormatting>
  <conditionalFormatting sqref="C63:E67 C62:I62 J62:L67">
    <cfRule type="expression" dxfId="4539" priority="402">
      <formula>C$9&gt;=20/24</formula>
    </cfRule>
    <cfRule type="expression" dxfId="4538" priority="403">
      <formula>AND(C$9&gt;=14/24,C$9&lt;20/24)</formula>
    </cfRule>
    <cfRule type="expression" dxfId="4537" priority="404">
      <formula>AND(C$9&gt;=8/24,C$9&lt;14/24)</formula>
    </cfRule>
    <cfRule type="expression" dxfId="4536" priority="405">
      <formula>C$9&lt;8/24</formula>
    </cfRule>
  </conditionalFormatting>
  <conditionalFormatting sqref="U94:AA97">
    <cfRule type="expression" dxfId="4535" priority="398">
      <formula>U$9&gt;=20/24</formula>
    </cfRule>
    <cfRule type="expression" dxfId="4534" priority="399">
      <formula>AND(U$9&gt;=14/24,U$9&lt;20/24)</formula>
    </cfRule>
    <cfRule type="expression" dxfId="4533" priority="400">
      <formula>AND(U$9&gt;=8/24,U$9&lt;14/24)</formula>
    </cfRule>
    <cfRule type="expression" dxfId="4532" priority="401">
      <formula>U$9&lt;8/24</formula>
    </cfRule>
  </conditionalFormatting>
  <conditionalFormatting sqref="AG51 C12:D14 D22 C44 B43:C43 Z11:AF11 E43:G44 F45:G45 B11:H11 G12:H13 J11:S11 J12:K12 I11:I13 K13:K14 J13 H43:J45 B39:J42 H14:J14 M42:M44 K42:L45 M12:S14 K39:AF41 Y45:Y50 T11:Y14 B51:AF56 AB12:AE22 B37:AF38 N43:Y44 Z43:Z50 Z12:AA14 N42:Z42 AC23:AE32 AC34:AF36 AF12:AF32 AA42:AF50">
    <cfRule type="expression" dxfId="4531" priority="397">
      <formula>B11&gt;$AG11</formula>
    </cfRule>
  </conditionalFormatting>
  <conditionalFormatting sqref="A100:A156 A84:A97 A11:A14 A16:A32 A45:A72 A80:A82 A74:A78 A35:A43 A169:A199">
    <cfRule type="expression" dxfId="4530" priority="396">
      <formula>$AH11=0</formula>
    </cfRule>
  </conditionalFormatting>
  <conditionalFormatting sqref="U98:AA98">
    <cfRule type="expression" dxfId="4529" priority="392">
      <formula>U$9&gt;=20/24</formula>
    </cfRule>
    <cfRule type="expression" dxfId="4528" priority="393">
      <formula>AND(U$9&gt;=14/24,U$9&lt;20/24)</formula>
    </cfRule>
    <cfRule type="expression" dxfId="4527" priority="394">
      <formula>AND(U$9&gt;=8/24,U$9&lt;14/24)</formula>
    </cfRule>
    <cfRule type="expression" dxfId="4526" priority="395">
      <formula>U$9&lt;8/24</formula>
    </cfRule>
  </conditionalFormatting>
  <conditionalFormatting sqref="A98">
    <cfRule type="expression" dxfId="4525" priority="391">
      <formula>$AH98=0</formula>
    </cfRule>
  </conditionalFormatting>
  <conditionalFormatting sqref="F63:I67">
    <cfRule type="expression" dxfId="4524" priority="383">
      <formula>F$9&gt;=20/24</formula>
    </cfRule>
    <cfRule type="expression" dxfId="4523" priority="384">
      <formula>AND(F$9&gt;=14/24,F$9&lt;20/24)</formula>
    </cfRule>
    <cfRule type="expression" dxfId="4522" priority="385">
      <formula>AND(F$9&gt;=8/24,F$9&lt;14/24)</formula>
    </cfRule>
    <cfRule type="expression" dxfId="4521" priority="386">
      <formula>F$9&lt;8/24</formula>
    </cfRule>
  </conditionalFormatting>
  <conditionalFormatting sqref="M62:T67">
    <cfRule type="expression" dxfId="4520" priority="379">
      <formula>M$9&gt;=20/24</formula>
    </cfRule>
    <cfRule type="expression" dxfId="4519" priority="380">
      <formula>AND(M$9&gt;=14/24,M$9&lt;20/24)</formula>
    </cfRule>
    <cfRule type="expression" dxfId="4518" priority="381">
      <formula>AND(M$9&gt;=8/24,M$9&lt;14/24)</formula>
    </cfRule>
    <cfRule type="expression" dxfId="4517" priority="382">
      <formula>M$9&lt;8/24</formula>
    </cfRule>
  </conditionalFormatting>
  <conditionalFormatting sqref="AL32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AC34:AF34">
    <cfRule type="expression" dxfId="4516" priority="374">
      <formula>AC$9&gt;=20/24</formula>
    </cfRule>
    <cfRule type="expression" dxfId="4515" priority="375">
      <formula>AND(AC$9&gt;=14/24,AC$9&lt;20/24)</formula>
    </cfRule>
    <cfRule type="expression" dxfId="4514" priority="376">
      <formula>AND(AC$9&gt;=8/24,AC$9&lt;14/24)</formula>
    </cfRule>
    <cfRule type="expression" dxfId="4513" priority="377">
      <formula>AC$9&lt;8/24</formula>
    </cfRule>
  </conditionalFormatting>
  <conditionalFormatting sqref="A34">
    <cfRule type="expression" dxfId="4512" priority="365">
      <formula>$AH34=0</formula>
    </cfRule>
  </conditionalFormatting>
  <conditionalFormatting sqref="A83">
    <cfRule type="expression" dxfId="4511" priority="364">
      <formula>$AH83=0</formula>
    </cfRule>
  </conditionalFormatting>
  <conditionalFormatting sqref="AB15:AF15">
    <cfRule type="expression" dxfId="4510" priority="360">
      <formula>AB$9&gt;=20/24</formula>
    </cfRule>
    <cfRule type="expression" dxfId="4509" priority="361">
      <formula>AND(AB$9&gt;=14/24,AB$9&lt;20/24)</formula>
    </cfRule>
    <cfRule type="expression" dxfId="4508" priority="362">
      <formula>AND(AB$9&gt;=8/24,AB$9&lt;14/24)</formula>
    </cfRule>
    <cfRule type="expression" dxfId="4507" priority="363">
      <formula>AB$9&lt;8/24</formula>
    </cfRule>
  </conditionalFormatting>
  <conditionalFormatting sqref="M15:AA15">
    <cfRule type="expression" dxfId="4506" priority="356">
      <formula>M$9&gt;=20/24</formula>
    </cfRule>
    <cfRule type="expression" dxfId="4505" priority="357">
      <formula>AND(M$9&gt;=14/24,M$9&lt;20/24)</formula>
    </cfRule>
    <cfRule type="expression" dxfId="4504" priority="358">
      <formula>AND(M$9&gt;=8/24,M$9&lt;14/24)</formula>
    </cfRule>
    <cfRule type="expression" dxfId="4503" priority="359">
      <formula>M$9&lt;8/24</formula>
    </cfRule>
  </conditionalFormatting>
  <conditionalFormatting sqref="C15 M15:AA15">
    <cfRule type="expression" dxfId="4502" priority="355">
      <formula>C15&gt;$AG15</formula>
    </cfRule>
  </conditionalFormatting>
  <conditionalFormatting sqref="A15">
    <cfRule type="expression" dxfId="4501" priority="354">
      <formula>$AH15=0</formula>
    </cfRule>
  </conditionalFormatting>
  <conditionalFormatting sqref="A163:A168">
    <cfRule type="expression" dxfId="4500" priority="353">
      <formula>$AH163=0</formula>
    </cfRule>
  </conditionalFormatting>
  <conditionalFormatting sqref="A157:A162">
    <cfRule type="expression" dxfId="4499" priority="352">
      <formula>$AH157=0</formula>
    </cfRule>
  </conditionalFormatting>
  <conditionalFormatting sqref="AB44:AE44">
    <cfRule type="expression" dxfId="4498" priority="348">
      <formula>AB$9&gt;=20/24</formula>
    </cfRule>
    <cfRule type="expression" dxfId="4497" priority="349">
      <formula>AND(AB$9&gt;=14/24,AB$9&lt;20/24)</formula>
    </cfRule>
    <cfRule type="expression" dxfId="4496" priority="350">
      <formula>AND(AB$9&gt;=8/24,AB$9&lt;14/24)</formula>
    </cfRule>
    <cfRule type="expression" dxfId="4495" priority="351">
      <formula>AB$9&lt;8/24</formula>
    </cfRule>
  </conditionalFormatting>
  <conditionalFormatting sqref="M44:W44">
    <cfRule type="expression" dxfId="4494" priority="344">
      <formula>M$9&gt;=20/24</formula>
    </cfRule>
    <cfRule type="expression" dxfId="4493" priority="345">
      <formula>AND(M$9&gt;=14/24,M$9&lt;20/24)</formula>
    </cfRule>
    <cfRule type="expression" dxfId="4492" priority="346">
      <formula>AND(M$9&gt;=8/24,M$9&lt;14/24)</formula>
    </cfRule>
    <cfRule type="expression" dxfId="4491" priority="347">
      <formula>M$9&lt;8/24</formula>
    </cfRule>
  </conditionalFormatting>
  <conditionalFormatting sqref="X44:AA44">
    <cfRule type="expression" dxfId="4490" priority="340">
      <formula>X$9&gt;=20/24</formula>
    </cfRule>
    <cfRule type="expression" dxfId="4489" priority="341">
      <formula>AND(X$9&gt;=14/24,X$9&lt;20/24)</formula>
    </cfRule>
    <cfRule type="expression" dxfId="4488" priority="342">
      <formula>AND(X$9&gt;=8/24,X$9&lt;14/24)</formula>
    </cfRule>
    <cfRule type="expression" dxfId="4487" priority="343">
      <formula>X$9&lt;8/24</formula>
    </cfRule>
  </conditionalFormatting>
  <conditionalFormatting sqref="A44">
    <cfRule type="expression" dxfId="4486" priority="339">
      <formula>$AH44=0</formula>
    </cfRule>
  </conditionalFormatting>
  <conditionalFormatting sqref="A79">
    <cfRule type="expression" dxfId="4485" priority="338">
      <formula>$AH79=0</formula>
    </cfRule>
  </conditionalFormatting>
  <conditionalFormatting sqref="A73">
    <cfRule type="expression" dxfId="4484" priority="337">
      <formula>$AH73=0</formula>
    </cfRule>
  </conditionalFormatting>
  <conditionalFormatting sqref="AL34:AL35 AL7:AL31">
    <cfRule type="iconSet" priority="481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4483" priority="333">
      <formula>U$9&gt;=20/24</formula>
    </cfRule>
    <cfRule type="expression" dxfId="4482" priority="334">
      <formula>AND(U$9&gt;=14/24,U$9&lt;20/24)</formula>
    </cfRule>
    <cfRule type="expression" dxfId="4481" priority="335">
      <formula>AND(U$9&gt;=8/24,U$9&lt;14/24)</formula>
    </cfRule>
    <cfRule type="expression" dxfId="4480" priority="336">
      <formula>U$9&lt;8/24</formula>
    </cfRule>
  </conditionalFormatting>
  <conditionalFormatting sqref="U85:W91">
    <cfRule type="expression" dxfId="4479" priority="329">
      <formula>U$9&gt;=20/24</formula>
    </cfRule>
    <cfRule type="expression" dxfId="4478" priority="330">
      <formula>AND(U$9&gt;=14/24,U$9&lt;20/24)</formula>
    </cfRule>
    <cfRule type="expression" dxfId="4477" priority="331">
      <formula>AND(U$9&gt;=8/24,U$9&lt;14/24)</formula>
    </cfRule>
    <cfRule type="expression" dxfId="4476" priority="332">
      <formula>U$9&lt;8/24</formula>
    </cfRule>
  </conditionalFormatting>
  <conditionalFormatting sqref="S85:T91 C84:R91">
    <cfRule type="expression" dxfId="4475" priority="325">
      <formula>C$9&gt;=20/24</formula>
    </cfRule>
    <cfRule type="expression" dxfId="4474" priority="326">
      <formula>AND(C$9&gt;=14/24,C$9&lt;20/24)</formula>
    </cfRule>
    <cfRule type="expression" dxfId="4473" priority="327">
      <formula>AND(C$9&gt;=8/24,C$9&lt;14/24)</formula>
    </cfRule>
    <cfRule type="expression" dxfId="4472" priority="328">
      <formula>C$9&lt;8/24</formula>
    </cfRule>
  </conditionalFormatting>
  <conditionalFormatting sqref="S84:T84">
    <cfRule type="expression" dxfId="4471" priority="321">
      <formula>S$9&gt;=20/24</formula>
    </cfRule>
    <cfRule type="expression" dxfId="4470" priority="322">
      <formula>AND(S$9&gt;=14/24,S$9&lt;20/24)</formula>
    </cfRule>
    <cfRule type="expression" dxfId="4469" priority="323">
      <formula>AND(S$9&gt;=8/24,S$9&lt;14/24)</formula>
    </cfRule>
    <cfRule type="expression" dxfId="4468" priority="324">
      <formula>S$9&lt;8/24</formula>
    </cfRule>
  </conditionalFormatting>
  <conditionalFormatting sqref="C95:M97 C94:F94">
    <cfRule type="expression" dxfId="4467" priority="317">
      <formula>C$9&gt;=20/24</formula>
    </cfRule>
    <cfRule type="expression" dxfId="4466" priority="318">
      <formula>AND(C$9&gt;=14/24,C$9&lt;20/24)</formula>
    </cfRule>
    <cfRule type="expression" dxfId="4465" priority="319">
      <formula>AND(C$9&gt;=8/24,C$9&lt;14/24)</formula>
    </cfRule>
    <cfRule type="expression" dxfId="4464" priority="320">
      <formula>C$9&lt;8/24</formula>
    </cfRule>
  </conditionalFormatting>
  <conditionalFormatting sqref="N95:R97 O94:R94">
    <cfRule type="expression" dxfId="4463" priority="313">
      <formula>N$9&gt;=20/24</formula>
    </cfRule>
    <cfRule type="expression" dxfId="4462" priority="314">
      <formula>AND(N$9&gt;=14/24,N$9&lt;20/24)</formula>
    </cfRule>
    <cfRule type="expression" dxfId="4461" priority="315">
      <formula>AND(N$9&gt;=8/24,N$9&lt;14/24)</formula>
    </cfRule>
    <cfRule type="expression" dxfId="4460" priority="316">
      <formula>N$9&lt;8/24</formula>
    </cfRule>
  </conditionalFormatting>
  <conditionalFormatting sqref="S94:T97">
    <cfRule type="expression" dxfId="4459" priority="309">
      <formula>S$9&gt;=20/24</formula>
    </cfRule>
    <cfRule type="expression" dxfId="4458" priority="310">
      <formula>AND(S$9&gt;=14/24,S$9&lt;20/24)</formula>
    </cfRule>
    <cfRule type="expression" dxfId="4457" priority="311">
      <formula>AND(S$9&gt;=8/24,S$9&lt;14/24)</formula>
    </cfRule>
    <cfRule type="expression" dxfId="4456" priority="312">
      <formula>S$9&lt;8/24</formula>
    </cfRule>
  </conditionalFormatting>
  <conditionalFormatting sqref="C98:M98">
    <cfRule type="expression" dxfId="4455" priority="305">
      <formula>C$9&gt;=20/24</formula>
    </cfRule>
    <cfRule type="expression" dxfId="4454" priority="306">
      <formula>AND(C$9&gt;=14/24,C$9&lt;20/24)</formula>
    </cfRule>
    <cfRule type="expression" dxfId="4453" priority="307">
      <formula>AND(C$9&gt;=8/24,C$9&lt;14/24)</formula>
    </cfRule>
    <cfRule type="expression" dxfId="4452" priority="308">
      <formula>C$9&lt;8/24</formula>
    </cfRule>
  </conditionalFormatting>
  <conditionalFormatting sqref="N98:R98">
    <cfRule type="expression" dxfId="4451" priority="301">
      <formula>N$9&gt;=20/24</formula>
    </cfRule>
    <cfRule type="expression" dxfId="4450" priority="302">
      <formula>AND(N$9&gt;=14/24,N$9&lt;20/24)</formula>
    </cfRule>
    <cfRule type="expression" dxfId="4449" priority="303">
      <formula>AND(N$9&gt;=8/24,N$9&lt;14/24)</formula>
    </cfRule>
    <cfRule type="expression" dxfId="4448" priority="304">
      <formula>N$9&lt;8/24</formula>
    </cfRule>
  </conditionalFormatting>
  <conditionalFormatting sqref="S98:T98">
    <cfRule type="expression" dxfId="4447" priority="297">
      <formula>S$9&gt;=20/24</formula>
    </cfRule>
    <cfRule type="expression" dxfId="4446" priority="298">
      <formula>AND(S$9&gt;=14/24,S$9&lt;20/24)</formula>
    </cfRule>
    <cfRule type="expression" dxfId="4445" priority="299">
      <formula>AND(S$9&gt;=8/24,S$9&lt;14/24)</formula>
    </cfRule>
    <cfRule type="expression" dxfId="4444" priority="300">
      <formula>S$9&lt;8/24</formula>
    </cfRule>
  </conditionalFormatting>
  <conditionalFormatting sqref="M94:N94">
    <cfRule type="expression" dxfId="4443" priority="293">
      <formula>M$9&gt;=20/24</formula>
    </cfRule>
    <cfRule type="expression" dxfId="4442" priority="294">
      <formula>AND(M$9&gt;=14/24,M$9&lt;20/24)</formula>
    </cfRule>
    <cfRule type="expression" dxfId="4441" priority="295">
      <formula>AND(M$9&gt;=8/24,M$9&lt;14/24)</formula>
    </cfRule>
    <cfRule type="expression" dxfId="4440" priority="296">
      <formula>M$9&lt;8/24</formula>
    </cfRule>
  </conditionalFormatting>
  <conditionalFormatting sqref="G94:L94">
    <cfRule type="expression" dxfId="4439" priority="289">
      <formula>G$9&gt;=20/24</formula>
    </cfRule>
    <cfRule type="expression" dxfId="4438" priority="290">
      <formula>AND(G$9&gt;=14/24,G$9&lt;20/24)</formula>
    </cfRule>
    <cfRule type="expression" dxfId="4437" priority="291">
      <formula>AND(G$9&gt;=8/24,G$9&lt;14/24)</formula>
    </cfRule>
    <cfRule type="expression" dxfId="4436" priority="292">
      <formula>G$9&lt;8/24</formula>
    </cfRule>
  </conditionalFormatting>
  <conditionalFormatting sqref="U94:W94">
    <cfRule type="expression" dxfId="4435" priority="285">
      <formula>U$9&gt;=20/24</formula>
    </cfRule>
    <cfRule type="expression" dxfId="4434" priority="286">
      <formula>AND(U$9&gt;=14/24,U$9&lt;20/24)</formula>
    </cfRule>
    <cfRule type="expression" dxfId="4433" priority="287">
      <formula>AND(U$9&gt;=8/24,U$9&lt;14/24)</formula>
    </cfRule>
    <cfRule type="expression" dxfId="4432" priority="288">
      <formula>U$9&lt;8/24</formula>
    </cfRule>
  </conditionalFormatting>
  <conditionalFormatting sqref="N94:T94">
    <cfRule type="expression" dxfId="4431" priority="281">
      <formula>N$9&gt;=20/24</formula>
    </cfRule>
    <cfRule type="expression" dxfId="4430" priority="282">
      <formula>AND(N$9&gt;=14/24,N$9&lt;20/24)</formula>
    </cfRule>
    <cfRule type="expression" dxfId="4429" priority="283">
      <formula>AND(N$9&gt;=8/24,N$9&lt;14/24)</formula>
    </cfRule>
    <cfRule type="expression" dxfId="4428" priority="284">
      <formula>N$9&lt;8/24</formula>
    </cfRule>
  </conditionalFormatting>
  <conditionalFormatting sqref="U99:AA99">
    <cfRule type="expression" dxfId="4427" priority="277">
      <formula>U$9&gt;=20/24</formula>
    </cfRule>
    <cfRule type="expression" dxfId="4426" priority="278">
      <formula>AND(U$9&gt;=14/24,U$9&lt;20/24)</formula>
    </cfRule>
    <cfRule type="expression" dxfId="4425" priority="279">
      <formula>AND(U$9&gt;=8/24,U$9&lt;14/24)</formula>
    </cfRule>
    <cfRule type="expression" dxfId="4424" priority="280">
      <formula>U$9&lt;8/24</formula>
    </cfRule>
  </conditionalFormatting>
  <conditionalFormatting sqref="C99:M99">
    <cfRule type="expression" dxfId="4423" priority="273">
      <formula>C$9&gt;=20/24</formula>
    </cfRule>
    <cfRule type="expression" dxfId="4422" priority="274">
      <formula>AND(C$9&gt;=14/24,C$9&lt;20/24)</formula>
    </cfRule>
    <cfRule type="expression" dxfId="4421" priority="275">
      <formula>AND(C$9&gt;=8/24,C$9&lt;14/24)</formula>
    </cfRule>
    <cfRule type="expression" dxfId="4420" priority="276">
      <formula>C$9&lt;8/24</formula>
    </cfRule>
  </conditionalFormatting>
  <conditionalFormatting sqref="N99:R99">
    <cfRule type="expression" dxfId="4419" priority="269">
      <formula>N$9&gt;=20/24</formula>
    </cfRule>
    <cfRule type="expression" dxfId="4418" priority="270">
      <formula>AND(N$9&gt;=14/24,N$9&lt;20/24)</formula>
    </cfRule>
    <cfRule type="expression" dxfId="4417" priority="271">
      <formula>AND(N$9&gt;=8/24,N$9&lt;14/24)</formula>
    </cfRule>
    <cfRule type="expression" dxfId="4416" priority="272">
      <formula>N$9&lt;8/24</formula>
    </cfRule>
  </conditionalFormatting>
  <conditionalFormatting sqref="S99:T99">
    <cfRule type="expression" dxfId="4415" priority="265">
      <formula>S$9&gt;=20/24</formula>
    </cfRule>
    <cfRule type="expression" dxfId="4414" priority="266">
      <formula>AND(S$9&gt;=14/24,S$9&lt;20/24)</formula>
    </cfRule>
    <cfRule type="expression" dxfId="4413" priority="267">
      <formula>AND(S$9&gt;=8/24,S$9&lt;14/24)</formula>
    </cfRule>
    <cfRule type="expression" dxfId="4412" priority="268">
      <formula>S$9&lt;8/24</formula>
    </cfRule>
  </conditionalFormatting>
  <conditionalFormatting sqref="AB58:AE59">
    <cfRule type="expression" dxfId="4411" priority="249">
      <formula>AB$9&gt;=20/24</formula>
    </cfRule>
    <cfRule type="expression" dxfId="4410" priority="250">
      <formula>AND(AB$9&gt;=14/24,AB$9&lt;20/24)</formula>
    </cfRule>
    <cfRule type="expression" dxfId="4409" priority="251">
      <formula>AND(AB$9&gt;=8/24,AB$9&lt;14/24)</formula>
    </cfRule>
    <cfRule type="expression" dxfId="4408" priority="252">
      <formula>AB$9&lt;8/24</formula>
    </cfRule>
  </conditionalFormatting>
  <conditionalFormatting sqref="AL3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07" priority="482">
      <formula>C$9&gt;=20/24</formula>
    </cfRule>
    <cfRule type="expression" dxfId="4406" priority="483">
      <formula>AND(C$9&gt;=14/24,C$9&lt;20/24)</formula>
    </cfRule>
    <cfRule type="expression" dxfId="4405" priority="484">
      <formula>AND(C$9&gt;=8/24,C$9&lt;14/24)</formula>
    </cfRule>
    <cfRule type="expression" dxfId="4404" priority="485">
      <formula>C$9&lt;8/24</formula>
    </cfRule>
  </conditionalFormatting>
  <conditionalFormatting sqref="A200">
    <cfRule type="expression" dxfId="4403" priority="486">
      <formula>$AH200=0</formula>
    </cfRule>
  </conditionalFormatting>
  <conditionalFormatting sqref="AG212">
    <cfRule type="expression" dxfId="4402" priority="487">
      <formula>B$9&gt;=20/24</formula>
    </cfRule>
    <cfRule type="expression" dxfId="4401" priority="488">
      <formula>AND(B$9&gt;=14/24,B$9&lt;20/24)</formula>
    </cfRule>
    <cfRule type="expression" dxfId="4400" priority="489">
      <formula>AND(B$9&gt;=8/24,B$9&lt;14/24)</formula>
    </cfRule>
    <cfRule type="expression" dxfId="4399" priority="490">
      <formula>B$9&lt;8/24</formula>
    </cfRule>
  </conditionalFormatting>
  <conditionalFormatting sqref="S8">
    <cfRule type="expression" dxfId="4398" priority="243">
      <formula>U$9&gt;=20/24</formula>
    </cfRule>
    <cfRule type="expression" dxfId="4397" priority="244">
      <formula>AND(U$9&gt;=14/24,U$9&lt;20/24)</formula>
    </cfRule>
    <cfRule type="expression" dxfId="4396" priority="245">
      <formula>AND(U$9&gt;=8/24,U$9&lt;14/24)</formula>
    </cfRule>
    <cfRule type="expression" dxfId="4395" priority="246">
      <formula>U$9&lt;8/24</formula>
    </cfRule>
  </conditionalFormatting>
  <conditionalFormatting sqref="AB8">
    <cfRule type="expression" dxfId="4394" priority="239">
      <formula>AD$9&gt;=20/24</formula>
    </cfRule>
    <cfRule type="expression" dxfId="4393" priority="240">
      <formula>AND(AD$9&gt;=14/24,AD$9&lt;20/24)</formula>
    </cfRule>
    <cfRule type="expression" dxfId="4392" priority="241">
      <formula>AND(AD$9&gt;=8/24,AD$9&lt;14/24)</formula>
    </cfRule>
    <cfRule type="expression" dxfId="4391" priority="242">
      <formula>AD$9&lt;8/24</formula>
    </cfRule>
  </conditionalFormatting>
  <conditionalFormatting sqref="AH212:AX212">
    <cfRule type="expression" dxfId="4390" priority="491">
      <formula>AG$9&gt;=20/24</formula>
    </cfRule>
    <cfRule type="expression" dxfId="4389" priority="492">
      <formula>AND(AG$9&gt;=14/24,AG$9&lt;20/24)</formula>
    </cfRule>
    <cfRule type="expression" dxfId="4388" priority="493">
      <formula>AND(AG$9&gt;=8/24,AG$9&lt;14/24)</formula>
    </cfRule>
    <cfRule type="expression" dxfId="4387" priority="494">
      <formula>AG$9&lt;8/24</formula>
    </cfRule>
  </conditionalFormatting>
  <conditionalFormatting sqref="T212">
    <cfRule type="expression" dxfId="4386" priority="495">
      <formula>AX$9&gt;=20/24</formula>
    </cfRule>
    <cfRule type="expression" dxfId="4385" priority="496">
      <formula>AND(AX$9&gt;=14/24,AX$9&lt;20/24)</formula>
    </cfRule>
    <cfRule type="expression" dxfId="4384" priority="497">
      <formula>AND(AX$9&gt;=8/24,AX$9&lt;14/24)</formula>
    </cfRule>
    <cfRule type="expression" dxfId="4383" priority="498">
      <formula>AX$9&lt;8/24</formula>
    </cfRule>
  </conditionalFormatting>
  <conditionalFormatting sqref="A99">
    <cfRule type="expression" dxfId="4382" priority="238">
      <formula>$AH99=0</formula>
    </cfRule>
  </conditionalFormatting>
  <conditionalFormatting sqref="AC33:AF33">
    <cfRule type="expression" dxfId="4381" priority="230">
      <formula>AC$9&gt;=20/24</formula>
    </cfRule>
    <cfRule type="expression" dxfId="4380" priority="231">
      <formula>AND(AC$9&gt;=14/24,AC$9&lt;20/24)</formula>
    </cfRule>
    <cfRule type="expression" dxfId="4379" priority="232">
      <formula>AND(AC$9&gt;=8/24,AC$9&lt;14/24)</formula>
    </cfRule>
    <cfRule type="expression" dxfId="4378" priority="233">
      <formula>AC$9&lt;8/24</formula>
    </cfRule>
  </conditionalFormatting>
  <conditionalFormatting sqref="AC33:AF33">
    <cfRule type="expression" dxfId="4377" priority="225">
      <formula>AC33&gt;$AG33</formula>
    </cfRule>
  </conditionalFormatting>
  <conditionalFormatting sqref="B22 B12:B14">
    <cfRule type="expression" dxfId="4376" priority="221">
      <formula>B$9&gt;=20/24</formula>
    </cfRule>
    <cfRule type="expression" dxfId="4375" priority="222">
      <formula>AND(B$9&gt;=14/24,B$9&lt;20/24)</formula>
    </cfRule>
    <cfRule type="expression" dxfId="4374" priority="223">
      <formula>AND(B$9&gt;=8/24,B$9&lt;14/24)</formula>
    </cfRule>
    <cfRule type="expression" dxfId="4373" priority="224">
      <formula>B$9&lt;8/24</formula>
    </cfRule>
  </conditionalFormatting>
  <conditionalFormatting sqref="B12:B15 B22">
    <cfRule type="expression" dxfId="4372" priority="220">
      <formula>B12&gt;$AG12</formula>
    </cfRule>
  </conditionalFormatting>
  <conditionalFormatting sqref="B15">
    <cfRule type="expression" dxfId="4371" priority="216">
      <formula>B$9&gt;=20/24</formula>
    </cfRule>
    <cfRule type="expression" dxfId="4370" priority="217">
      <formula>AND(B$9&gt;=14/24,B$9&lt;20/24)</formula>
    </cfRule>
    <cfRule type="expression" dxfId="4369" priority="218">
      <formula>AND(B$9&gt;=8/24,B$9&lt;14/24)</formula>
    </cfRule>
    <cfRule type="expression" dxfId="4368" priority="219">
      <formula>B$9&lt;8/24</formula>
    </cfRule>
  </conditionalFormatting>
  <conditionalFormatting sqref="B18:B21">
    <cfRule type="expression" dxfId="4367" priority="212">
      <formula>B$9&gt;=20/24</formula>
    </cfRule>
    <cfRule type="expression" dxfId="4366" priority="213">
      <formula>AND(B$9&gt;=14/24,B$9&lt;20/24)</formula>
    </cfRule>
    <cfRule type="expression" dxfId="4365" priority="214">
      <formula>AND(B$9&gt;=8/24,B$9&lt;14/24)</formula>
    </cfRule>
    <cfRule type="expression" dxfId="4364" priority="215">
      <formula>B$9&lt;8/24</formula>
    </cfRule>
  </conditionalFormatting>
  <conditionalFormatting sqref="B18:B21">
    <cfRule type="expression" dxfId="4363" priority="211">
      <formula>B18&gt;$AG18</formula>
    </cfRule>
  </conditionalFormatting>
  <conditionalFormatting sqref="B16">
    <cfRule type="expression" dxfId="4362" priority="207">
      <formula>B$9&gt;=20/24</formula>
    </cfRule>
    <cfRule type="expression" dxfId="4361" priority="208">
      <formula>AND(B$9&gt;=14/24,B$9&lt;20/24)</formula>
    </cfRule>
    <cfRule type="expression" dxfId="4360" priority="209">
      <formula>AND(B$9&gt;=8/24,B$9&lt;14/24)</formula>
    </cfRule>
    <cfRule type="expression" dxfId="4359" priority="210">
      <formula>B$9&lt;8/24</formula>
    </cfRule>
  </conditionalFormatting>
  <conditionalFormatting sqref="B17">
    <cfRule type="expression" dxfId="4358" priority="203">
      <formula>B$9&gt;=20/24</formula>
    </cfRule>
    <cfRule type="expression" dxfId="4357" priority="204">
      <formula>AND(B$9&gt;=14/24,B$9&lt;20/24)</formula>
    </cfRule>
    <cfRule type="expression" dxfId="4356" priority="205">
      <formula>AND(B$9&gt;=8/24,B$9&lt;14/24)</formula>
    </cfRule>
    <cfRule type="expression" dxfId="4355" priority="206">
      <formula>B$9&lt;8/24</formula>
    </cfRule>
  </conditionalFormatting>
  <conditionalFormatting sqref="B23:B30 B36">
    <cfRule type="expression" dxfId="4354" priority="199">
      <formula>B$9&gt;=20/24</formula>
    </cfRule>
    <cfRule type="expression" dxfId="4353" priority="200">
      <formula>AND(B$9&gt;=14/24,B$9&lt;20/24)</formula>
    </cfRule>
    <cfRule type="expression" dxfId="4352" priority="201">
      <formula>AND(B$9&gt;=8/24,B$9&lt;14/24)</formula>
    </cfRule>
    <cfRule type="expression" dxfId="4351" priority="202">
      <formula>B$9&lt;8/24</formula>
    </cfRule>
  </conditionalFormatting>
  <conditionalFormatting sqref="B31:B32 B35">
    <cfRule type="expression" dxfId="4350" priority="195">
      <formula>B$9&gt;=20/24</formula>
    </cfRule>
    <cfRule type="expression" dxfId="4349" priority="196">
      <formula>AND(B$9&gt;=14/24,B$9&lt;20/24)</formula>
    </cfRule>
    <cfRule type="expression" dxfId="4348" priority="197">
      <formula>AND(B$9&gt;=8/24,B$9&lt;14/24)</formula>
    </cfRule>
    <cfRule type="expression" dxfId="4347" priority="198">
      <formula>B$9&lt;8/24</formula>
    </cfRule>
  </conditionalFormatting>
  <conditionalFormatting sqref="B23:B32 B34:B36">
    <cfRule type="expression" dxfId="4346" priority="194">
      <formula>B23&gt;$AG23</formula>
    </cfRule>
  </conditionalFormatting>
  <conditionalFormatting sqref="B34">
    <cfRule type="expression" dxfId="4345" priority="190">
      <formula>B$9&gt;=20/24</formula>
    </cfRule>
    <cfRule type="expression" dxfId="4344" priority="191">
      <formula>AND(B$9&gt;=14/24,B$9&lt;20/24)</formula>
    </cfRule>
    <cfRule type="expression" dxfId="4343" priority="192">
      <formula>AND(B$9&gt;=8/24,B$9&lt;14/24)</formula>
    </cfRule>
    <cfRule type="expression" dxfId="4342" priority="193">
      <formula>B$9&lt;8/24</formula>
    </cfRule>
  </conditionalFormatting>
  <conditionalFormatting sqref="B33">
    <cfRule type="expression" dxfId="4341" priority="186">
      <formula>B$9&gt;=20/24</formula>
    </cfRule>
    <cfRule type="expression" dxfId="4340" priority="187">
      <formula>AND(B$9&gt;=14/24,B$9&lt;20/24)</formula>
    </cfRule>
    <cfRule type="expression" dxfId="4339" priority="188">
      <formula>AND(B$9&gt;=8/24,B$9&lt;14/24)</formula>
    </cfRule>
    <cfRule type="expression" dxfId="4338" priority="189">
      <formula>B$9&lt;8/24</formula>
    </cfRule>
  </conditionalFormatting>
  <conditionalFormatting sqref="B33">
    <cfRule type="expression" dxfId="4337" priority="185">
      <formula>B33&gt;$AG33</formula>
    </cfRule>
  </conditionalFormatting>
  <conditionalFormatting sqref="B44:B50 C45:E45 C46:L50">
    <cfRule type="expression" dxfId="4336" priority="181">
      <formula>B$9&gt;=20/24</formula>
    </cfRule>
    <cfRule type="expression" dxfId="4335" priority="182">
      <formula>AND(B$9&gt;=14/24,B$9&lt;20/24)</formula>
    </cfRule>
    <cfRule type="expression" dxfId="4334" priority="183">
      <formula>AND(B$9&gt;=8/24,B$9&lt;14/24)</formula>
    </cfRule>
    <cfRule type="expression" dxfId="4333" priority="184">
      <formula>B$9&lt;8/24</formula>
    </cfRule>
  </conditionalFormatting>
  <conditionalFormatting sqref="B44:B50 C45:E45 C46:L50">
    <cfRule type="expression" dxfId="4332" priority="180">
      <formula>B44&gt;$AG44</formula>
    </cfRule>
  </conditionalFormatting>
  <conditionalFormatting sqref="C22">
    <cfRule type="expression" dxfId="4331" priority="176">
      <formula>C$9&gt;=20/24</formula>
    </cfRule>
    <cfRule type="expression" dxfId="4330" priority="177">
      <formula>AND(C$9&gt;=14/24,C$9&lt;20/24)</formula>
    </cfRule>
    <cfRule type="expression" dxfId="4329" priority="178">
      <formula>AND(C$9&gt;=8/24,C$9&lt;14/24)</formula>
    </cfRule>
    <cfRule type="expression" dxfId="4328" priority="179">
      <formula>C$9&lt;8/24</formula>
    </cfRule>
  </conditionalFormatting>
  <conditionalFormatting sqref="C22">
    <cfRule type="expression" dxfId="4327" priority="175">
      <formula>C22&gt;$AG22</formula>
    </cfRule>
  </conditionalFormatting>
  <conditionalFormatting sqref="C18:C21">
    <cfRule type="expression" dxfId="4326" priority="171">
      <formula>C$9&gt;=20/24</formula>
    </cfRule>
    <cfRule type="expression" dxfId="4325" priority="172">
      <formula>AND(C$9&gt;=14/24,C$9&lt;20/24)</formula>
    </cfRule>
    <cfRule type="expression" dxfId="4324" priority="173">
      <formula>AND(C$9&gt;=8/24,C$9&lt;14/24)</formula>
    </cfRule>
    <cfRule type="expression" dxfId="4323" priority="174">
      <formula>C$9&lt;8/24</formula>
    </cfRule>
  </conditionalFormatting>
  <conditionalFormatting sqref="C18:C21">
    <cfRule type="expression" dxfId="4322" priority="170">
      <formula>C18&gt;$AG18</formula>
    </cfRule>
  </conditionalFormatting>
  <conditionalFormatting sqref="C16">
    <cfRule type="expression" dxfId="4321" priority="166">
      <formula>C$9&gt;=20/24</formula>
    </cfRule>
    <cfRule type="expression" dxfId="4320" priority="167">
      <formula>AND(C$9&gt;=14/24,C$9&lt;20/24)</formula>
    </cfRule>
    <cfRule type="expression" dxfId="4319" priority="168">
      <formula>AND(C$9&gt;=8/24,C$9&lt;14/24)</formula>
    </cfRule>
    <cfRule type="expression" dxfId="4318" priority="169">
      <formula>C$9&lt;8/24</formula>
    </cfRule>
  </conditionalFormatting>
  <conditionalFormatting sqref="C17">
    <cfRule type="expression" dxfId="4317" priority="162">
      <formula>C$9&gt;=20/24</formula>
    </cfRule>
    <cfRule type="expression" dxfId="4316" priority="163">
      <formula>AND(C$9&gt;=14/24,C$9&lt;20/24)</formula>
    </cfRule>
    <cfRule type="expression" dxfId="4315" priority="164">
      <formula>AND(C$9&gt;=8/24,C$9&lt;14/24)</formula>
    </cfRule>
    <cfRule type="expression" dxfId="4314" priority="165">
      <formula>C$9&lt;8/24</formula>
    </cfRule>
  </conditionalFormatting>
  <conditionalFormatting sqref="C23:C30 C36">
    <cfRule type="expression" dxfId="4313" priority="158">
      <formula>C$9&gt;=20/24</formula>
    </cfRule>
    <cfRule type="expression" dxfId="4312" priority="159">
      <formula>AND(C$9&gt;=14/24,C$9&lt;20/24)</formula>
    </cfRule>
    <cfRule type="expression" dxfId="4311" priority="160">
      <formula>AND(C$9&gt;=8/24,C$9&lt;14/24)</formula>
    </cfRule>
    <cfRule type="expression" dxfId="4310" priority="161">
      <formula>C$9&lt;8/24</formula>
    </cfRule>
  </conditionalFormatting>
  <conditionalFormatting sqref="C31:C32 C35">
    <cfRule type="expression" dxfId="4309" priority="154">
      <formula>C$9&gt;=20/24</formula>
    </cfRule>
    <cfRule type="expression" dxfId="4308" priority="155">
      <formula>AND(C$9&gt;=14/24,C$9&lt;20/24)</formula>
    </cfRule>
    <cfRule type="expression" dxfId="4307" priority="156">
      <formula>AND(C$9&gt;=8/24,C$9&lt;14/24)</formula>
    </cfRule>
    <cfRule type="expression" dxfId="4306" priority="157">
      <formula>C$9&lt;8/24</formula>
    </cfRule>
  </conditionalFormatting>
  <conditionalFormatting sqref="C23:C32 C34:C36">
    <cfRule type="expression" dxfId="4305" priority="153">
      <formula>C23&gt;$AG23</formula>
    </cfRule>
  </conditionalFormatting>
  <conditionalFormatting sqref="C34">
    <cfRule type="expression" dxfId="4304" priority="149">
      <formula>C$9&gt;=20/24</formula>
    </cfRule>
    <cfRule type="expression" dxfId="4303" priority="150">
      <formula>AND(C$9&gt;=14/24,C$9&lt;20/24)</formula>
    </cfRule>
    <cfRule type="expression" dxfId="4302" priority="151">
      <formula>AND(C$9&gt;=8/24,C$9&lt;14/24)</formula>
    </cfRule>
    <cfRule type="expression" dxfId="4301" priority="152">
      <formula>C$9&lt;8/24</formula>
    </cfRule>
  </conditionalFormatting>
  <conditionalFormatting sqref="C33">
    <cfRule type="expression" dxfId="4300" priority="145">
      <formula>C$9&gt;=20/24</formula>
    </cfRule>
    <cfRule type="expression" dxfId="4299" priority="146">
      <formula>AND(C$9&gt;=14/24,C$9&lt;20/24)</formula>
    </cfRule>
    <cfRule type="expression" dxfId="4298" priority="147">
      <formula>AND(C$9&gt;=8/24,C$9&lt;14/24)</formula>
    </cfRule>
    <cfRule type="expression" dxfId="4297" priority="148">
      <formula>C$9&lt;8/24</formula>
    </cfRule>
  </conditionalFormatting>
  <conditionalFormatting sqref="C33">
    <cfRule type="expression" dxfId="4296" priority="144">
      <formula>C33&gt;$AG33</formula>
    </cfRule>
  </conditionalFormatting>
  <conditionalFormatting sqref="D15">
    <cfRule type="expression" dxfId="4295" priority="143">
      <formula>D15&gt;$AG15</formula>
    </cfRule>
  </conditionalFormatting>
  <conditionalFormatting sqref="D18:D21">
    <cfRule type="expression" dxfId="4294" priority="139">
      <formula>D$9&gt;=20/24</formula>
    </cfRule>
    <cfRule type="expression" dxfId="4293" priority="140">
      <formula>AND(D$9&gt;=14/24,D$9&lt;20/24)</formula>
    </cfRule>
    <cfRule type="expression" dxfId="4292" priority="141">
      <formula>AND(D$9&gt;=8/24,D$9&lt;14/24)</formula>
    </cfRule>
    <cfRule type="expression" dxfId="4291" priority="142">
      <formula>D$9&lt;8/24</formula>
    </cfRule>
  </conditionalFormatting>
  <conditionalFormatting sqref="D18:D21">
    <cfRule type="expression" dxfId="4290" priority="138">
      <formula>D18&gt;$AG18</formula>
    </cfRule>
  </conditionalFormatting>
  <conditionalFormatting sqref="D16">
    <cfRule type="expression" dxfId="4289" priority="134">
      <formula>D$9&gt;=20/24</formula>
    </cfRule>
    <cfRule type="expression" dxfId="4288" priority="135">
      <formula>AND(D$9&gt;=14/24,D$9&lt;20/24)</formula>
    </cfRule>
    <cfRule type="expression" dxfId="4287" priority="136">
      <formula>AND(D$9&gt;=8/24,D$9&lt;14/24)</formula>
    </cfRule>
    <cfRule type="expression" dxfId="4286" priority="137">
      <formula>D$9&lt;8/24</formula>
    </cfRule>
  </conditionalFormatting>
  <conditionalFormatting sqref="D17">
    <cfRule type="expression" dxfId="4285" priority="130">
      <formula>D$9&gt;=20/24</formula>
    </cfRule>
    <cfRule type="expression" dxfId="4284" priority="131">
      <formula>AND(D$9&gt;=14/24,D$9&lt;20/24)</formula>
    </cfRule>
    <cfRule type="expression" dxfId="4283" priority="132">
      <formula>AND(D$9&gt;=8/24,D$9&lt;14/24)</formula>
    </cfRule>
    <cfRule type="expression" dxfId="4282" priority="133">
      <formula>D$9&lt;8/24</formula>
    </cfRule>
  </conditionalFormatting>
  <conditionalFormatting sqref="D23:D30 D36">
    <cfRule type="expression" dxfId="4281" priority="126">
      <formula>D$9&gt;=20/24</formula>
    </cfRule>
    <cfRule type="expression" dxfId="4280" priority="127">
      <formula>AND(D$9&gt;=14/24,D$9&lt;20/24)</formula>
    </cfRule>
    <cfRule type="expression" dxfId="4279" priority="128">
      <formula>AND(D$9&gt;=8/24,D$9&lt;14/24)</formula>
    </cfRule>
    <cfRule type="expression" dxfId="4278" priority="129">
      <formula>D$9&lt;8/24</formula>
    </cfRule>
  </conditionalFormatting>
  <conditionalFormatting sqref="D31:D32 D35">
    <cfRule type="expression" dxfId="4277" priority="122">
      <formula>D$9&gt;=20/24</formula>
    </cfRule>
    <cfRule type="expression" dxfId="4276" priority="123">
      <formula>AND(D$9&gt;=14/24,D$9&lt;20/24)</formula>
    </cfRule>
    <cfRule type="expression" dxfId="4275" priority="124">
      <formula>AND(D$9&gt;=8/24,D$9&lt;14/24)</formula>
    </cfRule>
    <cfRule type="expression" dxfId="4274" priority="125">
      <formula>D$9&lt;8/24</formula>
    </cfRule>
  </conditionalFormatting>
  <conditionalFormatting sqref="D23:D32 D34:D36">
    <cfRule type="expression" dxfId="4273" priority="121">
      <formula>D23&gt;$AG23</formula>
    </cfRule>
  </conditionalFormatting>
  <conditionalFormatting sqref="D34">
    <cfRule type="expression" dxfId="4272" priority="117">
      <formula>D$9&gt;=20/24</formula>
    </cfRule>
    <cfRule type="expression" dxfId="4271" priority="118">
      <formula>AND(D$9&gt;=14/24,D$9&lt;20/24)</formula>
    </cfRule>
    <cfRule type="expression" dxfId="4270" priority="119">
      <formula>AND(D$9&gt;=8/24,D$9&lt;14/24)</formula>
    </cfRule>
    <cfRule type="expression" dxfId="4269" priority="120">
      <formula>D$9&lt;8/24</formula>
    </cfRule>
  </conditionalFormatting>
  <conditionalFormatting sqref="D33">
    <cfRule type="expression" dxfId="4268" priority="113">
      <formula>D$9&gt;=20/24</formula>
    </cfRule>
    <cfRule type="expression" dxfId="4267" priority="114">
      <formula>AND(D$9&gt;=14/24,D$9&lt;20/24)</formula>
    </cfRule>
    <cfRule type="expression" dxfId="4266" priority="115">
      <formula>AND(D$9&gt;=8/24,D$9&lt;14/24)</formula>
    </cfRule>
    <cfRule type="expression" dxfId="4265" priority="116">
      <formula>D$9&lt;8/24</formula>
    </cfRule>
  </conditionalFormatting>
  <conditionalFormatting sqref="D33">
    <cfRule type="expression" dxfId="4264" priority="112">
      <formula>D33&gt;$AG33</formula>
    </cfRule>
  </conditionalFormatting>
  <conditionalFormatting sqref="D43:D44">
    <cfRule type="expression" dxfId="4263" priority="111">
      <formula>D43&gt;$AG43</formula>
    </cfRule>
  </conditionalFormatting>
  <conditionalFormatting sqref="E12:F14 G14 E22:K22">
    <cfRule type="expression" dxfId="4262" priority="110">
      <formula>E12&gt;$AG12</formula>
    </cfRule>
  </conditionalFormatting>
  <conditionalFormatting sqref="E15:K15">
    <cfRule type="expression" dxfId="4261" priority="109">
      <formula>E15&gt;$AG15</formula>
    </cfRule>
  </conditionalFormatting>
  <conditionalFormatting sqref="E18:K21">
    <cfRule type="expression" dxfId="4260" priority="105">
      <formula>E$9&gt;=20/24</formula>
    </cfRule>
    <cfRule type="expression" dxfId="4259" priority="106">
      <formula>AND(E$9&gt;=14/24,E$9&lt;20/24)</formula>
    </cfRule>
    <cfRule type="expression" dxfId="4258" priority="107">
      <formula>AND(E$9&gt;=8/24,E$9&lt;14/24)</formula>
    </cfRule>
    <cfRule type="expression" dxfId="4257" priority="108">
      <formula>E$9&lt;8/24</formula>
    </cfRule>
  </conditionalFormatting>
  <conditionalFormatting sqref="E18:K21">
    <cfRule type="expression" dxfId="4256" priority="104">
      <formula>E18&gt;$AG18</formula>
    </cfRule>
  </conditionalFormatting>
  <conditionalFormatting sqref="E16:K16">
    <cfRule type="expression" dxfId="4255" priority="100">
      <formula>E$9&gt;=20/24</formula>
    </cfRule>
    <cfRule type="expression" dxfId="4254" priority="101">
      <formula>AND(E$9&gt;=14/24,E$9&lt;20/24)</formula>
    </cfRule>
    <cfRule type="expression" dxfId="4253" priority="102">
      <formula>AND(E$9&gt;=8/24,E$9&lt;14/24)</formula>
    </cfRule>
    <cfRule type="expression" dxfId="4252" priority="103">
      <formula>E$9&lt;8/24</formula>
    </cfRule>
  </conditionalFormatting>
  <conditionalFormatting sqref="E17:K17">
    <cfRule type="expression" dxfId="4251" priority="96">
      <formula>E$9&gt;=20/24</formula>
    </cfRule>
    <cfRule type="expression" dxfId="4250" priority="97">
      <formula>AND(E$9&gt;=14/24,E$9&lt;20/24)</formula>
    </cfRule>
    <cfRule type="expression" dxfId="4249" priority="98">
      <formula>AND(E$9&gt;=8/24,E$9&lt;14/24)</formula>
    </cfRule>
    <cfRule type="expression" dxfId="4248" priority="99">
      <formula>E$9&lt;8/24</formula>
    </cfRule>
  </conditionalFormatting>
  <conditionalFormatting sqref="E23:K30 E36:K36">
    <cfRule type="expression" dxfId="4247" priority="92">
      <formula>E$9&gt;=20/24</formula>
    </cfRule>
    <cfRule type="expression" dxfId="4246" priority="93">
      <formula>AND(E$9&gt;=14/24,E$9&lt;20/24)</formula>
    </cfRule>
    <cfRule type="expression" dxfId="4245" priority="94">
      <formula>AND(E$9&gt;=8/24,E$9&lt;14/24)</formula>
    </cfRule>
    <cfRule type="expression" dxfId="4244" priority="95">
      <formula>E$9&lt;8/24</formula>
    </cfRule>
  </conditionalFormatting>
  <conditionalFormatting sqref="E31:K32 E35:K35">
    <cfRule type="expression" dxfId="4243" priority="88">
      <formula>E$9&gt;=20/24</formula>
    </cfRule>
    <cfRule type="expression" dxfId="4242" priority="89">
      <formula>AND(E$9&gt;=14/24,E$9&lt;20/24)</formula>
    </cfRule>
    <cfRule type="expression" dxfId="4241" priority="90">
      <formula>AND(E$9&gt;=8/24,E$9&lt;14/24)</formula>
    </cfRule>
    <cfRule type="expression" dxfId="4240" priority="91">
      <formula>E$9&lt;8/24</formula>
    </cfRule>
  </conditionalFormatting>
  <conditionalFormatting sqref="E23:K32 E34:K36">
    <cfRule type="expression" dxfId="4239" priority="87">
      <formula>E23&gt;$AG23</formula>
    </cfRule>
  </conditionalFormatting>
  <conditionalFormatting sqref="E34:K34">
    <cfRule type="expression" dxfId="4238" priority="83">
      <formula>E$9&gt;=20/24</formula>
    </cfRule>
    <cfRule type="expression" dxfId="4237" priority="84">
      <formula>AND(E$9&gt;=14/24,E$9&lt;20/24)</formula>
    </cfRule>
    <cfRule type="expression" dxfId="4236" priority="85">
      <formula>AND(E$9&gt;=8/24,E$9&lt;14/24)</formula>
    </cfRule>
    <cfRule type="expression" dxfId="4235" priority="86">
      <formula>E$9&lt;8/24</formula>
    </cfRule>
  </conditionalFormatting>
  <conditionalFormatting sqref="E33:K33">
    <cfRule type="expression" dxfId="4234" priority="79">
      <formula>E$9&gt;=20/24</formula>
    </cfRule>
    <cfRule type="expression" dxfId="4233" priority="80">
      <formula>AND(E$9&gt;=14/24,E$9&lt;20/24)</formula>
    </cfRule>
    <cfRule type="expression" dxfId="4232" priority="81">
      <formula>AND(E$9&gt;=8/24,E$9&lt;14/24)</formula>
    </cfRule>
    <cfRule type="expression" dxfId="4231" priority="82">
      <formula>E$9&lt;8/24</formula>
    </cfRule>
  </conditionalFormatting>
  <conditionalFormatting sqref="E33:K33">
    <cfRule type="expression" dxfId="4230" priority="78">
      <formula>E33&gt;$AG33</formula>
    </cfRule>
  </conditionalFormatting>
  <conditionalFormatting sqref="L12:L14">
    <cfRule type="expression" dxfId="4229" priority="77">
      <formula>L12&gt;$AG12</formula>
    </cfRule>
  </conditionalFormatting>
  <conditionalFormatting sqref="L22">
    <cfRule type="expression" dxfId="4228" priority="76">
      <formula>L22&gt;$AG22</formula>
    </cfRule>
  </conditionalFormatting>
  <conditionalFormatting sqref="L15">
    <cfRule type="expression" dxfId="4227" priority="75">
      <formula>L15&gt;$AG15</formula>
    </cfRule>
  </conditionalFormatting>
  <conditionalFormatting sqref="L18:L21">
    <cfRule type="expression" dxfId="4226" priority="71">
      <formula>L$9&gt;=20/24</formula>
    </cfRule>
    <cfRule type="expression" dxfId="4225" priority="72">
      <formula>AND(L$9&gt;=14/24,L$9&lt;20/24)</formula>
    </cfRule>
    <cfRule type="expression" dxfId="4224" priority="73">
      <formula>AND(L$9&gt;=8/24,L$9&lt;14/24)</formula>
    </cfRule>
    <cfRule type="expression" dxfId="4223" priority="74">
      <formula>L$9&lt;8/24</formula>
    </cfRule>
  </conditionalFormatting>
  <conditionalFormatting sqref="L18:L21">
    <cfRule type="expression" dxfId="4222" priority="70">
      <formula>L18&gt;$AG18</formula>
    </cfRule>
  </conditionalFormatting>
  <conditionalFormatting sqref="L16">
    <cfRule type="expression" dxfId="4221" priority="66">
      <formula>L$9&gt;=20/24</formula>
    </cfRule>
    <cfRule type="expression" dxfId="4220" priority="67">
      <formula>AND(L$9&gt;=14/24,L$9&lt;20/24)</formula>
    </cfRule>
    <cfRule type="expression" dxfId="4219" priority="68">
      <formula>AND(L$9&gt;=8/24,L$9&lt;14/24)</formula>
    </cfRule>
    <cfRule type="expression" dxfId="4218" priority="69">
      <formula>L$9&lt;8/24</formula>
    </cfRule>
  </conditionalFormatting>
  <conditionalFormatting sqref="L17">
    <cfRule type="expression" dxfId="4217" priority="62">
      <formula>L$9&gt;=20/24</formula>
    </cfRule>
    <cfRule type="expression" dxfId="4216" priority="63">
      <formula>AND(L$9&gt;=14/24,L$9&lt;20/24)</formula>
    </cfRule>
    <cfRule type="expression" dxfId="4215" priority="64">
      <formula>AND(L$9&gt;=8/24,L$9&lt;14/24)</formula>
    </cfRule>
    <cfRule type="expression" dxfId="4214" priority="65">
      <formula>L$9&lt;8/24</formula>
    </cfRule>
  </conditionalFormatting>
  <conditionalFormatting sqref="L23:L30 L36">
    <cfRule type="expression" dxfId="4213" priority="58">
      <formula>L$9&gt;=20/24</formula>
    </cfRule>
    <cfRule type="expression" dxfId="4212" priority="59">
      <formula>AND(L$9&gt;=14/24,L$9&lt;20/24)</formula>
    </cfRule>
    <cfRule type="expression" dxfId="4211" priority="60">
      <formula>AND(L$9&gt;=8/24,L$9&lt;14/24)</formula>
    </cfRule>
    <cfRule type="expression" dxfId="4210" priority="61">
      <formula>L$9&lt;8/24</formula>
    </cfRule>
  </conditionalFormatting>
  <conditionalFormatting sqref="L31:L32 L35">
    <cfRule type="expression" dxfId="4209" priority="54">
      <formula>L$9&gt;=20/24</formula>
    </cfRule>
    <cfRule type="expression" dxfId="4208" priority="55">
      <formula>AND(L$9&gt;=14/24,L$9&lt;20/24)</formula>
    </cfRule>
    <cfRule type="expression" dxfId="4207" priority="56">
      <formula>AND(L$9&gt;=8/24,L$9&lt;14/24)</formula>
    </cfRule>
    <cfRule type="expression" dxfId="4206" priority="57">
      <formula>L$9&lt;8/24</formula>
    </cfRule>
  </conditionalFormatting>
  <conditionalFormatting sqref="L23:L32 L34:L36">
    <cfRule type="expression" dxfId="4205" priority="53">
      <formula>L23&gt;$AG23</formula>
    </cfRule>
  </conditionalFormatting>
  <conditionalFormatting sqref="L34">
    <cfRule type="expression" dxfId="4204" priority="49">
      <formula>L$9&gt;=20/24</formula>
    </cfRule>
    <cfRule type="expression" dxfId="4203" priority="50">
      <formula>AND(L$9&gt;=14/24,L$9&lt;20/24)</formula>
    </cfRule>
    <cfRule type="expression" dxfId="4202" priority="51">
      <formula>AND(L$9&gt;=8/24,L$9&lt;14/24)</formula>
    </cfRule>
    <cfRule type="expression" dxfId="4201" priority="52">
      <formula>L$9&lt;8/24</formula>
    </cfRule>
  </conditionalFormatting>
  <conditionalFormatting sqref="L33">
    <cfRule type="expression" dxfId="4200" priority="45">
      <formula>L$9&gt;=20/24</formula>
    </cfRule>
    <cfRule type="expression" dxfId="4199" priority="46">
      <formula>AND(L$9&gt;=14/24,L$9&lt;20/24)</formula>
    </cfRule>
    <cfRule type="expression" dxfId="4198" priority="47">
      <formula>AND(L$9&gt;=8/24,L$9&lt;14/24)</formula>
    </cfRule>
    <cfRule type="expression" dxfId="4197" priority="48">
      <formula>L$9&lt;8/24</formula>
    </cfRule>
  </conditionalFormatting>
  <conditionalFormatting sqref="L33">
    <cfRule type="expression" dxfId="4196" priority="44">
      <formula>L33&gt;$AG33</formula>
    </cfRule>
  </conditionalFormatting>
  <conditionalFormatting sqref="M18:AA21">
    <cfRule type="expression" dxfId="4195" priority="39">
      <formula>M$9&gt;=20/24</formula>
    </cfRule>
    <cfRule type="expression" dxfId="4194" priority="40">
      <formula>AND(M$9&gt;=14/24,M$9&lt;20/24)</formula>
    </cfRule>
    <cfRule type="expression" dxfId="4193" priority="41">
      <formula>AND(M$9&gt;=8/24,M$9&lt;14/24)</formula>
    </cfRule>
    <cfRule type="expression" dxfId="4192" priority="42">
      <formula>M$9&lt;8/24</formula>
    </cfRule>
  </conditionalFormatting>
  <conditionalFormatting sqref="M18:AA21">
    <cfRule type="expression" dxfId="4191" priority="38">
      <formula>M18&gt;$AG18</formula>
    </cfRule>
  </conditionalFormatting>
  <conditionalFormatting sqref="M16:AA16">
    <cfRule type="expression" dxfId="4190" priority="34">
      <formula>M$9&gt;=20/24</formula>
    </cfRule>
    <cfRule type="expression" dxfId="4189" priority="35">
      <formula>AND(M$9&gt;=14/24,M$9&lt;20/24)</formula>
    </cfRule>
    <cfRule type="expression" dxfId="4188" priority="36">
      <formula>AND(M$9&gt;=8/24,M$9&lt;14/24)</formula>
    </cfRule>
    <cfRule type="expression" dxfId="4187" priority="37">
      <formula>M$9&lt;8/24</formula>
    </cfRule>
  </conditionalFormatting>
  <conditionalFormatting sqref="M17:AA17 X34:AB34">
    <cfRule type="expression" dxfId="4186" priority="30">
      <formula>M$9&gt;=20/24</formula>
    </cfRule>
    <cfRule type="expression" dxfId="4185" priority="31">
      <formula>AND(M$9&gt;=14/24,M$9&lt;20/24)</formula>
    </cfRule>
    <cfRule type="expression" dxfId="4184" priority="32">
      <formula>AND(M$9&gt;=8/24,M$9&lt;14/24)</formula>
    </cfRule>
    <cfRule type="expression" dxfId="4183" priority="33">
      <formula>M$9&lt;8/24</formula>
    </cfRule>
  </conditionalFormatting>
  <conditionalFormatting sqref="M23:AB30 M36:AB36">
    <cfRule type="expression" dxfId="4182" priority="26">
      <formula>M$9&gt;=20/24</formula>
    </cfRule>
    <cfRule type="expression" dxfId="4181" priority="27">
      <formula>AND(M$9&gt;=14/24,M$9&lt;20/24)</formula>
    </cfRule>
    <cfRule type="expression" dxfId="4180" priority="28">
      <formula>AND(M$9&gt;=8/24,M$9&lt;14/24)</formula>
    </cfRule>
    <cfRule type="expression" dxfId="4179" priority="29">
      <formula>M$9&lt;8/24</formula>
    </cfRule>
  </conditionalFormatting>
  <conditionalFormatting sqref="M31:AB32 M35:AB35">
    <cfRule type="expression" dxfId="4178" priority="22">
      <formula>M$9&gt;=20/24</formula>
    </cfRule>
    <cfRule type="expression" dxfId="4177" priority="23">
      <formula>AND(M$9&gt;=14/24,M$9&lt;20/24)</formula>
    </cfRule>
    <cfRule type="expression" dxfId="4176" priority="24">
      <formula>AND(M$9&gt;=8/24,M$9&lt;14/24)</formula>
    </cfRule>
    <cfRule type="expression" dxfId="4175" priority="25">
      <formula>M$9&lt;8/24</formula>
    </cfRule>
  </conditionalFormatting>
  <conditionalFormatting sqref="M23:AB32 M34:AB36">
    <cfRule type="expression" dxfId="4174" priority="21">
      <formula>M23&gt;$AG23</formula>
    </cfRule>
  </conditionalFormatting>
  <conditionalFormatting sqref="M34:AB34">
    <cfRule type="expression" dxfId="4173" priority="17">
      <formula>M$9&gt;=20/24</formula>
    </cfRule>
    <cfRule type="expression" dxfId="4172" priority="18">
      <formula>AND(M$9&gt;=14/24,M$9&lt;20/24)</formula>
    </cfRule>
    <cfRule type="expression" dxfId="4171" priority="19">
      <formula>AND(M$9&gt;=8/24,M$9&lt;14/24)</formula>
    </cfRule>
    <cfRule type="expression" dxfId="4170" priority="20">
      <formula>M$9&lt;8/24</formula>
    </cfRule>
  </conditionalFormatting>
  <conditionalFormatting sqref="M33:AB33">
    <cfRule type="expression" dxfId="4169" priority="13">
      <formula>M$9&gt;=20/24</formula>
    </cfRule>
    <cfRule type="expression" dxfId="4168" priority="14">
      <formula>AND(M$9&gt;=14/24,M$9&lt;20/24)</formula>
    </cfRule>
    <cfRule type="expression" dxfId="4167" priority="15">
      <formula>AND(M$9&gt;=8/24,M$9&lt;14/24)</formula>
    </cfRule>
    <cfRule type="expression" dxfId="4166" priority="16">
      <formula>M$9&lt;8/24</formula>
    </cfRule>
  </conditionalFormatting>
  <conditionalFormatting sqref="M33:AB33">
    <cfRule type="expression" dxfId="4165" priority="12">
      <formula>M33&gt;$AG33</formula>
    </cfRule>
  </conditionalFormatting>
  <conditionalFormatting sqref="M45:X45">
    <cfRule type="expression" dxfId="4164" priority="11">
      <formula>M45&gt;$AG45</formula>
    </cfRule>
  </conditionalFormatting>
  <conditionalFormatting sqref="M46:X50">
    <cfRule type="expression" dxfId="4163" priority="7">
      <formula>M$9&gt;=20/24</formula>
    </cfRule>
    <cfRule type="expression" dxfId="4162" priority="8">
      <formula>AND(M$9&gt;=14/24,M$9&lt;20/24)</formula>
    </cfRule>
    <cfRule type="expression" dxfId="4161" priority="9">
      <formula>AND(M$9&gt;=8/24,M$9&lt;14/24)</formula>
    </cfRule>
    <cfRule type="expression" dxfId="4160" priority="10">
      <formula>M$9&lt;8/24</formula>
    </cfRule>
  </conditionalFormatting>
  <conditionalFormatting sqref="M46:X50">
    <cfRule type="expression" dxfId="4159" priority="6">
      <formula>M46&gt;$AG46</formula>
    </cfRule>
  </conditionalFormatting>
  <conditionalFormatting sqref="M22:AA22">
    <cfRule type="expression" dxfId="4158" priority="2">
      <formula>M$9&gt;=20/24</formula>
    </cfRule>
    <cfRule type="expression" dxfId="4157" priority="3">
      <formula>AND(M$9&gt;=14/24,M$9&lt;20/24)</formula>
    </cfRule>
    <cfRule type="expression" dxfId="4156" priority="4">
      <formula>AND(M$9&gt;=8/24,M$9&lt;14/24)</formula>
    </cfRule>
    <cfRule type="expression" dxfId="4155" priority="5">
      <formula>M$9&lt;8/24</formula>
    </cfRule>
  </conditionalFormatting>
  <conditionalFormatting sqref="M22:AA22">
    <cfRule type="expression" dxfId="4154" priority="1">
      <formula>M22&gt;$AG22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" id="{60A5AF6D-9838-4C5E-956F-3A3B0CC9E21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Q22" sqref="Q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2078/10/21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317</v>
      </c>
      <c r="C5" s="32">
        <f t="shared" si="0"/>
        <v>277.3</v>
      </c>
      <c r="D5" s="32">
        <f t="shared" si="0"/>
        <v>227.8</v>
      </c>
      <c r="E5" s="32">
        <f t="shared" si="0"/>
        <v>200.5</v>
      </c>
      <c r="F5" s="32">
        <f t="shared" si="0"/>
        <v>221.89999999999998</v>
      </c>
      <c r="G5" s="32">
        <f t="shared" si="0"/>
        <v>290.10000000000002</v>
      </c>
      <c r="H5" s="32">
        <f t="shared" si="0"/>
        <v>328.6</v>
      </c>
      <c r="I5" s="32">
        <f t="shared" si="0"/>
        <v>336.2</v>
      </c>
      <c r="J5" s="32">
        <f t="shared" si="0"/>
        <v>333.5</v>
      </c>
      <c r="K5" s="32">
        <f t="shared" si="0"/>
        <v>413.9</v>
      </c>
      <c r="L5" s="32">
        <f t="shared" si="0"/>
        <v>359.9</v>
      </c>
      <c r="M5" s="32">
        <f t="shared" si="0"/>
        <v>129.69999999999999</v>
      </c>
      <c r="N5" s="32">
        <f t="shared" si="0"/>
        <v>286.60000000000002</v>
      </c>
      <c r="O5" s="32">
        <f t="shared" si="0"/>
        <v>286.60000000000002</v>
      </c>
      <c r="P5" s="32">
        <f t="shared" si="0"/>
        <v>348.7</v>
      </c>
      <c r="Q5" s="32">
        <f t="shared" si="0"/>
        <v>367.5</v>
      </c>
      <c r="R5" s="32">
        <f t="shared" si="0"/>
        <v>358.29999999999995</v>
      </c>
      <c r="S5" s="32">
        <f t="shared" si="0"/>
        <v>369.7</v>
      </c>
      <c r="T5" s="32">
        <f t="shared" si="0"/>
        <v>416</v>
      </c>
      <c r="U5" s="32">
        <f t="shared" si="0"/>
        <v>288.3</v>
      </c>
      <c r="V5" s="32">
        <f t="shared" si="0"/>
        <v>311.2</v>
      </c>
      <c r="W5" s="32">
        <f t="shared" si="0"/>
        <v>312.10000000000002</v>
      </c>
      <c r="X5" s="32">
        <f t="shared" si="0"/>
        <v>0</v>
      </c>
      <c r="Y5" s="32">
        <f t="shared" si="0"/>
        <v>221.90000000000003</v>
      </c>
      <c r="Z5" s="32">
        <f t="shared" si="0"/>
        <v>132.19999999999999</v>
      </c>
      <c r="AA5" s="32">
        <f t="shared" si="0"/>
        <v>163</v>
      </c>
      <c r="AB5" s="32">
        <f t="shared" si="0"/>
        <v>315</v>
      </c>
      <c r="AC5" s="32">
        <f t="shared" si="0"/>
        <v>330</v>
      </c>
      <c r="AD5" s="32">
        <f t="shared" si="0"/>
        <v>355</v>
      </c>
      <c r="AE5" s="32">
        <f t="shared" si="0"/>
        <v>361</v>
      </c>
      <c r="AF5" s="32">
        <f>B68</f>
        <v>350.7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</v>
      </c>
      <c r="B7" s="37">
        <f>B75</f>
        <v>877.54</v>
      </c>
      <c r="C7" s="37">
        <f t="shared" ref="C7:AF7" si="1">C75</f>
        <v>843.83999999999992</v>
      </c>
      <c r="D7" s="37">
        <f t="shared" si="1"/>
        <v>797.14</v>
      </c>
      <c r="E7" s="37">
        <f t="shared" si="1"/>
        <v>780.83999999999992</v>
      </c>
      <c r="F7" s="37">
        <f t="shared" si="1"/>
        <v>756.54</v>
      </c>
      <c r="G7" s="37">
        <f t="shared" si="1"/>
        <v>795.63999999999987</v>
      </c>
      <c r="H7" s="37">
        <f t="shared" si="1"/>
        <v>898.24</v>
      </c>
      <c r="I7" s="37">
        <f t="shared" si="1"/>
        <v>943.63999999999987</v>
      </c>
      <c r="J7" s="37">
        <f t="shared" si="1"/>
        <v>1028.04</v>
      </c>
      <c r="K7" s="37">
        <f t="shared" si="1"/>
        <v>1093.54</v>
      </c>
      <c r="L7" s="37">
        <f t="shared" si="1"/>
        <v>1213.54</v>
      </c>
      <c r="M7" s="37">
        <f t="shared" si="1"/>
        <v>1346.24</v>
      </c>
      <c r="N7" s="37">
        <f t="shared" si="1"/>
        <v>1342.64</v>
      </c>
      <c r="O7" s="37">
        <f t="shared" si="1"/>
        <v>1301.74</v>
      </c>
      <c r="P7" s="37">
        <f t="shared" si="1"/>
        <v>1531.7400000000002</v>
      </c>
      <c r="Q7" s="37">
        <f t="shared" si="1"/>
        <v>1308.8399999999999</v>
      </c>
      <c r="R7" s="37">
        <f t="shared" si="1"/>
        <v>1282.24</v>
      </c>
      <c r="S7" s="37">
        <f t="shared" si="1"/>
        <v>1265.44</v>
      </c>
      <c r="T7" s="37">
        <f t="shared" si="1"/>
        <v>1266.7399999999998</v>
      </c>
      <c r="U7" s="37">
        <f t="shared" si="1"/>
        <v>1319.6399999999999</v>
      </c>
      <c r="V7" s="37">
        <f t="shared" si="1"/>
        <v>1349.8400000000001</v>
      </c>
      <c r="W7" s="37">
        <f t="shared" si="1"/>
        <v>1425.1399999999999</v>
      </c>
      <c r="X7" s="37">
        <f t="shared" si="1"/>
        <v>1485.54</v>
      </c>
      <c r="Y7" s="37">
        <f t="shared" si="1"/>
        <v>9.5399999999999991</v>
      </c>
      <c r="Z7" s="37">
        <f t="shared" si="1"/>
        <v>1449.1400000000003</v>
      </c>
      <c r="AA7" s="37">
        <f t="shared" si="1"/>
        <v>1435.44</v>
      </c>
      <c r="AB7" s="37">
        <f t="shared" si="1"/>
        <v>1433.4400000000003</v>
      </c>
      <c r="AC7" s="37">
        <f t="shared" si="1"/>
        <v>1339.94</v>
      </c>
      <c r="AD7" s="37">
        <f t="shared" si="1"/>
        <v>1315.74</v>
      </c>
      <c r="AE7" s="37">
        <f t="shared" si="1"/>
        <v>1090.54</v>
      </c>
      <c r="AF7" s="37">
        <f t="shared" si="1"/>
        <v>967.63999999999987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10</v>
      </c>
      <c r="F11" s="49">
        <v>10</v>
      </c>
      <c r="G11" s="49">
        <v>11.4</v>
      </c>
      <c r="H11" s="49">
        <v>15</v>
      </c>
      <c r="I11" s="49">
        <v>15</v>
      </c>
      <c r="J11" s="49">
        <v>76</v>
      </c>
      <c r="K11" s="49">
        <v>41</v>
      </c>
      <c r="L11" s="49">
        <v>41</v>
      </c>
      <c r="M11" s="50">
        <v>140</v>
      </c>
      <c r="N11" s="50">
        <v>300</v>
      </c>
      <c r="O11" s="50">
        <v>70</v>
      </c>
      <c r="P11" s="50">
        <v>300</v>
      </c>
      <c r="Q11" s="50">
        <v>15</v>
      </c>
      <c r="R11" s="50">
        <v>15</v>
      </c>
      <c r="S11" s="50">
        <v>22</v>
      </c>
      <c r="T11" s="50">
        <v>20</v>
      </c>
      <c r="U11" s="50">
        <v>20</v>
      </c>
      <c r="V11" s="50">
        <v>150</v>
      </c>
      <c r="W11" s="50">
        <v>210</v>
      </c>
      <c r="X11" s="50">
        <v>210</v>
      </c>
      <c r="Y11" s="50"/>
      <c r="Z11" s="51">
        <v>304</v>
      </c>
      <c r="AA11" s="50">
        <v>380</v>
      </c>
      <c r="AB11" s="50">
        <v>330</v>
      </c>
      <c r="AC11" s="50">
        <v>110</v>
      </c>
      <c r="AD11" s="50">
        <v>110</v>
      </c>
      <c r="AE11" s="50">
        <v>12</v>
      </c>
      <c r="AF11" s="49">
        <v>0</v>
      </c>
      <c r="AG11" s="52">
        <v>456</v>
      </c>
      <c r="AH11" s="53">
        <f>MAX(B11:AF11)</f>
        <v>380</v>
      </c>
      <c r="AI11" s="54">
        <f>MIN(B11:AF11)</f>
        <v>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35</v>
      </c>
      <c r="C12" s="49">
        <v>35</v>
      </c>
      <c r="D12" s="49">
        <v>35</v>
      </c>
      <c r="E12" s="49">
        <v>35</v>
      </c>
      <c r="F12" s="49">
        <v>35</v>
      </c>
      <c r="G12" s="49">
        <v>35</v>
      </c>
      <c r="H12" s="49">
        <v>35</v>
      </c>
      <c r="I12" s="49">
        <v>35</v>
      </c>
      <c r="J12" s="49">
        <v>35</v>
      </c>
      <c r="K12" s="49">
        <v>35</v>
      </c>
      <c r="L12" s="49">
        <v>35</v>
      </c>
      <c r="M12" s="49">
        <v>35</v>
      </c>
      <c r="N12" s="49">
        <v>35</v>
      </c>
      <c r="O12" s="49">
        <v>35</v>
      </c>
      <c r="P12" s="49">
        <v>35</v>
      </c>
      <c r="Q12" s="49">
        <v>35</v>
      </c>
      <c r="R12" s="49">
        <v>35</v>
      </c>
      <c r="S12" s="49">
        <v>35</v>
      </c>
      <c r="T12" s="49">
        <v>35</v>
      </c>
      <c r="U12" s="49">
        <v>43</v>
      </c>
      <c r="V12" s="49">
        <v>43</v>
      </c>
      <c r="W12" s="49">
        <v>43</v>
      </c>
      <c r="X12" s="49">
        <v>43</v>
      </c>
      <c r="Y12" s="57"/>
      <c r="Z12" s="50">
        <v>43</v>
      </c>
      <c r="AA12" s="50">
        <v>43</v>
      </c>
      <c r="AB12" s="50">
        <v>43</v>
      </c>
      <c r="AC12" s="50">
        <v>43</v>
      </c>
      <c r="AD12" s="50">
        <v>43</v>
      </c>
      <c r="AE12" s="50">
        <v>43</v>
      </c>
      <c r="AF12" s="50">
        <v>43</v>
      </c>
      <c r="AG12" s="58">
        <v>60</v>
      </c>
      <c r="AH12" s="53">
        <f t="shared" ref="AH12:AH75" si="2">MAX(B12:AF12)</f>
        <v>43</v>
      </c>
      <c r="AI12" s="54">
        <f t="shared" ref="AI12:AI75" si="3">MIN(B12:AF12)</f>
        <v>35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19.3</v>
      </c>
      <c r="C13" s="49">
        <v>19.3</v>
      </c>
      <c r="D13" s="49">
        <v>20.2</v>
      </c>
      <c r="E13" s="49">
        <v>20.9</v>
      </c>
      <c r="F13" s="49">
        <v>20.9</v>
      </c>
      <c r="G13" s="49">
        <v>20.9</v>
      </c>
      <c r="H13" s="49">
        <v>20.9</v>
      </c>
      <c r="I13" s="49">
        <v>20.9</v>
      </c>
      <c r="J13" s="49">
        <v>20.9</v>
      </c>
      <c r="K13" s="49">
        <v>20.9</v>
      </c>
      <c r="L13" s="49">
        <v>22.9</v>
      </c>
      <c r="M13" s="49">
        <v>22.9</v>
      </c>
      <c r="N13" s="49">
        <v>22.9</v>
      </c>
      <c r="O13" s="49">
        <v>22.9</v>
      </c>
      <c r="P13" s="49">
        <v>22.9</v>
      </c>
      <c r="Q13" s="49">
        <v>22.9</v>
      </c>
      <c r="R13" s="49">
        <v>22.9</v>
      </c>
      <c r="S13" s="49">
        <v>22.9</v>
      </c>
      <c r="T13" s="49">
        <v>22.9</v>
      </c>
      <c r="U13" s="49">
        <v>22.9</v>
      </c>
      <c r="V13" s="49">
        <v>24</v>
      </c>
      <c r="W13" s="49">
        <v>24</v>
      </c>
      <c r="X13" s="49">
        <v>24</v>
      </c>
      <c r="Y13" s="57"/>
      <c r="Z13" s="50">
        <v>24</v>
      </c>
      <c r="AA13" s="50">
        <v>24</v>
      </c>
      <c r="AB13" s="50">
        <v>24</v>
      </c>
      <c r="AC13" s="50">
        <v>24</v>
      </c>
      <c r="AD13" s="50">
        <v>24</v>
      </c>
      <c r="AE13" s="50">
        <v>24</v>
      </c>
      <c r="AF13" s="50">
        <v>24</v>
      </c>
      <c r="AG13" s="58">
        <v>52.4</v>
      </c>
      <c r="AH13" s="53">
        <f t="shared" si="2"/>
        <v>24</v>
      </c>
      <c r="AI13" s="54">
        <f t="shared" si="3"/>
        <v>19.3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49.1</v>
      </c>
      <c r="C14" s="49">
        <v>49.1</v>
      </c>
      <c r="D14" s="49">
        <v>38.799999999999997</v>
      </c>
      <c r="E14" s="49">
        <v>38.5</v>
      </c>
      <c r="F14" s="49">
        <v>38.5</v>
      </c>
      <c r="G14" s="49">
        <v>39.1</v>
      </c>
      <c r="H14" s="49">
        <v>39.1</v>
      </c>
      <c r="I14" s="49">
        <v>39.1</v>
      </c>
      <c r="J14" s="49">
        <v>48.9</v>
      </c>
      <c r="K14" s="49">
        <v>48.9</v>
      </c>
      <c r="L14" s="49">
        <v>48.6</v>
      </c>
      <c r="M14" s="50">
        <v>48.6</v>
      </c>
      <c r="N14" s="50">
        <v>48.6</v>
      </c>
      <c r="O14" s="50">
        <v>48.6</v>
      </c>
      <c r="P14" s="50">
        <v>48.6</v>
      </c>
      <c r="Q14" s="50">
        <v>48.6</v>
      </c>
      <c r="R14" s="50">
        <v>48.6</v>
      </c>
      <c r="S14" s="50">
        <v>34</v>
      </c>
      <c r="T14" s="50">
        <v>48.6</v>
      </c>
      <c r="U14" s="50">
        <v>48.6</v>
      </c>
      <c r="V14" s="50">
        <v>48.6</v>
      </c>
      <c r="W14" s="50">
        <v>48.6</v>
      </c>
      <c r="X14" s="50">
        <v>48.6</v>
      </c>
      <c r="Y14" s="59"/>
      <c r="Z14" s="50">
        <v>48.6</v>
      </c>
      <c r="AA14" s="50">
        <v>48.6</v>
      </c>
      <c r="AB14" s="50">
        <v>48.6</v>
      </c>
      <c r="AC14" s="50">
        <v>48.6</v>
      </c>
      <c r="AD14" s="50">
        <v>48.6</v>
      </c>
      <c r="AE14" s="50">
        <v>48.6</v>
      </c>
      <c r="AF14" s="50">
        <v>48.6</v>
      </c>
      <c r="AG14" s="58">
        <v>50</v>
      </c>
      <c r="AH14" s="53">
        <f t="shared" si="2"/>
        <v>49.1</v>
      </c>
      <c r="AI14" s="54">
        <f t="shared" si="3"/>
        <v>34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22.3</v>
      </c>
      <c r="C15" s="60">
        <v>22.3</v>
      </c>
      <c r="D15" s="60">
        <v>22.4</v>
      </c>
      <c r="E15" s="60">
        <v>22.4</v>
      </c>
      <c r="F15" s="60">
        <v>22.4</v>
      </c>
      <c r="G15" s="60">
        <v>22.6</v>
      </c>
      <c r="H15" s="60">
        <v>22.6</v>
      </c>
      <c r="I15" s="60">
        <v>22.6</v>
      </c>
      <c r="J15" s="60">
        <v>22.6</v>
      </c>
      <c r="K15" s="60">
        <v>22.6</v>
      </c>
      <c r="L15" s="60">
        <v>21.8</v>
      </c>
      <c r="M15" s="50">
        <v>21.8</v>
      </c>
      <c r="N15" s="50">
        <v>21.8</v>
      </c>
      <c r="O15" s="50">
        <v>21.8</v>
      </c>
      <c r="P15" s="50">
        <v>21.8</v>
      </c>
      <c r="Q15" s="50">
        <v>21.8</v>
      </c>
      <c r="R15" s="50">
        <v>21.8</v>
      </c>
      <c r="S15" s="50">
        <v>21.8</v>
      </c>
      <c r="T15" s="50">
        <v>21.8</v>
      </c>
      <c r="U15" s="50">
        <v>21.8</v>
      </c>
      <c r="V15" s="50">
        <v>21.8</v>
      </c>
      <c r="W15" s="50">
        <v>21.8</v>
      </c>
      <c r="X15" s="50">
        <v>21.8</v>
      </c>
      <c r="Y15" s="59"/>
      <c r="Z15" s="50">
        <v>21.8</v>
      </c>
      <c r="AA15" s="50">
        <v>21.8</v>
      </c>
      <c r="AB15" s="50">
        <v>21.8</v>
      </c>
      <c r="AC15" s="50">
        <v>21.8</v>
      </c>
      <c r="AD15" s="50">
        <v>21.8</v>
      </c>
      <c r="AE15" s="50">
        <v>21.8</v>
      </c>
      <c r="AF15" s="50">
        <v>21.8</v>
      </c>
      <c r="AG15" s="61">
        <v>45</v>
      </c>
      <c r="AH15" s="53">
        <f t="shared" si="2"/>
        <v>22.6</v>
      </c>
      <c r="AI15" s="54">
        <f t="shared" si="3"/>
        <v>21.8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/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/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/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9.1</v>
      </c>
      <c r="C19" s="49">
        <v>9.1</v>
      </c>
      <c r="D19" s="49">
        <v>9.1</v>
      </c>
      <c r="E19" s="49">
        <v>9.1</v>
      </c>
      <c r="F19" s="49">
        <v>9.1</v>
      </c>
      <c r="G19" s="49">
        <v>9.1</v>
      </c>
      <c r="H19" s="49">
        <v>9.1</v>
      </c>
      <c r="I19" s="49">
        <v>9.1</v>
      </c>
      <c r="J19" s="49">
        <v>9.1</v>
      </c>
      <c r="K19" s="49">
        <v>9.1</v>
      </c>
      <c r="L19" s="49">
        <v>9.1</v>
      </c>
      <c r="M19" s="50">
        <v>9.1</v>
      </c>
      <c r="N19" s="50">
        <v>9.1</v>
      </c>
      <c r="O19" s="50">
        <v>9.1</v>
      </c>
      <c r="P19" s="50">
        <v>9.1</v>
      </c>
      <c r="Q19" s="50">
        <v>9.1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/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8">
        <v>30</v>
      </c>
      <c r="AH19" s="53">
        <f t="shared" si="2"/>
        <v>9.1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/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/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9.1</v>
      </c>
      <c r="C22" s="49">
        <v>9.1</v>
      </c>
      <c r="D22" s="49">
        <v>12</v>
      </c>
      <c r="E22" s="49">
        <v>12</v>
      </c>
      <c r="F22" s="49">
        <v>12</v>
      </c>
      <c r="G22" s="49">
        <v>12</v>
      </c>
      <c r="H22" s="49">
        <v>12</v>
      </c>
      <c r="I22" s="49">
        <v>12</v>
      </c>
      <c r="J22" s="49">
        <v>12</v>
      </c>
      <c r="K22" s="49">
        <v>12</v>
      </c>
      <c r="L22" s="49">
        <v>12</v>
      </c>
      <c r="M22" s="50">
        <v>12</v>
      </c>
      <c r="N22" s="50">
        <v>12</v>
      </c>
      <c r="O22" s="50">
        <v>12</v>
      </c>
      <c r="P22" s="50">
        <v>12</v>
      </c>
      <c r="Q22" s="50">
        <v>12</v>
      </c>
      <c r="R22" s="50">
        <v>12</v>
      </c>
      <c r="S22" s="50">
        <v>12</v>
      </c>
      <c r="T22" s="50">
        <v>6.3</v>
      </c>
      <c r="U22" s="50">
        <v>6.3</v>
      </c>
      <c r="V22" s="50">
        <v>5.0999999999999996</v>
      </c>
      <c r="W22" s="50">
        <v>5.0999999999999996</v>
      </c>
      <c r="X22" s="50">
        <v>9.6</v>
      </c>
      <c r="Y22" s="50"/>
      <c r="Z22" s="50">
        <v>9.6</v>
      </c>
      <c r="AA22" s="50">
        <v>9.6</v>
      </c>
      <c r="AB22" s="50">
        <v>9.6</v>
      </c>
      <c r="AC22" s="50">
        <v>9.6</v>
      </c>
      <c r="AD22" s="50">
        <v>9.6</v>
      </c>
      <c r="AE22" s="50">
        <v>9.6</v>
      </c>
      <c r="AF22" s="50">
        <v>9.6</v>
      </c>
      <c r="AG22" s="58">
        <v>25</v>
      </c>
      <c r="AH22" s="53">
        <f t="shared" si="2"/>
        <v>12</v>
      </c>
      <c r="AI22" s="54">
        <f t="shared" si="3"/>
        <v>5.0999999999999996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/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7</v>
      </c>
      <c r="C24" s="49">
        <v>7</v>
      </c>
      <c r="D24" s="49">
        <v>7</v>
      </c>
      <c r="E24" s="49">
        <v>7</v>
      </c>
      <c r="F24" s="49">
        <v>7</v>
      </c>
      <c r="G24" s="49">
        <v>7</v>
      </c>
      <c r="H24" s="49">
        <v>7</v>
      </c>
      <c r="I24" s="49">
        <v>16</v>
      </c>
      <c r="J24" s="49">
        <v>16</v>
      </c>
      <c r="K24" s="49">
        <v>16</v>
      </c>
      <c r="L24" s="49">
        <v>15</v>
      </c>
      <c r="M24" s="50">
        <v>15</v>
      </c>
      <c r="N24" s="50">
        <v>15</v>
      </c>
      <c r="O24" s="50">
        <v>15</v>
      </c>
      <c r="P24" s="50">
        <v>15</v>
      </c>
      <c r="Q24" s="50">
        <v>15</v>
      </c>
      <c r="R24" s="50">
        <v>15</v>
      </c>
      <c r="S24" s="50">
        <v>15</v>
      </c>
      <c r="T24" s="50">
        <v>15</v>
      </c>
      <c r="U24" s="50">
        <v>15</v>
      </c>
      <c r="V24" s="50">
        <v>15</v>
      </c>
      <c r="W24" s="50">
        <v>15</v>
      </c>
      <c r="X24" s="50">
        <v>15</v>
      </c>
      <c r="Y24" s="50"/>
      <c r="Z24" s="50">
        <v>15</v>
      </c>
      <c r="AA24" s="50">
        <v>15</v>
      </c>
      <c r="AB24" s="50">
        <v>15</v>
      </c>
      <c r="AC24" s="50">
        <v>15</v>
      </c>
      <c r="AD24" s="50">
        <v>15</v>
      </c>
      <c r="AE24" s="50">
        <v>15</v>
      </c>
      <c r="AF24" s="50">
        <v>15</v>
      </c>
      <c r="AG24" s="58">
        <v>25</v>
      </c>
      <c r="AH24" s="53">
        <f t="shared" si="2"/>
        <v>16</v>
      </c>
      <c r="AI24" s="54">
        <f t="shared" si="3"/>
        <v>7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/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6.5</v>
      </c>
      <c r="C26" s="49">
        <v>6.5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/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6.5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/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/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/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/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/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/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5</v>
      </c>
      <c r="C33" s="60">
        <v>5</v>
      </c>
      <c r="D33" s="60">
        <v>5</v>
      </c>
      <c r="E33" s="60">
        <v>5</v>
      </c>
      <c r="F33" s="60">
        <v>5</v>
      </c>
      <c r="G33" s="60">
        <v>5</v>
      </c>
      <c r="H33" s="60">
        <v>5</v>
      </c>
      <c r="I33" s="60">
        <v>5</v>
      </c>
      <c r="J33" s="60">
        <v>5</v>
      </c>
      <c r="K33" s="60">
        <v>5</v>
      </c>
      <c r="L33" s="60">
        <v>5</v>
      </c>
      <c r="M33" s="50">
        <v>5</v>
      </c>
      <c r="N33" s="50">
        <v>5</v>
      </c>
      <c r="O33" s="50">
        <v>5</v>
      </c>
      <c r="P33" s="50">
        <v>5</v>
      </c>
      <c r="Q33" s="50">
        <v>5</v>
      </c>
      <c r="R33" s="50">
        <v>5</v>
      </c>
      <c r="S33" s="50">
        <v>5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/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5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/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/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/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45.8</v>
      </c>
      <c r="C37" s="60">
        <v>45.8</v>
      </c>
      <c r="D37" s="60">
        <f>16.8+31.5</f>
        <v>48.3</v>
      </c>
      <c r="E37" s="60">
        <f>16.7+31.4</f>
        <v>48.099999999999994</v>
      </c>
      <c r="F37" s="60">
        <f>17+32</f>
        <v>49</v>
      </c>
      <c r="G37" s="60">
        <f>16.6+31.1</f>
        <v>47.7</v>
      </c>
      <c r="H37" s="60">
        <f>16.2+30.1</f>
        <v>46.3</v>
      </c>
      <c r="I37" s="60">
        <f t="shared" ref="I37:K37" si="4">16.2+30.1</f>
        <v>46.3</v>
      </c>
      <c r="J37" s="60">
        <f t="shared" si="4"/>
        <v>46.3</v>
      </c>
      <c r="K37" s="60">
        <f t="shared" si="4"/>
        <v>46.3</v>
      </c>
      <c r="L37" s="60">
        <f>15.7+28.7</f>
        <v>44.4</v>
      </c>
      <c r="M37" s="69">
        <f>15.9+29.4</f>
        <v>45.3</v>
      </c>
      <c r="N37" s="69">
        <f>15.9+29.4</f>
        <v>45.3</v>
      </c>
      <c r="O37" s="69">
        <f t="shared" ref="O37:Q37" si="5">15.9+29.4</f>
        <v>45.3</v>
      </c>
      <c r="P37" s="69">
        <f t="shared" si="5"/>
        <v>45.3</v>
      </c>
      <c r="Q37" s="69">
        <f t="shared" si="5"/>
        <v>45.3</v>
      </c>
      <c r="R37" s="69">
        <f>15.6+30</f>
        <v>45.6</v>
      </c>
      <c r="S37" s="69">
        <v>41.6</v>
      </c>
      <c r="T37" s="69">
        <v>35.6</v>
      </c>
      <c r="U37" s="69">
        <v>48.7</v>
      </c>
      <c r="V37" s="69">
        <v>51.1</v>
      </c>
      <c r="W37" s="69">
        <v>50.3</v>
      </c>
      <c r="X37" s="69">
        <v>50.3</v>
      </c>
      <c r="Y37" s="69"/>
      <c r="Z37" s="69">
        <v>48.8</v>
      </c>
      <c r="AA37" s="69">
        <v>53.8</v>
      </c>
      <c r="AB37" s="69">
        <v>55</v>
      </c>
      <c r="AC37" s="69">
        <v>56</v>
      </c>
      <c r="AD37" s="69">
        <v>56</v>
      </c>
      <c r="AE37" s="69">
        <v>61.7</v>
      </c>
      <c r="AF37" s="60">
        <v>65</v>
      </c>
      <c r="AG37" s="66">
        <v>240</v>
      </c>
      <c r="AH37" s="53">
        <f t="shared" si="2"/>
        <v>65</v>
      </c>
      <c r="AI37" s="54">
        <f t="shared" si="3"/>
        <v>35.6</v>
      </c>
      <c r="AK37" s="55"/>
    </row>
    <row r="38" spans="1:88" ht="15.75" thickBot="1" x14ac:dyDescent="0.3">
      <c r="A38" s="70" t="s">
        <v>46</v>
      </c>
      <c r="B38" s="71">
        <f>SUM(B11:B36)</f>
        <v>422.9</v>
      </c>
      <c r="C38" s="71">
        <f t="shared" ref="C38:AF38" si="6">SUM(C11:C36)</f>
        <v>422.9</v>
      </c>
      <c r="D38" s="71">
        <f t="shared" si="6"/>
        <v>416.2</v>
      </c>
      <c r="E38" s="71">
        <f t="shared" si="6"/>
        <v>414.59999999999997</v>
      </c>
      <c r="F38" s="71">
        <f t="shared" si="6"/>
        <v>414.59999999999997</v>
      </c>
      <c r="G38" s="71">
        <f t="shared" si="6"/>
        <v>416.79999999999995</v>
      </c>
      <c r="H38" s="71">
        <f t="shared" si="6"/>
        <v>420.39999999999992</v>
      </c>
      <c r="I38" s="71">
        <f t="shared" si="6"/>
        <v>429.39999999999992</v>
      </c>
      <c r="J38" s="71">
        <f t="shared" si="6"/>
        <v>500.19999999999993</v>
      </c>
      <c r="K38" s="71">
        <f t="shared" si="6"/>
        <v>465.19999999999993</v>
      </c>
      <c r="L38" s="71">
        <f t="shared" si="6"/>
        <v>465.09999999999997</v>
      </c>
      <c r="M38" s="71">
        <f t="shared" si="6"/>
        <v>564.1</v>
      </c>
      <c r="N38" s="71">
        <f t="shared" si="6"/>
        <v>724.10000000000014</v>
      </c>
      <c r="O38" s="71">
        <f t="shared" si="6"/>
        <v>494.09999999999997</v>
      </c>
      <c r="P38" s="71">
        <f t="shared" si="6"/>
        <v>724.10000000000014</v>
      </c>
      <c r="Q38" s="71">
        <f t="shared" si="6"/>
        <v>439.09999999999997</v>
      </c>
      <c r="R38" s="71">
        <f t="shared" si="6"/>
        <v>439.09999999999997</v>
      </c>
      <c r="S38" s="71">
        <f t="shared" si="6"/>
        <v>431.49999999999994</v>
      </c>
      <c r="T38" s="71">
        <f t="shared" si="6"/>
        <v>433.4</v>
      </c>
      <c r="U38" s="71">
        <f t="shared" si="6"/>
        <v>441.4</v>
      </c>
      <c r="V38" s="71">
        <f t="shared" si="6"/>
        <v>571.30000000000007</v>
      </c>
      <c r="W38" s="71">
        <f t="shared" si="6"/>
        <v>631.30000000000007</v>
      </c>
      <c r="X38" s="71">
        <f t="shared" si="6"/>
        <v>635.80000000000007</v>
      </c>
      <c r="Y38" s="71">
        <f t="shared" si="6"/>
        <v>0</v>
      </c>
      <c r="Z38" s="71">
        <f t="shared" si="6"/>
        <v>729.80000000000018</v>
      </c>
      <c r="AA38" s="71">
        <f t="shared" si="6"/>
        <v>805.80000000000018</v>
      </c>
      <c r="AB38" s="71">
        <f t="shared" si="6"/>
        <v>755.80000000000018</v>
      </c>
      <c r="AC38" s="71">
        <f t="shared" si="6"/>
        <v>535.79999999999995</v>
      </c>
      <c r="AD38" s="71">
        <f t="shared" si="6"/>
        <v>535.79999999999995</v>
      </c>
      <c r="AE38" s="71">
        <f t="shared" si="6"/>
        <v>437.79999999999995</v>
      </c>
      <c r="AF38" s="71">
        <f t="shared" si="6"/>
        <v>425.79999999999995</v>
      </c>
      <c r="AG38" s="66">
        <f>SUM(AG11:AG37)</f>
        <v>1492.8299999999997</v>
      </c>
      <c r="AH38" s="53">
        <f t="shared" si="2"/>
        <v>805.80000000000018</v>
      </c>
      <c r="AI38" s="54">
        <f t="shared" si="3"/>
        <v>0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90.6</v>
      </c>
      <c r="L39" s="60">
        <v>97.4</v>
      </c>
      <c r="M39" s="50">
        <v>145.69999999999999</v>
      </c>
      <c r="N39" s="50">
        <v>145.19999999999999</v>
      </c>
      <c r="O39" s="50">
        <v>145.19999999999999</v>
      </c>
      <c r="P39" s="50">
        <v>145.19999999999999</v>
      </c>
      <c r="Q39" s="50">
        <v>145.19999999999999</v>
      </c>
      <c r="R39" s="50">
        <v>144.9</v>
      </c>
      <c r="S39" s="50">
        <v>145.69999999999999</v>
      </c>
      <c r="T39" s="50">
        <v>145.80000000000001</v>
      </c>
      <c r="U39" s="50">
        <v>145.4</v>
      </c>
      <c r="V39" s="50">
        <v>145.19999999999999</v>
      </c>
      <c r="W39" s="50">
        <v>144.80000000000001</v>
      </c>
      <c r="X39" s="50">
        <v>146</v>
      </c>
      <c r="Y39" s="50"/>
      <c r="Z39" s="50">
        <v>146</v>
      </c>
      <c r="AA39" s="50">
        <v>146</v>
      </c>
      <c r="AB39" s="50">
        <v>146</v>
      </c>
      <c r="AC39" s="50">
        <v>127</v>
      </c>
      <c r="AD39" s="50">
        <v>91</v>
      </c>
      <c r="AE39" s="50">
        <v>30</v>
      </c>
      <c r="AF39" s="49">
        <v>0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31.5</v>
      </c>
      <c r="I40" s="60">
        <v>35</v>
      </c>
      <c r="J40" s="60">
        <v>35</v>
      </c>
      <c r="K40" s="60">
        <v>35.799999999999997</v>
      </c>
      <c r="L40" s="60">
        <v>69.099999999999994</v>
      </c>
      <c r="M40" s="72">
        <v>69.2</v>
      </c>
      <c r="N40" s="72">
        <v>71.3</v>
      </c>
      <c r="O40" s="72">
        <v>71.3</v>
      </c>
      <c r="P40" s="72">
        <v>71.3</v>
      </c>
      <c r="Q40" s="72">
        <v>71.3</v>
      </c>
      <c r="R40" s="72">
        <v>70.5</v>
      </c>
      <c r="S40" s="72">
        <v>60.3</v>
      </c>
      <c r="T40" s="72">
        <v>69</v>
      </c>
      <c r="U40" s="72">
        <v>70.7</v>
      </c>
      <c r="V40" s="72">
        <v>65.2</v>
      </c>
      <c r="W40" s="72">
        <v>70.2</v>
      </c>
      <c r="X40" s="72">
        <v>69.599999999999994</v>
      </c>
      <c r="Y40" s="72"/>
      <c r="Z40" s="72">
        <v>69.599999999999994</v>
      </c>
      <c r="AA40" s="72">
        <v>69.599999999999994</v>
      </c>
      <c r="AB40" s="72">
        <v>69.599999999999994</v>
      </c>
      <c r="AC40" s="72">
        <v>69.599999999999994</v>
      </c>
      <c r="AD40" s="72">
        <v>65</v>
      </c>
      <c r="AE40" s="72">
        <v>0</v>
      </c>
      <c r="AF40" s="60">
        <v>0</v>
      </c>
      <c r="AG40" s="66">
        <v>70</v>
      </c>
      <c r="AH40" s="53">
        <f t="shared" si="2"/>
        <v>71.3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0</v>
      </c>
      <c r="C41" s="60">
        <v>0</v>
      </c>
      <c r="D41" s="60">
        <v>0</v>
      </c>
      <c r="E41" s="60">
        <v>22.8</v>
      </c>
      <c r="F41" s="60">
        <v>22.7</v>
      </c>
      <c r="G41" s="60">
        <v>33.799999999999997</v>
      </c>
      <c r="H41" s="60">
        <v>33.200000000000003</v>
      </c>
      <c r="I41" s="60">
        <v>33.299999999999997</v>
      </c>
      <c r="J41" s="60">
        <v>33.299999999999997</v>
      </c>
      <c r="K41" s="60">
        <v>46.4</v>
      </c>
      <c r="L41" s="60">
        <v>46.3</v>
      </c>
      <c r="M41" s="72">
        <v>46.1</v>
      </c>
      <c r="N41" s="72">
        <v>68.900000000000006</v>
      </c>
      <c r="O41" s="72">
        <v>68.900000000000006</v>
      </c>
      <c r="P41" s="72">
        <v>68.900000000000006</v>
      </c>
      <c r="Q41" s="72">
        <v>68.900000000000006</v>
      </c>
      <c r="R41" s="72">
        <v>63.6</v>
      </c>
      <c r="S41" s="72">
        <v>67.599999999999994</v>
      </c>
      <c r="T41" s="72">
        <v>67.2</v>
      </c>
      <c r="U41" s="72">
        <v>67.900000000000006</v>
      </c>
      <c r="V41" s="72">
        <v>67.900000000000006</v>
      </c>
      <c r="W41" s="72">
        <v>68.7</v>
      </c>
      <c r="X41" s="72">
        <v>68.5</v>
      </c>
      <c r="Y41" s="72"/>
      <c r="Z41" s="72">
        <v>68.5</v>
      </c>
      <c r="AA41" s="72">
        <v>68.5</v>
      </c>
      <c r="AB41" s="72">
        <v>68.5</v>
      </c>
      <c r="AC41" s="72">
        <v>68.5</v>
      </c>
      <c r="AD41" s="72">
        <v>68.900000000000006</v>
      </c>
      <c r="AE41" s="72">
        <v>69.7</v>
      </c>
      <c r="AF41" s="72">
        <v>69.7</v>
      </c>
      <c r="AG41" s="66">
        <v>69</v>
      </c>
      <c r="AH41" s="53">
        <f t="shared" si="2"/>
        <v>69.7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51.4</v>
      </c>
      <c r="C42" s="60">
        <v>51.4</v>
      </c>
      <c r="D42" s="60">
        <v>51.1</v>
      </c>
      <c r="E42" s="60">
        <v>53.4</v>
      </c>
      <c r="F42" s="60">
        <v>55.9</v>
      </c>
      <c r="G42" s="60">
        <v>60</v>
      </c>
      <c r="H42" s="60">
        <v>60</v>
      </c>
      <c r="I42" s="60">
        <v>59.2</v>
      </c>
      <c r="J42" s="60">
        <v>59.2</v>
      </c>
      <c r="K42" s="60">
        <v>57.4</v>
      </c>
      <c r="L42" s="60">
        <v>57.4</v>
      </c>
      <c r="M42" s="72">
        <v>59.2</v>
      </c>
      <c r="N42" s="72">
        <v>59.5</v>
      </c>
      <c r="O42" s="72">
        <v>59.5</v>
      </c>
      <c r="P42" s="72">
        <v>59.5</v>
      </c>
      <c r="Q42" s="72">
        <v>59.5</v>
      </c>
      <c r="R42" s="72">
        <v>54.1</v>
      </c>
      <c r="S42" s="72">
        <v>57.9</v>
      </c>
      <c r="T42" s="72">
        <v>60</v>
      </c>
      <c r="U42" s="72">
        <v>57.9</v>
      </c>
      <c r="V42" s="72">
        <v>57.9</v>
      </c>
      <c r="W42" s="72">
        <v>57.7</v>
      </c>
      <c r="X42" s="72">
        <v>52.2</v>
      </c>
      <c r="Y42" s="72"/>
      <c r="Z42" s="72">
        <v>52.2</v>
      </c>
      <c r="AA42" s="72">
        <v>52.2</v>
      </c>
      <c r="AB42" s="72">
        <v>52.2</v>
      </c>
      <c r="AC42" s="72">
        <v>52.2</v>
      </c>
      <c r="AD42" s="72">
        <v>52.2</v>
      </c>
      <c r="AE42" s="72">
        <v>52.2</v>
      </c>
      <c r="AF42" s="72">
        <v>52.2</v>
      </c>
      <c r="AG42" s="66">
        <v>60</v>
      </c>
      <c r="AH42" s="53">
        <f t="shared" si="2"/>
        <v>60</v>
      </c>
      <c r="AI42" s="54">
        <f t="shared" si="3"/>
        <v>51.1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9.6999999999999993</v>
      </c>
      <c r="F43" s="60">
        <v>10.3</v>
      </c>
      <c r="G43" s="60">
        <v>10.6</v>
      </c>
      <c r="H43" s="60">
        <v>10.5</v>
      </c>
      <c r="I43" s="60">
        <v>9.6</v>
      </c>
      <c r="J43" s="60">
        <v>9.6</v>
      </c>
      <c r="K43" s="60">
        <v>11.1</v>
      </c>
      <c r="L43" s="60">
        <v>10.6</v>
      </c>
      <c r="M43" s="50">
        <v>22.4</v>
      </c>
      <c r="N43" s="50">
        <v>22.4</v>
      </c>
      <c r="O43" s="50">
        <v>22.4</v>
      </c>
      <c r="P43" s="50">
        <v>22.4</v>
      </c>
      <c r="Q43" s="50">
        <v>22.4</v>
      </c>
      <c r="R43" s="50">
        <v>0</v>
      </c>
      <c r="S43" s="50">
        <v>0</v>
      </c>
      <c r="T43" s="50">
        <v>0</v>
      </c>
      <c r="U43" s="50">
        <v>0</v>
      </c>
      <c r="V43" s="50">
        <v>11.1</v>
      </c>
      <c r="W43" s="50">
        <v>10.6</v>
      </c>
      <c r="X43" s="50">
        <v>14.5</v>
      </c>
      <c r="Y43" s="50"/>
      <c r="Z43" s="72">
        <v>14.5</v>
      </c>
      <c r="AA43" s="72">
        <v>14.5</v>
      </c>
      <c r="AB43" s="72">
        <v>28</v>
      </c>
      <c r="AC43" s="72">
        <v>23</v>
      </c>
      <c r="AD43" s="72">
        <v>24</v>
      </c>
      <c r="AE43" s="72">
        <v>10</v>
      </c>
      <c r="AF43" s="72">
        <v>0</v>
      </c>
      <c r="AG43" s="66">
        <v>30</v>
      </c>
      <c r="AH43" s="53">
        <f t="shared" si="2"/>
        <v>28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/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79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10</v>
      </c>
      <c r="J45" s="79">
        <v>16</v>
      </c>
      <c r="K45" s="79">
        <v>16</v>
      </c>
      <c r="L45" s="79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/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10</v>
      </c>
      <c r="AK45" s="55"/>
    </row>
    <row r="46" spans="1:88" x14ac:dyDescent="0.25">
      <c r="A46" s="65" t="s">
        <v>54</v>
      </c>
      <c r="B46" s="60">
        <v>5</v>
      </c>
      <c r="C46" s="60">
        <v>5</v>
      </c>
      <c r="D46" s="6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5</v>
      </c>
      <c r="J46" s="60">
        <v>5</v>
      </c>
      <c r="K46" s="60">
        <v>5</v>
      </c>
      <c r="L46" s="60">
        <v>5</v>
      </c>
      <c r="M46" s="5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/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14</v>
      </c>
      <c r="J47" s="60">
        <v>14</v>
      </c>
      <c r="K47" s="60">
        <v>13</v>
      </c>
      <c r="L47" s="60">
        <v>13.2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/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14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</v>
      </c>
      <c r="C48" s="60">
        <v>5</v>
      </c>
      <c r="D48" s="79">
        <v>5</v>
      </c>
      <c r="E48" s="79">
        <v>5</v>
      </c>
      <c r="F48" s="79">
        <v>5</v>
      </c>
      <c r="G48" s="79">
        <v>5</v>
      </c>
      <c r="H48" s="79">
        <v>5</v>
      </c>
      <c r="I48" s="79">
        <v>6</v>
      </c>
      <c r="J48" s="79">
        <v>6</v>
      </c>
      <c r="K48" s="79">
        <v>6</v>
      </c>
      <c r="L48" s="79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0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50">
        <v>6</v>
      </c>
      <c r="AF48" s="50">
        <v>6</v>
      </c>
      <c r="AG48" s="66">
        <v>14</v>
      </c>
      <c r="AH48" s="53">
        <f t="shared" si="2"/>
        <v>6</v>
      </c>
      <c r="AI48" s="54">
        <f t="shared" si="3"/>
        <v>0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/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/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f t="shared" si="7"/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103.94000000000001</v>
      </c>
      <c r="C52" s="71">
        <f t="shared" ref="C52:AF52" si="8">SUM(C39:C51)</f>
        <v>103.94000000000001</v>
      </c>
      <c r="D52" s="71">
        <f t="shared" si="8"/>
        <v>103.64</v>
      </c>
      <c r="E52" s="71">
        <f t="shared" si="8"/>
        <v>138.44</v>
      </c>
      <c r="F52" s="71">
        <f t="shared" si="8"/>
        <v>141.43999999999997</v>
      </c>
      <c r="G52" s="71">
        <f t="shared" si="8"/>
        <v>156.93999999999997</v>
      </c>
      <c r="H52" s="71">
        <f t="shared" si="8"/>
        <v>187.73999999999998</v>
      </c>
      <c r="I52" s="71">
        <f t="shared" si="8"/>
        <v>185.64</v>
      </c>
      <c r="J52" s="71">
        <f t="shared" si="8"/>
        <v>191.64</v>
      </c>
      <c r="K52" s="71">
        <f t="shared" si="8"/>
        <v>294.83999999999997</v>
      </c>
      <c r="L52" s="71">
        <f t="shared" si="8"/>
        <v>334.54</v>
      </c>
      <c r="M52" s="71">
        <f t="shared" si="8"/>
        <v>396.14</v>
      </c>
      <c r="N52" s="71">
        <f t="shared" si="8"/>
        <v>420.84</v>
      </c>
      <c r="O52" s="71">
        <f t="shared" si="8"/>
        <v>420.84</v>
      </c>
      <c r="P52" s="71">
        <f t="shared" si="8"/>
        <v>420.84</v>
      </c>
      <c r="Q52" s="71">
        <f t="shared" si="8"/>
        <v>420.84</v>
      </c>
      <c r="R52" s="71">
        <f t="shared" si="8"/>
        <v>386.64000000000004</v>
      </c>
      <c r="S52" s="71">
        <f t="shared" si="8"/>
        <v>385.04</v>
      </c>
      <c r="T52" s="71">
        <f t="shared" si="8"/>
        <v>395.54</v>
      </c>
      <c r="U52" s="71">
        <f t="shared" si="8"/>
        <v>389.44</v>
      </c>
      <c r="V52" s="71">
        <f t="shared" si="8"/>
        <v>400.84</v>
      </c>
      <c r="W52" s="71">
        <f t="shared" si="8"/>
        <v>405.54</v>
      </c>
      <c r="X52" s="71">
        <f t="shared" si="8"/>
        <v>404.34000000000003</v>
      </c>
      <c r="Y52" s="71">
        <f t="shared" si="8"/>
        <v>9.5399999999999991</v>
      </c>
      <c r="Z52" s="71">
        <f t="shared" si="8"/>
        <v>404.34000000000003</v>
      </c>
      <c r="AA52" s="71">
        <f t="shared" si="8"/>
        <v>404.34000000000003</v>
      </c>
      <c r="AB52" s="71">
        <f t="shared" si="8"/>
        <v>417.84000000000003</v>
      </c>
      <c r="AC52" s="71">
        <f t="shared" si="8"/>
        <v>393.84000000000003</v>
      </c>
      <c r="AD52" s="71">
        <f t="shared" si="8"/>
        <v>354.64000000000004</v>
      </c>
      <c r="AE52" s="71">
        <f t="shared" si="8"/>
        <v>215.44</v>
      </c>
      <c r="AF52" s="71">
        <f t="shared" si="8"/>
        <v>175.44</v>
      </c>
      <c r="AG52" s="76">
        <f>SUM(AG39:AG51)</f>
        <v>489.91</v>
      </c>
      <c r="AH52" s="53">
        <f t="shared" si="2"/>
        <v>420.84</v>
      </c>
      <c r="AI52" s="54">
        <f t="shared" si="3"/>
        <v>9.5399999999999991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77">
        <v>13.8</v>
      </c>
      <c r="N53" s="77">
        <v>41.3</v>
      </c>
      <c r="O53" s="77">
        <v>59.8</v>
      </c>
      <c r="P53" s="77">
        <v>59.8</v>
      </c>
      <c r="Q53" s="77">
        <v>59.8</v>
      </c>
      <c r="R53" s="50">
        <v>49.2</v>
      </c>
      <c r="S53" s="50">
        <v>54.7</v>
      </c>
      <c r="T53" s="50">
        <v>40.299999999999997</v>
      </c>
      <c r="U53" s="50">
        <v>44.7</v>
      </c>
      <c r="V53" s="50">
        <v>58</v>
      </c>
      <c r="W53" s="50">
        <v>47</v>
      </c>
      <c r="X53" s="50">
        <v>51.5</v>
      </c>
      <c r="Y53" s="50"/>
      <c r="Z53" s="50">
        <v>58.3</v>
      </c>
      <c r="AA53" s="50">
        <v>58.3</v>
      </c>
      <c r="AB53" s="50">
        <v>57.4</v>
      </c>
      <c r="AC53" s="50">
        <v>57.4</v>
      </c>
      <c r="AD53" s="50">
        <v>57.4</v>
      </c>
      <c r="AE53" s="50">
        <v>50</v>
      </c>
      <c r="AF53" s="50">
        <v>0</v>
      </c>
      <c r="AG53" s="61">
        <v>60</v>
      </c>
      <c r="AH53" s="53">
        <f t="shared" si="2"/>
        <v>59.8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77">
        <v>9</v>
      </c>
      <c r="N54" s="77">
        <v>19.600000000000001</v>
      </c>
      <c r="O54" s="77">
        <v>29.6</v>
      </c>
      <c r="P54" s="77">
        <v>29.6</v>
      </c>
      <c r="Q54" s="77">
        <v>29.6</v>
      </c>
      <c r="R54" s="72">
        <v>29.2</v>
      </c>
      <c r="S54" s="50">
        <v>26.3</v>
      </c>
      <c r="T54" s="50">
        <v>20.399999999999999</v>
      </c>
      <c r="U54" s="50">
        <v>20.6</v>
      </c>
      <c r="V54" s="72">
        <v>23</v>
      </c>
      <c r="W54" s="72">
        <v>22.1</v>
      </c>
      <c r="X54" s="72">
        <v>23.3</v>
      </c>
      <c r="Y54" s="72"/>
      <c r="Z54" s="72">
        <v>25.5</v>
      </c>
      <c r="AA54" s="72">
        <v>25.5</v>
      </c>
      <c r="AB54" s="72">
        <v>28.4</v>
      </c>
      <c r="AC54" s="72">
        <v>27.5</v>
      </c>
      <c r="AD54" s="72">
        <v>27.5</v>
      </c>
      <c r="AE54" s="72">
        <v>23.3</v>
      </c>
      <c r="AF54" s="72">
        <v>4</v>
      </c>
      <c r="AG54" s="66">
        <v>32</v>
      </c>
      <c r="AH54" s="53">
        <f t="shared" si="2"/>
        <v>29.6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80">
        <v>3.3</v>
      </c>
      <c r="N55" s="80">
        <v>7.1</v>
      </c>
      <c r="O55" s="80">
        <v>10.8</v>
      </c>
      <c r="P55" s="80">
        <v>10.8</v>
      </c>
      <c r="Q55" s="80">
        <v>10.8</v>
      </c>
      <c r="R55" s="78">
        <v>10.6</v>
      </c>
      <c r="S55" s="50">
        <v>9.6</v>
      </c>
      <c r="T55" s="50">
        <v>7.4</v>
      </c>
      <c r="U55" s="50">
        <v>7.5</v>
      </c>
      <c r="V55" s="78">
        <v>8.4</v>
      </c>
      <c r="W55" s="78">
        <v>8</v>
      </c>
      <c r="X55" s="78">
        <v>8.5</v>
      </c>
      <c r="Y55" s="78"/>
      <c r="Z55" s="78">
        <v>9.3000000000000007</v>
      </c>
      <c r="AA55" s="78">
        <v>9.3000000000000007</v>
      </c>
      <c r="AB55" s="78">
        <v>11</v>
      </c>
      <c r="AC55" s="78">
        <v>10.4</v>
      </c>
      <c r="AD55" s="78">
        <v>10.4</v>
      </c>
      <c r="AE55" s="78">
        <v>9</v>
      </c>
      <c r="AF55" s="78">
        <v>1.4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9">SUM(D53:D55)</f>
        <v>0</v>
      </c>
      <c r="E56" s="71">
        <f t="shared" si="9"/>
        <v>0</v>
      </c>
      <c r="F56" s="71">
        <f t="shared" si="9"/>
        <v>0</v>
      </c>
      <c r="G56" s="71">
        <f t="shared" si="9"/>
        <v>0</v>
      </c>
      <c r="H56" s="71">
        <f t="shared" si="9"/>
        <v>0</v>
      </c>
      <c r="I56" s="71">
        <f t="shared" si="9"/>
        <v>0</v>
      </c>
      <c r="J56" s="71">
        <f t="shared" si="9"/>
        <v>0</v>
      </c>
      <c r="K56" s="71">
        <f t="shared" si="9"/>
        <v>0</v>
      </c>
      <c r="L56" s="71">
        <f t="shared" si="9"/>
        <v>0</v>
      </c>
      <c r="M56" s="71">
        <f t="shared" si="9"/>
        <v>26.1</v>
      </c>
      <c r="N56" s="71">
        <f t="shared" si="9"/>
        <v>68</v>
      </c>
      <c r="O56" s="71">
        <f t="shared" si="9"/>
        <v>100.2</v>
      </c>
      <c r="P56" s="71">
        <f t="shared" si="9"/>
        <v>100.2</v>
      </c>
      <c r="Q56" s="71">
        <f t="shared" si="9"/>
        <v>100.2</v>
      </c>
      <c r="R56" s="71">
        <f t="shared" si="9"/>
        <v>89</v>
      </c>
      <c r="S56" s="71">
        <f t="shared" si="9"/>
        <v>90.6</v>
      </c>
      <c r="T56" s="71">
        <f t="shared" si="9"/>
        <v>68.099999999999994</v>
      </c>
      <c r="U56" s="71">
        <f t="shared" si="9"/>
        <v>72.800000000000011</v>
      </c>
      <c r="V56" s="71">
        <f t="shared" si="9"/>
        <v>89.4</v>
      </c>
      <c r="W56" s="71">
        <f t="shared" si="9"/>
        <v>77.099999999999994</v>
      </c>
      <c r="X56" s="71">
        <f t="shared" si="9"/>
        <v>83.3</v>
      </c>
      <c r="Y56" s="71">
        <f t="shared" si="9"/>
        <v>0</v>
      </c>
      <c r="Z56" s="71">
        <f t="shared" si="9"/>
        <v>93.1</v>
      </c>
      <c r="AA56" s="71">
        <f t="shared" si="9"/>
        <v>93.1</v>
      </c>
      <c r="AB56" s="71">
        <f t="shared" si="9"/>
        <v>96.8</v>
      </c>
      <c r="AC56" s="71">
        <f t="shared" si="9"/>
        <v>95.300000000000011</v>
      </c>
      <c r="AD56" s="71">
        <f t="shared" si="9"/>
        <v>95.300000000000011</v>
      </c>
      <c r="AE56" s="71">
        <f t="shared" si="9"/>
        <v>82.3</v>
      </c>
      <c r="AF56" s="71">
        <f t="shared" si="9"/>
        <v>5.4</v>
      </c>
      <c r="AG56" s="76">
        <f>SUM(AG53:AG55)</f>
        <v>106</v>
      </c>
      <c r="AH56" s="53">
        <f t="shared" si="2"/>
        <v>100.2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60.7</v>
      </c>
      <c r="C57" s="50">
        <v>57</v>
      </c>
      <c r="D57" s="50">
        <v>57.3</v>
      </c>
      <c r="E57" s="50">
        <v>47.8</v>
      </c>
      <c r="F57" s="50">
        <v>44.5</v>
      </c>
      <c r="G57" s="50">
        <v>46.3</v>
      </c>
      <c r="H57" s="50">
        <v>50.1</v>
      </c>
      <c r="I57" s="50">
        <v>53.6</v>
      </c>
      <c r="J57" s="50">
        <v>56.2</v>
      </c>
      <c r="K57" s="50">
        <v>54.5</v>
      </c>
      <c r="L57" s="50">
        <v>67.7</v>
      </c>
      <c r="M57" s="50">
        <v>58.9</v>
      </c>
      <c r="N57" s="50">
        <v>64.5</v>
      </c>
      <c r="O57" s="50">
        <v>74.599999999999994</v>
      </c>
      <c r="P57" s="50">
        <v>74.599999999999994</v>
      </c>
      <c r="Q57" s="50">
        <v>77.7</v>
      </c>
      <c r="R57" s="50">
        <v>76.400000000000006</v>
      </c>
      <c r="S57" s="50">
        <v>75.099999999999994</v>
      </c>
      <c r="T57" s="50">
        <v>69.7</v>
      </c>
      <c r="U57" s="50">
        <v>70.7</v>
      </c>
      <c r="V57" s="50">
        <v>62</v>
      </c>
      <c r="W57" s="50">
        <v>67</v>
      </c>
      <c r="X57" s="50">
        <v>76</v>
      </c>
      <c r="Y57" s="50"/>
      <c r="Z57" s="50">
        <v>66.2</v>
      </c>
      <c r="AA57" s="50">
        <v>64</v>
      </c>
      <c r="AB57" s="50">
        <v>78</v>
      </c>
      <c r="AC57" s="50">
        <v>75</v>
      </c>
      <c r="AD57" s="50">
        <v>70</v>
      </c>
      <c r="AE57" s="50">
        <v>60</v>
      </c>
      <c r="AF57" s="50">
        <v>65</v>
      </c>
      <c r="AG57" s="61"/>
      <c r="AH57" s="53">
        <f t="shared" si="2"/>
        <v>78</v>
      </c>
      <c r="AI57" s="54">
        <f t="shared" si="3"/>
        <v>44.5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/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290</v>
      </c>
      <c r="C59" s="72">
        <v>260</v>
      </c>
      <c r="D59" s="72">
        <v>220</v>
      </c>
      <c r="E59" s="72">
        <v>180</v>
      </c>
      <c r="F59" s="72">
        <v>156</v>
      </c>
      <c r="G59" s="72">
        <v>175.6</v>
      </c>
      <c r="H59" s="50">
        <v>240</v>
      </c>
      <c r="I59" s="50">
        <v>275</v>
      </c>
      <c r="J59" s="50">
        <v>280</v>
      </c>
      <c r="K59" s="50">
        <v>279</v>
      </c>
      <c r="L59" s="50">
        <v>346.2</v>
      </c>
      <c r="M59" s="72">
        <v>301</v>
      </c>
      <c r="N59" s="72">
        <v>65.2</v>
      </c>
      <c r="O59" s="72">
        <v>212</v>
      </c>
      <c r="P59" s="72">
        <v>212</v>
      </c>
      <c r="Q59" s="72">
        <v>271</v>
      </c>
      <c r="R59" s="72">
        <v>291.10000000000002</v>
      </c>
      <c r="S59" s="72">
        <v>283.2</v>
      </c>
      <c r="T59" s="72">
        <v>300</v>
      </c>
      <c r="U59" s="72">
        <v>341.3</v>
      </c>
      <c r="V59" s="72">
        <v>178</v>
      </c>
      <c r="W59" s="72">
        <v>186</v>
      </c>
      <c r="X59" s="83">
        <v>177.1</v>
      </c>
      <c r="Y59" s="83"/>
      <c r="Z59" s="83">
        <v>64.400000000000006</v>
      </c>
      <c r="AA59" s="83">
        <v>0</v>
      </c>
      <c r="AB59" s="72">
        <v>85</v>
      </c>
      <c r="AC59" s="72">
        <v>240</v>
      </c>
      <c r="AD59" s="72">
        <v>260</v>
      </c>
      <c r="AE59" s="72">
        <v>295</v>
      </c>
      <c r="AF59" s="72">
        <v>296</v>
      </c>
      <c r="AG59" s="84"/>
      <c r="AH59" s="53">
        <f t="shared" si="2"/>
        <v>346.2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48.3</v>
      </c>
      <c r="W60" s="72">
        <v>58.2</v>
      </c>
      <c r="X60" s="72">
        <v>59</v>
      </c>
      <c r="Y60" s="72"/>
      <c r="Z60" s="72">
        <v>17.600000000000001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84"/>
      <c r="AH60" s="53">
        <f t="shared" si="2"/>
        <v>59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/>
      <c r="Z61" s="50">
        <v>73.7</v>
      </c>
      <c r="AA61" s="50">
        <v>68.2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84"/>
      <c r="AH61" s="53">
        <f t="shared" si="2"/>
        <v>73.7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/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/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/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4</v>
      </c>
      <c r="V65" s="57">
        <v>0</v>
      </c>
      <c r="W65" s="57">
        <v>0</v>
      </c>
      <c r="X65" s="57">
        <v>0</v>
      </c>
      <c r="Y65" s="57"/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4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/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/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350.7</v>
      </c>
      <c r="C68" s="71">
        <f>SUM(C57:C67)</f>
        <v>317</v>
      </c>
      <c r="D68" s="71">
        <f t="shared" ref="D68:AF68" si="10">SUM(D57:D67)</f>
        <v>277.3</v>
      </c>
      <c r="E68" s="71">
        <f t="shared" si="10"/>
        <v>227.8</v>
      </c>
      <c r="F68" s="71">
        <f t="shared" si="10"/>
        <v>200.5</v>
      </c>
      <c r="G68" s="71">
        <f t="shared" si="10"/>
        <v>221.89999999999998</v>
      </c>
      <c r="H68" s="71">
        <f t="shared" si="10"/>
        <v>290.10000000000002</v>
      </c>
      <c r="I68" s="71">
        <f t="shared" si="10"/>
        <v>328.6</v>
      </c>
      <c r="J68" s="71">
        <f t="shared" si="10"/>
        <v>336.2</v>
      </c>
      <c r="K68" s="71">
        <f t="shared" si="10"/>
        <v>333.5</v>
      </c>
      <c r="L68" s="71">
        <f t="shared" si="10"/>
        <v>413.9</v>
      </c>
      <c r="M68" s="71">
        <f t="shared" si="10"/>
        <v>359.9</v>
      </c>
      <c r="N68" s="71">
        <f t="shared" si="10"/>
        <v>129.69999999999999</v>
      </c>
      <c r="O68" s="71">
        <f t="shared" si="10"/>
        <v>286.60000000000002</v>
      </c>
      <c r="P68" s="71">
        <f t="shared" si="10"/>
        <v>286.60000000000002</v>
      </c>
      <c r="Q68" s="71">
        <f t="shared" si="10"/>
        <v>348.7</v>
      </c>
      <c r="R68" s="71">
        <f t="shared" si="10"/>
        <v>367.5</v>
      </c>
      <c r="S68" s="71">
        <f t="shared" si="10"/>
        <v>358.29999999999995</v>
      </c>
      <c r="T68" s="71">
        <f t="shared" si="10"/>
        <v>369.7</v>
      </c>
      <c r="U68" s="71">
        <f t="shared" si="10"/>
        <v>416</v>
      </c>
      <c r="V68" s="71">
        <f t="shared" si="10"/>
        <v>288.3</v>
      </c>
      <c r="W68" s="71">
        <f t="shared" si="10"/>
        <v>311.2</v>
      </c>
      <c r="X68" s="71">
        <f t="shared" si="10"/>
        <v>312.10000000000002</v>
      </c>
      <c r="Y68" s="71">
        <f t="shared" si="10"/>
        <v>0</v>
      </c>
      <c r="Z68" s="71">
        <f t="shared" si="10"/>
        <v>221.90000000000003</v>
      </c>
      <c r="AA68" s="71">
        <f t="shared" si="10"/>
        <v>132.19999999999999</v>
      </c>
      <c r="AB68" s="71">
        <f t="shared" si="10"/>
        <v>163</v>
      </c>
      <c r="AC68" s="71">
        <f t="shared" si="10"/>
        <v>315</v>
      </c>
      <c r="AD68" s="71">
        <f t="shared" si="10"/>
        <v>330</v>
      </c>
      <c r="AE68" s="71">
        <f t="shared" si="10"/>
        <v>355</v>
      </c>
      <c r="AF68" s="71">
        <f t="shared" si="10"/>
        <v>361</v>
      </c>
      <c r="AG68" s="76">
        <f>SUM(AG57:AG67)</f>
        <v>0</v>
      </c>
      <c r="AH68" s="53">
        <f t="shared" si="2"/>
        <v>416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1">SUM(D69:D71)</f>
        <v>0</v>
      </c>
      <c r="E72" s="71">
        <f t="shared" si="11"/>
        <v>0</v>
      </c>
      <c r="F72" s="71">
        <f t="shared" si="11"/>
        <v>0</v>
      </c>
      <c r="G72" s="71">
        <f t="shared" si="11"/>
        <v>0</v>
      </c>
      <c r="H72" s="71">
        <f t="shared" si="11"/>
        <v>0</v>
      </c>
      <c r="I72" s="71">
        <f t="shared" si="11"/>
        <v>0</v>
      </c>
      <c r="J72" s="71">
        <f t="shared" si="11"/>
        <v>0</v>
      </c>
      <c r="K72" s="71">
        <f t="shared" si="11"/>
        <v>0</v>
      </c>
      <c r="L72" s="71">
        <f t="shared" si="11"/>
        <v>0</v>
      </c>
      <c r="M72" s="71">
        <f t="shared" si="11"/>
        <v>0</v>
      </c>
      <c r="N72" s="71">
        <f t="shared" si="11"/>
        <v>0</v>
      </c>
      <c r="O72" s="71">
        <f t="shared" si="11"/>
        <v>0</v>
      </c>
      <c r="P72" s="71">
        <f t="shared" si="11"/>
        <v>0</v>
      </c>
      <c r="Q72" s="71">
        <f t="shared" si="11"/>
        <v>0</v>
      </c>
      <c r="R72" s="71">
        <f t="shared" si="11"/>
        <v>0</v>
      </c>
      <c r="S72" s="71">
        <f t="shared" si="11"/>
        <v>0</v>
      </c>
      <c r="T72" s="71">
        <f t="shared" si="11"/>
        <v>0</v>
      </c>
      <c r="U72" s="71">
        <f t="shared" si="11"/>
        <v>0</v>
      </c>
      <c r="V72" s="71">
        <f t="shared" si="11"/>
        <v>0</v>
      </c>
      <c r="W72" s="71">
        <f t="shared" si="11"/>
        <v>0</v>
      </c>
      <c r="X72" s="71">
        <f t="shared" si="11"/>
        <v>0</v>
      </c>
      <c r="Y72" s="71">
        <f t="shared" si="11"/>
        <v>0</v>
      </c>
      <c r="Z72" s="71">
        <f t="shared" si="11"/>
        <v>0</v>
      </c>
      <c r="AA72" s="71">
        <f t="shared" si="11"/>
        <v>0</v>
      </c>
      <c r="AB72" s="71">
        <f t="shared" si="11"/>
        <v>0</v>
      </c>
      <c r="AC72" s="71">
        <f t="shared" si="11"/>
        <v>0</v>
      </c>
      <c r="AD72" s="71">
        <f t="shared" si="11"/>
        <v>0</v>
      </c>
      <c r="AE72" s="71">
        <f t="shared" si="11"/>
        <v>0</v>
      </c>
      <c r="AF72" s="71">
        <f t="shared" si="11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877.54</v>
      </c>
      <c r="C73" s="88">
        <f>C68+C56+C52+C38+C72</f>
        <v>843.83999999999992</v>
      </c>
      <c r="D73" s="88">
        <f t="shared" ref="D73:AG73" si="12">D68+D56+D52+D38+D72</f>
        <v>797.14</v>
      </c>
      <c r="E73" s="88">
        <f t="shared" si="12"/>
        <v>780.83999999999992</v>
      </c>
      <c r="F73" s="88">
        <f t="shared" si="12"/>
        <v>756.54</v>
      </c>
      <c r="G73" s="88">
        <f t="shared" si="12"/>
        <v>795.63999999999987</v>
      </c>
      <c r="H73" s="88">
        <f t="shared" si="12"/>
        <v>898.24</v>
      </c>
      <c r="I73" s="88">
        <f t="shared" si="12"/>
        <v>943.63999999999987</v>
      </c>
      <c r="J73" s="88">
        <f t="shared" si="12"/>
        <v>1028.04</v>
      </c>
      <c r="K73" s="88">
        <f t="shared" si="12"/>
        <v>1093.54</v>
      </c>
      <c r="L73" s="88">
        <f t="shared" si="12"/>
        <v>1213.54</v>
      </c>
      <c r="M73" s="88">
        <f t="shared" si="12"/>
        <v>1346.24</v>
      </c>
      <c r="N73" s="88">
        <f t="shared" si="12"/>
        <v>1342.64</v>
      </c>
      <c r="O73" s="88">
        <f t="shared" si="12"/>
        <v>1301.74</v>
      </c>
      <c r="P73" s="88">
        <f t="shared" si="12"/>
        <v>1531.7400000000002</v>
      </c>
      <c r="Q73" s="88">
        <f t="shared" si="12"/>
        <v>1308.8399999999999</v>
      </c>
      <c r="R73" s="88">
        <f t="shared" si="12"/>
        <v>1282.24</v>
      </c>
      <c r="S73" s="88">
        <f t="shared" si="12"/>
        <v>1265.44</v>
      </c>
      <c r="T73" s="88">
        <f t="shared" si="12"/>
        <v>1266.7399999999998</v>
      </c>
      <c r="U73" s="88">
        <f t="shared" si="12"/>
        <v>1319.6399999999999</v>
      </c>
      <c r="V73" s="88">
        <f t="shared" si="12"/>
        <v>1349.8400000000001</v>
      </c>
      <c r="W73" s="88">
        <f t="shared" si="12"/>
        <v>1425.1399999999999</v>
      </c>
      <c r="X73" s="88">
        <f t="shared" si="12"/>
        <v>1435.54</v>
      </c>
      <c r="Y73" s="88">
        <f t="shared" si="12"/>
        <v>9.5399999999999991</v>
      </c>
      <c r="Z73" s="88">
        <f t="shared" si="12"/>
        <v>1449.1400000000003</v>
      </c>
      <c r="AA73" s="88">
        <f t="shared" si="12"/>
        <v>1435.44</v>
      </c>
      <c r="AB73" s="88">
        <f t="shared" si="12"/>
        <v>1433.4400000000003</v>
      </c>
      <c r="AC73" s="88">
        <f t="shared" si="12"/>
        <v>1339.94</v>
      </c>
      <c r="AD73" s="88">
        <f t="shared" si="12"/>
        <v>1315.74</v>
      </c>
      <c r="AE73" s="88">
        <f t="shared" si="12"/>
        <v>1090.54</v>
      </c>
      <c r="AF73" s="88">
        <f t="shared" si="12"/>
        <v>967.63999999999987</v>
      </c>
      <c r="AG73" s="88">
        <f t="shared" si="12"/>
        <v>2144.14</v>
      </c>
      <c r="AH73" s="53">
        <f t="shared" si="2"/>
        <v>1531.7400000000002</v>
      </c>
      <c r="AI73" s="54">
        <f t="shared" si="3"/>
        <v>9.5399999999999991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>
        <v>50</v>
      </c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50</v>
      </c>
      <c r="AI74" s="54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877.54</v>
      </c>
      <c r="C75" s="88">
        <f>C73+C74</f>
        <v>843.83999999999992</v>
      </c>
      <c r="D75" s="88">
        <f t="shared" ref="D75:AF75" si="13">D72+D68+D56+D52+D38+D74</f>
        <v>797.14</v>
      </c>
      <c r="E75" s="88">
        <f t="shared" si="13"/>
        <v>780.83999999999992</v>
      </c>
      <c r="F75" s="88">
        <f t="shared" si="13"/>
        <v>756.54</v>
      </c>
      <c r="G75" s="88">
        <f t="shared" si="13"/>
        <v>795.63999999999987</v>
      </c>
      <c r="H75" s="88">
        <f t="shared" si="13"/>
        <v>898.24</v>
      </c>
      <c r="I75" s="88">
        <f t="shared" si="13"/>
        <v>943.63999999999987</v>
      </c>
      <c r="J75" s="88">
        <f t="shared" si="13"/>
        <v>1028.04</v>
      </c>
      <c r="K75" s="88">
        <f t="shared" si="13"/>
        <v>1093.54</v>
      </c>
      <c r="L75" s="88">
        <f t="shared" si="13"/>
        <v>1213.54</v>
      </c>
      <c r="M75" s="88">
        <f t="shared" si="13"/>
        <v>1346.24</v>
      </c>
      <c r="N75" s="88">
        <f t="shared" si="13"/>
        <v>1342.64</v>
      </c>
      <c r="O75" s="88">
        <f t="shared" si="13"/>
        <v>1301.74</v>
      </c>
      <c r="P75" s="88">
        <f t="shared" si="13"/>
        <v>1531.7400000000002</v>
      </c>
      <c r="Q75" s="88">
        <f t="shared" si="13"/>
        <v>1308.8399999999999</v>
      </c>
      <c r="R75" s="88">
        <f t="shared" si="13"/>
        <v>1282.24</v>
      </c>
      <c r="S75" s="88">
        <f t="shared" si="13"/>
        <v>1265.44</v>
      </c>
      <c r="T75" s="88">
        <f t="shared" si="13"/>
        <v>1266.7399999999998</v>
      </c>
      <c r="U75" s="88">
        <f t="shared" si="13"/>
        <v>1319.6399999999999</v>
      </c>
      <c r="V75" s="88">
        <f t="shared" si="13"/>
        <v>1349.8400000000001</v>
      </c>
      <c r="W75" s="88">
        <f t="shared" si="13"/>
        <v>1425.1399999999999</v>
      </c>
      <c r="X75" s="88">
        <f t="shared" si="13"/>
        <v>1485.54</v>
      </c>
      <c r="Y75" s="88">
        <f t="shared" si="13"/>
        <v>9.5399999999999991</v>
      </c>
      <c r="Z75" s="88">
        <f t="shared" si="13"/>
        <v>1449.1400000000003</v>
      </c>
      <c r="AA75" s="88">
        <f t="shared" si="13"/>
        <v>1435.44</v>
      </c>
      <c r="AB75" s="88">
        <f t="shared" si="13"/>
        <v>1433.4400000000003</v>
      </c>
      <c r="AC75" s="88">
        <f t="shared" si="13"/>
        <v>1339.94</v>
      </c>
      <c r="AD75" s="88">
        <f t="shared" si="13"/>
        <v>1315.74</v>
      </c>
      <c r="AE75" s="88">
        <f t="shared" si="13"/>
        <v>1090.54</v>
      </c>
      <c r="AF75" s="88">
        <f t="shared" si="13"/>
        <v>967.63999999999987</v>
      </c>
      <c r="AG75" s="76">
        <f>AG72+AG68+AG56+AG52+AG38+AG74</f>
        <v>2144.14</v>
      </c>
      <c r="AH75" s="53">
        <f t="shared" si="2"/>
        <v>1531.7400000000002</v>
      </c>
      <c r="AI75" s="54">
        <f t="shared" si="3"/>
        <v>9.5399999999999991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4">IF(D60&lt;0,D60*-1,0)</f>
        <v>0</v>
      </c>
      <c r="E76" s="57">
        <f t="shared" si="14"/>
        <v>0</v>
      </c>
      <c r="F76" s="57">
        <f t="shared" si="14"/>
        <v>0</v>
      </c>
      <c r="G76" s="57">
        <f t="shared" si="14"/>
        <v>0</v>
      </c>
      <c r="H76" s="57">
        <f t="shared" si="14"/>
        <v>0</v>
      </c>
      <c r="I76" s="57">
        <f t="shared" si="14"/>
        <v>0</v>
      </c>
      <c r="J76" s="57">
        <f t="shared" si="14"/>
        <v>0</v>
      </c>
      <c r="K76" s="57">
        <f t="shared" si="14"/>
        <v>0</v>
      </c>
      <c r="L76" s="57">
        <f t="shared" si="14"/>
        <v>0</v>
      </c>
      <c r="M76" s="57">
        <f t="shared" si="14"/>
        <v>0</v>
      </c>
      <c r="N76" s="57">
        <f t="shared" si="14"/>
        <v>0</v>
      </c>
      <c r="O76" s="57">
        <f t="shared" si="14"/>
        <v>0</v>
      </c>
      <c r="P76" s="57">
        <f t="shared" si="14"/>
        <v>0</v>
      </c>
      <c r="Q76" s="57">
        <f t="shared" si="14"/>
        <v>0</v>
      </c>
      <c r="R76" s="57">
        <f t="shared" si="14"/>
        <v>0</v>
      </c>
      <c r="S76" s="57">
        <f t="shared" si="14"/>
        <v>0</v>
      </c>
      <c r="T76" s="57">
        <f t="shared" si="14"/>
        <v>0</v>
      </c>
      <c r="U76" s="57">
        <f t="shared" si="14"/>
        <v>0</v>
      </c>
      <c r="V76" s="57">
        <f t="shared" si="14"/>
        <v>0</v>
      </c>
      <c r="W76" s="57">
        <f t="shared" si="14"/>
        <v>0</v>
      </c>
      <c r="X76" s="57">
        <f t="shared" si="14"/>
        <v>0</v>
      </c>
      <c r="Y76" s="57">
        <f t="shared" si="14"/>
        <v>0</v>
      </c>
      <c r="Z76" s="57">
        <f t="shared" si="14"/>
        <v>0</v>
      </c>
      <c r="AA76" s="57">
        <f t="shared" si="14"/>
        <v>0</v>
      </c>
      <c r="AB76" s="57">
        <f t="shared" si="14"/>
        <v>0</v>
      </c>
      <c r="AC76" s="57">
        <f t="shared" si="14"/>
        <v>0</v>
      </c>
      <c r="AD76" s="57">
        <f t="shared" si="14"/>
        <v>0</v>
      </c>
      <c r="AE76" s="57">
        <f t="shared" si="14"/>
        <v>0</v>
      </c>
      <c r="AF76" s="57">
        <f t="shared" si="14"/>
        <v>0</v>
      </c>
      <c r="AG76" s="61"/>
      <c r="AH76" s="53">
        <f t="shared" ref="AH76:AH91" si="15">MAX(B76:AF76)</f>
        <v>0</v>
      </c>
      <c r="AI76" s="54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7">IF(D58&lt;0,D58*-1,0)</f>
        <v>0</v>
      </c>
      <c r="E77" s="57">
        <f t="shared" si="17"/>
        <v>0</v>
      </c>
      <c r="F77" s="57">
        <f t="shared" si="17"/>
        <v>0</v>
      </c>
      <c r="G77" s="57">
        <f t="shared" si="17"/>
        <v>0</v>
      </c>
      <c r="H77" s="57">
        <f t="shared" si="17"/>
        <v>0</v>
      </c>
      <c r="I77" s="57">
        <f t="shared" si="17"/>
        <v>0</v>
      </c>
      <c r="J77" s="57">
        <f t="shared" si="17"/>
        <v>0</v>
      </c>
      <c r="K77" s="57">
        <f t="shared" si="17"/>
        <v>0</v>
      </c>
      <c r="L77" s="57">
        <f t="shared" si="17"/>
        <v>0</v>
      </c>
      <c r="M77" s="57">
        <f t="shared" si="17"/>
        <v>0</v>
      </c>
      <c r="N77" s="57">
        <f t="shared" si="17"/>
        <v>0</v>
      </c>
      <c r="O77" s="57">
        <f t="shared" si="17"/>
        <v>0</v>
      </c>
      <c r="P77" s="57">
        <f t="shared" si="17"/>
        <v>0</v>
      </c>
      <c r="Q77" s="57">
        <f t="shared" si="17"/>
        <v>0</v>
      </c>
      <c r="R77" s="57">
        <f t="shared" si="17"/>
        <v>0</v>
      </c>
      <c r="S77" s="57">
        <f t="shared" si="17"/>
        <v>0</v>
      </c>
      <c r="T77" s="57">
        <f t="shared" si="17"/>
        <v>0</v>
      </c>
      <c r="U77" s="57">
        <f t="shared" si="17"/>
        <v>0</v>
      </c>
      <c r="V77" s="57">
        <f t="shared" si="17"/>
        <v>0</v>
      </c>
      <c r="W77" s="57">
        <f t="shared" si="17"/>
        <v>0</v>
      </c>
      <c r="X77" s="57">
        <f t="shared" si="17"/>
        <v>0</v>
      </c>
      <c r="Y77" s="57">
        <f t="shared" si="17"/>
        <v>0</v>
      </c>
      <c r="Z77" s="57">
        <f t="shared" si="17"/>
        <v>0</v>
      </c>
      <c r="AA77" s="57">
        <f t="shared" si="17"/>
        <v>0</v>
      </c>
      <c r="AB77" s="57">
        <f t="shared" si="17"/>
        <v>0</v>
      </c>
      <c r="AC77" s="57">
        <f t="shared" si="17"/>
        <v>0</v>
      </c>
      <c r="AD77" s="57">
        <f t="shared" si="17"/>
        <v>0</v>
      </c>
      <c r="AE77" s="57">
        <f t="shared" si="17"/>
        <v>0</v>
      </c>
      <c r="AF77" s="57">
        <f t="shared" si="17"/>
        <v>0</v>
      </c>
      <c r="AG77" s="66"/>
      <c r="AH77" s="53">
        <f t="shared" si="15"/>
        <v>0</v>
      </c>
      <c r="AI77" s="54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8">IF(D61&lt;0,D61*-1,0)</f>
        <v>0</v>
      </c>
      <c r="E78" s="57">
        <f t="shared" si="18"/>
        <v>0</v>
      </c>
      <c r="F78" s="57">
        <f t="shared" si="18"/>
        <v>0</v>
      </c>
      <c r="G78" s="57">
        <f t="shared" si="18"/>
        <v>0</v>
      </c>
      <c r="H78" s="57">
        <f t="shared" si="18"/>
        <v>0</v>
      </c>
      <c r="I78" s="57">
        <f t="shared" si="18"/>
        <v>0</v>
      </c>
      <c r="J78" s="57">
        <f t="shared" si="18"/>
        <v>0</v>
      </c>
      <c r="K78" s="57">
        <f t="shared" si="18"/>
        <v>0</v>
      </c>
      <c r="L78" s="57">
        <f t="shared" si="18"/>
        <v>0</v>
      </c>
      <c r="M78" s="57">
        <f t="shared" si="18"/>
        <v>0</v>
      </c>
      <c r="N78" s="57">
        <f t="shared" si="18"/>
        <v>0</v>
      </c>
      <c r="O78" s="57">
        <f t="shared" si="18"/>
        <v>0</v>
      </c>
      <c r="P78" s="57">
        <f t="shared" si="18"/>
        <v>0</v>
      </c>
      <c r="Q78" s="57">
        <f t="shared" si="18"/>
        <v>0</v>
      </c>
      <c r="R78" s="57">
        <f t="shared" si="18"/>
        <v>0</v>
      </c>
      <c r="S78" s="57">
        <f t="shared" si="18"/>
        <v>0</v>
      </c>
      <c r="T78" s="57">
        <f t="shared" si="18"/>
        <v>0</v>
      </c>
      <c r="U78" s="57">
        <f t="shared" si="18"/>
        <v>0</v>
      </c>
      <c r="V78" s="57">
        <f t="shared" si="18"/>
        <v>0</v>
      </c>
      <c r="W78" s="57">
        <f t="shared" si="18"/>
        <v>0</v>
      </c>
      <c r="X78" s="57">
        <f t="shared" si="18"/>
        <v>0</v>
      </c>
      <c r="Y78" s="57">
        <f t="shared" si="18"/>
        <v>0</v>
      </c>
      <c r="Z78" s="57">
        <f t="shared" si="18"/>
        <v>0</v>
      </c>
      <c r="AA78" s="57">
        <f t="shared" si="18"/>
        <v>0</v>
      </c>
      <c r="AB78" s="57">
        <f t="shared" si="18"/>
        <v>0</v>
      </c>
      <c r="AC78" s="57">
        <f t="shared" si="18"/>
        <v>0</v>
      </c>
      <c r="AD78" s="57">
        <f t="shared" si="18"/>
        <v>0</v>
      </c>
      <c r="AE78" s="57">
        <f t="shared" si="18"/>
        <v>0</v>
      </c>
      <c r="AF78" s="57">
        <f t="shared" si="18"/>
        <v>0</v>
      </c>
      <c r="AG78" s="91"/>
      <c r="AH78" s="53">
        <f t="shared" si="15"/>
        <v>0</v>
      </c>
      <c r="AI78" s="54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9">IF(D59&lt;0,D59*-1,0)</f>
        <v>0</v>
      </c>
      <c r="E79" s="57">
        <f t="shared" si="19"/>
        <v>0</v>
      </c>
      <c r="F79" s="57">
        <f t="shared" si="19"/>
        <v>0</v>
      </c>
      <c r="G79" s="57">
        <f t="shared" si="19"/>
        <v>0</v>
      </c>
      <c r="H79" s="57">
        <f t="shared" si="19"/>
        <v>0</v>
      </c>
      <c r="I79" s="57">
        <f t="shared" si="19"/>
        <v>0</v>
      </c>
      <c r="J79" s="57">
        <f t="shared" si="19"/>
        <v>0</v>
      </c>
      <c r="K79" s="57">
        <f t="shared" si="19"/>
        <v>0</v>
      </c>
      <c r="L79" s="57">
        <f t="shared" si="19"/>
        <v>0</v>
      </c>
      <c r="M79" s="57">
        <f t="shared" si="19"/>
        <v>0</v>
      </c>
      <c r="N79" s="57">
        <f t="shared" si="19"/>
        <v>0</v>
      </c>
      <c r="O79" s="57">
        <f t="shared" si="19"/>
        <v>0</v>
      </c>
      <c r="P79" s="57">
        <f t="shared" si="19"/>
        <v>0</v>
      </c>
      <c r="Q79" s="57">
        <f t="shared" si="19"/>
        <v>0</v>
      </c>
      <c r="R79" s="57">
        <f t="shared" si="19"/>
        <v>0</v>
      </c>
      <c r="S79" s="57">
        <f t="shared" si="19"/>
        <v>0</v>
      </c>
      <c r="T79" s="57">
        <f t="shared" si="19"/>
        <v>0</v>
      </c>
      <c r="U79" s="57">
        <f t="shared" si="19"/>
        <v>0</v>
      </c>
      <c r="V79" s="57">
        <f t="shared" si="19"/>
        <v>0</v>
      </c>
      <c r="W79" s="57">
        <f t="shared" si="19"/>
        <v>0</v>
      </c>
      <c r="X79" s="57">
        <f t="shared" si="19"/>
        <v>0</v>
      </c>
      <c r="Y79" s="57">
        <f t="shared" si="19"/>
        <v>0</v>
      </c>
      <c r="Z79" s="57">
        <f t="shared" si="19"/>
        <v>0</v>
      </c>
      <c r="AA79" s="57">
        <f t="shared" si="19"/>
        <v>0</v>
      </c>
      <c r="AB79" s="57">
        <f t="shared" si="19"/>
        <v>0</v>
      </c>
      <c r="AC79" s="57">
        <f t="shared" si="19"/>
        <v>0</v>
      </c>
      <c r="AD79" s="57">
        <f t="shared" si="19"/>
        <v>0</v>
      </c>
      <c r="AE79" s="57">
        <f t="shared" si="19"/>
        <v>0</v>
      </c>
      <c r="AF79" s="57">
        <f t="shared" si="19"/>
        <v>0</v>
      </c>
      <c r="AG79" s="91"/>
      <c r="AH79" s="53">
        <f t="shared" si="15"/>
        <v>0</v>
      </c>
      <c r="AI79" s="54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0">IF(D57&lt;0,D57*-1,0)</f>
        <v>0</v>
      </c>
      <c r="E80" s="57">
        <f t="shared" si="20"/>
        <v>0</v>
      </c>
      <c r="F80" s="57">
        <f t="shared" si="20"/>
        <v>0</v>
      </c>
      <c r="G80" s="57">
        <f t="shared" si="20"/>
        <v>0</v>
      </c>
      <c r="H80" s="57">
        <f t="shared" si="20"/>
        <v>0</v>
      </c>
      <c r="I80" s="57">
        <f t="shared" si="20"/>
        <v>0</v>
      </c>
      <c r="J80" s="57">
        <f t="shared" si="20"/>
        <v>0</v>
      </c>
      <c r="K80" s="57">
        <f t="shared" si="20"/>
        <v>0</v>
      </c>
      <c r="L80" s="57">
        <f t="shared" si="20"/>
        <v>0</v>
      </c>
      <c r="M80" s="57">
        <f t="shared" si="20"/>
        <v>0</v>
      </c>
      <c r="N80" s="57">
        <f t="shared" si="20"/>
        <v>0</v>
      </c>
      <c r="O80" s="57">
        <f t="shared" si="20"/>
        <v>0</v>
      </c>
      <c r="P80" s="57">
        <f t="shared" si="20"/>
        <v>0</v>
      </c>
      <c r="Q80" s="57">
        <f t="shared" si="20"/>
        <v>0</v>
      </c>
      <c r="R80" s="57">
        <f t="shared" si="20"/>
        <v>0</v>
      </c>
      <c r="S80" s="57">
        <f t="shared" si="20"/>
        <v>0</v>
      </c>
      <c r="T80" s="57">
        <f t="shared" si="20"/>
        <v>0</v>
      </c>
      <c r="U80" s="57">
        <f t="shared" si="20"/>
        <v>0</v>
      </c>
      <c r="V80" s="57">
        <f t="shared" si="20"/>
        <v>0</v>
      </c>
      <c r="W80" s="57">
        <f t="shared" si="20"/>
        <v>0</v>
      </c>
      <c r="X80" s="57">
        <f t="shared" si="20"/>
        <v>0</v>
      </c>
      <c r="Y80" s="57">
        <f t="shared" si="20"/>
        <v>0</v>
      </c>
      <c r="Z80" s="57">
        <f t="shared" si="20"/>
        <v>0</v>
      </c>
      <c r="AA80" s="57">
        <f t="shared" si="20"/>
        <v>0</v>
      </c>
      <c r="AB80" s="57">
        <f t="shared" si="20"/>
        <v>0</v>
      </c>
      <c r="AC80" s="57">
        <f t="shared" si="20"/>
        <v>0</v>
      </c>
      <c r="AD80" s="57">
        <f t="shared" si="20"/>
        <v>0</v>
      </c>
      <c r="AE80" s="57">
        <f t="shared" si="20"/>
        <v>0</v>
      </c>
      <c r="AF80" s="57">
        <f t="shared" si="20"/>
        <v>0</v>
      </c>
      <c r="AG80" s="91"/>
      <c r="AH80" s="53">
        <f t="shared" si="15"/>
        <v>0</v>
      </c>
      <c r="AI80" s="54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5"/>
        <v>0</v>
      </c>
      <c r="AI81" s="54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1">SUM(C76:C81)</f>
        <v>0</v>
      </c>
      <c r="D82" s="71">
        <f t="shared" si="21"/>
        <v>0</v>
      </c>
      <c r="E82" s="71">
        <f t="shared" si="21"/>
        <v>0</v>
      </c>
      <c r="F82" s="71">
        <f t="shared" si="21"/>
        <v>0</v>
      </c>
      <c r="G82" s="71">
        <f t="shared" si="21"/>
        <v>0</v>
      </c>
      <c r="H82" s="71">
        <f t="shared" si="21"/>
        <v>0</v>
      </c>
      <c r="I82" s="71">
        <f t="shared" si="21"/>
        <v>0</v>
      </c>
      <c r="J82" s="71">
        <f t="shared" si="21"/>
        <v>0</v>
      </c>
      <c r="K82" s="71">
        <f t="shared" si="21"/>
        <v>0</v>
      </c>
      <c r="L82" s="71">
        <f t="shared" si="21"/>
        <v>0</v>
      </c>
      <c r="M82" s="71">
        <f t="shared" si="21"/>
        <v>0</v>
      </c>
      <c r="N82" s="71">
        <f t="shared" si="21"/>
        <v>0</v>
      </c>
      <c r="O82" s="71">
        <f t="shared" si="21"/>
        <v>0</v>
      </c>
      <c r="P82" s="71">
        <f t="shared" si="21"/>
        <v>0</v>
      </c>
      <c r="Q82" s="71">
        <f t="shared" si="21"/>
        <v>0</v>
      </c>
      <c r="R82" s="71">
        <f t="shared" si="21"/>
        <v>0</v>
      </c>
      <c r="S82" s="71">
        <f t="shared" si="21"/>
        <v>0</v>
      </c>
      <c r="T82" s="71">
        <f t="shared" si="21"/>
        <v>0</v>
      </c>
      <c r="U82" s="71">
        <f t="shared" si="21"/>
        <v>0</v>
      </c>
      <c r="V82" s="71">
        <f t="shared" si="21"/>
        <v>0</v>
      </c>
      <c r="W82" s="71">
        <f t="shared" si="21"/>
        <v>0</v>
      </c>
      <c r="X82" s="71">
        <f t="shared" si="21"/>
        <v>0</v>
      </c>
      <c r="Y82" s="71">
        <f t="shared" si="21"/>
        <v>0</v>
      </c>
      <c r="Z82" s="71">
        <f t="shared" si="21"/>
        <v>0</v>
      </c>
      <c r="AA82" s="71">
        <f t="shared" si="21"/>
        <v>0</v>
      </c>
      <c r="AB82" s="71">
        <f t="shared" si="21"/>
        <v>0</v>
      </c>
      <c r="AC82" s="71">
        <f t="shared" si="21"/>
        <v>0</v>
      </c>
      <c r="AD82" s="71">
        <f t="shared" si="21"/>
        <v>0</v>
      </c>
      <c r="AE82" s="71">
        <f t="shared" si="21"/>
        <v>0</v>
      </c>
      <c r="AF82" s="71">
        <f t="shared" si="21"/>
        <v>0</v>
      </c>
      <c r="AG82" s="76">
        <f t="shared" si="21"/>
        <v>0</v>
      </c>
      <c r="AH82" s="53">
        <f t="shared" si="15"/>
        <v>0</v>
      </c>
      <c r="AI82" s="54">
        <f t="shared" si="16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1755.08</v>
      </c>
      <c r="C83" s="71">
        <f t="shared" ref="C83:AG83" si="22">SUM(C70:C82)</f>
        <v>1687.6799999999998</v>
      </c>
      <c r="D83" s="71">
        <f t="shared" si="22"/>
        <v>1594.28</v>
      </c>
      <c r="E83" s="71">
        <f t="shared" si="22"/>
        <v>1561.6799999999998</v>
      </c>
      <c r="F83" s="71">
        <f t="shared" si="22"/>
        <v>1513.08</v>
      </c>
      <c r="G83" s="71">
        <f t="shared" si="22"/>
        <v>1591.2799999999997</v>
      </c>
      <c r="H83" s="71">
        <f t="shared" si="22"/>
        <v>1796.48</v>
      </c>
      <c r="I83" s="71">
        <f t="shared" si="22"/>
        <v>1887.2799999999997</v>
      </c>
      <c r="J83" s="71">
        <f t="shared" si="22"/>
        <v>2056.08</v>
      </c>
      <c r="K83" s="71">
        <f t="shared" si="22"/>
        <v>2187.08</v>
      </c>
      <c r="L83" s="71">
        <f t="shared" si="22"/>
        <v>2427.08</v>
      </c>
      <c r="M83" s="71">
        <f t="shared" si="22"/>
        <v>2692.48</v>
      </c>
      <c r="N83" s="71">
        <f t="shared" si="22"/>
        <v>2685.28</v>
      </c>
      <c r="O83" s="71">
        <f t="shared" si="22"/>
        <v>2603.48</v>
      </c>
      <c r="P83" s="71">
        <f t="shared" si="22"/>
        <v>3063.4800000000005</v>
      </c>
      <c r="Q83" s="71">
        <f t="shared" si="22"/>
        <v>2617.6799999999998</v>
      </c>
      <c r="R83" s="71">
        <f t="shared" si="22"/>
        <v>2564.48</v>
      </c>
      <c r="S83" s="71">
        <f t="shared" si="22"/>
        <v>2530.88</v>
      </c>
      <c r="T83" s="71">
        <f t="shared" si="22"/>
        <v>2533.4799999999996</v>
      </c>
      <c r="U83" s="71">
        <f t="shared" si="22"/>
        <v>2639.2799999999997</v>
      </c>
      <c r="V83" s="71">
        <f t="shared" si="22"/>
        <v>2699.6800000000003</v>
      </c>
      <c r="W83" s="71">
        <f t="shared" si="22"/>
        <v>2850.2799999999997</v>
      </c>
      <c r="X83" s="71">
        <f t="shared" si="22"/>
        <v>2971.08</v>
      </c>
      <c r="Y83" s="71">
        <f t="shared" si="22"/>
        <v>19.079999999999998</v>
      </c>
      <c r="Z83" s="71">
        <f t="shared" si="22"/>
        <v>2898.2800000000007</v>
      </c>
      <c r="AA83" s="71">
        <f t="shared" si="22"/>
        <v>2870.88</v>
      </c>
      <c r="AB83" s="71">
        <f t="shared" si="22"/>
        <v>2866.8800000000006</v>
      </c>
      <c r="AC83" s="71">
        <f t="shared" si="22"/>
        <v>2679.88</v>
      </c>
      <c r="AD83" s="71">
        <f t="shared" si="22"/>
        <v>2631.48</v>
      </c>
      <c r="AE83" s="71">
        <f t="shared" si="22"/>
        <v>2181.08</v>
      </c>
      <c r="AF83" s="71">
        <f t="shared" si="22"/>
        <v>1935.2799999999997</v>
      </c>
      <c r="AG83" s="76">
        <f t="shared" si="22"/>
        <v>4360.08</v>
      </c>
      <c r="AH83" s="53">
        <f t="shared" si="15"/>
        <v>3063.4800000000005</v>
      </c>
      <c r="AI83" s="54">
        <f t="shared" si="16"/>
        <v>19.079999999999998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50.03</v>
      </c>
      <c r="C84" s="95">
        <v>49.98</v>
      </c>
      <c r="D84" s="95">
        <v>49.997999999999998</v>
      </c>
      <c r="E84" s="95">
        <v>49.999000000000002</v>
      </c>
      <c r="F84" s="95">
        <v>50.034999999999997</v>
      </c>
      <c r="G84" s="95">
        <v>49.978999999999999</v>
      </c>
      <c r="H84" s="95">
        <v>49.997</v>
      </c>
      <c r="I84" s="95">
        <v>50.01</v>
      </c>
      <c r="J84" s="95">
        <v>49.972999999999999</v>
      </c>
      <c r="K84" s="95">
        <v>49.947000000000003</v>
      </c>
      <c r="L84" s="95">
        <v>50.012999999999998</v>
      </c>
      <c r="M84" s="95">
        <v>50.061999999999998</v>
      </c>
      <c r="N84" s="95">
        <v>50</v>
      </c>
      <c r="O84" s="95">
        <v>50.05</v>
      </c>
      <c r="P84" s="95">
        <v>50.05</v>
      </c>
      <c r="Q84" s="95">
        <v>49.98</v>
      </c>
      <c r="R84" s="95">
        <v>50</v>
      </c>
      <c r="S84" s="95">
        <v>49.957000000000001</v>
      </c>
      <c r="T84" s="95">
        <v>50.034999999999997</v>
      </c>
      <c r="U84" s="95">
        <v>49.929000000000002</v>
      </c>
      <c r="V84" s="95">
        <v>49.988</v>
      </c>
      <c r="W84" s="95">
        <v>50.06</v>
      </c>
      <c r="X84" s="95">
        <v>50.033000000000001</v>
      </c>
      <c r="Y84" s="95"/>
      <c r="Z84" s="95">
        <v>49.996000000000002</v>
      </c>
      <c r="AA84" s="95">
        <v>49.911999999999999</v>
      </c>
      <c r="AB84" s="95">
        <v>50.042000000000002</v>
      </c>
      <c r="AC84" s="95">
        <v>50.02</v>
      </c>
      <c r="AD84" s="95">
        <v>49.936</v>
      </c>
      <c r="AE84" s="95">
        <v>50.031999999999996</v>
      </c>
      <c r="AF84" s="95">
        <v>49.94</v>
      </c>
      <c r="AG84" s="96"/>
      <c r="AH84" s="53">
        <f t="shared" si="15"/>
        <v>50.061999999999998</v>
      </c>
      <c r="AI84" s="54">
        <f t="shared" si="16"/>
        <v>49.911999999999999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</v>
      </c>
      <c r="C85" s="98">
        <v>126</v>
      </c>
      <c r="D85" s="72">
        <v>126.9</v>
      </c>
      <c r="E85" s="72">
        <v>126.9</v>
      </c>
      <c r="F85" s="72">
        <v>129.6</v>
      </c>
      <c r="G85" s="72">
        <v>127.9</v>
      </c>
      <c r="H85" s="72">
        <v>127.1</v>
      </c>
      <c r="I85" s="72">
        <v>127.1</v>
      </c>
      <c r="J85" s="72">
        <v>127.1</v>
      </c>
      <c r="K85" s="72">
        <v>124.5</v>
      </c>
      <c r="L85" s="72">
        <v>123.4</v>
      </c>
      <c r="M85" s="72">
        <v>121.2</v>
      </c>
      <c r="N85" s="72">
        <v>122.3</v>
      </c>
      <c r="O85" s="72">
        <v>123</v>
      </c>
      <c r="P85" s="72">
        <v>123</v>
      </c>
      <c r="Q85" s="72">
        <v>121.6</v>
      </c>
      <c r="R85" s="72">
        <v>122.9</v>
      </c>
      <c r="S85" s="72">
        <v>124.7</v>
      </c>
      <c r="T85" s="72">
        <v>124.5</v>
      </c>
      <c r="U85" s="99">
        <v>122.2</v>
      </c>
      <c r="V85" s="99">
        <v>124.2</v>
      </c>
      <c r="W85" s="99">
        <v>123</v>
      </c>
      <c r="X85" s="99">
        <v>124</v>
      </c>
      <c r="Y85" s="99"/>
      <c r="Z85" s="99">
        <v>123.3</v>
      </c>
      <c r="AA85" s="99">
        <v>124</v>
      </c>
      <c r="AB85" s="72">
        <v>125.4</v>
      </c>
      <c r="AC85" s="72">
        <v>125</v>
      </c>
      <c r="AD85" s="72">
        <v>126.8</v>
      </c>
      <c r="AE85" s="72">
        <v>128.19999999999999</v>
      </c>
      <c r="AF85" s="72">
        <v>125.9</v>
      </c>
      <c r="AG85" s="100"/>
      <c r="AH85" s="53">
        <f t="shared" si="15"/>
        <v>129.6</v>
      </c>
      <c r="AI85" s="54">
        <f t="shared" si="16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</v>
      </c>
      <c r="C86" s="98">
        <v>130</v>
      </c>
      <c r="D86" s="72">
        <v>130.80000000000001</v>
      </c>
      <c r="E86" s="72">
        <v>130.80000000000001</v>
      </c>
      <c r="F86" s="72">
        <v>132.4</v>
      </c>
      <c r="G86" s="72">
        <v>131.19999999999999</v>
      </c>
      <c r="H86" s="72">
        <v>130</v>
      </c>
      <c r="I86" s="72">
        <v>130</v>
      </c>
      <c r="J86" s="72">
        <v>130</v>
      </c>
      <c r="K86" s="72">
        <v>127.8</v>
      </c>
      <c r="L86" s="72">
        <v>126.3</v>
      </c>
      <c r="M86" s="72">
        <v>124.3</v>
      </c>
      <c r="N86" s="72">
        <v>124.3</v>
      </c>
      <c r="O86" s="72">
        <v>124.3</v>
      </c>
      <c r="P86" s="72">
        <v>124.3</v>
      </c>
      <c r="Q86" s="72">
        <v>122.7</v>
      </c>
      <c r="R86" s="72">
        <v>123.9</v>
      </c>
      <c r="S86" s="72">
        <v>125.6</v>
      </c>
      <c r="T86" s="72">
        <v>125.7</v>
      </c>
      <c r="U86" s="99">
        <v>124.3</v>
      </c>
      <c r="V86" s="99">
        <v>125.5</v>
      </c>
      <c r="W86" s="99">
        <v>124.3</v>
      </c>
      <c r="X86" s="99">
        <v>124</v>
      </c>
      <c r="Y86" s="99"/>
      <c r="Z86" s="99">
        <v>123.2</v>
      </c>
      <c r="AA86" s="99">
        <v>124.6</v>
      </c>
      <c r="AB86" s="72">
        <v>127</v>
      </c>
      <c r="AC86" s="72">
        <v>127.3</v>
      </c>
      <c r="AD86" s="72">
        <v>129.19999999999999</v>
      </c>
      <c r="AE86" s="72">
        <v>130.4</v>
      </c>
      <c r="AF86" s="72">
        <v>129.4</v>
      </c>
      <c r="AG86" s="100"/>
      <c r="AH86" s="53">
        <f t="shared" si="15"/>
        <v>132.4</v>
      </c>
      <c r="AI86" s="54">
        <f t="shared" si="16"/>
        <v>122.7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</v>
      </c>
      <c r="C87" s="98">
        <v>129</v>
      </c>
      <c r="D87" s="72">
        <v>131.4</v>
      </c>
      <c r="E87" s="72">
        <v>131.4</v>
      </c>
      <c r="F87" s="72">
        <v>132</v>
      </c>
      <c r="G87" s="72">
        <v>130.69999999999999</v>
      </c>
      <c r="H87" s="72">
        <v>130.9</v>
      </c>
      <c r="I87" s="72">
        <v>130.9</v>
      </c>
      <c r="J87" s="72">
        <v>130.9</v>
      </c>
      <c r="K87" s="72">
        <v>126.9</v>
      </c>
      <c r="L87" s="72">
        <v>129</v>
      </c>
      <c r="M87" s="72">
        <v>126.3</v>
      </c>
      <c r="N87" s="72">
        <v>126.1</v>
      </c>
      <c r="O87" s="72">
        <v>129</v>
      </c>
      <c r="P87" s="72">
        <v>129</v>
      </c>
      <c r="Q87" s="72">
        <v>133.30000000000001</v>
      </c>
      <c r="R87" s="72">
        <v>126.6</v>
      </c>
      <c r="S87" s="72">
        <v>129.19999999999999</v>
      </c>
      <c r="T87" s="72">
        <v>129.80000000000001</v>
      </c>
      <c r="U87" s="72">
        <v>129.69999999999999</v>
      </c>
      <c r="V87" s="72">
        <v>126.9</v>
      </c>
      <c r="W87" s="72">
        <v>126.5</v>
      </c>
      <c r="X87" s="99">
        <v>127.1</v>
      </c>
      <c r="Y87" s="99"/>
      <c r="Z87" s="99">
        <v>124.4</v>
      </c>
      <c r="AA87" s="99">
        <v>127.9</v>
      </c>
      <c r="AB87" s="72">
        <v>131.4</v>
      </c>
      <c r="AC87" s="72">
        <v>130.30000000000001</v>
      </c>
      <c r="AD87" s="72">
        <v>132.19999999999999</v>
      </c>
      <c r="AE87" s="72">
        <v>130.6</v>
      </c>
      <c r="AF87" s="72">
        <v>129.9</v>
      </c>
      <c r="AG87" s="100"/>
      <c r="AH87" s="53">
        <f t="shared" si="15"/>
        <v>133.30000000000001</v>
      </c>
      <c r="AI87" s="54">
        <f t="shared" si="16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131</v>
      </c>
      <c r="C88" s="98">
        <v>131</v>
      </c>
      <c r="D88" s="72">
        <v>133.30000000000001</v>
      </c>
      <c r="E88" s="72">
        <v>133.30000000000001</v>
      </c>
      <c r="F88" s="72">
        <v>133.80000000000001</v>
      </c>
      <c r="G88" s="72">
        <v>132.5</v>
      </c>
      <c r="H88" s="72">
        <v>133.1</v>
      </c>
      <c r="I88" s="72">
        <v>133.1</v>
      </c>
      <c r="J88" s="72">
        <v>133.1</v>
      </c>
      <c r="K88" s="72">
        <v>130.4</v>
      </c>
      <c r="L88" s="72">
        <v>131.6</v>
      </c>
      <c r="M88" s="72">
        <v>128.80000000000001</v>
      </c>
      <c r="N88" s="72">
        <v>131.30000000000001</v>
      </c>
      <c r="O88" s="72">
        <v>131.80000000000001</v>
      </c>
      <c r="P88" s="72">
        <v>131.80000000000001</v>
      </c>
      <c r="Q88" s="72">
        <v>134.30000000000001</v>
      </c>
      <c r="R88" s="72">
        <v>130.69999999999999</v>
      </c>
      <c r="S88" s="72">
        <v>132</v>
      </c>
      <c r="T88" s="72">
        <v>130.80000000000001</v>
      </c>
      <c r="U88" s="72">
        <v>132.80000000000001</v>
      </c>
      <c r="V88" s="72">
        <v>130.19999999999999</v>
      </c>
      <c r="W88" s="72">
        <v>131.69999999999999</v>
      </c>
      <c r="X88" s="99">
        <v>132.19999999999999</v>
      </c>
      <c r="Y88" s="99"/>
      <c r="Z88" s="99">
        <v>127</v>
      </c>
      <c r="AA88" s="99">
        <v>132.1</v>
      </c>
      <c r="AB88" s="72">
        <v>135.80000000000001</v>
      </c>
      <c r="AC88" s="72">
        <v>133.30000000000001</v>
      </c>
      <c r="AD88" s="72">
        <v>135.69999999999999</v>
      </c>
      <c r="AE88" s="72">
        <v>134.30000000000001</v>
      </c>
      <c r="AF88" s="72">
        <v>134</v>
      </c>
      <c r="AG88" s="100"/>
      <c r="AH88" s="53">
        <f t="shared" si="15"/>
        <v>135.80000000000001</v>
      </c>
      <c r="AI88" s="54">
        <f t="shared" si="16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128</v>
      </c>
      <c r="C89" s="102">
        <v>128</v>
      </c>
      <c r="D89" s="103">
        <v>128.6</v>
      </c>
      <c r="E89" s="103">
        <v>128.6</v>
      </c>
      <c r="F89" s="103">
        <v>130</v>
      </c>
      <c r="G89" s="103">
        <v>129.4</v>
      </c>
      <c r="H89" s="103">
        <v>128.1</v>
      </c>
      <c r="I89" s="103">
        <v>128.1</v>
      </c>
      <c r="J89" s="103">
        <v>128.1</v>
      </c>
      <c r="K89" s="103">
        <v>133.19999999999999</v>
      </c>
      <c r="L89" s="103">
        <v>131.9</v>
      </c>
      <c r="M89" s="103">
        <v>129.5</v>
      </c>
      <c r="N89" s="103">
        <v>133</v>
      </c>
      <c r="O89" s="103">
        <v>132.69999999999999</v>
      </c>
      <c r="P89" s="103">
        <v>132.69999999999999</v>
      </c>
      <c r="Q89" s="103">
        <v>134.30000000000001</v>
      </c>
      <c r="R89" s="103">
        <v>133.80000000000001</v>
      </c>
      <c r="S89" s="103">
        <v>133.69999999999999</v>
      </c>
      <c r="T89" s="103">
        <v>134.19999999999999</v>
      </c>
      <c r="U89" s="103">
        <v>134.30000000000001</v>
      </c>
      <c r="V89" s="103">
        <v>135.19999999999999</v>
      </c>
      <c r="W89" s="103">
        <v>134.80000000000001</v>
      </c>
      <c r="X89" s="99">
        <v>136.80000000000001</v>
      </c>
      <c r="Y89" s="99"/>
      <c r="Z89" s="99">
        <v>134.80000000000001</v>
      </c>
      <c r="AA89" s="99">
        <v>134</v>
      </c>
      <c r="AB89" s="103">
        <v>137.19999999999999</v>
      </c>
      <c r="AC89" s="103">
        <v>135.6</v>
      </c>
      <c r="AD89" s="103">
        <v>132.9</v>
      </c>
      <c r="AE89" s="103">
        <v>133.30000000000001</v>
      </c>
      <c r="AF89" s="103">
        <v>132.6</v>
      </c>
      <c r="AG89" s="104"/>
      <c r="AH89" s="53">
        <f t="shared" si="15"/>
        <v>137.19999999999999</v>
      </c>
      <c r="AI89" s="54">
        <f t="shared" si="16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135</v>
      </c>
      <c r="C90" s="98">
        <v>135</v>
      </c>
      <c r="D90" s="72">
        <v>132.80000000000001</v>
      </c>
      <c r="E90" s="72">
        <v>132.80000000000001</v>
      </c>
      <c r="F90" s="72">
        <v>133.80000000000001</v>
      </c>
      <c r="G90" s="72">
        <v>133.5</v>
      </c>
      <c r="H90" s="72">
        <v>131.69999999999999</v>
      </c>
      <c r="I90" s="72">
        <v>131.69999999999999</v>
      </c>
      <c r="J90" s="72">
        <v>131.69999999999999</v>
      </c>
      <c r="K90" s="72">
        <v>133.69999999999999</v>
      </c>
      <c r="L90" s="72">
        <v>133.9</v>
      </c>
      <c r="M90" s="72">
        <v>128.9</v>
      </c>
      <c r="N90" s="72">
        <v>132.5</v>
      </c>
      <c r="O90" s="72">
        <v>132.4</v>
      </c>
      <c r="P90" s="72">
        <v>132.4</v>
      </c>
      <c r="Q90" s="72">
        <v>130.4</v>
      </c>
      <c r="R90" s="72">
        <v>133.4</v>
      </c>
      <c r="S90" s="72">
        <v>130</v>
      </c>
      <c r="T90" s="72">
        <v>134.80000000000001</v>
      </c>
      <c r="U90" s="72">
        <v>134.19999999999999</v>
      </c>
      <c r="V90" s="72">
        <v>134</v>
      </c>
      <c r="W90" s="72">
        <v>132.30000000000001</v>
      </c>
      <c r="X90" s="99">
        <v>129</v>
      </c>
      <c r="Y90" s="99"/>
      <c r="Z90" s="99">
        <v>137.69999999999999</v>
      </c>
      <c r="AA90" s="99">
        <v>136.6</v>
      </c>
      <c r="AB90" s="72">
        <v>132.30000000000001</v>
      </c>
      <c r="AC90" s="72">
        <v>128.30000000000001</v>
      </c>
      <c r="AD90" s="72">
        <v>130.19999999999999</v>
      </c>
      <c r="AE90" s="72">
        <v>132.6</v>
      </c>
      <c r="AF90" s="72">
        <v>133.69999999999999</v>
      </c>
      <c r="AG90" s="100"/>
      <c r="AH90" s="53">
        <f t="shared" si="15"/>
        <v>137.69999999999999</v>
      </c>
      <c r="AI90" s="54">
        <f t="shared" si="16"/>
        <v>128.30000000000001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66</v>
      </c>
      <c r="C91" s="105">
        <v>66</v>
      </c>
      <c r="D91" s="106">
        <v>65.900000000000006</v>
      </c>
      <c r="E91" s="106">
        <v>65.900000000000006</v>
      </c>
      <c r="F91" s="106">
        <v>66.599999999999994</v>
      </c>
      <c r="G91" s="106">
        <v>66</v>
      </c>
      <c r="H91" s="106">
        <v>65.2</v>
      </c>
      <c r="I91" s="106">
        <v>65.2</v>
      </c>
      <c r="J91" s="106">
        <v>65.2</v>
      </c>
      <c r="K91" s="106">
        <v>65</v>
      </c>
      <c r="L91" s="106">
        <v>64.400000000000006</v>
      </c>
      <c r="M91" s="106">
        <v>63.1</v>
      </c>
      <c r="N91" s="106">
        <v>63.1</v>
      </c>
      <c r="O91" s="106">
        <v>62.9</v>
      </c>
      <c r="P91" s="106">
        <v>62.9</v>
      </c>
      <c r="Q91" s="106">
        <v>62</v>
      </c>
      <c r="R91" s="106">
        <v>62.8</v>
      </c>
      <c r="S91" s="106">
        <v>63.3</v>
      </c>
      <c r="T91" s="106">
        <v>63.8</v>
      </c>
      <c r="U91" s="106">
        <v>63.1</v>
      </c>
      <c r="V91" s="106">
        <v>63.7</v>
      </c>
      <c r="W91" s="106">
        <v>63</v>
      </c>
      <c r="X91" s="106">
        <v>62.7</v>
      </c>
      <c r="Y91" s="106"/>
      <c r="Z91" s="106">
        <v>62.1</v>
      </c>
      <c r="AA91" s="106">
        <v>62.7</v>
      </c>
      <c r="AB91" s="106">
        <v>64.2</v>
      </c>
      <c r="AC91" s="106">
        <v>64.3</v>
      </c>
      <c r="AD91" s="106">
        <v>64.900000000000006</v>
      </c>
      <c r="AE91" s="106">
        <v>65.099999999999994</v>
      </c>
      <c r="AF91" s="106">
        <v>65.400000000000006</v>
      </c>
      <c r="AG91" s="107"/>
      <c r="AH91" s="53">
        <f t="shared" si="15"/>
        <v>66.599999999999994</v>
      </c>
      <c r="AI91" s="54">
        <f t="shared" si="16"/>
        <v>62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188.23999999999998</v>
      </c>
      <c r="C93" s="113">
        <f>SUM(C15,C18,C21:C22,C42,C44:C45,C47,C49,C94:C97,C102,C108,C114,C123,C125,C137,C144,C147:C148,C155,C157,C159,C163:C165,C167:C169,C174,C180:C181,C183:C185,C193,C198)</f>
        <v>184.23999999999998</v>
      </c>
      <c r="D93" s="113">
        <f t="shared" ref="D93:AF93" si="23">SUM(D15,D18,D21:D22,D42,D44:D45,D47,D49,D94:D97,D102,D108,D114,D123,D125,D137,D144,D147:D148,D155,D157,D159,D163:D165,D167:D169,D174,D180:D181,D183:D185,D193,D198)</f>
        <v>174.43999999999997</v>
      </c>
      <c r="E93" s="113">
        <f t="shared" si="23"/>
        <v>165.23999999999998</v>
      </c>
      <c r="F93" s="113">
        <f t="shared" si="23"/>
        <v>165.13999999999996</v>
      </c>
      <c r="G93" s="112">
        <f t="shared" si="23"/>
        <v>178.73999999999995</v>
      </c>
      <c r="H93" s="112">
        <f t="shared" si="23"/>
        <v>237.83999999999995</v>
      </c>
      <c r="I93" s="112">
        <f t="shared" si="23"/>
        <v>239.34</v>
      </c>
      <c r="J93" s="112">
        <f t="shared" si="23"/>
        <v>305.94</v>
      </c>
      <c r="K93" s="112">
        <f t="shared" si="23"/>
        <v>325.34000000000003</v>
      </c>
      <c r="L93" s="112">
        <f t="shared" si="23"/>
        <v>372.14</v>
      </c>
      <c r="M93" s="112">
        <f t="shared" si="23"/>
        <v>415.74</v>
      </c>
      <c r="N93" s="112">
        <f t="shared" si="23"/>
        <v>443.74</v>
      </c>
      <c r="O93" s="112">
        <f t="shared" si="23"/>
        <v>476.24000000000007</v>
      </c>
      <c r="P93" s="112">
        <f t="shared" si="23"/>
        <v>477.24000000000007</v>
      </c>
      <c r="Q93" s="112">
        <f t="shared" si="23"/>
        <v>505.64000000000004</v>
      </c>
      <c r="R93" s="112">
        <f t="shared" si="23"/>
        <v>503.84</v>
      </c>
      <c r="S93" s="112">
        <f t="shared" si="23"/>
        <v>475.94000000000005</v>
      </c>
      <c r="T93" s="112">
        <f t="shared" si="23"/>
        <v>458.64</v>
      </c>
      <c r="U93" s="112">
        <f t="shared" si="23"/>
        <v>465.14</v>
      </c>
      <c r="V93" s="112">
        <f t="shared" si="23"/>
        <v>483.94000000000005</v>
      </c>
      <c r="W93" s="112">
        <f t="shared" si="23"/>
        <v>489.54</v>
      </c>
      <c r="X93" s="112">
        <f t="shared" si="23"/>
        <v>540.44000000000005</v>
      </c>
      <c r="Y93" s="112">
        <f t="shared" si="23"/>
        <v>34.840000000000003</v>
      </c>
      <c r="Z93" s="112">
        <f t="shared" si="23"/>
        <v>522.64</v>
      </c>
      <c r="AA93" s="112">
        <f t="shared" si="23"/>
        <v>510.64</v>
      </c>
      <c r="AB93" s="112">
        <f t="shared" si="23"/>
        <v>470.34000000000003</v>
      </c>
      <c r="AC93" s="112">
        <f t="shared" si="23"/>
        <v>454.04</v>
      </c>
      <c r="AD93" s="112">
        <f t="shared" si="23"/>
        <v>411.04</v>
      </c>
      <c r="AE93" s="112">
        <f t="shared" si="23"/>
        <v>345.34000000000003</v>
      </c>
      <c r="AF93" s="112">
        <f t="shared" si="23"/>
        <v>262.04000000000002</v>
      </c>
      <c r="AG93" s="114"/>
      <c r="AH93" s="53">
        <f>MAX(C93:AF93)</f>
        <v>540.44000000000005</v>
      </c>
      <c r="AI93" s="54">
        <f>MIN(C93:AF93)</f>
        <v>34.840000000000003</v>
      </c>
    </row>
    <row r="94" spans="1:88" x14ac:dyDescent="0.25">
      <c r="A94" s="115" t="s">
        <v>98</v>
      </c>
      <c r="B94" s="116">
        <v>-16</v>
      </c>
      <c r="C94" s="57">
        <v>-15</v>
      </c>
      <c r="D94" s="57">
        <v>-17.100000000000001</v>
      </c>
      <c r="E94" s="57">
        <v>-8.5</v>
      </c>
      <c r="F94" s="57">
        <v>-7.8</v>
      </c>
      <c r="G94" s="117">
        <v>-2.4</v>
      </c>
      <c r="H94" s="117">
        <v>7.2</v>
      </c>
      <c r="I94" s="117">
        <v>8.8000000000000007</v>
      </c>
      <c r="J94" s="117">
        <v>34.799999999999997</v>
      </c>
      <c r="K94" s="117">
        <v>55.2</v>
      </c>
      <c r="L94" s="117">
        <v>61.7</v>
      </c>
      <c r="M94" s="118">
        <v>77.599999999999994</v>
      </c>
      <c r="N94" s="118">
        <v>84.8</v>
      </c>
      <c r="O94" s="117">
        <v>76.900000000000006</v>
      </c>
      <c r="P94" s="117">
        <v>77.900000000000006</v>
      </c>
      <c r="Q94" s="117">
        <v>75.599999999999994</v>
      </c>
      <c r="R94" s="117">
        <v>71.2</v>
      </c>
      <c r="S94" s="117">
        <v>57.4</v>
      </c>
      <c r="T94" s="117">
        <v>66.7</v>
      </c>
      <c r="U94" s="118">
        <v>64.3</v>
      </c>
      <c r="V94" s="118">
        <v>87.7</v>
      </c>
      <c r="W94" s="118">
        <v>84.5</v>
      </c>
      <c r="X94" s="117">
        <v>91.8</v>
      </c>
      <c r="Y94" s="117"/>
      <c r="Z94" s="117">
        <v>78.3</v>
      </c>
      <c r="AA94" s="117">
        <v>72.599999999999994</v>
      </c>
      <c r="AB94" s="118">
        <v>78.3</v>
      </c>
      <c r="AC94" s="118">
        <v>74</v>
      </c>
      <c r="AD94" s="118">
        <v>58</v>
      </c>
      <c r="AE94" s="118">
        <v>10</v>
      </c>
      <c r="AF94" s="118">
        <v>0</v>
      </c>
      <c r="AG94" s="119">
        <v>75</v>
      </c>
      <c r="AH94" s="53">
        <f t="shared" ref="AH94:AH99" si="24">IF(ABS(MAX(C94:AF94))&gt;ABS(MIN(C94:AF94)),MAX(C94:AF94),MIN(C94:AF94))</f>
        <v>91.8</v>
      </c>
      <c r="AI94" s="120">
        <f t="shared" ref="AI94:AI99" si="25">INDEX($C$9:$AF$9,1,MATCH(AH94,C94:AF94,0))</f>
        <v>0.75</v>
      </c>
    </row>
    <row r="95" spans="1:88" x14ac:dyDescent="0.25">
      <c r="A95" s="121" t="s">
        <v>99</v>
      </c>
      <c r="B95" s="122">
        <v>-50</v>
      </c>
      <c r="C95" s="59">
        <v>-53</v>
      </c>
      <c r="D95" s="59">
        <v>-55.4</v>
      </c>
      <c r="E95" s="59">
        <v>-60.1</v>
      </c>
      <c r="F95" s="59">
        <v>-59.8</v>
      </c>
      <c r="G95" s="59">
        <v>-59</v>
      </c>
      <c r="H95" s="59">
        <v>-36</v>
      </c>
      <c r="I95" s="59">
        <v>-37.799999999999997</v>
      </c>
      <c r="J95" s="59">
        <v>-20</v>
      </c>
      <c r="K95" s="59">
        <v>-1.9</v>
      </c>
      <c r="L95" s="59">
        <v>13.2</v>
      </c>
      <c r="M95" s="59">
        <v>47</v>
      </c>
      <c r="N95" s="59">
        <f>25.5+21.2</f>
        <v>46.7</v>
      </c>
      <c r="O95" s="59">
        <f>30.5+25.2</f>
        <v>55.7</v>
      </c>
      <c r="P95" s="59">
        <f t="shared" ref="P95" si="26">30.5+25.2</f>
        <v>55.7</v>
      </c>
      <c r="Q95" s="59">
        <f>36+33.7</f>
        <v>69.7</v>
      </c>
      <c r="R95" s="59">
        <f>38.8+34.3</f>
        <v>73.099999999999994</v>
      </c>
      <c r="S95" s="59">
        <v>60</v>
      </c>
      <c r="T95" s="59">
        <v>53</v>
      </c>
      <c r="U95" s="59">
        <v>51</v>
      </c>
      <c r="V95" s="59">
        <v>58</v>
      </c>
      <c r="W95" s="59">
        <v>42</v>
      </c>
      <c r="X95" s="59">
        <v>85.6</v>
      </c>
      <c r="Y95" s="59"/>
      <c r="Z95" s="59">
        <v>87.1</v>
      </c>
      <c r="AA95" s="59">
        <v>88</v>
      </c>
      <c r="AB95" s="72">
        <v>55</v>
      </c>
      <c r="AC95" s="72">
        <v>48</v>
      </c>
      <c r="AD95" s="72">
        <v>19</v>
      </c>
      <c r="AE95" s="72">
        <v>2.5</v>
      </c>
      <c r="AF95" s="72">
        <v>-20</v>
      </c>
      <c r="AG95" s="119">
        <v>240</v>
      </c>
      <c r="AH95" s="53">
        <f t="shared" si="24"/>
        <v>88</v>
      </c>
      <c r="AI95" s="120">
        <f t="shared" si="25"/>
        <v>0.8125</v>
      </c>
    </row>
    <row r="96" spans="1:88" x14ac:dyDescent="0.25">
      <c r="A96" s="121" t="s">
        <v>100</v>
      </c>
      <c r="B96" s="122">
        <v>13</v>
      </c>
      <c r="C96" s="59">
        <v>13</v>
      </c>
      <c r="D96" s="59">
        <v>13.2</v>
      </c>
      <c r="E96" s="59">
        <v>13.2</v>
      </c>
      <c r="F96" s="59">
        <v>13.1</v>
      </c>
      <c r="G96" s="59">
        <v>14.3</v>
      </c>
      <c r="H96" s="59">
        <v>19</v>
      </c>
      <c r="I96" s="59">
        <v>19.2</v>
      </c>
      <c r="J96" s="59">
        <v>19.2</v>
      </c>
      <c r="K96" s="59">
        <v>11.7</v>
      </c>
      <c r="L96" s="59">
        <v>15.9</v>
      </c>
      <c r="M96" s="59">
        <v>32</v>
      </c>
      <c r="N96" s="59">
        <v>47</v>
      </c>
      <c r="O96" s="59">
        <v>64.599999999999994</v>
      </c>
      <c r="P96" s="59">
        <v>64.599999999999994</v>
      </c>
      <c r="Q96" s="59">
        <v>59.3</v>
      </c>
      <c r="R96" s="59">
        <v>61.2</v>
      </c>
      <c r="S96" s="59">
        <v>63.2</v>
      </c>
      <c r="T96" s="59">
        <v>47.4</v>
      </c>
      <c r="U96" s="59">
        <v>50.2</v>
      </c>
      <c r="V96" s="59">
        <v>61</v>
      </c>
      <c r="W96" s="59">
        <v>64</v>
      </c>
      <c r="X96" s="59">
        <v>66.599999999999994</v>
      </c>
      <c r="Y96" s="59"/>
      <c r="Z96" s="59">
        <v>67.2</v>
      </c>
      <c r="AA96" s="59">
        <v>67.2</v>
      </c>
      <c r="AB96" s="72">
        <v>67</v>
      </c>
      <c r="AC96" s="72">
        <v>67</v>
      </c>
      <c r="AD96" s="72">
        <v>67</v>
      </c>
      <c r="AE96" s="72">
        <v>66.8</v>
      </c>
      <c r="AF96" s="72">
        <v>17</v>
      </c>
      <c r="AG96" s="119">
        <v>60</v>
      </c>
      <c r="AH96" s="53">
        <f t="shared" si="24"/>
        <v>67.2</v>
      </c>
      <c r="AI96" s="120">
        <f t="shared" si="25"/>
        <v>0.79166666666666663</v>
      </c>
    </row>
    <row r="97" spans="1:37" x14ac:dyDescent="0.25">
      <c r="A97" s="123" t="s">
        <v>101</v>
      </c>
      <c r="B97" s="124">
        <v>72</v>
      </c>
      <c r="C97" s="62">
        <v>70</v>
      </c>
      <c r="D97" s="62">
        <v>61.8</v>
      </c>
      <c r="E97" s="62">
        <v>46.4</v>
      </c>
      <c r="F97" s="62">
        <v>42.9</v>
      </c>
      <c r="G97" s="62">
        <v>44.8</v>
      </c>
      <c r="H97" s="62">
        <v>66.599999999999994</v>
      </c>
      <c r="I97" s="62">
        <v>73.900000000000006</v>
      </c>
      <c r="J97" s="62">
        <v>90.7</v>
      </c>
      <c r="K97" s="62">
        <v>81.900000000000006</v>
      </c>
      <c r="L97" s="62">
        <v>103.5</v>
      </c>
      <c r="M97" s="62">
        <v>79.7</v>
      </c>
      <c r="N97" s="62">
        <v>85.5</v>
      </c>
      <c r="O97" s="62">
        <v>99.3</v>
      </c>
      <c r="P97" s="62">
        <v>99.3</v>
      </c>
      <c r="Q97" s="62">
        <v>121.3</v>
      </c>
      <c r="R97" s="62">
        <v>124</v>
      </c>
      <c r="S97" s="62">
        <v>117.2</v>
      </c>
      <c r="T97" s="62">
        <v>117</v>
      </c>
      <c r="U97" s="62">
        <v>127.2</v>
      </c>
      <c r="V97" s="62">
        <v>106</v>
      </c>
      <c r="W97" s="62">
        <v>128</v>
      </c>
      <c r="X97" s="62">
        <v>126.4</v>
      </c>
      <c r="Y97" s="62"/>
      <c r="Z97" s="62">
        <v>120</v>
      </c>
      <c r="AA97" s="62">
        <v>112.8</v>
      </c>
      <c r="AB97" s="125">
        <v>100</v>
      </c>
      <c r="AC97" s="125">
        <v>95</v>
      </c>
      <c r="AD97" s="125">
        <v>97</v>
      </c>
      <c r="AE97" s="125">
        <v>96</v>
      </c>
      <c r="AF97" s="125">
        <v>95</v>
      </c>
      <c r="AG97" s="126">
        <v>120</v>
      </c>
      <c r="AH97" s="53">
        <f t="shared" si="24"/>
        <v>128</v>
      </c>
      <c r="AI97" s="120">
        <f t="shared" si="25"/>
        <v>0.72916666666666663</v>
      </c>
    </row>
    <row r="98" spans="1:37" x14ac:dyDescent="0.25">
      <c r="A98" s="123" t="s">
        <v>102</v>
      </c>
      <c r="B98" s="124">
        <v>74</v>
      </c>
      <c r="C98" s="62">
        <v>68</v>
      </c>
      <c r="D98" s="62">
        <v>62.4</v>
      </c>
      <c r="E98" s="62">
        <v>52.9</v>
      </c>
      <c r="F98" s="62">
        <v>49</v>
      </c>
      <c r="G98" s="62">
        <v>47.1</v>
      </c>
      <c r="H98" s="62">
        <v>59.1</v>
      </c>
      <c r="I98" s="62">
        <v>71.2</v>
      </c>
      <c r="J98" s="62">
        <v>76</v>
      </c>
      <c r="K98" s="62">
        <v>63.8</v>
      </c>
      <c r="L98" s="62">
        <v>84.2</v>
      </c>
      <c r="M98" s="62">
        <v>98.6</v>
      </c>
      <c r="N98" s="62">
        <v>64.900000000000006</v>
      </c>
      <c r="O98" s="62">
        <v>70.400000000000006</v>
      </c>
      <c r="P98" s="62">
        <v>70.400000000000006</v>
      </c>
      <c r="Q98" s="62">
        <v>98.1</v>
      </c>
      <c r="R98" s="62">
        <v>98</v>
      </c>
      <c r="S98" s="62">
        <v>89.2</v>
      </c>
      <c r="T98" s="62">
        <v>94</v>
      </c>
      <c r="U98" s="62">
        <v>105.8</v>
      </c>
      <c r="V98" s="62">
        <v>73.3</v>
      </c>
      <c r="W98" s="62">
        <v>96</v>
      </c>
      <c r="X98" s="62">
        <v>79.400000000000006</v>
      </c>
      <c r="Y98" s="62"/>
      <c r="Z98" s="62">
        <v>79.099999999999994</v>
      </c>
      <c r="AA98" s="62">
        <v>74.8</v>
      </c>
      <c r="AB98" s="125">
        <v>100</v>
      </c>
      <c r="AC98" s="125">
        <v>99</v>
      </c>
      <c r="AD98" s="125">
        <v>82</v>
      </c>
      <c r="AE98" s="125">
        <v>89</v>
      </c>
      <c r="AF98" s="125">
        <v>95</v>
      </c>
      <c r="AG98" s="126"/>
      <c r="AH98" s="53">
        <f t="shared" si="24"/>
        <v>105.8</v>
      </c>
      <c r="AI98" s="120">
        <f t="shared" si="25"/>
        <v>0.66666666666666696</v>
      </c>
    </row>
    <row r="99" spans="1:37" ht="15.75" thickBot="1" x14ac:dyDescent="0.3">
      <c r="A99" s="123" t="s">
        <v>103</v>
      </c>
      <c r="B99" s="124">
        <v>48</v>
      </c>
      <c r="C99" s="62">
        <v>50</v>
      </c>
      <c r="D99" s="62">
        <v>51.3</v>
      </c>
      <c r="E99" s="62">
        <v>54.9</v>
      </c>
      <c r="F99" s="62">
        <v>53.5</v>
      </c>
      <c r="G99" s="62">
        <v>49.1</v>
      </c>
      <c r="H99" s="62">
        <v>55.2</v>
      </c>
      <c r="I99" s="62">
        <v>56.7</v>
      </c>
      <c r="J99" s="62">
        <v>42.4</v>
      </c>
      <c r="K99" s="62">
        <v>19.2</v>
      </c>
      <c r="L99" s="62">
        <v>27.1</v>
      </c>
      <c r="M99" s="62">
        <v>12.5</v>
      </c>
      <c r="N99" s="62">
        <v>1</v>
      </c>
      <c r="O99" s="62">
        <v>24.8</v>
      </c>
      <c r="P99" s="62">
        <v>24.8</v>
      </c>
      <c r="Q99" s="62">
        <v>30</v>
      </c>
      <c r="R99" s="62">
        <v>37.4</v>
      </c>
      <c r="S99" s="62">
        <v>32.1</v>
      </c>
      <c r="T99" s="62">
        <v>32</v>
      </c>
      <c r="U99" s="62">
        <v>32.799999999999997</v>
      </c>
      <c r="V99" s="62">
        <v>-4.0999999999999996</v>
      </c>
      <c r="W99" s="62">
        <v>0</v>
      </c>
      <c r="X99" s="62">
        <v>-10.7</v>
      </c>
      <c r="Y99" s="62"/>
      <c r="Z99" s="62">
        <v>12.2</v>
      </c>
      <c r="AA99" s="62">
        <v>12.8</v>
      </c>
      <c r="AB99" s="125">
        <v>10</v>
      </c>
      <c r="AC99" s="125">
        <v>13</v>
      </c>
      <c r="AD99" s="125">
        <v>27</v>
      </c>
      <c r="AE99" s="125">
        <v>59</v>
      </c>
      <c r="AF99" s="125">
        <v>72.3</v>
      </c>
      <c r="AG99" s="127"/>
      <c r="AH99" s="53">
        <f t="shared" si="24"/>
        <v>72.3</v>
      </c>
      <c r="AI99" s="120">
        <f t="shared" si="25"/>
        <v>0.95833333333333304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7">AF101</f>
        <v>9.9</v>
      </c>
      <c r="C101" s="52">
        <v>9.9</v>
      </c>
      <c r="D101" s="133">
        <f t="shared" ref="D101:S106" si="28">C101</f>
        <v>9.9</v>
      </c>
      <c r="E101" s="133">
        <f t="shared" si="28"/>
        <v>9.9</v>
      </c>
      <c r="F101" s="133">
        <f t="shared" si="28"/>
        <v>9.9</v>
      </c>
      <c r="G101" s="133">
        <f t="shared" si="28"/>
        <v>9.9</v>
      </c>
      <c r="H101" s="133">
        <f t="shared" si="28"/>
        <v>9.9</v>
      </c>
      <c r="I101" s="133">
        <f t="shared" si="28"/>
        <v>9.9</v>
      </c>
      <c r="J101" s="133">
        <f t="shared" si="28"/>
        <v>9.9</v>
      </c>
      <c r="K101" s="133">
        <f t="shared" si="28"/>
        <v>9.9</v>
      </c>
      <c r="L101" s="133">
        <f t="shared" si="28"/>
        <v>9.9</v>
      </c>
      <c r="M101" s="133">
        <f t="shared" si="28"/>
        <v>9.9</v>
      </c>
      <c r="N101" s="133">
        <f t="shared" si="28"/>
        <v>9.9</v>
      </c>
      <c r="O101" s="133">
        <f t="shared" si="28"/>
        <v>9.9</v>
      </c>
      <c r="P101" s="133">
        <f t="shared" si="28"/>
        <v>9.9</v>
      </c>
      <c r="Q101" s="133">
        <f t="shared" si="28"/>
        <v>9.9</v>
      </c>
      <c r="R101" s="133">
        <f t="shared" si="28"/>
        <v>9.9</v>
      </c>
      <c r="S101" s="133">
        <f t="shared" si="28"/>
        <v>9.9</v>
      </c>
      <c r="T101" s="133">
        <f t="shared" ref="T101:AF106" si="29">S101</f>
        <v>9.9</v>
      </c>
      <c r="U101" s="133">
        <f t="shared" si="29"/>
        <v>9.9</v>
      </c>
      <c r="V101" s="133">
        <f t="shared" si="29"/>
        <v>9.9</v>
      </c>
      <c r="W101" s="133">
        <f t="shared" si="29"/>
        <v>9.9</v>
      </c>
      <c r="X101" s="133">
        <f t="shared" si="29"/>
        <v>9.9</v>
      </c>
      <c r="Y101" s="133">
        <f t="shared" si="29"/>
        <v>9.9</v>
      </c>
      <c r="Z101" s="133">
        <f t="shared" si="29"/>
        <v>9.9</v>
      </c>
      <c r="AA101" s="133">
        <f t="shared" si="29"/>
        <v>9.9</v>
      </c>
      <c r="AB101" s="133">
        <f t="shared" si="29"/>
        <v>9.9</v>
      </c>
      <c r="AC101" s="133">
        <f t="shared" si="29"/>
        <v>9.9</v>
      </c>
      <c r="AD101" s="133">
        <f t="shared" si="29"/>
        <v>9.9</v>
      </c>
      <c r="AE101" s="133">
        <f t="shared" si="29"/>
        <v>9.9</v>
      </c>
      <c r="AF101" s="133">
        <f t="shared" si="29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7"/>
        <v>9.6</v>
      </c>
      <c r="C102" s="136">
        <v>9.6</v>
      </c>
      <c r="D102" s="135">
        <f t="shared" si="28"/>
        <v>9.6</v>
      </c>
      <c r="E102" s="135">
        <f t="shared" si="28"/>
        <v>9.6</v>
      </c>
      <c r="F102" s="135">
        <f t="shared" si="28"/>
        <v>9.6</v>
      </c>
      <c r="G102" s="135">
        <f t="shared" si="28"/>
        <v>9.6</v>
      </c>
      <c r="H102" s="135">
        <f t="shared" si="28"/>
        <v>9.6</v>
      </c>
      <c r="I102" s="135">
        <f t="shared" si="28"/>
        <v>9.6</v>
      </c>
      <c r="J102" s="135">
        <f t="shared" si="28"/>
        <v>9.6</v>
      </c>
      <c r="K102" s="135">
        <f t="shared" si="28"/>
        <v>9.6</v>
      </c>
      <c r="L102" s="135">
        <f t="shared" si="28"/>
        <v>9.6</v>
      </c>
      <c r="M102" s="135">
        <f t="shared" si="28"/>
        <v>9.6</v>
      </c>
      <c r="N102" s="135">
        <f t="shared" si="28"/>
        <v>9.6</v>
      </c>
      <c r="O102" s="135">
        <f t="shared" si="28"/>
        <v>9.6</v>
      </c>
      <c r="P102" s="135">
        <f t="shared" si="28"/>
        <v>9.6</v>
      </c>
      <c r="Q102" s="135">
        <f t="shared" si="28"/>
        <v>9.6</v>
      </c>
      <c r="R102" s="135">
        <f t="shared" si="28"/>
        <v>9.6</v>
      </c>
      <c r="S102" s="135">
        <f t="shared" si="28"/>
        <v>9.6</v>
      </c>
      <c r="T102" s="135">
        <f t="shared" si="29"/>
        <v>9.6</v>
      </c>
      <c r="U102" s="135">
        <f t="shared" si="29"/>
        <v>9.6</v>
      </c>
      <c r="V102" s="135">
        <f t="shared" si="29"/>
        <v>9.6</v>
      </c>
      <c r="W102" s="135">
        <f t="shared" si="29"/>
        <v>9.6</v>
      </c>
      <c r="X102" s="135">
        <f t="shared" si="29"/>
        <v>9.6</v>
      </c>
      <c r="Y102" s="135">
        <f t="shared" si="29"/>
        <v>9.6</v>
      </c>
      <c r="Z102" s="135">
        <f t="shared" si="29"/>
        <v>9.6</v>
      </c>
      <c r="AA102" s="135">
        <f t="shared" si="29"/>
        <v>9.6</v>
      </c>
      <c r="AB102" s="135">
        <f t="shared" si="29"/>
        <v>9.6</v>
      </c>
      <c r="AC102" s="135">
        <f t="shared" si="29"/>
        <v>9.6</v>
      </c>
      <c r="AD102" s="135">
        <f t="shared" si="29"/>
        <v>9.6</v>
      </c>
      <c r="AE102" s="135">
        <f t="shared" si="29"/>
        <v>9.6</v>
      </c>
      <c r="AF102" s="135">
        <f t="shared" si="29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7"/>
        <v>9.98</v>
      </c>
      <c r="C103" s="136">
        <v>9.98</v>
      </c>
      <c r="D103" s="135">
        <f t="shared" si="28"/>
        <v>9.98</v>
      </c>
      <c r="E103" s="135">
        <f t="shared" si="28"/>
        <v>9.98</v>
      </c>
      <c r="F103" s="135">
        <f t="shared" si="28"/>
        <v>9.98</v>
      </c>
      <c r="G103" s="135">
        <f t="shared" si="28"/>
        <v>9.98</v>
      </c>
      <c r="H103" s="135">
        <f t="shared" si="28"/>
        <v>9.98</v>
      </c>
      <c r="I103" s="135">
        <f t="shared" si="28"/>
        <v>9.98</v>
      </c>
      <c r="J103" s="135">
        <f t="shared" si="28"/>
        <v>9.98</v>
      </c>
      <c r="K103" s="135">
        <f t="shared" si="28"/>
        <v>9.98</v>
      </c>
      <c r="L103" s="135">
        <f t="shared" si="28"/>
        <v>9.98</v>
      </c>
      <c r="M103" s="135">
        <f t="shared" si="28"/>
        <v>9.98</v>
      </c>
      <c r="N103" s="135">
        <f t="shared" si="28"/>
        <v>9.98</v>
      </c>
      <c r="O103" s="135">
        <f t="shared" si="28"/>
        <v>9.98</v>
      </c>
      <c r="P103" s="135">
        <f t="shared" si="28"/>
        <v>9.98</v>
      </c>
      <c r="Q103" s="135">
        <f t="shared" si="28"/>
        <v>9.98</v>
      </c>
      <c r="R103" s="135">
        <f t="shared" si="28"/>
        <v>9.98</v>
      </c>
      <c r="S103" s="135">
        <f t="shared" si="28"/>
        <v>9.98</v>
      </c>
      <c r="T103" s="135">
        <f t="shared" si="29"/>
        <v>9.98</v>
      </c>
      <c r="U103" s="135">
        <f t="shared" si="29"/>
        <v>9.98</v>
      </c>
      <c r="V103" s="135">
        <f t="shared" si="29"/>
        <v>9.98</v>
      </c>
      <c r="W103" s="135">
        <f t="shared" si="29"/>
        <v>9.98</v>
      </c>
      <c r="X103" s="135">
        <f t="shared" si="29"/>
        <v>9.98</v>
      </c>
      <c r="Y103" s="135">
        <f t="shared" si="29"/>
        <v>9.98</v>
      </c>
      <c r="Z103" s="135">
        <f t="shared" si="29"/>
        <v>9.98</v>
      </c>
      <c r="AA103" s="135">
        <f t="shared" si="29"/>
        <v>9.98</v>
      </c>
      <c r="AB103" s="135">
        <f t="shared" si="29"/>
        <v>9.98</v>
      </c>
      <c r="AC103" s="135">
        <f t="shared" si="29"/>
        <v>9.98</v>
      </c>
      <c r="AD103" s="135">
        <f t="shared" si="29"/>
        <v>9.98</v>
      </c>
      <c r="AE103" s="135">
        <f t="shared" si="29"/>
        <v>9.98</v>
      </c>
      <c r="AF103" s="135">
        <f t="shared" si="29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7"/>
        <v>9.1</v>
      </c>
      <c r="C104" s="136">
        <v>9.1</v>
      </c>
      <c r="D104" s="135">
        <f t="shared" si="28"/>
        <v>9.1</v>
      </c>
      <c r="E104" s="135">
        <f t="shared" si="28"/>
        <v>9.1</v>
      </c>
      <c r="F104" s="135">
        <f t="shared" si="28"/>
        <v>9.1</v>
      </c>
      <c r="G104" s="135">
        <f t="shared" si="28"/>
        <v>9.1</v>
      </c>
      <c r="H104" s="135">
        <f t="shared" si="28"/>
        <v>9.1</v>
      </c>
      <c r="I104" s="135">
        <f t="shared" si="28"/>
        <v>9.1</v>
      </c>
      <c r="J104" s="135">
        <f t="shared" si="28"/>
        <v>9.1</v>
      </c>
      <c r="K104" s="135">
        <f t="shared" si="28"/>
        <v>9.1</v>
      </c>
      <c r="L104" s="135">
        <f t="shared" si="28"/>
        <v>9.1</v>
      </c>
      <c r="M104" s="135">
        <f t="shared" si="28"/>
        <v>9.1</v>
      </c>
      <c r="N104" s="135">
        <f t="shared" si="28"/>
        <v>9.1</v>
      </c>
      <c r="O104" s="135">
        <f t="shared" si="28"/>
        <v>9.1</v>
      </c>
      <c r="P104" s="135">
        <f t="shared" si="28"/>
        <v>9.1</v>
      </c>
      <c r="Q104" s="135">
        <f t="shared" si="28"/>
        <v>9.1</v>
      </c>
      <c r="R104" s="135">
        <f t="shared" si="28"/>
        <v>9.1</v>
      </c>
      <c r="S104" s="135">
        <f t="shared" si="28"/>
        <v>9.1</v>
      </c>
      <c r="T104" s="135">
        <f t="shared" si="29"/>
        <v>9.1</v>
      </c>
      <c r="U104" s="135">
        <f t="shared" si="29"/>
        <v>9.1</v>
      </c>
      <c r="V104" s="135">
        <f t="shared" si="29"/>
        <v>9.1</v>
      </c>
      <c r="W104" s="135">
        <f t="shared" si="29"/>
        <v>9.1</v>
      </c>
      <c r="X104" s="135">
        <f t="shared" si="29"/>
        <v>9.1</v>
      </c>
      <c r="Y104" s="135">
        <f t="shared" si="29"/>
        <v>9.1</v>
      </c>
      <c r="Z104" s="135">
        <f t="shared" si="29"/>
        <v>9.1</v>
      </c>
      <c r="AA104" s="135">
        <f t="shared" si="29"/>
        <v>9.1</v>
      </c>
      <c r="AB104" s="135">
        <f t="shared" si="29"/>
        <v>9.1</v>
      </c>
      <c r="AC104" s="135">
        <f t="shared" si="29"/>
        <v>9.1</v>
      </c>
      <c r="AD104" s="135">
        <f t="shared" si="29"/>
        <v>9.1</v>
      </c>
      <c r="AE104" s="135">
        <f t="shared" si="29"/>
        <v>9.1</v>
      </c>
      <c r="AF104" s="135">
        <f t="shared" si="29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7"/>
        <v>9.18</v>
      </c>
      <c r="C105" s="136">
        <v>9.18</v>
      </c>
      <c r="D105" s="135">
        <f t="shared" si="28"/>
        <v>9.18</v>
      </c>
      <c r="E105" s="135">
        <f t="shared" si="28"/>
        <v>9.18</v>
      </c>
      <c r="F105" s="135">
        <f t="shared" si="28"/>
        <v>9.18</v>
      </c>
      <c r="G105" s="135">
        <f t="shared" si="28"/>
        <v>9.18</v>
      </c>
      <c r="H105" s="135">
        <f t="shared" si="28"/>
        <v>9.18</v>
      </c>
      <c r="I105" s="135">
        <f t="shared" si="28"/>
        <v>9.18</v>
      </c>
      <c r="J105" s="135">
        <f t="shared" si="28"/>
        <v>9.18</v>
      </c>
      <c r="K105" s="135">
        <f t="shared" si="28"/>
        <v>9.18</v>
      </c>
      <c r="L105" s="135">
        <f t="shared" si="28"/>
        <v>9.18</v>
      </c>
      <c r="M105" s="135">
        <f t="shared" si="28"/>
        <v>9.18</v>
      </c>
      <c r="N105" s="135">
        <f t="shared" si="28"/>
        <v>9.18</v>
      </c>
      <c r="O105" s="135">
        <f t="shared" si="28"/>
        <v>9.18</v>
      </c>
      <c r="P105" s="135">
        <f t="shared" si="28"/>
        <v>9.18</v>
      </c>
      <c r="Q105" s="135">
        <f t="shared" si="28"/>
        <v>9.18</v>
      </c>
      <c r="R105" s="135">
        <f t="shared" si="28"/>
        <v>9.18</v>
      </c>
      <c r="S105" s="135">
        <f t="shared" si="28"/>
        <v>9.18</v>
      </c>
      <c r="T105" s="135">
        <f t="shared" si="29"/>
        <v>9.18</v>
      </c>
      <c r="U105" s="135">
        <f t="shared" si="29"/>
        <v>9.18</v>
      </c>
      <c r="V105" s="135">
        <f t="shared" si="29"/>
        <v>9.18</v>
      </c>
      <c r="W105" s="135">
        <f t="shared" si="29"/>
        <v>9.18</v>
      </c>
      <c r="X105" s="135">
        <f t="shared" si="29"/>
        <v>9.18</v>
      </c>
      <c r="Y105" s="135">
        <f t="shared" si="29"/>
        <v>9.18</v>
      </c>
      <c r="Z105" s="135">
        <f t="shared" si="29"/>
        <v>9.18</v>
      </c>
      <c r="AA105" s="135">
        <f t="shared" si="29"/>
        <v>9.18</v>
      </c>
      <c r="AB105" s="135">
        <f t="shared" si="29"/>
        <v>9.18</v>
      </c>
      <c r="AC105" s="135">
        <f t="shared" si="29"/>
        <v>9.18</v>
      </c>
      <c r="AD105" s="135">
        <f t="shared" si="29"/>
        <v>9.18</v>
      </c>
      <c r="AE105" s="135">
        <f t="shared" si="29"/>
        <v>9.18</v>
      </c>
      <c r="AF105" s="135">
        <f t="shared" si="29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7"/>
        <v>7</v>
      </c>
      <c r="C106" s="136">
        <v>7</v>
      </c>
      <c r="D106" s="135">
        <f t="shared" si="28"/>
        <v>7</v>
      </c>
      <c r="E106" s="135">
        <f t="shared" si="28"/>
        <v>7</v>
      </c>
      <c r="F106" s="135">
        <f t="shared" si="28"/>
        <v>7</v>
      </c>
      <c r="G106" s="135">
        <f t="shared" si="28"/>
        <v>7</v>
      </c>
      <c r="H106" s="135">
        <f t="shared" si="28"/>
        <v>7</v>
      </c>
      <c r="I106" s="135">
        <f t="shared" si="28"/>
        <v>7</v>
      </c>
      <c r="J106" s="135">
        <f t="shared" si="28"/>
        <v>7</v>
      </c>
      <c r="K106" s="135">
        <f t="shared" si="28"/>
        <v>7</v>
      </c>
      <c r="L106" s="135">
        <f t="shared" si="28"/>
        <v>7</v>
      </c>
      <c r="M106" s="135">
        <f t="shared" si="28"/>
        <v>7</v>
      </c>
      <c r="N106" s="135">
        <f t="shared" si="28"/>
        <v>7</v>
      </c>
      <c r="O106" s="135">
        <f t="shared" si="28"/>
        <v>7</v>
      </c>
      <c r="P106" s="135">
        <f t="shared" si="28"/>
        <v>7</v>
      </c>
      <c r="Q106" s="135">
        <f t="shared" si="28"/>
        <v>7</v>
      </c>
      <c r="R106" s="135">
        <f t="shared" si="28"/>
        <v>7</v>
      </c>
      <c r="S106" s="135">
        <f t="shared" si="28"/>
        <v>7</v>
      </c>
      <c r="T106" s="135">
        <f t="shared" si="29"/>
        <v>7</v>
      </c>
      <c r="U106" s="135">
        <f t="shared" si="29"/>
        <v>7</v>
      </c>
      <c r="V106" s="135">
        <f t="shared" si="29"/>
        <v>7</v>
      </c>
      <c r="W106" s="135">
        <f t="shared" si="29"/>
        <v>7</v>
      </c>
      <c r="X106" s="135">
        <f t="shared" si="29"/>
        <v>7</v>
      </c>
      <c r="Y106" s="135">
        <f t="shared" si="29"/>
        <v>7</v>
      </c>
      <c r="Z106" s="135">
        <f t="shared" si="29"/>
        <v>7</v>
      </c>
      <c r="AA106" s="135">
        <f t="shared" si="29"/>
        <v>7</v>
      </c>
      <c r="AB106" s="135">
        <f t="shared" si="29"/>
        <v>7</v>
      </c>
      <c r="AC106" s="135">
        <f t="shared" si="29"/>
        <v>7</v>
      </c>
      <c r="AD106" s="135">
        <f t="shared" si="29"/>
        <v>7</v>
      </c>
      <c r="AE106" s="135">
        <f t="shared" si="29"/>
        <v>7</v>
      </c>
      <c r="AF106" s="135">
        <f t="shared" si="29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30">C108</f>
        <v>2.25</v>
      </c>
      <c r="E108" s="135">
        <f t="shared" si="30"/>
        <v>2.25</v>
      </c>
      <c r="F108" s="135">
        <f t="shared" si="30"/>
        <v>2.25</v>
      </c>
      <c r="G108" s="135">
        <f t="shared" si="30"/>
        <v>2.25</v>
      </c>
      <c r="H108" s="135">
        <f t="shared" si="30"/>
        <v>2.25</v>
      </c>
      <c r="I108" s="135">
        <f t="shared" si="30"/>
        <v>2.25</v>
      </c>
      <c r="J108" s="135">
        <f t="shared" si="30"/>
        <v>2.25</v>
      </c>
      <c r="K108" s="135">
        <f t="shared" si="30"/>
        <v>2.25</v>
      </c>
      <c r="L108" s="135">
        <f t="shared" si="30"/>
        <v>2.25</v>
      </c>
      <c r="M108" s="135">
        <f t="shared" si="30"/>
        <v>2.25</v>
      </c>
      <c r="N108" s="135">
        <f t="shared" si="30"/>
        <v>2.25</v>
      </c>
      <c r="O108" s="135">
        <f t="shared" si="30"/>
        <v>2.25</v>
      </c>
      <c r="P108" s="135">
        <f t="shared" si="30"/>
        <v>2.25</v>
      </c>
      <c r="Q108" s="135">
        <f t="shared" si="30"/>
        <v>2.25</v>
      </c>
      <c r="R108" s="135">
        <f t="shared" si="30"/>
        <v>2.25</v>
      </c>
      <c r="S108" s="135">
        <f t="shared" si="30"/>
        <v>2.25</v>
      </c>
      <c r="T108" s="135">
        <f t="shared" ref="T108:AF109" si="31">S108</f>
        <v>2.25</v>
      </c>
      <c r="U108" s="135">
        <f t="shared" si="31"/>
        <v>2.25</v>
      </c>
      <c r="V108" s="135">
        <f t="shared" si="31"/>
        <v>2.25</v>
      </c>
      <c r="W108" s="135">
        <f t="shared" si="31"/>
        <v>2.25</v>
      </c>
      <c r="X108" s="135">
        <f t="shared" si="31"/>
        <v>2.25</v>
      </c>
      <c r="Y108" s="135">
        <f t="shared" si="31"/>
        <v>2.25</v>
      </c>
      <c r="Z108" s="135">
        <f t="shared" si="31"/>
        <v>2.25</v>
      </c>
      <c r="AA108" s="135">
        <f t="shared" si="31"/>
        <v>2.25</v>
      </c>
      <c r="AB108" s="135">
        <f t="shared" si="31"/>
        <v>2.25</v>
      </c>
      <c r="AC108" s="135">
        <f t="shared" si="31"/>
        <v>2.25</v>
      </c>
      <c r="AD108" s="135">
        <f t="shared" si="31"/>
        <v>2.25</v>
      </c>
      <c r="AE108" s="135">
        <f t="shared" si="31"/>
        <v>2.25</v>
      </c>
      <c r="AF108" s="135">
        <f t="shared" si="31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30"/>
        <v>1.64</v>
      </c>
      <c r="E109" s="135">
        <f t="shared" si="30"/>
        <v>1.64</v>
      </c>
      <c r="F109" s="135">
        <f t="shared" si="30"/>
        <v>1.64</v>
      </c>
      <c r="G109" s="135">
        <f t="shared" si="30"/>
        <v>1.64</v>
      </c>
      <c r="H109" s="135">
        <f t="shared" si="30"/>
        <v>1.64</v>
      </c>
      <c r="I109" s="135">
        <f t="shared" si="30"/>
        <v>1.64</v>
      </c>
      <c r="J109" s="135">
        <f t="shared" si="30"/>
        <v>1.64</v>
      </c>
      <c r="K109" s="135">
        <f t="shared" si="30"/>
        <v>1.64</v>
      </c>
      <c r="L109" s="135">
        <f t="shared" si="30"/>
        <v>1.64</v>
      </c>
      <c r="M109" s="135">
        <f t="shared" si="30"/>
        <v>1.64</v>
      </c>
      <c r="N109" s="135">
        <f t="shared" si="30"/>
        <v>1.64</v>
      </c>
      <c r="O109" s="135">
        <f t="shared" si="30"/>
        <v>1.64</v>
      </c>
      <c r="P109" s="135">
        <f t="shared" si="30"/>
        <v>1.64</v>
      </c>
      <c r="Q109" s="135">
        <f t="shared" si="30"/>
        <v>1.64</v>
      </c>
      <c r="R109" s="135">
        <f t="shared" si="30"/>
        <v>1.64</v>
      </c>
      <c r="S109" s="135">
        <f t="shared" si="30"/>
        <v>1.64</v>
      </c>
      <c r="T109" s="135">
        <f t="shared" si="31"/>
        <v>1.64</v>
      </c>
      <c r="U109" s="135">
        <f t="shared" si="31"/>
        <v>1.64</v>
      </c>
      <c r="V109" s="135">
        <f t="shared" si="31"/>
        <v>1.64</v>
      </c>
      <c r="W109" s="135">
        <f t="shared" si="31"/>
        <v>1.64</v>
      </c>
      <c r="X109" s="135">
        <f t="shared" si="31"/>
        <v>1.64</v>
      </c>
      <c r="Y109" s="135">
        <f t="shared" si="31"/>
        <v>1.64</v>
      </c>
      <c r="Z109" s="135">
        <f t="shared" si="31"/>
        <v>1.64</v>
      </c>
      <c r="AA109" s="135">
        <f t="shared" si="31"/>
        <v>1.64</v>
      </c>
      <c r="AB109" s="135">
        <f t="shared" si="31"/>
        <v>1.64</v>
      </c>
      <c r="AC109" s="135">
        <f t="shared" si="31"/>
        <v>1.64</v>
      </c>
      <c r="AD109" s="135">
        <f t="shared" si="31"/>
        <v>1.64</v>
      </c>
      <c r="AE109" s="135">
        <f t="shared" si="31"/>
        <v>1.64</v>
      </c>
      <c r="AF109" s="135">
        <f t="shared" si="31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2">AF111</f>
        <v>1.62</v>
      </c>
      <c r="C111" s="136">
        <v>1.62</v>
      </c>
      <c r="D111" s="135">
        <f t="shared" ref="D111:S118" si="33">C111</f>
        <v>1.62</v>
      </c>
      <c r="E111" s="135">
        <f t="shared" si="33"/>
        <v>1.62</v>
      </c>
      <c r="F111" s="135">
        <f t="shared" si="33"/>
        <v>1.62</v>
      </c>
      <c r="G111" s="135">
        <f t="shared" si="33"/>
        <v>1.62</v>
      </c>
      <c r="H111" s="135">
        <f t="shared" si="33"/>
        <v>1.62</v>
      </c>
      <c r="I111" s="135">
        <f t="shared" si="33"/>
        <v>1.62</v>
      </c>
      <c r="J111" s="135">
        <f t="shared" si="33"/>
        <v>1.62</v>
      </c>
      <c r="K111" s="135">
        <f t="shared" si="33"/>
        <v>1.62</v>
      </c>
      <c r="L111" s="135">
        <f t="shared" si="33"/>
        <v>1.62</v>
      </c>
      <c r="M111" s="135">
        <f t="shared" si="33"/>
        <v>1.62</v>
      </c>
      <c r="N111" s="135">
        <f t="shared" si="33"/>
        <v>1.62</v>
      </c>
      <c r="O111" s="135">
        <f t="shared" si="33"/>
        <v>1.62</v>
      </c>
      <c r="P111" s="135">
        <f t="shared" si="33"/>
        <v>1.62</v>
      </c>
      <c r="Q111" s="135">
        <f t="shared" si="33"/>
        <v>1.62</v>
      </c>
      <c r="R111" s="135">
        <f t="shared" si="33"/>
        <v>1.62</v>
      </c>
      <c r="S111" s="135">
        <f t="shared" si="33"/>
        <v>1.62</v>
      </c>
      <c r="T111" s="135">
        <f t="shared" ref="T111:AF126" si="34">S111</f>
        <v>1.62</v>
      </c>
      <c r="U111" s="135">
        <f t="shared" si="34"/>
        <v>1.62</v>
      </c>
      <c r="V111" s="135">
        <f t="shared" si="34"/>
        <v>1.62</v>
      </c>
      <c r="W111" s="135">
        <f t="shared" si="34"/>
        <v>1.62</v>
      </c>
      <c r="X111" s="135">
        <f t="shared" si="34"/>
        <v>1.62</v>
      </c>
      <c r="Y111" s="135">
        <f t="shared" si="34"/>
        <v>1.62</v>
      </c>
      <c r="Z111" s="135">
        <f t="shared" si="34"/>
        <v>1.62</v>
      </c>
      <c r="AA111" s="135">
        <f t="shared" si="34"/>
        <v>1.62</v>
      </c>
      <c r="AB111" s="135">
        <f t="shared" si="34"/>
        <v>1.62</v>
      </c>
      <c r="AC111" s="135">
        <f t="shared" si="34"/>
        <v>1.62</v>
      </c>
      <c r="AD111" s="135">
        <f t="shared" si="34"/>
        <v>1.62</v>
      </c>
      <c r="AE111" s="135">
        <f t="shared" si="34"/>
        <v>1.62</v>
      </c>
      <c r="AF111" s="135">
        <f t="shared" si="34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2"/>
        <v>8.36</v>
      </c>
      <c r="C112" s="136">
        <v>8.36</v>
      </c>
      <c r="D112" s="135">
        <f t="shared" si="33"/>
        <v>8.36</v>
      </c>
      <c r="E112" s="135">
        <f t="shared" si="33"/>
        <v>8.36</v>
      </c>
      <c r="F112" s="135">
        <f t="shared" si="33"/>
        <v>8.36</v>
      </c>
      <c r="G112" s="135">
        <f t="shared" si="33"/>
        <v>8.36</v>
      </c>
      <c r="H112" s="135">
        <f t="shared" si="33"/>
        <v>8.36</v>
      </c>
      <c r="I112" s="135">
        <f t="shared" si="33"/>
        <v>8.36</v>
      </c>
      <c r="J112" s="135">
        <f t="shared" si="33"/>
        <v>8.36</v>
      </c>
      <c r="K112" s="135">
        <f t="shared" si="33"/>
        <v>8.36</v>
      </c>
      <c r="L112" s="135">
        <f t="shared" si="33"/>
        <v>8.36</v>
      </c>
      <c r="M112" s="135">
        <f t="shared" si="33"/>
        <v>8.36</v>
      </c>
      <c r="N112" s="135">
        <f t="shared" si="33"/>
        <v>8.36</v>
      </c>
      <c r="O112" s="135">
        <f t="shared" si="33"/>
        <v>8.36</v>
      </c>
      <c r="P112" s="135">
        <f t="shared" si="33"/>
        <v>8.36</v>
      </c>
      <c r="Q112" s="135">
        <f t="shared" si="33"/>
        <v>8.36</v>
      </c>
      <c r="R112" s="135">
        <f t="shared" si="33"/>
        <v>8.36</v>
      </c>
      <c r="S112" s="135">
        <f t="shared" si="33"/>
        <v>8.36</v>
      </c>
      <c r="T112" s="135">
        <f t="shared" si="34"/>
        <v>8.36</v>
      </c>
      <c r="U112" s="135">
        <f t="shared" si="34"/>
        <v>8.36</v>
      </c>
      <c r="V112" s="135">
        <f t="shared" si="34"/>
        <v>8.36</v>
      </c>
      <c r="W112" s="135">
        <f t="shared" si="34"/>
        <v>8.36</v>
      </c>
      <c r="X112" s="135">
        <f t="shared" si="34"/>
        <v>8.36</v>
      </c>
      <c r="Y112" s="135">
        <f t="shared" si="34"/>
        <v>8.36</v>
      </c>
      <c r="Z112" s="135">
        <f t="shared" si="34"/>
        <v>8.36</v>
      </c>
      <c r="AA112" s="135">
        <f t="shared" si="34"/>
        <v>8.36</v>
      </c>
      <c r="AB112" s="135">
        <f t="shared" si="34"/>
        <v>8.36</v>
      </c>
      <c r="AC112" s="135">
        <f t="shared" si="34"/>
        <v>8.36</v>
      </c>
      <c r="AD112" s="135">
        <f t="shared" si="34"/>
        <v>8.36</v>
      </c>
      <c r="AE112" s="135">
        <f t="shared" si="34"/>
        <v>8.36</v>
      </c>
      <c r="AF112" s="135">
        <f t="shared" si="34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2"/>
        <v>5.4</v>
      </c>
      <c r="C113" s="136">
        <v>8</v>
      </c>
      <c r="D113" s="135">
        <f t="shared" si="33"/>
        <v>8</v>
      </c>
      <c r="E113" s="135">
        <f t="shared" si="33"/>
        <v>8</v>
      </c>
      <c r="F113" s="135">
        <f t="shared" si="33"/>
        <v>8</v>
      </c>
      <c r="G113" s="135">
        <f t="shared" si="33"/>
        <v>8</v>
      </c>
      <c r="H113" s="135">
        <f t="shared" si="33"/>
        <v>8</v>
      </c>
      <c r="I113" s="135">
        <f t="shared" si="33"/>
        <v>8</v>
      </c>
      <c r="J113" s="135">
        <v>5.4</v>
      </c>
      <c r="K113" s="135">
        <f t="shared" si="33"/>
        <v>5.4</v>
      </c>
      <c r="L113" s="135">
        <f t="shared" si="33"/>
        <v>5.4</v>
      </c>
      <c r="M113" s="135">
        <f t="shared" si="33"/>
        <v>5.4</v>
      </c>
      <c r="N113" s="135">
        <f t="shared" si="33"/>
        <v>5.4</v>
      </c>
      <c r="O113" s="135">
        <f t="shared" si="33"/>
        <v>5.4</v>
      </c>
      <c r="P113" s="135">
        <f t="shared" si="33"/>
        <v>5.4</v>
      </c>
      <c r="Q113" s="135">
        <f t="shared" si="33"/>
        <v>5.4</v>
      </c>
      <c r="R113" s="135">
        <f t="shared" si="33"/>
        <v>5.4</v>
      </c>
      <c r="S113" s="135">
        <f t="shared" si="33"/>
        <v>5.4</v>
      </c>
      <c r="T113" s="135">
        <f t="shared" si="34"/>
        <v>5.4</v>
      </c>
      <c r="U113" s="135">
        <f t="shared" si="34"/>
        <v>5.4</v>
      </c>
      <c r="V113" s="135">
        <f t="shared" si="34"/>
        <v>5.4</v>
      </c>
      <c r="W113" s="135">
        <f t="shared" si="34"/>
        <v>5.4</v>
      </c>
      <c r="X113" s="135">
        <f t="shared" si="34"/>
        <v>5.4</v>
      </c>
      <c r="Y113" s="135">
        <f t="shared" si="34"/>
        <v>5.4</v>
      </c>
      <c r="Z113" s="135">
        <f t="shared" si="34"/>
        <v>5.4</v>
      </c>
      <c r="AA113" s="135">
        <f t="shared" si="34"/>
        <v>5.4</v>
      </c>
      <c r="AB113" s="135">
        <f t="shared" si="34"/>
        <v>5.4</v>
      </c>
      <c r="AC113" s="135">
        <f t="shared" si="34"/>
        <v>5.4</v>
      </c>
      <c r="AD113" s="135">
        <f t="shared" si="34"/>
        <v>5.4</v>
      </c>
      <c r="AE113" s="135">
        <f t="shared" si="34"/>
        <v>5.4</v>
      </c>
      <c r="AF113" s="135">
        <f t="shared" si="34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2"/>
        <v>6.57</v>
      </c>
      <c r="C114" s="136">
        <v>6.57</v>
      </c>
      <c r="D114" s="135">
        <f t="shared" si="33"/>
        <v>6.57</v>
      </c>
      <c r="E114" s="135">
        <f t="shared" si="33"/>
        <v>6.57</v>
      </c>
      <c r="F114" s="135">
        <f t="shared" si="33"/>
        <v>6.57</v>
      </c>
      <c r="G114" s="135">
        <f t="shared" si="33"/>
        <v>6.57</v>
      </c>
      <c r="H114" s="135">
        <f t="shared" si="33"/>
        <v>6.57</v>
      </c>
      <c r="I114" s="135">
        <f t="shared" si="33"/>
        <v>6.57</v>
      </c>
      <c r="J114" s="135">
        <f t="shared" si="33"/>
        <v>6.57</v>
      </c>
      <c r="K114" s="135">
        <f t="shared" si="33"/>
        <v>6.57</v>
      </c>
      <c r="L114" s="135">
        <f t="shared" si="33"/>
        <v>6.57</v>
      </c>
      <c r="M114" s="135">
        <f t="shared" si="33"/>
        <v>6.57</v>
      </c>
      <c r="N114" s="135">
        <f t="shared" si="33"/>
        <v>6.57</v>
      </c>
      <c r="O114" s="135">
        <f t="shared" si="33"/>
        <v>6.57</v>
      </c>
      <c r="P114" s="135">
        <f t="shared" si="33"/>
        <v>6.57</v>
      </c>
      <c r="Q114" s="135">
        <f t="shared" si="33"/>
        <v>6.57</v>
      </c>
      <c r="R114" s="135">
        <f t="shared" si="33"/>
        <v>6.57</v>
      </c>
      <c r="S114" s="135">
        <f t="shared" si="33"/>
        <v>6.57</v>
      </c>
      <c r="T114" s="135">
        <f t="shared" si="34"/>
        <v>6.57</v>
      </c>
      <c r="U114" s="135">
        <f t="shared" si="34"/>
        <v>6.57</v>
      </c>
      <c r="V114" s="135">
        <f t="shared" si="34"/>
        <v>6.57</v>
      </c>
      <c r="W114" s="135">
        <f t="shared" si="34"/>
        <v>6.57</v>
      </c>
      <c r="X114" s="135">
        <f t="shared" si="34"/>
        <v>6.57</v>
      </c>
      <c r="Y114" s="135">
        <f t="shared" si="34"/>
        <v>6.57</v>
      </c>
      <c r="Z114" s="135">
        <f t="shared" si="34"/>
        <v>6.57</v>
      </c>
      <c r="AA114" s="135">
        <f t="shared" si="34"/>
        <v>6.57</v>
      </c>
      <c r="AB114" s="135">
        <f t="shared" si="34"/>
        <v>6.57</v>
      </c>
      <c r="AC114" s="135">
        <f t="shared" si="34"/>
        <v>6.57</v>
      </c>
      <c r="AD114" s="135">
        <f t="shared" si="34"/>
        <v>6.57</v>
      </c>
      <c r="AE114" s="135">
        <f t="shared" si="34"/>
        <v>6.57</v>
      </c>
      <c r="AF114" s="135">
        <f t="shared" si="34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2"/>
        <v>3.43</v>
      </c>
      <c r="C115" s="136">
        <v>3.43</v>
      </c>
      <c r="D115" s="135">
        <f t="shared" si="33"/>
        <v>3.43</v>
      </c>
      <c r="E115" s="135">
        <f t="shared" si="33"/>
        <v>3.43</v>
      </c>
      <c r="F115" s="135">
        <f t="shared" si="33"/>
        <v>3.43</v>
      </c>
      <c r="G115" s="135">
        <f t="shared" si="33"/>
        <v>3.43</v>
      </c>
      <c r="H115" s="135">
        <f t="shared" si="33"/>
        <v>3.43</v>
      </c>
      <c r="I115" s="135">
        <f t="shared" si="33"/>
        <v>3.43</v>
      </c>
      <c r="J115" s="135">
        <f t="shared" si="33"/>
        <v>3.43</v>
      </c>
      <c r="K115" s="135">
        <f t="shared" si="33"/>
        <v>3.43</v>
      </c>
      <c r="L115" s="135">
        <f t="shared" si="33"/>
        <v>3.43</v>
      </c>
      <c r="M115" s="135">
        <f t="shared" si="33"/>
        <v>3.43</v>
      </c>
      <c r="N115" s="135">
        <f t="shared" si="33"/>
        <v>3.43</v>
      </c>
      <c r="O115" s="135">
        <f t="shared" si="33"/>
        <v>3.43</v>
      </c>
      <c r="P115" s="135">
        <f t="shared" si="33"/>
        <v>3.43</v>
      </c>
      <c r="Q115" s="135">
        <f t="shared" si="33"/>
        <v>3.43</v>
      </c>
      <c r="R115" s="135">
        <f t="shared" si="33"/>
        <v>3.43</v>
      </c>
      <c r="S115" s="135">
        <f t="shared" si="33"/>
        <v>3.43</v>
      </c>
      <c r="T115" s="135">
        <f t="shared" si="34"/>
        <v>3.43</v>
      </c>
      <c r="U115" s="135">
        <f t="shared" si="34"/>
        <v>3.43</v>
      </c>
      <c r="V115" s="135">
        <f t="shared" si="34"/>
        <v>3.43</v>
      </c>
      <c r="W115" s="135">
        <f t="shared" si="34"/>
        <v>3.43</v>
      </c>
      <c r="X115" s="135">
        <f t="shared" si="34"/>
        <v>3.43</v>
      </c>
      <c r="Y115" s="135">
        <f t="shared" si="34"/>
        <v>3.43</v>
      </c>
      <c r="Z115" s="135">
        <f t="shared" si="34"/>
        <v>3.43</v>
      </c>
      <c r="AA115" s="135">
        <f t="shared" si="34"/>
        <v>3.43</v>
      </c>
      <c r="AB115" s="135">
        <f t="shared" si="34"/>
        <v>3.43</v>
      </c>
      <c r="AC115" s="135">
        <f t="shared" si="34"/>
        <v>3.43</v>
      </c>
      <c r="AD115" s="135">
        <f t="shared" si="34"/>
        <v>3.43</v>
      </c>
      <c r="AE115" s="135">
        <f t="shared" si="34"/>
        <v>3.43</v>
      </c>
      <c r="AF115" s="135">
        <f t="shared" si="34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2"/>
        <v>2.96</v>
      </c>
      <c r="C116" s="136">
        <v>2.96</v>
      </c>
      <c r="D116" s="135">
        <f t="shared" si="33"/>
        <v>2.96</v>
      </c>
      <c r="E116" s="135">
        <f t="shared" si="33"/>
        <v>2.96</v>
      </c>
      <c r="F116" s="135">
        <f t="shared" si="33"/>
        <v>2.96</v>
      </c>
      <c r="G116" s="135">
        <f t="shared" si="33"/>
        <v>2.96</v>
      </c>
      <c r="H116" s="135">
        <f t="shared" si="33"/>
        <v>2.96</v>
      </c>
      <c r="I116" s="135">
        <f t="shared" si="33"/>
        <v>2.96</v>
      </c>
      <c r="J116" s="135">
        <f t="shared" si="33"/>
        <v>2.96</v>
      </c>
      <c r="K116" s="135">
        <f t="shared" si="33"/>
        <v>2.96</v>
      </c>
      <c r="L116" s="135">
        <f t="shared" si="33"/>
        <v>2.96</v>
      </c>
      <c r="M116" s="135">
        <f t="shared" si="33"/>
        <v>2.96</v>
      </c>
      <c r="N116" s="135">
        <f t="shared" si="33"/>
        <v>2.96</v>
      </c>
      <c r="O116" s="135">
        <f t="shared" si="33"/>
        <v>2.96</v>
      </c>
      <c r="P116" s="135">
        <f t="shared" si="33"/>
        <v>2.96</v>
      </c>
      <c r="Q116" s="135">
        <f t="shared" si="33"/>
        <v>2.96</v>
      </c>
      <c r="R116" s="135">
        <f t="shared" si="33"/>
        <v>2.96</v>
      </c>
      <c r="S116" s="135">
        <f t="shared" si="33"/>
        <v>2.96</v>
      </c>
      <c r="T116" s="135">
        <f t="shared" si="34"/>
        <v>2.96</v>
      </c>
      <c r="U116" s="135">
        <f t="shared" si="34"/>
        <v>2.96</v>
      </c>
      <c r="V116" s="135">
        <f t="shared" si="34"/>
        <v>2.96</v>
      </c>
      <c r="W116" s="135">
        <f t="shared" si="34"/>
        <v>2.96</v>
      </c>
      <c r="X116" s="135">
        <f t="shared" si="34"/>
        <v>2.96</v>
      </c>
      <c r="Y116" s="135">
        <f t="shared" si="34"/>
        <v>2.96</v>
      </c>
      <c r="Z116" s="135">
        <f t="shared" si="34"/>
        <v>2.96</v>
      </c>
      <c r="AA116" s="135">
        <f t="shared" si="34"/>
        <v>2.96</v>
      </c>
      <c r="AB116" s="135">
        <f t="shared" si="34"/>
        <v>2.96</v>
      </c>
      <c r="AC116" s="135">
        <f t="shared" si="34"/>
        <v>2.96</v>
      </c>
      <c r="AD116" s="135">
        <f t="shared" si="34"/>
        <v>2.96</v>
      </c>
      <c r="AE116" s="135">
        <f t="shared" si="34"/>
        <v>2.96</v>
      </c>
      <c r="AF116" s="135">
        <f t="shared" si="34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2"/>
        <v>8</v>
      </c>
      <c r="C117" s="136">
        <v>8</v>
      </c>
      <c r="D117" s="135">
        <f t="shared" si="33"/>
        <v>8</v>
      </c>
      <c r="E117" s="135">
        <f t="shared" si="33"/>
        <v>8</v>
      </c>
      <c r="F117" s="135">
        <f t="shared" si="33"/>
        <v>8</v>
      </c>
      <c r="G117" s="135">
        <f t="shared" si="33"/>
        <v>8</v>
      </c>
      <c r="H117" s="135">
        <f t="shared" si="33"/>
        <v>8</v>
      </c>
      <c r="I117" s="135">
        <f t="shared" si="33"/>
        <v>8</v>
      </c>
      <c r="J117" s="135">
        <f t="shared" si="33"/>
        <v>8</v>
      </c>
      <c r="K117" s="135">
        <f t="shared" si="33"/>
        <v>8</v>
      </c>
      <c r="L117" s="135">
        <f t="shared" si="33"/>
        <v>8</v>
      </c>
      <c r="M117" s="135">
        <f t="shared" si="33"/>
        <v>8</v>
      </c>
      <c r="N117" s="135">
        <f t="shared" si="33"/>
        <v>8</v>
      </c>
      <c r="O117" s="135">
        <f t="shared" si="33"/>
        <v>8</v>
      </c>
      <c r="P117" s="135">
        <f t="shared" si="33"/>
        <v>8</v>
      </c>
      <c r="Q117" s="135">
        <f t="shared" si="33"/>
        <v>8</v>
      </c>
      <c r="R117" s="135">
        <f t="shared" si="33"/>
        <v>8</v>
      </c>
      <c r="S117" s="135">
        <f t="shared" si="33"/>
        <v>8</v>
      </c>
      <c r="T117" s="135">
        <f t="shared" si="34"/>
        <v>8</v>
      </c>
      <c r="U117" s="135">
        <f t="shared" si="34"/>
        <v>8</v>
      </c>
      <c r="V117" s="135">
        <f t="shared" si="34"/>
        <v>8</v>
      </c>
      <c r="W117" s="135">
        <f t="shared" si="34"/>
        <v>8</v>
      </c>
      <c r="X117" s="135">
        <f t="shared" si="34"/>
        <v>8</v>
      </c>
      <c r="Y117" s="135">
        <f t="shared" si="34"/>
        <v>8</v>
      </c>
      <c r="Z117" s="135">
        <f t="shared" si="34"/>
        <v>8</v>
      </c>
      <c r="AA117" s="135">
        <f t="shared" si="34"/>
        <v>8</v>
      </c>
      <c r="AB117" s="135">
        <f t="shared" si="34"/>
        <v>8</v>
      </c>
      <c r="AC117" s="135">
        <f t="shared" si="34"/>
        <v>8</v>
      </c>
      <c r="AD117" s="135">
        <f t="shared" si="34"/>
        <v>8</v>
      </c>
      <c r="AE117" s="135">
        <f t="shared" si="34"/>
        <v>8</v>
      </c>
      <c r="AF117" s="135">
        <f t="shared" si="34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2"/>
        <v>7</v>
      </c>
      <c r="C118" s="136">
        <v>7</v>
      </c>
      <c r="D118" s="135">
        <f>C118</f>
        <v>7</v>
      </c>
      <c r="E118" s="135">
        <f t="shared" si="33"/>
        <v>7</v>
      </c>
      <c r="F118" s="135">
        <f t="shared" si="33"/>
        <v>7</v>
      </c>
      <c r="G118" s="135">
        <f t="shared" si="33"/>
        <v>7</v>
      </c>
      <c r="H118" s="135">
        <f t="shared" si="33"/>
        <v>7</v>
      </c>
      <c r="I118" s="135">
        <f t="shared" si="33"/>
        <v>7</v>
      </c>
      <c r="J118" s="135">
        <f t="shared" si="33"/>
        <v>7</v>
      </c>
      <c r="K118" s="135">
        <f t="shared" si="33"/>
        <v>7</v>
      </c>
      <c r="L118" s="135">
        <f t="shared" si="33"/>
        <v>7</v>
      </c>
      <c r="M118" s="135">
        <f t="shared" si="33"/>
        <v>7</v>
      </c>
      <c r="N118" s="135">
        <f t="shared" si="33"/>
        <v>7</v>
      </c>
      <c r="O118" s="135">
        <f t="shared" si="33"/>
        <v>7</v>
      </c>
      <c r="P118" s="135">
        <f t="shared" si="33"/>
        <v>7</v>
      </c>
      <c r="Q118" s="135">
        <f t="shared" si="33"/>
        <v>7</v>
      </c>
      <c r="R118" s="135">
        <f t="shared" si="33"/>
        <v>7</v>
      </c>
      <c r="S118" s="135">
        <f t="shared" si="33"/>
        <v>7</v>
      </c>
      <c r="T118" s="135">
        <f t="shared" si="34"/>
        <v>7</v>
      </c>
      <c r="U118" s="135">
        <f t="shared" si="34"/>
        <v>7</v>
      </c>
      <c r="V118" s="135">
        <f t="shared" si="34"/>
        <v>7</v>
      </c>
      <c r="W118" s="135">
        <f t="shared" si="34"/>
        <v>7</v>
      </c>
      <c r="X118" s="135">
        <f t="shared" si="34"/>
        <v>7</v>
      </c>
      <c r="Y118" s="135">
        <f t="shared" si="34"/>
        <v>7</v>
      </c>
      <c r="Z118" s="135">
        <f t="shared" si="34"/>
        <v>7</v>
      </c>
      <c r="AA118" s="135">
        <f t="shared" si="34"/>
        <v>7</v>
      </c>
      <c r="AB118" s="135">
        <f t="shared" si="34"/>
        <v>7</v>
      </c>
      <c r="AC118" s="135">
        <f t="shared" si="34"/>
        <v>7</v>
      </c>
      <c r="AD118" s="135">
        <f t="shared" si="34"/>
        <v>7</v>
      </c>
      <c r="AE118" s="135">
        <f t="shared" si="34"/>
        <v>7</v>
      </c>
      <c r="AF118" s="135">
        <f t="shared" si="34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2"/>
        <v>3.47</v>
      </c>
      <c r="C119" s="136">
        <v>3.47</v>
      </c>
      <c r="D119" s="135">
        <f t="shared" ref="D119:S128" si="35">C119</f>
        <v>3.47</v>
      </c>
      <c r="E119" s="135">
        <f t="shared" si="35"/>
        <v>3.47</v>
      </c>
      <c r="F119" s="135">
        <f t="shared" si="35"/>
        <v>3.47</v>
      </c>
      <c r="G119" s="135">
        <f t="shared" si="35"/>
        <v>3.47</v>
      </c>
      <c r="H119" s="135">
        <f t="shared" si="35"/>
        <v>3.47</v>
      </c>
      <c r="I119" s="135">
        <f t="shared" si="35"/>
        <v>3.47</v>
      </c>
      <c r="J119" s="135">
        <f t="shared" si="35"/>
        <v>3.47</v>
      </c>
      <c r="K119" s="135">
        <f t="shared" si="35"/>
        <v>3.47</v>
      </c>
      <c r="L119" s="135">
        <f t="shared" si="35"/>
        <v>3.47</v>
      </c>
      <c r="M119" s="135">
        <f t="shared" si="35"/>
        <v>3.47</v>
      </c>
      <c r="N119" s="135">
        <f t="shared" si="35"/>
        <v>3.47</v>
      </c>
      <c r="O119" s="135">
        <f t="shared" si="35"/>
        <v>3.47</v>
      </c>
      <c r="P119" s="135">
        <f t="shared" si="35"/>
        <v>3.47</v>
      </c>
      <c r="Q119" s="135">
        <f t="shared" si="35"/>
        <v>3.47</v>
      </c>
      <c r="R119" s="135">
        <f t="shared" si="35"/>
        <v>3.47</v>
      </c>
      <c r="S119" s="135">
        <f t="shared" si="35"/>
        <v>3.47</v>
      </c>
      <c r="T119" s="135">
        <f t="shared" si="34"/>
        <v>3.47</v>
      </c>
      <c r="U119" s="135">
        <f t="shared" si="34"/>
        <v>3.47</v>
      </c>
      <c r="V119" s="135">
        <f t="shared" si="34"/>
        <v>3.47</v>
      </c>
      <c r="W119" s="135">
        <f t="shared" si="34"/>
        <v>3.47</v>
      </c>
      <c r="X119" s="135">
        <f t="shared" si="34"/>
        <v>3.47</v>
      </c>
      <c r="Y119" s="135">
        <f t="shared" si="34"/>
        <v>3.47</v>
      </c>
      <c r="Z119" s="135">
        <f t="shared" si="34"/>
        <v>3.47</v>
      </c>
      <c r="AA119" s="135">
        <f t="shared" si="34"/>
        <v>3.47</v>
      </c>
      <c r="AB119" s="135">
        <f t="shared" si="34"/>
        <v>3.47</v>
      </c>
      <c r="AC119" s="135">
        <f t="shared" si="34"/>
        <v>3.47</v>
      </c>
      <c r="AD119" s="135">
        <f t="shared" si="34"/>
        <v>3.47</v>
      </c>
      <c r="AE119" s="135">
        <f t="shared" si="34"/>
        <v>3.47</v>
      </c>
      <c r="AF119" s="135">
        <f t="shared" si="34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2"/>
        <v>2.1</v>
      </c>
      <c r="C120" s="136">
        <v>2.1</v>
      </c>
      <c r="D120" s="135">
        <f t="shared" si="35"/>
        <v>2.1</v>
      </c>
      <c r="E120" s="135">
        <f t="shared" si="35"/>
        <v>2.1</v>
      </c>
      <c r="F120" s="135">
        <f t="shared" si="35"/>
        <v>2.1</v>
      </c>
      <c r="G120" s="135">
        <f t="shared" si="35"/>
        <v>2.1</v>
      </c>
      <c r="H120" s="135">
        <f t="shared" si="35"/>
        <v>2.1</v>
      </c>
      <c r="I120" s="135">
        <f t="shared" si="35"/>
        <v>2.1</v>
      </c>
      <c r="J120" s="135">
        <f t="shared" si="35"/>
        <v>2.1</v>
      </c>
      <c r="K120" s="135">
        <f t="shared" si="35"/>
        <v>2.1</v>
      </c>
      <c r="L120" s="135">
        <f t="shared" si="35"/>
        <v>2.1</v>
      </c>
      <c r="M120" s="135">
        <f t="shared" si="35"/>
        <v>2.1</v>
      </c>
      <c r="N120" s="135">
        <f t="shared" si="35"/>
        <v>2.1</v>
      </c>
      <c r="O120" s="135">
        <f t="shared" si="35"/>
        <v>2.1</v>
      </c>
      <c r="P120" s="135">
        <f t="shared" si="35"/>
        <v>2.1</v>
      </c>
      <c r="Q120" s="135">
        <f t="shared" si="35"/>
        <v>2.1</v>
      </c>
      <c r="R120" s="135">
        <f t="shared" si="35"/>
        <v>2.1</v>
      </c>
      <c r="S120" s="135">
        <f t="shared" si="35"/>
        <v>2.1</v>
      </c>
      <c r="T120" s="135">
        <f t="shared" si="34"/>
        <v>2.1</v>
      </c>
      <c r="U120" s="135">
        <f t="shared" si="34"/>
        <v>2.1</v>
      </c>
      <c r="V120" s="135">
        <f t="shared" si="34"/>
        <v>2.1</v>
      </c>
      <c r="W120" s="135">
        <f t="shared" si="34"/>
        <v>2.1</v>
      </c>
      <c r="X120" s="135">
        <f t="shared" si="34"/>
        <v>2.1</v>
      </c>
      <c r="Y120" s="135">
        <f t="shared" si="34"/>
        <v>2.1</v>
      </c>
      <c r="Z120" s="135">
        <f t="shared" si="34"/>
        <v>2.1</v>
      </c>
      <c r="AA120" s="135">
        <f t="shared" si="34"/>
        <v>2.1</v>
      </c>
      <c r="AB120" s="135">
        <f t="shared" si="34"/>
        <v>2.1</v>
      </c>
      <c r="AC120" s="135">
        <f t="shared" si="34"/>
        <v>2.1</v>
      </c>
      <c r="AD120" s="135">
        <f t="shared" si="34"/>
        <v>2.1</v>
      </c>
      <c r="AE120" s="135">
        <f t="shared" si="34"/>
        <v>2.1</v>
      </c>
      <c r="AF120" s="135">
        <f t="shared" si="34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2"/>
        <v>9.3000000000000007</v>
      </c>
      <c r="C121" s="136">
        <v>9.3000000000000007</v>
      </c>
      <c r="D121" s="135">
        <f t="shared" si="35"/>
        <v>9.3000000000000007</v>
      </c>
      <c r="E121" s="135">
        <f t="shared" si="35"/>
        <v>9.3000000000000007</v>
      </c>
      <c r="F121" s="135">
        <f t="shared" si="35"/>
        <v>9.3000000000000007</v>
      </c>
      <c r="G121" s="135">
        <f t="shared" si="35"/>
        <v>9.3000000000000007</v>
      </c>
      <c r="H121" s="135">
        <f t="shared" si="35"/>
        <v>9.3000000000000007</v>
      </c>
      <c r="I121" s="135">
        <f t="shared" si="35"/>
        <v>9.3000000000000007</v>
      </c>
      <c r="J121" s="135">
        <f t="shared" si="35"/>
        <v>9.3000000000000007</v>
      </c>
      <c r="K121" s="135">
        <f t="shared" si="35"/>
        <v>9.3000000000000007</v>
      </c>
      <c r="L121" s="135">
        <f t="shared" si="35"/>
        <v>9.3000000000000007</v>
      </c>
      <c r="M121" s="135">
        <f t="shared" si="35"/>
        <v>9.3000000000000007</v>
      </c>
      <c r="N121" s="135">
        <f t="shared" si="35"/>
        <v>9.3000000000000007</v>
      </c>
      <c r="O121" s="135">
        <f t="shared" si="35"/>
        <v>9.3000000000000007</v>
      </c>
      <c r="P121" s="135">
        <f t="shared" si="35"/>
        <v>9.3000000000000007</v>
      </c>
      <c r="Q121" s="135">
        <f t="shared" si="35"/>
        <v>9.3000000000000007</v>
      </c>
      <c r="R121" s="135">
        <f t="shared" si="35"/>
        <v>9.3000000000000007</v>
      </c>
      <c r="S121" s="135">
        <f t="shared" si="35"/>
        <v>9.3000000000000007</v>
      </c>
      <c r="T121" s="135">
        <f t="shared" si="34"/>
        <v>9.3000000000000007</v>
      </c>
      <c r="U121" s="135">
        <f t="shared" si="34"/>
        <v>9.3000000000000007</v>
      </c>
      <c r="V121" s="135">
        <f t="shared" si="34"/>
        <v>9.3000000000000007</v>
      </c>
      <c r="W121" s="135">
        <f t="shared" si="34"/>
        <v>9.3000000000000007</v>
      </c>
      <c r="X121" s="135">
        <f t="shared" si="34"/>
        <v>9.3000000000000007</v>
      </c>
      <c r="Y121" s="135">
        <f t="shared" si="34"/>
        <v>9.3000000000000007</v>
      </c>
      <c r="Z121" s="135">
        <f t="shared" si="34"/>
        <v>9.3000000000000007</v>
      </c>
      <c r="AA121" s="135">
        <f t="shared" si="34"/>
        <v>9.3000000000000007</v>
      </c>
      <c r="AB121" s="135">
        <f t="shared" si="34"/>
        <v>9.3000000000000007</v>
      </c>
      <c r="AC121" s="135">
        <f t="shared" si="34"/>
        <v>9.3000000000000007</v>
      </c>
      <c r="AD121" s="135">
        <f t="shared" si="34"/>
        <v>9.3000000000000007</v>
      </c>
      <c r="AE121" s="135">
        <f t="shared" si="34"/>
        <v>9.3000000000000007</v>
      </c>
      <c r="AF121" s="135">
        <f t="shared" si="34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2"/>
        <v>0</v>
      </c>
      <c r="C122" s="136">
        <v>0</v>
      </c>
      <c r="D122" s="135">
        <f t="shared" si="35"/>
        <v>0</v>
      </c>
      <c r="E122" s="135">
        <f t="shared" si="35"/>
        <v>0</v>
      </c>
      <c r="F122" s="135">
        <f t="shared" si="35"/>
        <v>0</v>
      </c>
      <c r="G122" s="135">
        <f t="shared" si="35"/>
        <v>0</v>
      </c>
      <c r="H122" s="135">
        <f t="shared" si="35"/>
        <v>0</v>
      </c>
      <c r="I122" s="135">
        <f t="shared" si="35"/>
        <v>0</v>
      </c>
      <c r="J122" s="135">
        <f t="shared" si="35"/>
        <v>0</v>
      </c>
      <c r="K122" s="135">
        <f t="shared" si="35"/>
        <v>0</v>
      </c>
      <c r="L122" s="135">
        <f t="shared" si="35"/>
        <v>0</v>
      </c>
      <c r="M122" s="135">
        <f t="shared" si="35"/>
        <v>0</v>
      </c>
      <c r="N122" s="135">
        <f t="shared" si="35"/>
        <v>0</v>
      </c>
      <c r="O122" s="135">
        <f t="shared" si="35"/>
        <v>0</v>
      </c>
      <c r="P122" s="135">
        <f t="shared" si="35"/>
        <v>0</v>
      </c>
      <c r="Q122" s="135">
        <f t="shared" si="35"/>
        <v>0</v>
      </c>
      <c r="R122" s="135">
        <f t="shared" si="35"/>
        <v>0</v>
      </c>
      <c r="S122" s="135">
        <f t="shared" si="35"/>
        <v>0</v>
      </c>
      <c r="T122" s="135">
        <f t="shared" si="34"/>
        <v>0</v>
      </c>
      <c r="U122" s="135">
        <f t="shared" si="34"/>
        <v>0</v>
      </c>
      <c r="V122" s="135">
        <f t="shared" si="34"/>
        <v>0</v>
      </c>
      <c r="W122" s="135">
        <f t="shared" si="34"/>
        <v>0</v>
      </c>
      <c r="X122" s="135">
        <f t="shared" si="34"/>
        <v>0</v>
      </c>
      <c r="Y122" s="135">
        <f t="shared" si="34"/>
        <v>0</v>
      </c>
      <c r="Z122" s="135">
        <f t="shared" si="34"/>
        <v>0</v>
      </c>
      <c r="AA122" s="135">
        <f t="shared" si="34"/>
        <v>0</v>
      </c>
      <c r="AB122" s="135">
        <f t="shared" si="34"/>
        <v>0</v>
      </c>
      <c r="AC122" s="135">
        <f t="shared" si="34"/>
        <v>0</v>
      </c>
      <c r="AD122" s="135">
        <f t="shared" si="34"/>
        <v>0</v>
      </c>
      <c r="AE122" s="135">
        <f t="shared" si="34"/>
        <v>0</v>
      </c>
      <c r="AF122" s="135">
        <f t="shared" si="34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2"/>
        <v>0</v>
      </c>
      <c r="C123" s="136">
        <v>0</v>
      </c>
      <c r="D123" s="135">
        <f t="shared" si="35"/>
        <v>0</v>
      </c>
      <c r="E123" s="135">
        <f t="shared" si="35"/>
        <v>0</v>
      </c>
      <c r="F123" s="135">
        <f t="shared" si="35"/>
        <v>0</v>
      </c>
      <c r="G123" s="135">
        <f t="shared" si="35"/>
        <v>0</v>
      </c>
      <c r="H123" s="135">
        <f t="shared" si="35"/>
        <v>0</v>
      </c>
      <c r="I123" s="135">
        <f t="shared" si="35"/>
        <v>0</v>
      </c>
      <c r="J123" s="135">
        <f t="shared" si="35"/>
        <v>0</v>
      </c>
      <c r="K123" s="135">
        <f t="shared" si="35"/>
        <v>0</v>
      </c>
      <c r="L123" s="135">
        <f t="shared" si="35"/>
        <v>0</v>
      </c>
      <c r="M123" s="135">
        <f t="shared" si="35"/>
        <v>0</v>
      </c>
      <c r="N123" s="135">
        <f t="shared" si="35"/>
        <v>0</v>
      </c>
      <c r="O123" s="135">
        <f t="shared" si="35"/>
        <v>0</v>
      </c>
      <c r="P123" s="135">
        <f t="shared" si="35"/>
        <v>0</v>
      </c>
      <c r="Q123" s="135">
        <f t="shared" si="35"/>
        <v>0</v>
      </c>
      <c r="R123" s="135">
        <f t="shared" si="35"/>
        <v>0</v>
      </c>
      <c r="S123" s="135">
        <f t="shared" si="35"/>
        <v>0</v>
      </c>
      <c r="T123" s="135">
        <f t="shared" si="34"/>
        <v>0</v>
      </c>
      <c r="U123" s="135">
        <f t="shared" si="34"/>
        <v>0</v>
      </c>
      <c r="V123" s="135">
        <f t="shared" si="34"/>
        <v>0</v>
      </c>
      <c r="W123" s="135">
        <f t="shared" si="34"/>
        <v>0</v>
      </c>
      <c r="X123" s="135">
        <f t="shared" si="34"/>
        <v>0</v>
      </c>
      <c r="Y123" s="135">
        <f t="shared" si="34"/>
        <v>0</v>
      </c>
      <c r="Z123" s="135">
        <f t="shared" si="34"/>
        <v>0</v>
      </c>
      <c r="AA123" s="135">
        <f t="shared" si="34"/>
        <v>0</v>
      </c>
      <c r="AB123" s="135">
        <f t="shared" si="34"/>
        <v>0</v>
      </c>
      <c r="AC123" s="135">
        <f t="shared" si="34"/>
        <v>0</v>
      </c>
      <c r="AD123" s="135">
        <f t="shared" si="34"/>
        <v>0</v>
      </c>
      <c r="AE123" s="135">
        <f t="shared" si="34"/>
        <v>0</v>
      </c>
      <c r="AF123" s="135">
        <f t="shared" si="34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2"/>
        <v>5</v>
      </c>
      <c r="C124" s="136">
        <v>5</v>
      </c>
      <c r="D124" s="135">
        <f t="shared" si="35"/>
        <v>5</v>
      </c>
      <c r="E124" s="135">
        <f t="shared" si="35"/>
        <v>5</v>
      </c>
      <c r="F124" s="135">
        <f t="shared" si="35"/>
        <v>5</v>
      </c>
      <c r="G124" s="135">
        <f t="shared" si="35"/>
        <v>5</v>
      </c>
      <c r="H124" s="135">
        <f t="shared" si="35"/>
        <v>5</v>
      </c>
      <c r="I124" s="135">
        <f t="shared" si="35"/>
        <v>5</v>
      </c>
      <c r="J124" s="135">
        <f t="shared" si="35"/>
        <v>5</v>
      </c>
      <c r="K124" s="135">
        <f t="shared" si="35"/>
        <v>5</v>
      </c>
      <c r="L124" s="135">
        <f t="shared" si="35"/>
        <v>5</v>
      </c>
      <c r="M124" s="135">
        <f t="shared" si="35"/>
        <v>5</v>
      </c>
      <c r="N124" s="135">
        <f t="shared" si="35"/>
        <v>5</v>
      </c>
      <c r="O124" s="135">
        <f t="shared" si="35"/>
        <v>5</v>
      </c>
      <c r="P124" s="135">
        <f t="shared" si="35"/>
        <v>5</v>
      </c>
      <c r="Q124" s="135">
        <f t="shared" si="35"/>
        <v>5</v>
      </c>
      <c r="R124" s="135">
        <f t="shared" si="35"/>
        <v>5</v>
      </c>
      <c r="S124" s="135">
        <f t="shared" si="35"/>
        <v>5</v>
      </c>
      <c r="T124" s="135">
        <f t="shared" si="34"/>
        <v>5</v>
      </c>
      <c r="U124" s="135">
        <f t="shared" si="34"/>
        <v>5</v>
      </c>
      <c r="V124" s="135">
        <f t="shared" si="34"/>
        <v>5</v>
      </c>
      <c r="W124" s="135">
        <f t="shared" si="34"/>
        <v>5</v>
      </c>
      <c r="X124" s="135">
        <f t="shared" si="34"/>
        <v>5</v>
      </c>
      <c r="Y124" s="135">
        <f t="shared" si="34"/>
        <v>5</v>
      </c>
      <c r="Z124" s="135">
        <f t="shared" si="34"/>
        <v>5</v>
      </c>
      <c r="AA124" s="135">
        <f t="shared" si="34"/>
        <v>5</v>
      </c>
      <c r="AB124" s="135">
        <f t="shared" si="34"/>
        <v>5</v>
      </c>
      <c r="AC124" s="135">
        <f t="shared" si="34"/>
        <v>5</v>
      </c>
      <c r="AD124" s="135">
        <f t="shared" si="34"/>
        <v>5</v>
      </c>
      <c r="AE124" s="135">
        <f t="shared" si="34"/>
        <v>5</v>
      </c>
      <c r="AF124" s="135">
        <f t="shared" si="34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2"/>
        <v>1</v>
      </c>
      <c r="C125" s="136">
        <v>1</v>
      </c>
      <c r="D125" s="135">
        <f t="shared" si="35"/>
        <v>1</v>
      </c>
      <c r="E125" s="135">
        <f t="shared" si="35"/>
        <v>1</v>
      </c>
      <c r="F125" s="135">
        <f t="shared" si="35"/>
        <v>1</v>
      </c>
      <c r="G125" s="135">
        <f t="shared" si="35"/>
        <v>1</v>
      </c>
      <c r="H125" s="135">
        <f t="shared" si="35"/>
        <v>1</v>
      </c>
      <c r="I125" s="135">
        <f t="shared" si="35"/>
        <v>1</v>
      </c>
      <c r="J125" s="135">
        <f t="shared" si="35"/>
        <v>1</v>
      </c>
      <c r="K125" s="135">
        <f t="shared" si="35"/>
        <v>1</v>
      </c>
      <c r="L125" s="135">
        <f t="shared" si="35"/>
        <v>1</v>
      </c>
      <c r="M125" s="135">
        <f t="shared" si="35"/>
        <v>1</v>
      </c>
      <c r="N125" s="135">
        <f t="shared" si="35"/>
        <v>1</v>
      </c>
      <c r="O125" s="135">
        <f t="shared" si="35"/>
        <v>1</v>
      </c>
      <c r="P125" s="135">
        <f t="shared" si="35"/>
        <v>1</v>
      </c>
      <c r="Q125" s="135">
        <f t="shared" si="35"/>
        <v>1</v>
      </c>
      <c r="R125" s="135">
        <f t="shared" si="35"/>
        <v>1</v>
      </c>
      <c r="S125" s="135">
        <f t="shared" si="35"/>
        <v>1</v>
      </c>
      <c r="T125" s="135">
        <f t="shared" si="34"/>
        <v>1</v>
      </c>
      <c r="U125" s="135">
        <f t="shared" si="34"/>
        <v>1</v>
      </c>
      <c r="V125" s="135">
        <f t="shared" si="34"/>
        <v>1</v>
      </c>
      <c r="W125" s="135">
        <f t="shared" si="34"/>
        <v>1</v>
      </c>
      <c r="X125" s="135">
        <f t="shared" si="34"/>
        <v>1</v>
      </c>
      <c r="Y125" s="135">
        <f t="shared" si="34"/>
        <v>1</v>
      </c>
      <c r="Z125" s="135">
        <f t="shared" si="34"/>
        <v>1</v>
      </c>
      <c r="AA125" s="135">
        <f t="shared" si="34"/>
        <v>1</v>
      </c>
      <c r="AB125" s="135">
        <f t="shared" si="34"/>
        <v>1</v>
      </c>
      <c r="AC125" s="135">
        <f t="shared" si="34"/>
        <v>1</v>
      </c>
      <c r="AD125" s="135">
        <f t="shared" si="34"/>
        <v>1</v>
      </c>
      <c r="AE125" s="135">
        <f t="shared" si="34"/>
        <v>1</v>
      </c>
      <c r="AF125" s="135">
        <f t="shared" si="34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2"/>
        <v>1.58</v>
      </c>
      <c r="C126" s="136">
        <v>1.58</v>
      </c>
      <c r="D126" s="135">
        <f t="shared" si="35"/>
        <v>1.58</v>
      </c>
      <c r="E126" s="135">
        <f t="shared" si="35"/>
        <v>1.58</v>
      </c>
      <c r="F126" s="135">
        <f t="shared" si="35"/>
        <v>1.58</v>
      </c>
      <c r="G126" s="135">
        <f t="shared" si="35"/>
        <v>1.58</v>
      </c>
      <c r="H126" s="135">
        <f t="shared" si="35"/>
        <v>1.58</v>
      </c>
      <c r="I126" s="135">
        <f t="shared" si="35"/>
        <v>1.58</v>
      </c>
      <c r="J126" s="135">
        <f t="shared" si="35"/>
        <v>1.58</v>
      </c>
      <c r="K126" s="135">
        <f t="shared" si="35"/>
        <v>1.58</v>
      </c>
      <c r="L126" s="135">
        <f t="shared" si="35"/>
        <v>1.58</v>
      </c>
      <c r="M126" s="135">
        <f t="shared" si="35"/>
        <v>1.58</v>
      </c>
      <c r="N126" s="135">
        <f t="shared" si="35"/>
        <v>1.58</v>
      </c>
      <c r="O126" s="135">
        <f t="shared" si="35"/>
        <v>1.58</v>
      </c>
      <c r="P126" s="135">
        <f t="shared" si="35"/>
        <v>1.58</v>
      </c>
      <c r="Q126" s="135">
        <f t="shared" si="35"/>
        <v>1.58</v>
      </c>
      <c r="R126" s="135">
        <f t="shared" si="35"/>
        <v>1.58</v>
      </c>
      <c r="S126" s="135">
        <f t="shared" si="35"/>
        <v>1.58</v>
      </c>
      <c r="T126" s="135">
        <f t="shared" si="34"/>
        <v>1.58</v>
      </c>
      <c r="U126" s="135">
        <f t="shared" si="34"/>
        <v>1.58</v>
      </c>
      <c r="V126" s="135">
        <f t="shared" si="34"/>
        <v>1.58</v>
      </c>
      <c r="W126" s="135">
        <f t="shared" si="34"/>
        <v>1.58</v>
      </c>
      <c r="X126" s="135">
        <f t="shared" si="34"/>
        <v>1.58</v>
      </c>
      <c r="Y126" s="135">
        <f t="shared" si="34"/>
        <v>1.58</v>
      </c>
      <c r="Z126" s="135">
        <f t="shared" si="34"/>
        <v>1.58</v>
      </c>
      <c r="AA126" s="135">
        <f t="shared" si="34"/>
        <v>1.58</v>
      </c>
      <c r="AB126" s="135">
        <f t="shared" si="34"/>
        <v>1.58</v>
      </c>
      <c r="AC126" s="135">
        <f t="shared" si="34"/>
        <v>1.58</v>
      </c>
      <c r="AD126" s="135">
        <f t="shared" si="34"/>
        <v>1.58</v>
      </c>
      <c r="AE126" s="135">
        <f t="shared" si="34"/>
        <v>1.58</v>
      </c>
      <c r="AF126" s="135">
        <f t="shared" si="34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2"/>
        <v>1.46</v>
      </c>
      <c r="C127" s="136">
        <v>1.46</v>
      </c>
      <c r="D127" s="135">
        <f t="shared" si="35"/>
        <v>1.46</v>
      </c>
      <c r="E127" s="135">
        <f t="shared" si="35"/>
        <v>1.46</v>
      </c>
      <c r="F127" s="135">
        <f t="shared" si="35"/>
        <v>1.46</v>
      </c>
      <c r="G127" s="135">
        <f t="shared" si="35"/>
        <v>1.46</v>
      </c>
      <c r="H127" s="135">
        <f t="shared" si="35"/>
        <v>1.46</v>
      </c>
      <c r="I127" s="135">
        <f t="shared" si="35"/>
        <v>1.46</v>
      </c>
      <c r="J127" s="135">
        <f t="shared" si="35"/>
        <v>1.46</v>
      </c>
      <c r="K127" s="135">
        <f t="shared" si="35"/>
        <v>1.46</v>
      </c>
      <c r="L127" s="135">
        <f t="shared" si="35"/>
        <v>1.46</v>
      </c>
      <c r="M127" s="135">
        <f t="shared" si="35"/>
        <v>1.46</v>
      </c>
      <c r="N127" s="135">
        <f t="shared" si="35"/>
        <v>1.46</v>
      </c>
      <c r="O127" s="135">
        <f t="shared" si="35"/>
        <v>1.46</v>
      </c>
      <c r="P127" s="135">
        <f t="shared" si="35"/>
        <v>1.46</v>
      </c>
      <c r="Q127" s="135">
        <f t="shared" si="35"/>
        <v>1.46</v>
      </c>
      <c r="R127" s="135">
        <f t="shared" si="35"/>
        <v>1.46</v>
      </c>
      <c r="S127" s="135">
        <f t="shared" si="35"/>
        <v>1.46</v>
      </c>
      <c r="T127" s="135">
        <f t="shared" ref="T127:AF128" si="36">S127</f>
        <v>1.46</v>
      </c>
      <c r="U127" s="135">
        <f t="shared" si="36"/>
        <v>1.46</v>
      </c>
      <c r="V127" s="135">
        <f t="shared" si="36"/>
        <v>1.46</v>
      </c>
      <c r="W127" s="135">
        <f t="shared" si="36"/>
        <v>1.46</v>
      </c>
      <c r="X127" s="135">
        <f t="shared" si="36"/>
        <v>1.46</v>
      </c>
      <c r="Y127" s="135">
        <f t="shared" si="36"/>
        <v>1.46</v>
      </c>
      <c r="Z127" s="135">
        <f t="shared" si="36"/>
        <v>1.46</v>
      </c>
      <c r="AA127" s="135">
        <f t="shared" si="36"/>
        <v>1.46</v>
      </c>
      <c r="AB127" s="135">
        <f t="shared" si="36"/>
        <v>1.46</v>
      </c>
      <c r="AC127" s="135">
        <f t="shared" si="36"/>
        <v>1.46</v>
      </c>
      <c r="AD127" s="135">
        <f t="shared" si="36"/>
        <v>1.46</v>
      </c>
      <c r="AE127" s="135">
        <f t="shared" si="36"/>
        <v>1.46</v>
      </c>
      <c r="AF127" s="135">
        <f t="shared" si="36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2"/>
        <v>1.48</v>
      </c>
      <c r="C128" s="136">
        <v>1.48</v>
      </c>
      <c r="D128" s="135">
        <f t="shared" si="35"/>
        <v>1.48</v>
      </c>
      <c r="E128" s="135">
        <f t="shared" si="35"/>
        <v>1.48</v>
      </c>
      <c r="F128" s="135">
        <f t="shared" si="35"/>
        <v>1.48</v>
      </c>
      <c r="G128" s="135">
        <f t="shared" si="35"/>
        <v>1.48</v>
      </c>
      <c r="H128" s="135">
        <f t="shared" si="35"/>
        <v>1.48</v>
      </c>
      <c r="I128" s="135">
        <f t="shared" si="35"/>
        <v>1.48</v>
      </c>
      <c r="J128" s="135">
        <f t="shared" si="35"/>
        <v>1.48</v>
      </c>
      <c r="K128" s="135">
        <f t="shared" si="35"/>
        <v>1.48</v>
      </c>
      <c r="L128" s="135">
        <f t="shared" si="35"/>
        <v>1.48</v>
      </c>
      <c r="M128" s="135">
        <f t="shared" si="35"/>
        <v>1.48</v>
      </c>
      <c r="N128" s="135">
        <f t="shared" si="35"/>
        <v>1.48</v>
      </c>
      <c r="O128" s="135">
        <f t="shared" si="35"/>
        <v>1.48</v>
      </c>
      <c r="P128" s="135">
        <f t="shared" si="35"/>
        <v>1.48</v>
      </c>
      <c r="Q128" s="135">
        <f t="shared" si="35"/>
        <v>1.48</v>
      </c>
      <c r="R128" s="135">
        <f t="shared" si="35"/>
        <v>1.48</v>
      </c>
      <c r="S128" s="135">
        <f t="shared" si="35"/>
        <v>1.48</v>
      </c>
      <c r="T128" s="135">
        <f t="shared" si="36"/>
        <v>1.48</v>
      </c>
      <c r="U128" s="135">
        <f t="shared" si="36"/>
        <v>1.48</v>
      </c>
      <c r="V128" s="135">
        <f t="shared" si="36"/>
        <v>1.48</v>
      </c>
      <c r="W128" s="135">
        <f t="shared" si="36"/>
        <v>1.48</v>
      </c>
      <c r="X128" s="135">
        <f t="shared" si="36"/>
        <v>1.48</v>
      </c>
      <c r="Y128" s="135">
        <f t="shared" si="36"/>
        <v>1.48</v>
      </c>
      <c r="Z128" s="135">
        <f t="shared" si="36"/>
        <v>1.48</v>
      </c>
      <c r="AA128" s="135">
        <f t="shared" si="36"/>
        <v>1.48</v>
      </c>
      <c r="AB128" s="135">
        <f t="shared" si="36"/>
        <v>1.48</v>
      </c>
      <c r="AC128" s="135">
        <f t="shared" si="36"/>
        <v>1.48</v>
      </c>
      <c r="AD128" s="135">
        <f t="shared" si="36"/>
        <v>1.48</v>
      </c>
      <c r="AE128" s="135">
        <f t="shared" si="36"/>
        <v>1.48</v>
      </c>
      <c r="AF128" s="135">
        <f t="shared" si="36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7">AF130</f>
        <v>2.2000000000000002</v>
      </c>
      <c r="C130" s="136">
        <v>2.2000000000000002</v>
      </c>
      <c r="D130" s="135">
        <f t="shared" ref="D130:S137" si="38">C130</f>
        <v>2.2000000000000002</v>
      </c>
      <c r="E130" s="135">
        <f t="shared" si="38"/>
        <v>2.2000000000000002</v>
      </c>
      <c r="F130" s="135">
        <f t="shared" si="38"/>
        <v>2.2000000000000002</v>
      </c>
      <c r="G130" s="135">
        <f t="shared" si="38"/>
        <v>2.2000000000000002</v>
      </c>
      <c r="H130" s="135">
        <f t="shared" si="38"/>
        <v>2.2000000000000002</v>
      </c>
      <c r="I130" s="135">
        <f t="shared" si="38"/>
        <v>2.2000000000000002</v>
      </c>
      <c r="J130" s="135">
        <f t="shared" si="38"/>
        <v>2.2000000000000002</v>
      </c>
      <c r="K130" s="135">
        <f t="shared" si="38"/>
        <v>2.2000000000000002</v>
      </c>
      <c r="L130" s="135">
        <f t="shared" si="38"/>
        <v>2.2000000000000002</v>
      </c>
      <c r="M130" s="135">
        <f t="shared" si="38"/>
        <v>2.2000000000000002</v>
      </c>
      <c r="N130" s="135">
        <f t="shared" si="38"/>
        <v>2.2000000000000002</v>
      </c>
      <c r="O130" s="135">
        <f t="shared" si="38"/>
        <v>2.2000000000000002</v>
      </c>
      <c r="P130" s="135">
        <f t="shared" si="38"/>
        <v>2.2000000000000002</v>
      </c>
      <c r="Q130" s="135">
        <f t="shared" si="38"/>
        <v>2.2000000000000002</v>
      </c>
      <c r="R130" s="135">
        <f t="shared" si="38"/>
        <v>2.2000000000000002</v>
      </c>
      <c r="S130" s="135">
        <f t="shared" si="38"/>
        <v>2.2000000000000002</v>
      </c>
      <c r="T130" s="135">
        <f t="shared" ref="T130:AF137" si="39">S130</f>
        <v>2.2000000000000002</v>
      </c>
      <c r="U130" s="135">
        <f t="shared" si="39"/>
        <v>2.2000000000000002</v>
      </c>
      <c r="V130" s="135">
        <f t="shared" si="39"/>
        <v>2.2000000000000002</v>
      </c>
      <c r="W130" s="135">
        <f t="shared" si="39"/>
        <v>2.2000000000000002</v>
      </c>
      <c r="X130" s="135">
        <f t="shared" si="39"/>
        <v>2.2000000000000002</v>
      </c>
      <c r="Y130" s="135">
        <f t="shared" si="39"/>
        <v>2.2000000000000002</v>
      </c>
      <c r="Z130" s="135">
        <f t="shared" si="39"/>
        <v>2.2000000000000002</v>
      </c>
      <c r="AA130" s="135">
        <f t="shared" si="39"/>
        <v>2.2000000000000002</v>
      </c>
      <c r="AB130" s="135">
        <f t="shared" si="39"/>
        <v>2.2000000000000002</v>
      </c>
      <c r="AC130" s="135">
        <f t="shared" si="39"/>
        <v>2.2000000000000002</v>
      </c>
      <c r="AD130" s="135">
        <f t="shared" si="39"/>
        <v>2.2000000000000002</v>
      </c>
      <c r="AE130" s="135">
        <f t="shared" si="39"/>
        <v>2.2000000000000002</v>
      </c>
      <c r="AF130" s="135">
        <f t="shared" si="39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7"/>
        <v>2</v>
      </c>
      <c r="C131" s="136">
        <v>2</v>
      </c>
      <c r="D131" s="135">
        <f t="shared" si="38"/>
        <v>2</v>
      </c>
      <c r="E131" s="135">
        <f t="shared" si="38"/>
        <v>2</v>
      </c>
      <c r="F131" s="135">
        <f t="shared" si="38"/>
        <v>2</v>
      </c>
      <c r="G131" s="135">
        <f t="shared" si="38"/>
        <v>2</v>
      </c>
      <c r="H131" s="135">
        <f t="shared" si="38"/>
        <v>2</v>
      </c>
      <c r="I131" s="135">
        <f t="shared" si="38"/>
        <v>2</v>
      </c>
      <c r="J131" s="135">
        <f t="shared" si="38"/>
        <v>2</v>
      </c>
      <c r="K131" s="135">
        <f t="shared" si="38"/>
        <v>2</v>
      </c>
      <c r="L131" s="135">
        <f t="shared" si="38"/>
        <v>2</v>
      </c>
      <c r="M131" s="135">
        <f t="shared" si="38"/>
        <v>2</v>
      </c>
      <c r="N131" s="135">
        <f t="shared" si="38"/>
        <v>2</v>
      </c>
      <c r="O131" s="135">
        <f t="shared" si="38"/>
        <v>2</v>
      </c>
      <c r="P131" s="135">
        <f t="shared" si="38"/>
        <v>2</v>
      </c>
      <c r="Q131" s="135">
        <f t="shared" si="38"/>
        <v>2</v>
      </c>
      <c r="R131" s="135">
        <f t="shared" si="38"/>
        <v>2</v>
      </c>
      <c r="S131" s="135">
        <f t="shared" si="38"/>
        <v>2</v>
      </c>
      <c r="T131" s="135">
        <f t="shared" si="39"/>
        <v>2</v>
      </c>
      <c r="U131" s="135">
        <f t="shared" si="39"/>
        <v>2</v>
      </c>
      <c r="V131" s="135">
        <f t="shared" si="39"/>
        <v>2</v>
      </c>
      <c r="W131" s="135">
        <f t="shared" si="39"/>
        <v>2</v>
      </c>
      <c r="X131" s="135">
        <f t="shared" si="39"/>
        <v>2</v>
      </c>
      <c r="Y131" s="135">
        <f t="shared" si="39"/>
        <v>2</v>
      </c>
      <c r="Z131" s="135">
        <f t="shared" si="39"/>
        <v>2</v>
      </c>
      <c r="AA131" s="135">
        <f t="shared" si="39"/>
        <v>2</v>
      </c>
      <c r="AB131" s="135">
        <f t="shared" si="39"/>
        <v>2</v>
      </c>
      <c r="AC131" s="135">
        <f t="shared" si="39"/>
        <v>2</v>
      </c>
      <c r="AD131" s="135">
        <f t="shared" si="39"/>
        <v>2</v>
      </c>
      <c r="AE131" s="135">
        <f t="shared" si="39"/>
        <v>2</v>
      </c>
      <c r="AF131" s="135">
        <f t="shared" si="39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7"/>
        <v>1.25</v>
      </c>
      <c r="C132" s="136">
        <v>1.25</v>
      </c>
      <c r="D132" s="135">
        <f t="shared" si="38"/>
        <v>1.25</v>
      </c>
      <c r="E132" s="135">
        <f t="shared" si="38"/>
        <v>1.25</v>
      </c>
      <c r="F132" s="135">
        <f t="shared" si="38"/>
        <v>1.25</v>
      </c>
      <c r="G132" s="135">
        <f t="shared" si="38"/>
        <v>1.25</v>
      </c>
      <c r="H132" s="135">
        <f t="shared" si="38"/>
        <v>1.25</v>
      </c>
      <c r="I132" s="135">
        <f t="shared" si="38"/>
        <v>1.25</v>
      </c>
      <c r="J132" s="135">
        <f t="shared" si="38"/>
        <v>1.25</v>
      </c>
      <c r="K132" s="135">
        <f t="shared" si="38"/>
        <v>1.25</v>
      </c>
      <c r="L132" s="135">
        <f t="shared" si="38"/>
        <v>1.25</v>
      </c>
      <c r="M132" s="135">
        <f t="shared" si="38"/>
        <v>1.25</v>
      </c>
      <c r="N132" s="135">
        <f t="shared" si="38"/>
        <v>1.25</v>
      </c>
      <c r="O132" s="135">
        <f t="shared" si="38"/>
        <v>1.25</v>
      </c>
      <c r="P132" s="135">
        <f t="shared" si="38"/>
        <v>1.25</v>
      </c>
      <c r="Q132" s="135">
        <f t="shared" si="38"/>
        <v>1.25</v>
      </c>
      <c r="R132" s="135">
        <f t="shared" si="38"/>
        <v>1.25</v>
      </c>
      <c r="S132" s="135">
        <f t="shared" si="38"/>
        <v>1.25</v>
      </c>
      <c r="T132" s="135">
        <f t="shared" si="39"/>
        <v>1.25</v>
      </c>
      <c r="U132" s="135">
        <f t="shared" si="39"/>
        <v>1.25</v>
      </c>
      <c r="V132" s="135">
        <f t="shared" si="39"/>
        <v>1.25</v>
      </c>
      <c r="W132" s="135">
        <f t="shared" si="39"/>
        <v>1.25</v>
      </c>
      <c r="X132" s="135">
        <f t="shared" si="39"/>
        <v>1.25</v>
      </c>
      <c r="Y132" s="135">
        <f t="shared" si="39"/>
        <v>1.25</v>
      </c>
      <c r="Z132" s="135">
        <f t="shared" si="39"/>
        <v>1.25</v>
      </c>
      <c r="AA132" s="135">
        <f t="shared" si="39"/>
        <v>1.25</v>
      </c>
      <c r="AB132" s="135">
        <f t="shared" si="39"/>
        <v>1.25</v>
      </c>
      <c r="AC132" s="135">
        <f t="shared" si="39"/>
        <v>1.25</v>
      </c>
      <c r="AD132" s="135">
        <f t="shared" si="39"/>
        <v>1.25</v>
      </c>
      <c r="AE132" s="135">
        <f t="shared" si="39"/>
        <v>1.25</v>
      </c>
      <c r="AF132" s="135">
        <f t="shared" si="39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7"/>
        <v>1.1499999999999999</v>
      </c>
      <c r="C133" s="136">
        <v>1.1499999999999999</v>
      </c>
      <c r="D133" s="135">
        <f t="shared" si="38"/>
        <v>1.1499999999999999</v>
      </c>
      <c r="E133" s="135">
        <f t="shared" si="38"/>
        <v>1.1499999999999999</v>
      </c>
      <c r="F133" s="135">
        <f t="shared" si="38"/>
        <v>1.1499999999999999</v>
      </c>
      <c r="G133" s="135">
        <f t="shared" si="38"/>
        <v>1.1499999999999999</v>
      </c>
      <c r="H133" s="135">
        <f t="shared" si="38"/>
        <v>1.1499999999999999</v>
      </c>
      <c r="I133" s="135">
        <f t="shared" si="38"/>
        <v>1.1499999999999999</v>
      </c>
      <c r="J133" s="135">
        <f t="shared" si="38"/>
        <v>1.1499999999999999</v>
      </c>
      <c r="K133" s="135">
        <f t="shared" si="38"/>
        <v>1.1499999999999999</v>
      </c>
      <c r="L133" s="135">
        <f t="shared" si="38"/>
        <v>1.1499999999999999</v>
      </c>
      <c r="M133" s="135">
        <f t="shared" si="38"/>
        <v>1.1499999999999999</v>
      </c>
      <c r="N133" s="135">
        <f t="shared" si="38"/>
        <v>1.1499999999999999</v>
      </c>
      <c r="O133" s="135">
        <f t="shared" si="38"/>
        <v>1.1499999999999999</v>
      </c>
      <c r="P133" s="135">
        <f t="shared" si="38"/>
        <v>1.1499999999999999</v>
      </c>
      <c r="Q133" s="135">
        <f t="shared" si="38"/>
        <v>1.1499999999999999</v>
      </c>
      <c r="R133" s="135">
        <f t="shared" si="38"/>
        <v>1.1499999999999999</v>
      </c>
      <c r="S133" s="135">
        <f t="shared" si="38"/>
        <v>1.1499999999999999</v>
      </c>
      <c r="T133" s="135">
        <f t="shared" si="39"/>
        <v>1.1499999999999999</v>
      </c>
      <c r="U133" s="135">
        <f t="shared" si="39"/>
        <v>1.1499999999999999</v>
      </c>
      <c r="V133" s="135">
        <f t="shared" si="39"/>
        <v>1.1499999999999999</v>
      </c>
      <c r="W133" s="135">
        <f t="shared" si="39"/>
        <v>1.1499999999999999</v>
      </c>
      <c r="X133" s="135">
        <f t="shared" si="39"/>
        <v>1.1499999999999999</v>
      </c>
      <c r="Y133" s="135">
        <f t="shared" si="39"/>
        <v>1.1499999999999999</v>
      </c>
      <c r="Z133" s="135">
        <f t="shared" si="39"/>
        <v>1.1499999999999999</v>
      </c>
      <c r="AA133" s="135">
        <f t="shared" si="39"/>
        <v>1.1499999999999999</v>
      </c>
      <c r="AB133" s="135">
        <f t="shared" si="39"/>
        <v>1.1499999999999999</v>
      </c>
      <c r="AC133" s="135">
        <f t="shared" si="39"/>
        <v>1.1499999999999999</v>
      </c>
      <c r="AD133" s="135">
        <f t="shared" si="39"/>
        <v>1.1499999999999999</v>
      </c>
      <c r="AE133" s="135">
        <f t="shared" si="39"/>
        <v>1.1499999999999999</v>
      </c>
      <c r="AF133" s="135">
        <f t="shared" si="39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7"/>
        <v>2.133</v>
      </c>
      <c r="C134" s="136">
        <v>2.133</v>
      </c>
      <c r="D134" s="135">
        <f t="shared" si="38"/>
        <v>2.133</v>
      </c>
      <c r="E134" s="135">
        <f t="shared" si="38"/>
        <v>2.133</v>
      </c>
      <c r="F134" s="135">
        <f t="shared" si="38"/>
        <v>2.133</v>
      </c>
      <c r="G134" s="135">
        <f t="shared" si="38"/>
        <v>2.133</v>
      </c>
      <c r="H134" s="135">
        <f t="shared" si="38"/>
        <v>2.133</v>
      </c>
      <c r="I134" s="135">
        <f t="shared" si="38"/>
        <v>2.133</v>
      </c>
      <c r="J134" s="135">
        <f t="shared" si="38"/>
        <v>2.133</v>
      </c>
      <c r="K134" s="135">
        <f t="shared" si="38"/>
        <v>2.133</v>
      </c>
      <c r="L134" s="135">
        <f t="shared" si="38"/>
        <v>2.133</v>
      </c>
      <c r="M134" s="135">
        <f t="shared" si="38"/>
        <v>2.133</v>
      </c>
      <c r="N134" s="135">
        <f t="shared" si="38"/>
        <v>2.133</v>
      </c>
      <c r="O134" s="135">
        <f t="shared" si="38"/>
        <v>2.133</v>
      </c>
      <c r="P134" s="135">
        <f t="shared" si="38"/>
        <v>2.133</v>
      </c>
      <c r="Q134" s="135">
        <f t="shared" si="38"/>
        <v>2.133</v>
      </c>
      <c r="R134" s="135">
        <f t="shared" si="38"/>
        <v>2.133</v>
      </c>
      <c r="S134" s="135">
        <f t="shared" si="38"/>
        <v>2.133</v>
      </c>
      <c r="T134" s="135">
        <f t="shared" si="39"/>
        <v>2.133</v>
      </c>
      <c r="U134" s="135">
        <f t="shared" si="39"/>
        <v>2.133</v>
      </c>
      <c r="V134" s="135">
        <f t="shared" si="39"/>
        <v>2.133</v>
      </c>
      <c r="W134" s="135">
        <f t="shared" si="39"/>
        <v>2.133</v>
      </c>
      <c r="X134" s="135">
        <f t="shared" si="39"/>
        <v>2.133</v>
      </c>
      <c r="Y134" s="135">
        <f t="shared" si="39"/>
        <v>2.133</v>
      </c>
      <c r="Z134" s="135">
        <f t="shared" si="39"/>
        <v>2.133</v>
      </c>
      <c r="AA134" s="135">
        <f t="shared" si="39"/>
        <v>2.133</v>
      </c>
      <c r="AB134" s="135">
        <f t="shared" si="39"/>
        <v>2.133</v>
      </c>
      <c r="AC134" s="135">
        <f t="shared" si="39"/>
        <v>2.133</v>
      </c>
      <c r="AD134" s="135">
        <f t="shared" si="39"/>
        <v>2.133</v>
      </c>
      <c r="AE134" s="135">
        <f t="shared" si="39"/>
        <v>2.133</v>
      </c>
      <c r="AF134" s="135">
        <f t="shared" si="39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7"/>
        <v>2.09</v>
      </c>
      <c r="C135" s="136">
        <v>2.09</v>
      </c>
      <c r="D135" s="135">
        <f t="shared" si="38"/>
        <v>2.09</v>
      </c>
      <c r="E135" s="135">
        <f t="shared" si="38"/>
        <v>2.09</v>
      </c>
      <c r="F135" s="135">
        <f t="shared" si="38"/>
        <v>2.09</v>
      </c>
      <c r="G135" s="135">
        <f t="shared" si="38"/>
        <v>2.09</v>
      </c>
      <c r="H135" s="135">
        <f t="shared" si="38"/>
        <v>2.09</v>
      </c>
      <c r="I135" s="135">
        <f t="shared" si="38"/>
        <v>2.09</v>
      </c>
      <c r="J135" s="135">
        <f t="shared" si="38"/>
        <v>2.09</v>
      </c>
      <c r="K135" s="135">
        <f t="shared" si="38"/>
        <v>2.09</v>
      </c>
      <c r="L135" s="135">
        <f t="shared" si="38"/>
        <v>2.09</v>
      </c>
      <c r="M135" s="135">
        <f t="shared" si="38"/>
        <v>2.09</v>
      </c>
      <c r="N135" s="135">
        <f t="shared" si="38"/>
        <v>2.09</v>
      </c>
      <c r="O135" s="135">
        <f t="shared" si="38"/>
        <v>2.09</v>
      </c>
      <c r="P135" s="135">
        <f t="shared" si="38"/>
        <v>2.09</v>
      </c>
      <c r="Q135" s="135">
        <f t="shared" si="38"/>
        <v>2.09</v>
      </c>
      <c r="R135" s="135">
        <f t="shared" si="38"/>
        <v>2.09</v>
      </c>
      <c r="S135" s="135">
        <f t="shared" si="38"/>
        <v>2.09</v>
      </c>
      <c r="T135" s="135">
        <f t="shared" si="39"/>
        <v>2.09</v>
      </c>
      <c r="U135" s="135">
        <f t="shared" si="39"/>
        <v>2.09</v>
      </c>
      <c r="V135" s="135">
        <f t="shared" si="39"/>
        <v>2.09</v>
      </c>
      <c r="W135" s="135">
        <f t="shared" si="39"/>
        <v>2.09</v>
      </c>
      <c r="X135" s="135">
        <f t="shared" si="39"/>
        <v>2.09</v>
      </c>
      <c r="Y135" s="135">
        <f t="shared" si="39"/>
        <v>2.09</v>
      </c>
      <c r="Z135" s="135">
        <f t="shared" si="39"/>
        <v>2.09</v>
      </c>
      <c r="AA135" s="135">
        <f t="shared" si="39"/>
        <v>2.09</v>
      </c>
      <c r="AB135" s="135">
        <f t="shared" si="39"/>
        <v>2.09</v>
      </c>
      <c r="AC135" s="135">
        <f t="shared" si="39"/>
        <v>2.09</v>
      </c>
      <c r="AD135" s="135">
        <f t="shared" si="39"/>
        <v>2.09</v>
      </c>
      <c r="AE135" s="135">
        <f t="shared" si="39"/>
        <v>2.09</v>
      </c>
      <c r="AF135" s="135">
        <f t="shared" si="39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7"/>
        <v>1.1399999999999999</v>
      </c>
      <c r="C136" s="136">
        <v>1.1399999999999999</v>
      </c>
      <c r="D136" s="135">
        <f t="shared" si="38"/>
        <v>1.1399999999999999</v>
      </c>
      <c r="E136" s="135">
        <f t="shared" si="38"/>
        <v>1.1399999999999999</v>
      </c>
      <c r="F136" s="135">
        <f t="shared" si="38"/>
        <v>1.1399999999999999</v>
      </c>
      <c r="G136" s="135">
        <f t="shared" si="38"/>
        <v>1.1399999999999999</v>
      </c>
      <c r="H136" s="135">
        <f t="shared" si="38"/>
        <v>1.1399999999999999</v>
      </c>
      <c r="I136" s="135">
        <f t="shared" si="38"/>
        <v>1.1399999999999999</v>
      </c>
      <c r="J136" s="135">
        <f t="shared" si="38"/>
        <v>1.1399999999999999</v>
      </c>
      <c r="K136" s="135">
        <f t="shared" si="38"/>
        <v>1.1399999999999999</v>
      </c>
      <c r="L136" s="135">
        <f t="shared" si="38"/>
        <v>1.1399999999999999</v>
      </c>
      <c r="M136" s="135">
        <f t="shared" si="38"/>
        <v>1.1399999999999999</v>
      </c>
      <c r="N136" s="135">
        <f t="shared" si="38"/>
        <v>1.1399999999999999</v>
      </c>
      <c r="O136" s="135">
        <f t="shared" si="38"/>
        <v>1.1399999999999999</v>
      </c>
      <c r="P136" s="135">
        <f t="shared" si="38"/>
        <v>1.1399999999999999</v>
      </c>
      <c r="Q136" s="135">
        <f t="shared" si="38"/>
        <v>1.1399999999999999</v>
      </c>
      <c r="R136" s="135">
        <f t="shared" si="38"/>
        <v>1.1399999999999999</v>
      </c>
      <c r="S136" s="135">
        <f t="shared" si="38"/>
        <v>1.1399999999999999</v>
      </c>
      <c r="T136" s="135">
        <f t="shared" si="39"/>
        <v>1.1399999999999999</v>
      </c>
      <c r="U136" s="135">
        <f t="shared" si="39"/>
        <v>1.1399999999999999</v>
      </c>
      <c r="V136" s="135">
        <f t="shared" si="39"/>
        <v>1.1399999999999999</v>
      </c>
      <c r="W136" s="135">
        <f t="shared" si="39"/>
        <v>1.1399999999999999</v>
      </c>
      <c r="X136" s="135">
        <f t="shared" si="39"/>
        <v>1.1399999999999999</v>
      </c>
      <c r="Y136" s="135">
        <f t="shared" si="39"/>
        <v>1.1399999999999999</v>
      </c>
      <c r="Z136" s="135">
        <f t="shared" si="39"/>
        <v>1.1399999999999999</v>
      </c>
      <c r="AA136" s="135">
        <f t="shared" si="39"/>
        <v>1.1399999999999999</v>
      </c>
      <c r="AB136" s="135">
        <f t="shared" si="39"/>
        <v>1.1399999999999999</v>
      </c>
      <c r="AC136" s="135">
        <f t="shared" si="39"/>
        <v>1.1399999999999999</v>
      </c>
      <c r="AD136" s="135">
        <f t="shared" si="39"/>
        <v>1.1399999999999999</v>
      </c>
      <c r="AE136" s="135">
        <f t="shared" si="39"/>
        <v>1.1399999999999999</v>
      </c>
      <c r="AF136" s="135">
        <f t="shared" si="39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7"/>
        <v>0.82</v>
      </c>
      <c r="C137" s="136">
        <v>0.82</v>
      </c>
      <c r="D137" s="135">
        <f t="shared" si="38"/>
        <v>0.82</v>
      </c>
      <c r="E137" s="135">
        <f t="shared" si="38"/>
        <v>0.82</v>
      </c>
      <c r="F137" s="135">
        <f t="shared" si="38"/>
        <v>0.82</v>
      </c>
      <c r="G137" s="135">
        <f t="shared" si="38"/>
        <v>0.82</v>
      </c>
      <c r="H137" s="135">
        <f t="shared" si="38"/>
        <v>0.82</v>
      </c>
      <c r="I137" s="135">
        <f t="shared" si="38"/>
        <v>0.82</v>
      </c>
      <c r="J137" s="135">
        <f t="shared" si="38"/>
        <v>0.82</v>
      </c>
      <c r="K137" s="135">
        <f t="shared" si="38"/>
        <v>0.82</v>
      </c>
      <c r="L137" s="135">
        <f t="shared" si="38"/>
        <v>0.82</v>
      </c>
      <c r="M137" s="135">
        <f t="shared" si="38"/>
        <v>0.82</v>
      </c>
      <c r="N137" s="135">
        <f t="shared" si="38"/>
        <v>0.82</v>
      </c>
      <c r="O137" s="135">
        <f t="shared" si="38"/>
        <v>0.82</v>
      </c>
      <c r="P137" s="135">
        <f t="shared" si="38"/>
        <v>0.82</v>
      </c>
      <c r="Q137" s="135">
        <f t="shared" si="38"/>
        <v>0.82</v>
      </c>
      <c r="R137" s="135">
        <f t="shared" si="38"/>
        <v>0.82</v>
      </c>
      <c r="S137" s="135">
        <f t="shared" si="38"/>
        <v>0.82</v>
      </c>
      <c r="T137" s="135">
        <f t="shared" si="39"/>
        <v>0.82</v>
      </c>
      <c r="U137" s="135">
        <f t="shared" si="39"/>
        <v>0.82</v>
      </c>
      <c r="V137" s="135">
        <f t="shared" si="39"/>
        <v>0.82</v>
      </c>
      <c r="W137" s="135">
        <f t="shared" si="39"/>
        <v>0.82</v>
      </c>
      <c r="X137" s="135">
        <f t="shared" si="39"/>
        <v>0.82</v>
      </c>
      <c r="Y137" s="135">
        <f t="shared" si="39"/>
        <v>0.82</v>
      </c>
      <c r="Z137" s="135">
        <f t="shared" si="39"/>
        <v>0.82</v>
      </c>
      <c r="AA137" s="135">
        <f t="shared" si="39"/>
        <v>0.82</v>
      </c>
      <c r="AB137" s="135">
        <f t="shared" si="39"/>
        <v>0.82</v>
      </c>
      <c r="AC137" s="135">
        <f t="shared" si="39"/>
        <v>0.82</v>
      </c>
      <c r="AD137" s="135">
        <f t="shared" si="39"/>
        <v>0.82</v>
      </c>
      <c r="AE137" s="135">
        <f t="shared" si="39"/>
        <v>0.82</v>
      </c>
      <c r="AF137" s="135">
        <f t="shared" si="39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40">AF139</f>
        <v>2</v>
      </c>
      <c r="C139" s="136">
        <v>2</v>
      </c>
      <c r="D139" s="135">
        <f t="shared" ref="D139:S145" si="41">C139</f>
        <v>2</v>
      </c>
      <c r="E139" s="135">
        <f t="shared" si="41"/>
        <v>2</v>
      </c>
      <c r="F139" s="135">
        <f t="shared" si="41"/>
        <v>2</v>
      </c>
      <c r="G139" s="135">
        <f t="shared" si="41"/>
        <v>2</v>
      </c>
      <c r="H139" s="135">
        <f t="shared" si="41"/>
        <v>2</v>
      </c>
      <c r="I139" s="135">
        <f t="shared" si="41"/>
        <v>2</v>
      </c>
      <c r="J139" s="135">
        <f t="shared" si="41"/>
        <v>2</v>
      </c>
      <c r="K139" s="135">
        <f t="shared" si="41"/>
        <v>2</v>
      </c>
      <c r="L139" s="135">
        <f t="shared" si="41"/>
        <v>2</v>
      </c>
      <c r="M139" s="135">
        <f t="shared" si="41"/>
        <v>2</v>
      </c>
      <c r="N139" s="135">
        <f t="shared" si="41"/>
        <v>2</v>
      </c>
      <c r="O139" s="135">
        <f t="shared" si="41"/>
        <v>2</v>
      </c>
      <c r="P139" s="135">
        <f t="shared" si="41"/>
        <v>2</v>
      </c>
      <c r="Q139" s="135">
        <f t="shared" si="41"/>
        <v>2</v>
      </c>
      <c r="R139" s="135">
        <f t="shared" si="41"/>
        <v>2</v>
      </c>
      <c r="S139" s="135">
        <f t="shared" si="41"/>
        <v>2</v>
      </c>
      <c r="T139" s="135">
        <f t="shared" ref="T139:AF145" si="42">S139</f>
        <v>2</v>
      </c>
      <c r="U139" s="135">
        <f t="shared" si="42"/>
        <v>2</v>
      </c>
      <c r="V139" s="135">
        <f t="shared" si="42"/>
        <v>2</v>
      </c>
      <c r="W139" s="135">
        <f t="shared" si="42"/>
        <v>2</v>
      </c>
      <c r="X139" s="135">
        <f t="shared" si="42"/>
        <v>2</v>
      </c>
      <c r="Y139" s="135">
        <f t="shared" si="42"/>
        <v>2</v>
      </c>
      <c r="Z139" s="135">
        <f t="shared" si="42"/>
        <v>2</v>
      </c>
      <c r="AA139" s="135">
        <f t="shared" si="42"/>
        <v>2</v>
      </c>
      <c r="AB139" s="135">
        <f t="shared" si="42"/>
        <v>2</v>
      </c>
      <c r="AC139" s="135">
        <f t="shared" si="42"/>
        <v>2</v>
      </c>
      <c r="AD139" s="135">
        <f t="shared" si="42"/>
        <v>2</v>
      </c>
      <c r="AE139" s="135">
        <f t="shared" si="42"/>
        <v>2</v>
      </c>
      <c r="AF139" s="135">
        <f t="shared" si="42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40"/>
        <v>5.61</v>
      </c>
      <c r="C140" s="136">
        <v>5.61</v>
      </c>
      <c r="D140" s="135">
        <f t="shared" si="41"/>
        <v>5.61</v>
      </c>
      <c r="E140" s="135">
        <f t="shared" si="41"/>
        <v>5.61</v>
      </c>
      <c r="F140" s="135">
        <f t="shared" si="41"/>
        <v>5.61</v>
      </c>
      <c r="G140" s="135">
        <f t="shared" si="41"/>
        <v>5.61</v>
      </c>
      <c r="H140" s="135">
        <f t="shared" si="41"/>
        <v>5.61</v>
      </c>
      <c r="I140" s="135">
        <f t="shared" si="41"/>
        <v>5.61</v>
      </c>
      <c r="J140" s="135">
        <f t="shared" si="41"/>
        <v>5.61</v>
      </c>
      <c r="K140" s="135">
        <f t="shared" si="41"/>
        <v>5.61</v>
      </c>
      <c r="L140" s="135">
        <f t="shared" si="41"/>
        <v>5.61</v>
      </c>
      <c r="M140" s="135">
        <f t="shared" si="41"/>
        <v>5.61</v>
      </c>
      <c r="N140" s="135">
        <f t="shared" si="41"/>
        <v>5.61</v>
      </c>
      <c r="O140" s="135">
        <f t="shared" si="41"/>
        <v>5.61</v>
      </c>
      <c r="P140" s="135">
        <f t="shared" si="41"/>
        <v>5.61</v>
      </c>
      <c r="Q140" s="135">
        <f t="shared" si="41"/>
        <v>5.61</v>
      </c>
      <c r="R140" s="135">
        <f t="shared" si="41"/>
        <v>5.61</v>
      </c>
      <c r="S140" s="135">
        <f t="shared" si="41"/>
        <v>5.61</v>
      </c>
      <c r="T140" s="135">
        <f t="shared" si="42"/>
        <v>5.61</v>
      </c>
      <c r="U140" s="135">
        <f t="shared" si="42"/>
        <v>5.61</v>
      </c>
      <c r="V140" s="135">
        <f t="shared" si="42"/>
        <v>5.61</v>
      </c>
      <c r="W140" s="135">
        <f t="shared" si="42"/>
        <v>5.61</v>
      </c>
      <c r="X140" s="135">
        <f t="shared" si="42"/>
        <v>5.61</v>
      </c>
      <c r="Y140" s="135">
        <f t="shared" si="42"/>
        <v>5.61</v>
      </c>
      <c r="Z140" s="135">
        <f t="shared" si="42"/>
        <v>5.61</v>
      </c>
      <c r="AA140" s="135">
        <f t="shared" si="42"/>
        <v>5.61</v>
      </c>
      <c r="AB140" s="135">
        <f t="shared" si="42"/>
        <v>5.61</v>
      </c>
      <c r="AC140" s="135">
        <f t="shared" si="42"/>
        <v>5.61</v>
      </c>
      <c r="AD140" s="135">
        <f t="shared" si="42"/>
        <v>5.61</v>
      </c>
      <c r="AE140" s="135">
        <f t="shared" si="42"/>
        <v>5.61</v>
      </c>
      <c r="AF140" s="135">
        <f t="shared" si="42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40"/>
        <v>1.25</v>
      </c>
      <c r="C141" s="136">
        <v>1.25</v>
      </c>
      <c r="D141" s="135">
        <f t="shared" si="41"/>
        <v>1.25</v>
      </c>
      <c r="E141" s="135">
        <f t="shared" si="41"/>
        <v>1.25</v>
      </c>
      <c r="F141" s="135">
        <f t="shared" si="41"/>
        <v>1.25</v>
      </c>
      <c r="G141" s="135">
        <f t="shared" si="41"/>
        <v>1.25</v>
      </c>
      <c r="H141" s="135">
        <f t="shared" si="41"/>
        <v>1.25</v>
      </c>
      <c r="I141" s="135">
        <f t="shared" si="41"/>
        <v>1.25</v>
      </c>
      <c r="J141" s="135">
        <f t="shared" si="41"/>
        <v>1.25</v>
      </c>
      <c r="K141" s="135">
        <f t="shared" si="41"/>
        <v>1.25</v>
      </c>
      <c r="L141" s="135">
        <f t="shared" si="41"/>
        <v>1.25</v>
      </c>
      <c r="M141" s="135">
        <f t="shared" si="41"/>
        <v>1.25</v>
      </c>
      <c r="N141" s="135">
        <f t="shared" si="41"/>
        <v>1.25</v>
      </c>
      <c r="O141" s="135">
        <f t="shared" si="41"/>
        <v>1.25</v>
      </c>
      <c r="P141" s="135">
        <f t="shared" si="41"/>
        <v>1.25</v>
      </c>
      <c r="Q141" s="135">
        <f t="shared" si="41"/>
        <v>1.25</v>
      </c>
      <c r="R141" s="135">
        <f t="shared" si="41"/>
        <v>1.25</v>
      </c>
      <c r="S141" s="135">
        <f t="shared" si="41"/>
        <v>1.25</v>
      </c>
      <c r="T141" s="135">
        <f t="shared" si="42"/>
        <v>1.25</v>
      </c>
      <c r="U141" s="135">
        <f t="shared" si="42"/>
        <v>1.25</v>
      </c>
      <c r="V141" s="135">
        <f t="shared" si="42"/>
        <v>1.25</v>
      </c>
      <c r="W141" s="135">
        <f t="shared" si="42"/>
        <v>1.25</v>
      </c>
      <c r="X141" s="135">
        <f t="shared" si="42"/>
        <v>1.25</v>
      </c>
      <c r="Y141" s="135">
        <f t="shared" si="42"/>
        <v>1.25</v>
      </c>
      <c r="Z141" s="135">
        <f t="shared" si="42"/>
        <v>1.25</v>
      </c>
      <c r="AA141" s="135">
        <f t="shared" si="42"/>
        <v>1.25</v>
      </c>
      <c r="AB141" s="135">
        <f t="shared" si="42"/>
        <v>1.25</v>
      </c>
      <c r="AC141" s="135">
        <f t="shared" si="42"/>
        <v>1.25</v>
      </c>
      <c r="AD141" s="135">
        <f t="shared" si="42"/>
        <v>1.25</v>
      </c>
      <c r="AE141" s="135">
        <f t="shared" si="42"/>
        <v>1.25</v>
      </c>
      <c r="AF141" s="135">
        <f t="shared" si="42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40"/>
        <v>1.25</v>
      </c>
      <c r="C142" s="136">
        <v>1.25</v>
      </c>
      <c r="D142" s="135">
        <f t="shared" si="41"/>
        <v>1.25</v>
      </c>
      <c r="E142" s="135">
        <f t="shared" si="41"/>
        <v>1.25</v>
      </c>
      <c r="F142" s="135">
        <f t="shared" si="41"/>
        <v>1.25</v>
      </c>
      <c r="G142" s="135">
        <f t="shared" si="41"/>
        <v>1.25</v>
      </c>
      <c r="H142" s="135">
        <f t="shared" si="41"/>
        <v>1.25</v>
      </c>
      <c r="I142" s="135">
        <f t="shared" si="41"/>
        <v>1.25</v>
      </c>
      <c r="J142" s="135">
        <f t="shared" si="41"/>
        <v>1.25</v>
      </c>
      <c r="K142" s="135">
        <f t="shared" si="41"/>
        <v>1.25</v>
      </c>
      <c r="L142" s="135">
        <f t="shared" si="41"/>
        <v>1.25</v>
      </c>
      <c r="M142" s="135">
        <f t="shared" si="41"/>
        <v>1.25</v>
      </c>
      <c r="N142" s="135">
        <f t="shared" si="41"/>
        <v>1.25</v>
      </c>
      <c r="O142" s="135">
        <f t="shared" si="41"/>
        <v>1.25</v>
      </c>
      <c r="P142" s="135">
        <f t="shared" si="41"/>
        <v>1.25</v>
      </c>
      <c r="Q142" s="135">
        <f t="shared" si="41"/>
        <v>1.25</v>
      </c>
      <c r="R142" s="135">
        <f t="shared" si="41"/>
        <v>1.25</v>
      </c>
      <c r="S142" s="135">
        <f t="shared" si="41"/>
        <v>1.25</v>
      </c>
      <c r="T142" s="135">
        <f t="shared" si="42"/>
        <v>1.25</v>
      </c>
      <c r="U142" s="135">
        <f t="shared" si="42"/>
        <v>1.25</v>
      </c>
      <c r="V142" s="135">
        <f t="shared" si="42"/>
        <v>1.25</v>
      </c>
      <c r="W142" s="135">
        <f t="shared" si="42"/>
        <v>1.25</v>
      </c>
      <c r="X142" s="135">
        <f t="shared" si="42"/>
        <v>1.25</v>
      </c>
      <c r="Y142" s="135">
        <f t="shared" si="42"/>
        <v>1.25</v>
      </c>
      <c r="Z142" s="135">
        <f t="shared" si="42"/>
        <v>1.25</v>
      </c>
      <c r="AA142" s="135">
        <f t="shared" si="42"/>
        <v>1.25</v>
      </c>
      <c r="AB142" s="135">
        <f t="shared" si="42"/>
        <v>1.25</v>
      </c>
      <c r="AC142" s="135">
        <f t="shared" si="42"/>
        <v>1.25</v>
      </c>
      <c r="AD142" s="135">
        <f t="shared" si="42"/>
        <v>1.25</v>
      </c>
      <c r="AE142" s="135">
        <f t="shared" si="42"/>
        <v>1.25</v>
      </c>
      <c r="AF142" s="135">
        <f t="shared" si="42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40"/>
        <v>1.46</v>
      </c>
      <c r="C143" s="136">
        <v>1.46</v>
      </c>
      <c r="D143" s="135">
        <f t="shared" si="41"/>
        <v>1.46</v>
      </c>
      <c r="E143" s="135">
        <f t="shared" si="41"/>
        <v>1.46</v>
      </c>
      <c r="F143" s="135">
        <f t="shared" si="41"/>
        <v>1.46</v>
      </c>
      <c r="G143" s="135">
        <f t="shared" si="41"/>
        <v>1.46</v>
      </c>
      <c r="H143" s="135">
        <f t="shared" si="41"/>
        <v>1.46</v>
      </c>
      <c r="I143" s="135">
        <f t="shared" si="41"/>
        <v>1.46</v>
      </c>
      <c r="J143" s="135">
        <f t="shared" si="41"/>
        <v>1.46</v>
      </c>
      <c r="K143" s="135">
        <f t="shared" si="41"/>
        <v>1.46</v>
      </c>
      <c r="L143" s="135">
        <f t="shared" si="41"/>
        <v>1.46</v>
      </c>
      <c r="M143" s="135">
        <f t="shared" si="41"/>
        <v>1.46</v>
      </c>
      <c r="N143" s="135">
        <f t="shared" si="41"/>
        <v>1.46</v>
      </c>
      <c r="O143" s="135">
        <f t="shared" si="41"/>
        <v>1.46</v>
      </c>
      <c r="P143" s="135">
        <f t="shared" si="41"/>
        <v>1.46</v>
      </c>
      <c r="Q143" s="135">
        <f t="shared" si="41"/>
        <v>1.46</v>
      </c>
      <c r="R143" s="135">
        <f t="shared" si="41"/>
        <v>1.46</v>
      </c>
      <c r="S143" s="135">
        <f t="shared" si="41"/>
        <v>1.46</v>
      </c>
      <c r="T143" s="135">
        <f t="shared" si="42"/>
        <v>1.46</v>
      </c>
      <c r="U143" s="135">
        <f t="shared" si="42"/>
        <v>1.46</v>
      </c>
      <c r="V143" s="135">
        <f t="shared" si="42"/>
        <v>1.46</v>
      </c>
      <c r="W143" s="135">
        <f t="shared" si="42"/>
        <v>1.46</v>
      </c>
      <c r="X143" s="135">
        <f t="shared" si="42"/>
        <v>1.46</v>
      </c>
      <c r="Y143" s="135">
        <f t="shared" si="42"/>
        <v>1.46</v>
      </c>
      <c r="Z143" s="135">
        <f t="shared" si="42"/>
        <v>1.46</v>
      </c>
      <c r="AA143" s="135">
        <f t="shared" si="42"/>
        <v>1.46</v>
      </c>
      <c r="AB143" s="135">
        <f t="shared" si="42"/>
        <v>1.46</v>
      </c>
      <c r="AC143" s="135">
        <f t="shared" si="42"/>
        <v>1.46</v>
      </c>
      <c r="AD143" s="135">
        <f t="shared" si="42"/>
        <v>1.46</v>
      </c>
      <c r="AE143" s="135">
        <f t="shared" si="42"/>
        <v>1.46</v>
      </c>
      <c r="AF143" s="135">
        <f t="shared" si="42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40"/>
        <v>3</v>
      </c>
      <c r="C144" s="136">
        <v>3</v>
      </c>
      <c r="D144" s="135">
        <f t="shared" si="41"/>
        <v>3</v>
      </c>
      <c r="E144" s="135">
        <f t="shared" si="41"/>
        <v>3</v>
      </c>
      <c r="F144" s="135">
        <f t="shared" si="41"/>
        <v>3</v>
      </c>
      <c r="G144" s="135">
        <f t="shared" si="41"/>
        <v>3</v>
      </c>
      <c r="H144" s="135">
        <f t="shared" si="41"/>
        <v>3</v>
      </c>
      <c r="I144" s="135">
        <f t="shared" si="41"/>
        <v>3</v>
      </c>
      <c r="J144" s="135">
        <f t="shared" si="41"/>
        <v>3</v>
      </c>
      <c r="K144" s="135">
        <f t="shared" si="41"/>
        <v>3</v>
      </c>
      <c r="L144" s="135">
        <f t="shared" si="41"/>
        <v>3</v>
      </c>
      <c r="M144" s="135">
        <f t="shared" si="41"/>
        <v>3</v>
      </c>
      <c r="N144" s="135">
        <f t="shared" si="41"/>
        <v>3</v>
      </c>
      <c r="O144" s="135">
        <f t="shared" si="41"/>
        <v>3</v>
      </c>
      <c r="P144" s="135">
        <f t="shared" si="41"/>
        <v>3</v>
      </c>
      <c r="Q144" s="135">
        <f t="shared" si="41"/>
        <v>3</v>
      </c>
      <c r="R144" s="135">
        <f t="shared" si="41"/>
        <v>3</v>
      </c>
      <c r="S144" s="135">
        <f t="shared" si="41"/>
        <v>3</v>
      </c>
      <c r="T144" s="135">
        <f t="shared" si="42"/>
        <v>3</v>
      </c>
      <c r="U144" s="135">
        <f t="shared" si="42"/>
        <v>3</v>
      </c>
      <c r="V144" s="135">
        <f t="shared" si="42"/>
        <v>3</v>
      </c>
      <c r="W144" s="135">
        <f t="shared" si="42"/>
        <v>3</v>
      </c>
      <c r="X144" s="135">
        <f t="shared" si="42"/>
        <v>3</v>
      </c>
      <c r="Y144" s="135">
        <f t="shared" si="42"/>
        <v>3</v>
      </c>
      <c r="Z144" s="135">
        <f t="shared" si="42"/>
        <v>3</v>
      </c>
      <c r="AA144" s="135">
        <f t="shared" si="42"/>
        <v>3</v>
      </c>
      <c r="AB144" s="135">
        <f t="shared" si="42"/>
        <v>3</v>
      </c>
      <c r="AC144" s="135">
        <f t="shared" si="42"/>
        <v>3</v>
      </c>
      <c r="AD144" s="135">
        <f t="shared" si="42"/>
        <v>3</v>
      </c>
      <c r="AE144" s="135">
        <f t="shared" si="42"/>
        <v>3</v>
      </c>
      <c r="AF144" s="135">
        <f t="shared" si="42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40"/>
        <v>3.3</v>
      </c>
      <c r="C145" s="136">
        <v>3.3</v>
      </c>
      <c r="D145" s="135">
        <f t="shared" si="41"/>
        <v>3.3</v>
      </c>
      <c r="E145" s="135">
        <f t="shared" si="41"/>
        <v>3.3</v>
      </c>
      <c r="F145" s="135">
        <f t="shared" si="41"/>
        <v>3.3</v>
      </c>
      <c r="G145" s="135">
        <f t="shared" si="41"/>
        <v>3.3</v>
      </c>
      <c r="H145" s="135">
        <f t="shared" si="41"/>
        <v>3.3</v>
      </c>
      <c r="I145" s="135">
        <f t="shared" si="41"/>
        <v>3.3</v>
      </c>
      <c r="J145" s="135">
        <f t="shared" si="41"/>
        <v>3.3</v>
      </c>
      <c r="K145" s="135">
        <f t="shared" si="41"/>
        <v>3.3</v>
      </c>
      <c r="L145" s="135">
        <f t="shared" si="41"/>
        <v>3.3</v>
      </c>
      <c r="M145" s="135">
        <f t="shared" si="41"/>
        <v>3.3</v>
      </c>
      <c r="N145" s="135">
        <f t="shared" si="41"/>
        <v>3.3</v>
      </c>
      <c r="O145" s="135">
        <f t="shared" si="41"/>
        <v>3.3</v>
      </c>
      <c r="P145" s="135">
        <f t="shared" si="41"/>
        <v>3.3</v>
      </c>
      <c r="Q145" s="135">
        <f t="shared" si="41"/>
        <v>3.3</v>
      </c>
      <c r="R145" s="135">
        <f t="shared" si="41"/>
        <v>3.3</v>
      </c>
      <c r="S145" s="135">
        <f t="shared" si="41"/>
        <v>3.3</v>
      </c>
      <c r="T145" s="135">
        <f t="shared" si="42"/>
        <v>3.3</v>
      </c>
      <c r="U145" s="135">
        <f t="shared" si="42"/>
        <v>3.3</v>
      </c>
      <c r="V145" s="135">
        <f t="shared" si="42"/>
        <v>3.3</v>
      </c>
      <c r="W145" s="135">
        <f t="shared" si="42"/>
        <v>3.3</v>
      </c>
      <c r="X145" s="135">
        <f t="shared" si="42"/>
        <v>3.3</v>
      </c>
      <c r="Y145" s="135">
        <f t="shared" si="42"/>
        <v>3.3</v>
      </c>
      <c r="Z145" s="135">
        <f t="shared" si="42"/>
        <v>3.3</v>
      </c>
      <c r="AA145" s="135">
        <f t="shared" si="42"/>
        <v>3.3</v>
      </c>
      <c r="AB145" s="135">
        <f t="shared" si="42"/>
        <v>3.3</v>
      </c>
      <c r="AC145" s="135">
        <f t="shared" si="42"/>
        <v>3.3</v>
      </c>
      <c r="AD145" s="135">
        <f t="shared" si="42"/>
        <v>3.3</v>
      </c>
      <c r="AE145" s="135">
        <f t="shared" si="42"/>
        <v>3.3</v>
      </c>
      <c r="AF145" s="135">
        <f t="shared" si="42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3">C147</f>
        <v>1.76</v>
      </c>
      <c r="E147" s="135">
        <f t="shared" si="43"/>
        <v>1.76</v>
      </c>
      <c r="F147" s="135">
        <f t="shared" si="43"/>
        <v>1.76</v>
      </c>
      <c r="G147" s="135">
        <f t="shared" si="43"/>
        <v>1.76</v>
      </c>
      <c r="H147" s="135">
        <f t="shared" si="43"/>
        <v>1.76</v>
      </c>
      <c r="I147" s="135">
        <f t="shared" si="43"/>
        <v>1.76</v>
      </c>
      <c r="J147" s="135">
        <f t="shared" si="43"/>
        <v>1.76</v>
      </c>
      <c r="K147" s="135">
        <f t="shared" si="43"/>
        <v>1.76</v>
      </c>
      <c r="L147" s="135">
        <f t="shared" si="43"/>
        <v>1.76</v>
      </c>
      <c r="M147" s="135">
        <f t="shared" si="43"/>
        <v>1.76</v>
      </c>
      <c r="N147" s="135">
        <f t="shared" si="43"/>
        <v>1.76</v>
      </c>
      <c r="O147" s="135">
        <f t="shared" si="43"/>
        <v>1.76</v>
      </c>
      <c r="P147" s="135">
        <f t="shared" si="43"/>
        <v>1.76</v>
      </c>
      <c r="Q147" s="135">
        <f t="shared" si="43"/>
        <v>1.76</v>
      </c>
      <c r="R147" s="135">
        <f t="shared" si="43"/>
        <v>1.76</v>
      </c>
      <c r="S147" s="135">
        <f t="shared" si="43"/>
        <v>1.76</v>
      </c>
      <c r="T147" s="135">
        <f t="shared" ref="T147:AF148" si="44">S147</f>
        <v>1.76</v>
      </c>
      <c r="U147" s="135">
        <f t="shared" si="44"/>
        <v>1.76</v>
      </c>
      <c r="V147" s="135">
        <f t="shared" si="44"/>
        <v>1.76</v>
      </c>
      <c r="W147" s="135">
        <f t="shared" si="44"/>
        <v>1.76</v>
      </c>
      <c r="X147" s="135">
        <f t="shared" si="44"/>
        <v>1.76</v>
      </c>
      <c r="Y147" s="135">
        <f t="shared" si="44"/>
        <v>1.76</v>
      </c>
      <c r="Z147" s="135">
        <f t="shared" si="44"/>
        <v>1.76</v>
      </c>
      <c r="AA147" s="135">
        <f t="shared" si="44"/>
        <v>1.76</v>
      </c>
      <c r="AB147" s="135">
        <f t="shared" si="44"/>
        <v>1.76</v>
      </c>
      <c r="AC147" s="135">
        <f t="shared" si="44"/>
        <v>1.76</v>
      </c>
      <c r="AD147" s="135">
        <f t="shared" si="44"/>
        <v>1.76</v>
      </c>
      <c r="AE147" s="135">
        <f t="shared" si="44"/>
        <v>1.76</v>
      </c>
      <c r="AF147" s="135">
        <f t="shared" si="44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3"/>
        <v>0</v>
      </c>
      <c r="E148" s="135">
        <f t="shared" si="43"/>
        <v>0</v>
      </c>
      <c r="F148" s="135">
        <f t="shared" si="43"/>
        <v>0</v>
      </c>
      <c r="G148" s="135">
        <f t="shared" si="43"/>
        <v>0</v>
      </c>
      <c r="H148" s="135">
        <f t="shared" si="43"/>
        <v>0</v>
      </c>
      <c r="I148" s="135">
        <f t="shared" si="43"/>
        <v>0</v>
      </c>
      <c r="J148" s="135">
        <f t="shared" si="43"/>
        <v>0</v>
      </c>
      <c r="K148" s="135">
        <f t="shared" si="43"/>
        <v>0</v>
      </c>
      <c r="L148" s="135">
        <f t="shared" si="43"/>
        <v>0</v>
      </c>
      <c r="M148" s="135">
        <f t="shared" si="43"/>
        <v>0</v>
      </c>
      <c r="N148" s="135">
        <f t="shared" si="43"/>
        <v>0</v>
      </c>
      <c r="O148" s="135">
        <f t="shared" si="43"/>
        <v>0</v>
      </c>
      <c r="P148" s="135">
        <f t="shared" si="43"/>
        <v>0</v>
      </c>
      <c r="Q148" s="135">
        <f t="shared" si="43"/>
        <v>0</v>
      </c>
      <c r="R148" s="135">
        <f t="shared" si="43"/>
        <v>0</v>
      </c>
      <c r="S148" s="135">
        <f t="shared" si="43"/>
        <v>0</v>
      </c>
      <c r="T148" s="135">
        <f t="shared" si="44"/>
        <v>0</v>
      </c>
      <c r="U148" s="135">
        <f t="shared" si="44"/>
        <v>0</v>
      </c>
      <c r="V148" s="135">
        <f t="shared" si="44"/>
        <v>0</v>
      </c>
      <c r="W148" s="135">
        <f t="shared" si="44"/>
        <v>0</v>
      </c>
      <c r="X148" s="135">
        <f t="shared" si="44"/>
        <v>0</v>
      </c>
      <c r="Y148" s="135">
        <f t="shared" si="44"/>
        <v>0</v>
      </c>
      <c r="Z148" s="135">
        <f t="shared" si="44"/>
        <v>0</v>
      </c>
      <c r="AA148" s="135">
        <f t="shared" si="44"/>
        <v>0</v>
      </c>
      <c r="AB148" s="135">
        <f t="shared" si="44"/>
        <v>0</v>
      </c>
      <c r="AC148" s="135">
        <f t="shared" si="44"/>
        <v>0</v>
      </c>
      <c r="AD148" s="135">
        <f t="shared" si="44"/>
        <v>0</v>
      </c>
      <c r="AE148" s="135">
        <f t="shared" si="44"/>
        <v>0</v>
      </c>
      <c r="AF148" s="135">
        <f t="shared" si="44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5">C150</f>
        <v>0.1</v>
      </c>
      <c r="E150" s="135">
        <f t="shared" si="45"/>
        <v>0.1</v>
      </c>
      <c r="F150" s="135">
        <f t="shared" si="45"/>
        <v>0.1</v>
      </c>
      <c r="G150" s="135">
        <f t="shared" si="45"/>
        <v>0.1</v>
      </c>
      <c r="H150" s="135">
        <f t="shared" si="45"/>
        <v>0.1</v>
      </c>
      <c r="I150" s="135">
        <f t="shared" si="45"/>
        <v>0.1</v>
      </c>
      <c r="J150" s="135">
        <f t="shared" si="45"/>
        <v>0.1</v>
      </c>
      <c r="K150" s="135">
        <f t="shared" si="45"/>
        <v>0.1</v>
      </c>
      <c r="L150" s="135">
        <f t="shared" si="45"/>
        <v>0.1</v>
      </c>
      <c r="M150" s="135">
        <f t="shared" si="45"/>
        <v>0.1</v>
      </c>
      <c r="N150" s="135">
        <f t="shared" si="45"/>
        <v>0.1</v>
      </c>
      <c r="O150" s="135">
        <f t="shared" si="45"/>
        <v>0.1</v>
      </c>
      <c r="P150" s="135">
        <f t="shared" si="45"/>
        <v>0.1</v>
      </c>
      <c r="Q150" s="135">
        <f t="shared" si="45"/>
        <v>0.1</v>
      </c>
      <c r="R150" s="135">
        <f t="shared" si="45"/>
        <v>0.1</v>
      </c>
      <c r="S150" s="135">
        <f t="shared" si="45"/>
        <v>0.1</v>
      </c>
      <c r="T150" s="135">
        <f t="shared" ref="T150:AF153" si="46">S150</f>
        <v>0.1</v>
      </c>
      <c r="U150" s="135">
        <f t="shared" si="46"/>
        <v>0.1</v>
      </c>
      <c r="V150" s="135">
        <f t="shared" si="46"/>
        <v>0.1</v>
      </c>
      <c r="W150" s="135">
        <f t="shared" si="46"/>
        <v>0.1</v>
      </c>
      <c r="X150" s="135">
        <f t="shared" si="46"/>
        <v>0.1</v>
      </c>
      <c r="Y150" s="135">
        <f t="shared" si="46"/>
        <v>0.1</v>
      </c>
      <c r="Z150" s="135">
        <f t="shared" si="46"/>
        <v>0.1</v>
      </c>
      <c r="AA150" s="135">
        <f t="shared" si="46"/>
        <v>0.1</v>
      </c>
      <c r="AB150" s="135">
        <f t="shared" si="46"/>
        <v>0.1</v>
      </c>
      <c r="AC150" s="135">
        <f t="shared" si="46"/>
        <v>0.1</v>
      </c>
      <c r="AD150" s="135">
        <f t="shared" si="46"/>
        <v>0.1</v>
      </c>
      <c r="AE150" s="135">
        <f t="shared" si="46"/>
        <v>0.1</v>
      </c>
      <c r="AF150" s="135">
        <f t="shared" si="46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5"/>
        <v>2.0499999999999998</v>
      </c>
      <c r="E151" s="135">
        <f t="shared" si="45"/>
        <v>2.0499999999999998</v>
      </c>
      <c r="F151" s="135">
        <f t="shared" si="45"/>
        <v>2.0499999999999998</v>
      </c>
      <c r="G151" s="135">
        <f t="shared" si="45"/>
        <v>2.0499999999999998</v>
      </c>
      <c r="H151" s="135">
        <f t="shared" si="45"/>
        <v>2.0499999999999998</v>
      </c>
      <c r="I151" s="135">
        <f t="shared" si="45"/>
        <v>2.0499999999999998</v>
      </c>
      <c r="J151" s="135">
        <f t="shared" si="45"/>
        <v>2.0499999999999998</v>
      </c>
      <c r="K151" s="135">
        <f t="shared" si="45"/>
        <v>2.0499999999999998</v>
      </c>
      <c r="L151" s="135">
        <f t="shared" si="45"/>
        <v>2.0499999999999998</v>
      </c>
      <c r="M151" s="135">
        <f t="shared" si="45"/>
        <v>2.0499999999999998</v>
      </c>
      <c r="N151" s="135">
        <f t="shared" si="45"/>
        <v>2.0499999999999998</v>
      </c>
      <c r="O151" s="135">
        <f t="shared" si="45"/>
        <v>2.0499999999999998</v>
      </c>
      <c r="P151" s="135">
        <f t="shared" si="45"/>
        <v>2.0499999999999998</v>
      </c>
      <c r="Q151" s="135">
        <f t="shared" si="45"/>
        <v>2.0499999999999998</v>
      </c>
      <c r="R151" s="135">
        <f t="shared" si="45"/>
        <v>2.0499999999999998</v>
      </c>
      <c r="S151" s="135">
        <f t="shared" si="45"/>
        <v>2.0499999999999998</v>
      </c>
      <c r="T151" s="135">
        <f t="shared" si="46"/>
        <v>2.0499999999999998</v>
      </c>
      <c r="U151" s="135">
        <f t="shared" si="46"/>
        <v>2.0499999999999998</v>
      </c>
      <c r="V151" s="135">
        <f t="shared" si="46"/>
        <v>2.0499999999999998</v>
      </c>
      <c r="W151" s="135">
        <f t="shared" si="46"/>
        <v>2.0499999999999998</v>
      </c>
      <c r="X151" s="135">
        <f t="shared" si="46"/>
        <v>2.0499999999999998</v>
      </c>
      <c r="Y151" s="135">
        <f t="shared" si="46"/>
        <v>2.0499999999999998</v>
      </c>
      <c r="Z151" s="135">
        <f t="shared" si="46"/>
        <v>2.0499999999999998</v>
      </c>
      <c r="AA151" s="135">
        <f t="shared" si="46"/>
        <v>2.0499999999999998</v>
      </c>
      <c r="AB151" s="135">
        <f t="shared" si="46"/>
        <v>2.0499999999999998</v>
      </c>
      <c r="AC151" s="135">
        <f t="shared" si="46"/>
        <v>2.0499999999999998</v>
      </c>
      <c r="AD151" s="135">
        <f t="shared" si="46"/>
        <v>2.0499999999999998</v>
      </c>
      <c r="AE151" s="135">
        <f t="shared" si="46"/>
        <v>2.0499999999999998</v>
      </c>
      <c r="AF151" s="135">
        <f t="shared" si="46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5"/>
        <v>2.7</v>
      </c>
      <c r="E152" s="135">
        <f t="shared" si="45"/>
        <v>2.7</v>
      </c>
      <c r="F152" s="135">
        <f t="shared" si="45"/>
        <v>2.7</v>
      </c>
      <c r="G152" s="135">
        <f t="shared" si="45"/>
        <v>2.7</v>
      </c>
      <c r="H152" s="135">
        <f t="shared" si="45"/>
        <v>2.7</v>
      </c>
      <c r="I152" s="135">
        <f t="shared" si="45"/>
        <v>2.7</v>
      </c>
      <c r="J152" s="135">
        <f t="shared" si="45"/>
        <v>2.7</v>
      </c>
      <c r="K152" s="135">
        <f t="shared" si="45"/>
        <v>2.7</v>
      </c>
      <c r="L152" s="135">
        <f t="shared" si="45"/>
        <v>2.7</v>
      </c>
      <c r="M152" s="135">
        <f t="shared" si="45"/>
        <v>2.7</v>
      </c>
      <c r="N152" s="135">
        <f t="shared" si="45"/>
        <v>2.7</v>
      </c>
      <c r="O152" s="135">
        <f t="shared" si="45"/>
        <v>2.7</v>
      </c>
      <c r="P152" s="135">
        <f t="shared" si="45"/>
        <v>2.7</v>
      </c>
      <c r="Q152" s="135">
        <f t="shared" si="45"/>
        <v>2.7</v>
      </c>
      <c r="R152" s="135">
        <f t="shared" si="45"/>
        <v>2.7</v>
      </c>
      <c r="S152" s="135">
        <f t="shared" si="45"/>
        <v>2.7</v>
      </c>
      <c r="T152" s="135">
        <f t="shared" si="46"/>
        <v>2.7</v>
      </c>
      <c r="U152" s="135">
        <f t="shared" si="46"/>
        <v>2.7</v>
      </c>
      <c r="V152" s="135">
        <f t="shared" si="46"/>
        <v>2.7</v>
      </c>
      <c r="W152" s="135">
        <f t="shared" si="46"/>
        <v>2.7</v>
      </c>
      <c r="X152" s="135">
        <f t="shared" si="46"/>
        <v>2.7</v>
      </c>
      <c r="Y152" s="135">
        <f t="shared" si="46"/>
        <v>2.7</v>
      </c>
      <c r="Z152" s="135">
        <f t="shared" si="46"/>
        <v>2.7</v>
      </c>
      <c r="AA152" s="135">
        <f t="shared" si="46"/>
        <v>2.7</v>
      </c>
      <c r="AB152" s="135">
        <f t="shared" si="46"/>
        <v>2.7</v>
      </c>
      <c r="AC152" s="135">
        <f t="shared" si="46"/>
        <v>2.7</v>
      </c>
      <c r="AD152" s="135">
        <f t="shared" si="46"/>
        <v>2.7</v>
      </c>
      <c r="AE152" s="135">
        <f t="shared" si="46"/>
        <v>2.7</v>
      </c>
      <c r="AF152" s="135">
        <f t="shared" si="46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5"/>
        <v>2.15</v>
      </c>
      <c r="E153" s="135">
        <f t="shared" si="45"/>
        <v>2.15</v>
      </c>
      <c r="F153" s="135">
        <f t="shared" si="45"/>
        <v>2.15</v>
      </c>
      <c r="G153" s="135">
        <f t="shared" si="45"/>
        <v>2.15</v>
      </c>
      <c r="H153" s="135">
        <f t="shared" si="45"/>
        <v>2.15</v>
      </c>
      <c r="I153" s="135">
        <f t="shared" si="45"/>
        <v>2.15</v>
      </c>
      <c r="J153" s="135">
        <f t="shared" si="45"/>
        <v>2.15</v>
      </c>
      <c r="K153" s="135">
        <f t="shared" si="45"/>
        <v>2.15</v>
      </c>
      <c r="L153" s="135">
        <f t="shared" si="45"/>
        <v>2.15</v>
      </c>
      <c r="M153" s="135">
        <f t="shared" si="45"/>
        <v>2.15</v>
      </c>
      <c r="N153" s="135">
        <f t="shared" si="45"/>
        <v>2.15</v>
      </c>
      <c r="O153" s="135">
        <f t="shared" si="45"/>
        <v>2.15</v>
      </c>
      <c r="P153" s="135">
        <f t="shared" si="45"/>
        <v>2.15</v>
      </c>
      <c r="Q153" s="135">
        <f t="shared" si="45"/>
        <v>2.15</v>
      </c>
      <c r="R153" s="135">
        <f t="shared" si="45"/>
        <v>2.15</v>
      </c>
      <c r="S153" s="135">
        <f t="shared" si="45"/>
        <v>2.15</v>
      </c>
      <c r="T153" s="135">
        <f t="shared" si="46"/>
        <v>2.15</v>
      </c>
      <c r="U153" s="135">
        <f t="shared" si="46"/>
        <v>2.15</v>
      </c>
      <c r="V153" s="135">
        <f t="shared" si="46"/>
        <v>2.15</v>
      </c>
      <c r="W153" s="135">
        <f t="shared" si="46"/>
        <v>2.15</v>
      </c>
      <c r="X153" s="135">
        <f t="shared" si="46"/>
        <v>2.15</v>
      </c>
      <c r="Y153" s="135">
        <f t="shared" si="46"/>
        <v>2.15</v>
      </c>
      <c r="Z153" s="135">
        <f t="shared" si="46"/>
        <v>2.15</v>
      </c>
      <c r="AA153" s="135">
        <f t="shared" si="46"/>
        <v>2.15</v>
      </c>
      <c r="AB153" s="135">
        <f t="shared" si="46"/>
        <v>2.15</v>
      </c>
      <c r="AC153" s="135">
        <f t="shared" si="46"/>
        <v>2.15</v>
      </c>
      <c r="AD153" s="135">
        <f t="shared" si="46"/>
        <v>2.15</v>
      </c>
      <c r="AE153" s="135">
        <f t="shared" si="46"/>
        <v>2.15</v>
      </c>
      <c r="AF153" s="135">
        <f t="shared" si="46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7">AF155</f>
        <v>0.9</v>
      </c>
      <c r="C155" s="136">
        <v>0.9</v>
      </c>
      <c r="D155" s="135">
        <f t="shared" ref="D155:S167" si="48">C155</f>
        <v>0.9</v>
      </c>
      <c r="E155" s="135">
        <f t="shared" si="48"/>
        <v>0.9</v>
      </c>
      <c r="F155" s="135">
        <f t="shared" si="48"/>
        <v>0.9</v>
      </c>
      <c r="G155" s="135">
        <f t="shared" si="48"/>
        <v>0.9</v>
      </c>
      <c r="H155" s="135">
        <f t="shared" si="48"/>
        <v>0.9</v>
      </c>
      <c r="I155" s="135">
        <f t="shared" si="48"/>
        <v>0.9</v>
      </c>
      <c r="J155" s="135">
        <f t="shared" si="48"/>
        <v>0.9</v>
      </c>
      <c r="K155" s="135">
        <f t="shared" si="48"/>
        <v>0.9</v>
      </c>
      <c r="L155" s="135">
        <f t="shared" si="48"/>
        <v>0.9</v>
      </c>
      <c r="M155" s="135">
        <f t="shared" si="48"/>
        <v>0.9</v>
      </c>
      <c r="N155" s="135">
        <f t="shared" si="48"/>
        <v>0.9</v>
      </c>
      <c r="O155" s="135">
        <f t="shared" si="48"/>
        <v>0.9</v>
      </c>
      <c r="P155" s="135">
        <f t="shared" si="48"/>
        <v>0.9</v>
      </c>
      <c r="Q155" s="135">
        <f t="shared" si="48"/>
        <v>0.9</v>
      </c>
      <c r="R155" s="135">
        <f t="shared" si="48"/>
        <v>0.9</v>
      </c>
      <c r="S155" s="135">
        <f t="shared" si="48"/>
        <v>0.9</v>
      </c>
      <c r="T155" s="135">
        <f t="shared" ref="S155:AF167" si="49">S155</f>
        <v>0.9</v>
      </c>
      <c r="U155" s="135">
        <f t="shared" si="49"/>
        <v>0.9</v>
      </c>
      <c r="V155" s="135">
        <f t="shared" si="49"/>
        <v>0.9</v>
      </c>
      <c r="W155" s="135">
        <f t="shared" si="49"/>
        <v>0.9</v>
      </c>
      <c r="X155" s="135">
        <f t="shared" si="49"/>
        <v>0.9</v>
      </c>
      <c r="Y155" s="135">
        <f t="shared" si="49"/>
        <v>0.9</v>
      </c>
      <c r="Z155" s="135">
        <f t="shared" si="49"/>
        <v>0.9</v>
      </c>
      <c r="AA155" s="135">
        <f t="shared" si="49"/>
        <v>0.9</v>
      </c>
      <c r="AB155" s="135">
        <f t="shared" si="49"/>
        <v>0.9</v>
      </c>
      <c r="AC155" s="135">
        <f t="shared" si="49"/>
        <v>0.9</v>
      </c>
      <c r="AD155" s="135">
        <f t="shared" si="49"/>
        <v>0.9</v>
      </c>
      <c r="AE155" s="135">
        <f t="shared" si="49"/>
        <v>0.9</v>
      </c>
      <c r="AF155" s="135">
        <f t="shared" si="49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7"/>
        <v>1.08</v>
      </c>
      <c r="C156" s="136">
        <v>1.08</v>
      </c>
      <c r="D156" s="135">
        <f t="shared" si="48"/>
        <v>1.08</v>
      </c>
      <c r="E156" s="135">
        <f t="shared" si="48"/>
        <v>1.08</v>
      </c>
      <c r="F156" s="135">
        <f t="shared" si="48"/>
        <v>1.08</v>
      </c>
      <c r="G156" s="135">
        <f t="shared" si="48"/>
        <v>1.08</v>
      </c>
      <c r="H156" s="135">
        <f t="shared" si="48"/>
        <v>1.08</v>
      </c>
      <c r="I156" s="135">
        <f t="shared" si="48"/>
        <v>1.08</v>
      </c>
      <c r="J156" s="135">
        <f t="shared" si="48"/>
        <v>1.08</v>
      </c>
      <c r="K156" s="135">
        <f t="shared" si="48"/>
        <v>1.08</v>
      </c>
      <c r="L156" s="135">
        <f t="shared" si="48"/>
        <v>1.08</v>
      </c>
      <c r="M156" s="135">
        <f t="shared" si="48"/>
        <v>1.08</v>
      </c>
      <c r="N156" s="135">
        <f t="shared" si="48"/>
        <v>1.08</v>
      </c>
      <c r="O156" s="135">
        <f t="shared" si="48"/>
        <v>1.08</v>
      </c>
      <c r="P156" s="135">
        <f t="shared" si="48"/>
        <v>1.08</v>
      </c>
      <c r="Q156" s="135">
        <f t="shared" si="48"/>
        <v>1.08</v>
      </c>
      <c r="R156" s="135">
        <f t="shared" si="48"/>
        <v>1.08</v>
      </c>
      <c r="S156" s="135">
        <f t="shared" si="48"/>
        <v>1.08</v>
      </c>
      <c r="T156" s="135">
        <f t="shared" si="49"/>
        <v>1.08</v>
      </c>
      <c r="U156" s="135">
        <f t="shared" si="49"/>
        <v>1.08</v>
      </c>
      <c r="V156" s="135">
        <f t="shared" si="49"/>
        <v>1.08</v>
      </c>
      <c r="W156" s="135">
        <f t="shared" si="49"/>
        <v>1.08</v>
      </c>
      <c r="X156" s="135">
        <f t="shared" si="49"/>
        <v>1.08</v>
      </c>
      <c r="Y156" s="135">
        <f t="shared" si="49"/>
        <v>1.08</v>
      </c>
      <c r="Z156" s="135">
        <f t="shared" si="49"/>
        <v>1.08</v>
      </c>
      <c r="AA156" s="135">
        <f t="shared" si="49"/>
        <v>1.08</v>
      </c>
      <c r="AB156" s="135">
        <f t="shared" si="49"/>
        <v>1.08</v>
      </c>
      <c r="AC156" s="135">
        <f t="shared" si="49"/>
        <v>1.08</v>
      </c>
      <c r="AD156" s="135">
        <f t="shared" si="49"/>
        <v>1.08</v>
      </c>
      <c r="AE156" s="135">
        <f t="shared" si="49"/>
        <v>1.08</v>
      </c>
      <c r="AF156" s="135">
        <f t="shared" si="49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7"/>
        <v>2.37</v>
      </c>
      <c r="C157" s="136">
        <v>2.37</v>
      </c>
      <c r="D157" s="135">
        <f t="shared" si="48"/>
        <v>2.37</v>
      </c>
      <c r="E157" s="135">
        <f t="shared" si="48"/>
        <v>2.37</v>
      </c>
      <c r="F157" s="135">
        <f t="shared" si="48"/>
        <v>2.37</v>
      </c>
      <c r="G157" s="135">
        <f t="shared" si="48"/>
        <v>2.37</v>
      </c>
      <c r="H157" s="135">
        <f t="shared" si="48"/>
        <v>2.37</v>
      </c>
      <c r="I157" s="135">
        <f t="shared" si="48"/>
        <v>2.37</v>
      </c>
      <c r="J157" s="135">
        <f t="shared" si="48"/>
        <v>2.37</v>
      </c>
      <c r="K157" s="135">
        <f t="shared" si="48"/>
        <v>2.37</v>
      </c>
      <c r="L157" s="135">
        <f t="shared" si="48"/>
        <v>2.37</v>
      </c>
      <c r="M157" s="135">
        <f t="shared" si="48"/>
        <v>2.37</v>
      </c>
      <c r="N157" s="135">
        <f t="shared" si="48"/>
        <v>2.37</v>
      </c>
      <c r="O157" s="135">
        <f t="shared" si="48"/>
        <v>2.37</v>
      </c>
      <c r="P157" s="135">
        <f t="shared" si="48"/>
        <v>2.37</v>
      </c>
      <c r="Q157" s="135">
        <f t="shared" si="48"/>
        <v>2.37</v>
      </c>
      <c r="R157" s="135">
        <f t="shared" si="48"/>
        <v>2.37</v>
      </c>
      <c r="S157" s="135">
        <f t="shared" si="48"/>
        <v>2.37</v>
      </c>
      <c r="T157" s="135">
        <f t="shared" si="49"/>
        <v>2.37</v>
      </c>
      <c r="U157" s="135">
        <f t="shared" si="49"/>
        <v>2.37</v>
      </c>
      <c r="V157" s="135">
        <f t="shared" si="49"/>
        <v>2.37</v>
      </c>
      <c r="W157" s="135">
        <f t="shared" si="49"/>
        <v>2.37</v>
      </c>
      <c r="X157" s="135">
        <f t="shared" si="49"/>
        <v>2.37</v>
      </c>
      <c r="Y157" s="135">
        <f t="shared" si="49"/>
        <v>2.37</v>
      </c>
      <c r="Z157" s="135">
        <f t="shared" si="49"/>
        <v>2.37</v>
      </c>
      <c r="AA157" s="135">
        <f t="shared" si="49"/>
        <v>2.37</v>
      </c>
      <c r="AB157" s="135">
        <f t="shared" si="49"/>
        <v>2.37</v>
      </c>
      <c r="AC157" s="135">
        <f t="shared" si="49"/>
        <v>2.37</v>
      </c>
      <c r="AD157" s="135">
        <f t="shared" si="49"/>
        <v>2.37</v>
      </c>
      <c r="AE157" s="135">
        <f t="shared" si="49"/>
        <v>2.37</v>
      </c>
      <c r="AF157" s="135">
        <f t="shared" si="49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7"/>
        <v>1.81</v>
      </c>
      <c r="C158" s="136">
        <v>1.81</v>
      </c>
      <c r="D158" s="135">
        <f t="shared" si="48"/>
        <v>1.81</v>
      </c>
      <c r="E158" s="135">
        <f t="shared" si="48"/>
        <v>1.81</v>
      </c>
      <c r="F158" s="135">
        <f t="shared" si="48"/>
        <v>1.81</v>
      </c>
      <c r="G158" s="135">
        <f t="shared" si="48"/>
        <v>1.81</v>
      </c>
      <c r="H158" s="135">
        <f t="shared" si="48"/>
        <v>1.81</v>
      </c>
      <c r="I158" s="135">
        <f t="shared" si="48"/>
        <v>1.81</v>
      </c>
      <c r="J158" s="135">
        <f t="shared" si="48"/>
        <v>1.81</v>
      </c>
      <c r="K158" s="135">
        <f t="shared" si="48"/>
        <v>1.81</v>
      </c>
      <c r="L158" s="135">
        <f t="shared" si="48"/>
        <v>1.81</v>
      </c>
      <c r="M158" s="135">
        <f t="shared" si="48"/>
        <v>1.81</v>
      </c>
      <c r="N158" s="135">
        <f t="shared" si="48"/>
        <v>1.81</v>
      </c>
      <c r="O158" s="135">
        <f t="shared" si="48"/>
        <v>1.81</v>
      </c>
      <c r="P158" s="135">
        <f t="shared" si="48"/>
        <v>1.81</v>
      </c>
      <c r="Q158" s="135">
        <f t="shared" si="48"/>
        <v>1.81</v>
      </c>
      <c r="R158" s="135">
        <f t="shared" si="48"/>
        <v>1.81</v>
      </c>
      <c r="S158" s="135">
        <f t="shared" si="48"/>
        <v>1.81</v>
      </c>
      <c r="T158" s="135">
        <f t="shared" si="49"/>
        <v>1.81</v>
      </c>
      <c r="U158" s="135">
        <f t="shared" si="49"/>
        <v>1.81</v>
      </c>
      <c r="V158" s="135">
        <f t="shared" si="49"/>
        <v>1.81</v>
      </c>
      <c r="W158" s="135">
        <f t="shared" si="49"/>
        <v>1.81</v>
      </c>
      <c r="X158" s="135">
        <f t="shared" si="49"/>
        <v>1.81</v>
      </c>
      <c r="Y158" s="135">
        <f t="shared" si="49"/>
        <v>1.81</v>
      </c>
      <c r="Z158" s="135">
        <f t="shared" si="49"/>
        <v>1.81</v>
      </c>
      <c r="AA158" s="135">
        <f t="shared" si="49"/>
        <v>1.81</v>
      </c>
      <c r="AB158" s="135">
        <f t="shared" si="49"/>
        <v>1.81</v>
      </c>
      <c r="AC158" s="135">
        <f t="shared" si="49"/>
        <v>1.81</v>
      </c>
      <c r="AD158" s="135">
        <f t="shared" si="49"/>
        <v>1.81</v>
      </c>
      <c r="AE158" s="135">
        <f t="shared" si="49"/>
        <v>1.81</v>
      </c>
      <c r="AF158" s="135">
        <f t="shared" si="49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7"/>
        <v>1.0900000000000001</v>
      </c>
      <c r="C159" s="136">
        <v>1.0900000000000001</v>
      </c>
      <c r="D159" s="135">
        <f t="shared" si="48"/>
        <v>1.0900000000000001</v>
      </c>
      <c r="E159" s="135">
        <f t="shared" si="48"/>
        <v>1.0900000000000001</v>
      </c>
      <c r="F159" s="135">
        <f t="shared" si="48"/>
        <v>1.0900000000000001</v>
      </c>
      <c r="G159" s="135">
        <f t="shared" si="48"/>
        <v>1.0900000000000001</v>
      </c>
      <c r="H159" s="135">
        <f t="shared" si="48"/>
        <v>1.0900000000000001</v>
      </c>
      <c r="I159" s="135">
        <f t="shared" si="48"/>
        <v>1.0900000000000001</v>
      </c>
      <c r="J159" s="135">
        <f t="shared" si="48"/>
        <v>1.0900000000000001</v>
      </c>
      <c r="K159" s="135">
        <f t="shared" si="48"/>
        <v>1.0900000000000001</v>
      </c>
      <c r="L159" s="135">
        <f t="shared" si="48"/>
        <v>1.0900000000000001</v>
      </c>
      <c r="M159" s="135">
        <f t="shared" si="48"/>
        <v>1.0900000000000001</v>
      </c>
      <c r="N159" s="135">
        <f t="shared" si="48"/>
        <v>1.0900000000000001</v>
      </c>
      <c r="O159" s="135">
        <f t="shared" si="48"/>
        <v>1.0900000000000001</v>
      </c>
      <c r="P159" s="135">
        <f t="shared" si="48"/>
        <v>1.0900000000000001</v>
      </c>
      <c r="Q159" s="135">
        <f t="shared" si="48"/>
        <v>1.0900000000000001</v>
      </c>
      <c r="R159" s="135">
        <f t="shared" si="48"/>
        <v>1.0900000000000001</v>
      </c>
      <c r="S159" s="135">
        <f t="shared" si="48"/>
        <v>1.0900000000000001</v>
      </c>
      <c r="T159" s="135">
        <f t="shared" si="49"/>
        <v>1.0900000000000001</v>
      </c>
      <c r="U159" s="135">
        <f t="shared" si="49"/>
        <v>1.0900000000000001</v>
      </c>
      <c r="V159" s="135">
        <f t="shared" si="49"/>
        <v>1.0900000000000001</v>
      </c>
      <c r="W159" s="135">
        <f t="shared" si="49"/>
        <v>1.0900000000000001</v>
      </c>
      <c r="X159" s="135">
        <f t="shared" si="49"/>
        <v>1.0900000000000001</v>
      </c>
      <c r="Y159" s="135">
        <f t="shared" si="49"/>
        <v>1.0900000000000001</v>
      </c>
      <c r="Z159" s="135">
        <f t="shared" si="49"/>
        <v>1.0900000000000001</v>
      </c>
      <c r="AA159" s="135">
        <f t="shared" si="49"/>
        <v>1.0900000000000001</v>
      </c>
      <c r="AB159" s="135">
        <f t="shared" si="49"/>
        <v>1.0900000000000001</v>
      </c>
      <c r="AC159" s="135">
        <f t="shared" si="49"/>
        <v>1.0900000000000001</v>
      </c>
      <c r="AD159" s="135">
        <f t="shared" si="49"/>
        <v>1.0900000000000001</v>
      </c>
      <c r="AE159" s="135">
        <f t="shared" si="49"/>
        <v>1.0900000000000001</v>
      </c>
      <c r="AF159" s="135">
        <f t="shared" si="49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7"/>
        <v>1.58</v>
      </c>
      <c r="C160" s="136">
        <v>1.58</v>
      </c>
      <c r="D160" s="135">
        <f t="shared" si="48"/>
        <v>1.58</v>
      </c>
      <c r="E160" s="135">
        <f t="shared" si="48"/>
        <v>1.58</v>
      </c>
      <c r="F160" s="135">
        <f t="shared" si="48"/>
        <v>1.58</v>
      </c>
      <c r="G160" s="135">
        <f t="shared" si="48"/>
        <v>1.58</v>
      </c>
      <c r="H160" s="135">
        <f t="shared" si="48"/>
        <v>1.58</v>
      </c>
      <c r="I160" s="135">
        <f t="shared" si="48"/>
        <v>1.58</v>
      </c>
      <c r="J160" s="135">
        <f t="shared" si="48"/>
        <v>1.58</v>
      </c>
      <c r="K160" s="135">
        <f t="shared" si="48"/>
        <v>1.58</v>
      </c>
      <c r="L160" s="135">
        <f t="shared" si="48"/>
        <v>1.58</v>
      </c>
      <c r="M160" s="135">
        <f t="shared" si="48"/>
        <v>1.58</v>
      </c>
      <c r="N160" s="135">
        <f t="shared" si="48"/>
        <v>1.58</v>
      </c>
      <c r="O160" s="135">
        <f t="shared" si="48"/>
        <v>1.58</v>
      </c>
      <c r="P160" s="135">
        <f t="shared" si="48"/>
        <v>1.58</v>
      </c>
      <c r="Q160" s="135">
        <f t="shared" si="48"/>
        <v>1.58</v>
      </c>
      <c r="R160" s="135">
        <f t="shared" si="48"/>
        <v>1.58</v>
      </c>
      <c r="S160" s="135">
        <f t="shared" si="48"/>
        <v>1.58</v>
      </c>
      <c r="T160" s="135">
        <f t="shared" si="49"/>
        <v>1.58</v>
      </c>
      <c r="U160" s="135">
        <f t="shared" si="49"/>
        <v>1.58</v>
      </c>
      <c r="V160" s="135">
        <f t="shared" si="49"/>
        <v>1.58</v>
      </c>
      <c r="W160" s="135">
        <f t="shared" si="49"/>
        <v>1.58</v>
      </c>
      <c r="X160" s="135">
        <f t="shared" si="49"/>
        <v>1.58</v>
      </c>
      <c r="Y160" s="135">
        <f t="shared" si="49"/>
        <v>1.58</v>
      </c>
      <c r="Z160" s="135">
        <f t="shared" si="49"/>
        <v>1.58</v>
      </c>
      <c r="AA160" s="135">
        <f t="shared" si="49"/>
        <v>1.58</v>
      </c>
      <c r="AB160" s="135">
        <f t="shared" si="49"/>
        <v>1.58</v>
      </c>
      <c r="AC160" s="135">
        <f t="shared" si="49"/>
        <v>1.58</v>
      </c>
      <c r="AD160" s="135">
        <f t="shared" si="49"/>
        <v>1.58</v>
      </c>
      <c r="AE160" s="135">
        <f t="shared" si="49"/>
        <v>1.58</v>
      </c>
      <c r="AF160" s="135">
        <f t="shared" si="49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7"/>
        <v>2</v>
      </c>
      <c r="C161" s="136">
        <v>2</v>
      </c>
      <c r="D161" s="135">
        <f t="shared" si="48"/>
        <v>2</v>
      </c>
      <c r="E161" s="135">
        <f t="shared" si="48"/>
        <v>2</v>
      </c>
      <c r="F161" s="135">
        <f t="shared" si="48"/>
        <v>2</v>
      </c>
      <c r="G161" s="135">
        <f t="shared" si="48"/>
        <v>2</v>
      </c>
      <c r="H161" s="135">
        <f t="shared" si="48"/>
        <v>2</v>
      </c>
      <c r="I161" s="135">
        <f t="shared" si="48"/>
        <v>2</v>
      </c>
      <c r="J161" s="135">
        <f t="shared" si="48"/>
        <v>2</v>
      </c>
      <c r="K161" s="135">
        <f t="shared" si="48"/>
        <v>2</v>
      </c>
      <c r="L161" s="135">
        <f t="shared" si="48"/>
        <v>2</v>
      </c>
      <c r="M161" s="135">
        <f t="shared" si="48"/>
        <v>2</v>
      </c>
      <c r="N161" s="135">
        <f t="shared" si="48"/>
        <v>2</v>
      </c>
      <c r="O161" s="135">
        <f t="shared" si="48"/>
        <v>2</v>
      </c>
      <c r="P161" s="135">
        <f t="shared" si="48"/>
        <v>2</v>
      </c>
      <c r="Q161" s="135">
        <f t="shared" si="48"/>
        <v>2</v>
      </c>
      <c r="R161" s="135">
        <f t="shared" si="48"/>
        <v>2</v>
      </c>
      <c r="S161" s="135">
        <f t="shared" si="48"/>
        <v>2</v>
      </c>
      <c r="T161" s="135">
        <f t="shared" si="49"/>
        <v>2</v>
      </c>
      <c r="U161" s="135">
        <f t="shared" si="49"/>
        <v>2</v>
      </c>
      <c r="V161" s="135">
        <f t="shared" si="49"/>
        <v>2</v>
      </c>
      <c r="W161" s="135">
        <f t="shared" si="49"/>
        <v>2</v>
      </c>
      <c r="X161" s="135">
        <f t="shared" si="49"/>
        <v>2</v>
      </c>
      <c r="Y161" s="135">
        <f t="shared" si="49"/>
        <v>2</v>
      </c>
      <c r="Z161" s="135">
        <f t="shared" si="49"/>
        <v>2</v>
      </c>
      <c r="AA161" s="135">
        <f t="shared" si="49"/>
        <v>2</v>
      </c>
      <c r="AB161" s="135">
        <f t="shared" si="49"/>
        <v>2</v>
      </c>
      <c r="AC161" s="135">
        <f t="shared" si="49"/>
        <v>2</v>
      </c>
      <c r="AD161" s="135">
        <f t="shared" si="49"/>
        <v>2</v>
      </c>
      <c r="AE161" s="135">
        <f t="shared" si="49"/>
        <v>2</v>
      </c>
      <c r="AF161" s="135">
        <f t="shared" si="49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7"/>
        <v>0.47</v>
      </c>
      <c r="C162" s="136">
        <v>0.47</v>
      </c>
      <c r="D162" s="135">
        <f t="shared" si="48"/>
        <v>0.47</v>
      </c>
      <c r="E162" s="135">
        <f t="shared" si="48"/>
        <v>0.47</v>
      </c>
      <c r="F162" s="135">
        <f t="shared" si="48"/>
        <v>0.47</v>
      </c>
      <c r="G162" s="135">
        <f t="shared" si="48"/>
        <v>0.47</v>
      </c>
      <c r="H162" s="135">
        <f t="shared" si="48"/>
        <v>0.47</v>
      </c>
      <c r="I162" s="135">
        <f t="shared" si="48"/>
        <v>0.47</v>
      </c>
      <c r="J162" s="135">
        <f t="shared" si="48"/>
        <v>0.47</v>
      </c>
      <c r="K162" s="135">
        <f t="shared" si="48"/>
        <v>0.47</v>
      </c>
      <c r="L162" s="135">
        <f t="shared" si="48"/>
        <v>0.47</v>
      </c>
      <c r="M162" s="135">
        <f t="shared" si="48"/>
        <v>0.47</v>
      </c>
      <c r="N162" s="135">
        <f t="shared" si="48"/>
        <v>0.47</v>
      </c>
      <c r="O162" s="135">
        <f t="shared" si="48"/>
        <v>0.47</v>
      </c>
      <c r="P162" s="135">
        <f t="shared" si="48"/>
        <v>0.47</v>
      </c>
      <c r="Q162" s="135">
        <f t="shared" si="48"/>
        <v>0.47</v>
      </c>
      <c r="R162" s="135">
        <f t="shared" si="48"/>
        <v>0.47</v>
      </c>
      <c r="S162" s="135">
        <f t="shared" si="48"/>
        <v>0.47</v>
      </c>
      <c r="T162" s="135">
        <f t="shared" si="49"/>
        <v>0.47</v>
      </c>
      <c r="U162" s="135">
        <f t="shared" si="49"/>
        <v>0.47</v>
      </c>
      <c r="V162" s="135">
        <f t="shared" si="49"/>
        <v>0.47</v>
      </c>
      <c r="W162" s="135">
        <f t="shared" si="49"/>
        <v>0.47</v>
      </c>
      <c r="X162" s="135">
        <f t="shared" si="49"/>
        <v>0.47</v>
      </c>
      <c r="Y162" s="135">
        <f t="shared" si="49"/>
        <v>0.47</v>
      </c>
      <c r="Z162" s="135">
        <f t="shared" si="49"/>
        <v>0.47</v>
      </c>
      <c r="AA162" s="135">
        <f t="shared" si="49"/>
        <v>0.47</v>
      </c>
      <c r="AB162" s="135">
        <f t="shared" si="49"/>
        <v>0.47</v>
      </c>
      <c r="AC162" s="135">
        <f t="shared" si="49"/>
        <v>0.47</v>
      </c>
      <c r="AD162" s="135">
        <f t="shared" si="49"/>
        <v>0.47</v>
      </c>
      <c r="AE162" s="135">
        <f t="shared" si="49"/>
        <v>0.47</v>
      </c>
      <c r="AF162" s="135">
        <f t="shared" si="49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7"/>
        <v>0</v>
      </c>
      <c r="C163" s="136">
        <v>0</v>
      </c>
      <c r="D163" s="135">
        <f t="shared" si="48"/>
        <v>0</v>
      </c>
      <c r="E163" s="135">
        <f t="shared" si="48"/>
        <v>0</v>
      </c>
      <c r="F163" s="135">
        <f t="shared" si="48"/>
        <v>0</v>
      </c>
      <c r="G163" s="135">
        <f t="shared" si="48"/>
        <v>0</v>
      </c>
      <c r="H163" s="135">
        <f t="shared" si="48"/>
        <v>0</v>
      </c>
      <c r="I163" s="135">
        <f t="shared" si="48"/>
        <v>0</v>
      </c>
      <c r="J163" s="135">
        <f t="shared" si="48"/>
        <v>0</v>
      </c>
      <c r="K163" s="135">
        <f t="shared" si="48"/>
        <v>0</v>
      </c>
      <c r="L163" s="135">
        <f t="shared" si="48"/>
        <v>0</v>
      </c>
      <c r="M163" s="135">
        <f t="shared" si="48"/>
        <v>0</v>
      </c>
      <c r="N163" s="135">
        <f t="shared" si="48"/>
        <v>0</v>
      </c>
      <c r="O163" s="135">
        <f t="shared" si="48"/>
        <v>0</v>
      </c>
      <c r="P163" s="135">
        <f t="shared" si="48"/>
        <v>0</v>
      </c>
      <c r="Q163" s="135">
        <f t="shared" si="48"/>
        <v>0</v>
      </c>
      <c r="R163" s="135">
        <f t="shared" si="48"/>
        <v>0</v>
      </c>
      <c r="S163" s="135">
        <f t="shared" si="48"/>
        <v>0</v>
      </c>
      <c r="T163" s="135">
        <f t="shared" si="49"/>
        <v>0</v>
      </c>
      <c r="U163" s="135">
        <f t="shared" si="49"/>
        <v>0</v>
      </c>
      <c r="V163" s="135">
        <f t="shared" si="49"/>
        <v>0</v>
      </c>
      <c r="W163" s="135">
        <f t="shared" si="49"/>
        <v>0</v>
      </c>
      <c r="X163" s="135">
        <f t="shared" si="49"/>
        <v>0</v>
      </c>
      <c r="Y163" s="135">
        <f t="shared" si="49"/>
        <v>0</v>
      </c>
      <c r="Z163" s="135">
        <f t="shared" si="49"/>
        <v>0</v>
      </c>
      <c r="AA163" s="135">
        <f t="shared" si="49"/>
        <v>0</v>
      </c>
      <c r="AB163" s="135">
        <f t="shared" si="49"/>
        <v>0</v>
      </c>
      <c r="AC163" s="135">
        <f t="shared" si="49"/>
        <v>0</v>
      </c>
      <c r="AD163" s="135">
        <f t="shared" si="49"/>
        <v>0</v>
      </c>
      <c r="AE163" s="135">
        <f t="shared" si="49"/>
        <v>0</v>
      </c>
      <c r="AF163" s="135">
        <f t="shared" si="49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7"/>
        <v>0</v>
      </c>
      <c r="C164" s="136">
        <v>0</v>
      </c>
      <c r="D164" s="135">
        <f t="shared" si="48"/>
        <v>0</v>
      </c>
      <c r="E164" s="135">
        <f t="shared" si="48"/>
        <v>0</v>
      </c>
      <c r="F164" s="135">
        <f t="shared" si="48"/>
        <v>0</v>
      </c>
      <c r="G164" s="135">
        <f t="shared" si="48"/>
        <v>0</v>
      </c>
      <c r="H164" s="135">
        <f t="shared" si="48"/>
        <v>0</v>
      </c>
      <c r="I164" s="135">
        <f t="shared" si="48"/>
        <v>0</v>
      </c>
      <c r="J164" s="135">
        <f t="shared" si="48"/>
        <v>0</v>
      </c>
      <c r="K164" s="135">
        <f t="shared" si="48"/>
        <v>0</v>
      </c>
      <c r="L164" s="135">
        <f t="shared" si="48"/>
        <v>0</v>
      </c>
      <c r="M164" s="135">
        <f t="shared" si="48"/>
        <v>0</v>
      </c>
      <c r="N164" s="135">
        <f t="shared" si="48"/>
        <v>0</v>
      </c>
      <c r="O164" s="135">
        <f t="shared" si="48"/>
        <v>0</v>
      </c>
      <c r="P164" s="135">
        <f t="shared" si="48"/>
        <v>0</v>
      </c>
      <c r="Q164" s="135">
        <f t="shared" si="48"/>
        <v>0</v>
      </c>
      <c r="R164" s="135">
        <f t="shared" si="48"/>
        <v>0</v>
      </c>
      <c r="S164" s="135">
        <f t="shared" si="49"/>
        <v>0</v>
      </c>
      <c r="T164" s="135">
        <f t="shared" si="49"/>
        <v>0</v>
      </c>
      <c r="U164" s="135">
        <f t="shared" si="49"/>
        <v>0</v>
      </c>
      <c r="V164" s="135">
        <f t="shared" si="49"/>
        <v>0</v>
      </c>
      <c r="W164" s="135">
        <f t="shared" si="49"/>
        <v>0</v>
      </c>
      <c r="X164" s="135">
        <f t="shared" si="49"/>
        <v>0</v>
      </c>
      <c r="Y164" s="135">
        <f t="shared" si="49"/>
        <v>0</v>
      </c>
      <c r="Z164" s="135">
        <f t="shared" si="49"/>
        <v>0</v>
      </c>
      <c r="AA164" s="135">
        <f t="shared" si="49"/>
        <v>0</v>
      </c>
      <c r="AB164" s="135">
        <f t="shared" si="49"/>
        <v>0</v>
      </c>
      <c r="AC164" s="135">
        <f t="shared" si="49"/>
        <v>0</v>
      </c>
      <c r="AD164" s="135">
        <f t="shared" si="49"/>
        <v>0</v>
      </c>
      <c r="AE164" s="135">
        <f t="shared" si="49"/>
        <v>0</v>
      </c>
      <c r="AF164" s="135">
        <f t="shared" si="49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7"/>
        <v>0.8</v>
      </c>
      <c r="C165" s="136">
        <v>0.8</v>
      </c>
      <c r="D165" s="135">
        <f t="shared" si="48"/>
        <v>0.8</v>
      </c>
      <c r="E165" s="135">
        <f t="shared" si="48"/>
        <v>0.8</v>
      </c>
      <c r="F165" s="135">
        <f t="shared" si="48"/>
        <v>0.8</v>
      </c>
      <c r="G165" s="135">
        <f t="shared" si="48"/>
        <v>0.8</v>
      </c>
      <c r="H165" s="135">
        <f t="shared" si="48"/>
        <v>0.8</v>
      </c>
      <c r="I165" s="135">
        <f t="shared" si="48"/>
        <v>0.8</v>
      </c>
      <c r="J165" s="135">
        <f t="shared" si="48"/>
        <v>0.8</v>
      </c>
      <c r="K165" s="135">
        <f t="shared" si="48"/>
        <v>0.8</v>
      </c>
      <c r="L165" s="135">
        <f t="shared" si="48"/>
        <v>0.8</v>
      </c>
      <c r="M165" s="135">
        <f t="shared" si="48"/>
        <v>0.8</v>
      </c>
      <c r="N165" s="135">
        <f t="shared" si="48"/>
        <v>0.8</v>
      </c>
      <c r="O165" s="135">
        <f t="shared" si="48"/>
        <v>0.8</v>
      </c>
      <c r="P165" s="135">
        <f t="shared" si="48"/>
        <v>0.8</v>
      </c>
      <c r="Q165" s="135">
        <f t="shared" si="48"/>
        <v>0.8</v>
      </c>
      <c r="R165" s="135">
        <f t="shared" si="48"/>
        <v>0.8</v>
      </c>
      <c r="S165" s="135">
        <f t="shared" si="49"/>
        <v>0.8</v>
      </c>
      <c r="T165" s="135">
        <f t="shared" si="49"/>
        <v>0.8</v>
      </c>
      <c r="U165" s="135">
        <f t="shared" si="49"/>
        <v>0.8</v>
      </c>
      <c r="V165" s="135">
        <f t="shared" si="49"/>
        <v>0.8</v>
      </c>
      <c r="W165" s="135">
        <f t="shared" si="49"/>
        <v>0.8</v>
      </c>
      <c r="X165" s="135">
        <f t="shared" si="49"/>
        <v>0.8</v>
      </c>
      <c r="Y165" s="135">
        <f t="shared" si="49"/>
        <v>0.8</v>
      </c>
      <c r="Z165" s="135">
        <f t="shared" si="49"/>
        <v>0.8</v>
      </c>
      <c r="AA165" s="135">
        <f t="shared" si="49"/>
        <v>0.8</v>
      </c>
      <c r="AB165" s="135">
        <f t="shared" si="49"/>
        <v>0.8</v>
      </c>
      <c r="AC165" s="135">
        <f t="shared" si="49"/>
        <v>0.8</v>
      </c>
      <c r="AD165" s="135">
        <f t="shared" si="49"/>
        <v>0.8</v>
      </c>
      <c r="AE165" s="135">
        <f t="shared" si="49"/>
        <v>0.8</v>
      </c>
      <c r="AF165" s="135">
        <f t="shared" si="49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7"/>
        <v>1.5</v>
      </c>
      <c r="C166" s="136">
        <v>1.5</v>
      </c>
      <c r="D166" s="135">
        <f t="shared" si="48"/>
        <v>1.5</v>
      </c>
      <c r="E166" s="135">
        <f t="shared" si="48"/>
        <v>1.5</v>
      </c>
      <c r="F166" s="135">
        <f t="shared" si="48"/>
        <v>1.5</v>
      </c>
      <c r="G166" s="135">
        <f t="shared" si="48"/>
        <v>1.5</v>
      </c>
      <c r="H166" s="135">
        <f t="shared" si="48"/>
        <v>1.5</v>
      </c>
      <c r="I166" s="135">
        <f t="shared" si="48"/>
        <v>1.5</v>
      </c>
      <c r="J166" s="135">
        <f t="shared" si="48"/>
        <v>1.5</v>
      </c>
      <c r="K166" s="135">
        <f t="shared" si="48"/>
        <v>1.5</v>
      </c>
      <c r="L166" s="135">
        <f t="shared" si="48"/>
        <v>1.5</v>
      </c>
      <c r="M166" s="135">
        <f t="shared" si="48"/>
        <v>1.5</v>
      </c>
      <c r="N166" s="135">
        <f t="shared" si="48"/>
        <v>1.5</v>
      </c>
      <c r="O166" s="135">
        <f t="shared" si="48"/>
        <v>1.5</v>
      </c>
      <c r="P166" s="135">
        <f t="shared" si="48"/>
        <v>1.5</v>
      </c>
      <c r="Q166" s="135">
        <f t="shared" si="48"/>
        <v>1.5</v>
      </c>
      <c r="R166" s="135">
        <f t="shared" si="48"/>
        <v>1.5</v>
      </c>
      <c r="S166" s="135">
        <f t="shared" si="49"/>
        <v>1.5</v>
      </c>
      <c r="T166" s="135">
        <f t="shared" si="49"/>
        <v>1.5</v>
      </c>
      <c r="U166" s="135">
        <f t="shared" si="49"/>
        <v>1.5</v>
      </c>
      <c r="V166" s="135">
        <f t="shared" si="49"/>
        <v>1.5</v>
      </c>
      <c r="W166" s="135">
        <f t="shared" si="49"/>
        <v>1.5</v>
      </c>
      <c r="X166" s="135">
        <f t="shared" si="49"/>
        <v>1.5</v>
      </c>
      <c r="Y166" s="135">
        <f t="shared" si="49"/>
        <v>1.5</v>
      </c>
      <c r="Z166" s="135">
        <f t="shared" si="49"/>
        <v>1.5</v>
      </c>
      <c r="AA166" s="135">
        <f t="shared" si="49"/>
        <v>1.5</v>
      </c>
      <c r="AB166" s="135">
        <f t="shared" si="49"/>
        <v>1.5</v>
      </c>
      <c r="AC166" s="135">
        <f t="shared" si="49"/>
        <v>1.5</v>
      </c>
      <c r="AD166" s="135">
        <f t="shared" si="49"/>
        <v>1.5</v>
      </c>
      <c r="AE166" s="135">
        <f t="shared" si="49"/>
        <v>1.5</v>
      </c>
      <c r="AF166" s="135">
        <f t="shared" si="49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7"/>
        <v>1</v>
      </c>
      <c r="C167" s="136">
        <v>1</v>
      </c>
      <c r="D167" s="135">
        <f t="shared" si="48"/>
        <v>1</v>
      </c>
      <c r="E167" s="135">
        <f t="shared" si="48"/>
        <v>1</v>
      </c>
      <c r="F167" s="135">
        <f t="shared" si="48"/>
        <v>1</v>
      </c>
      <c r="G167" s="135">
        <f t="shared" si="48"/>
        <v>1</v>
      </c>
      <c r="H167" s="135">
        <f t="shared" si="48"/>
        <v>1</v>
      </c>
      <c r="I167" s="135">
        <f t="shared" si="48"/>
        <v>1</v>
      </c>
      <c r="J167" s="135">
        <f t="shared" si="48"/>
        <v>1</v>
      </c>
      <c r="K167" s="135">
        <f t="shared" si="48"/>
        <v>1</v>
      </c>
      <c r="L167" s="135">
        <f t="shared" si="48"/>
        <v>1</v>
      </c>
      <c r="M167" s="135">
        <f t="shared" si="48"/>
        <v>1</v>
      </c>
      <c r="N167" s="135">
        <f t="shared" si="48"/>
        <v>1</v>
      </c>
      <c r="O167" s="135">
        <f t="shared" si="48"/>
        <v>1</v>
      </c>
      <c r="P167" s="135">
        <f t="shared" si="48"/>
        <v>1</v>
      </c>
      <c r="Q167" s="135">
        <f t="shared" si="48"/>
        <v>1</v>
      </c>
      <c r="R167" s="135">
        <f t="shared" si="48"/>
        <v>1</v>
      </c>
      <c r="S167" s="135">
        <f t="shared" si="49"/>
        <v>1</v>
      </c>
      <c r="T167" s="135">
        <f t="shared" si="49"/>
        <v>1</v>
      </c>
      <c r="U167" s="135">
        <f t="shared" si="49"/>
        <v>1</v>
      </c>
      <c r="V167" s="135">
        <f t="shared" si="49"/>
        <v>1</v>
      </c>
      <c r="W167" s="135">
        <f t="shared" si="49"/>
        <v>1</v>
      </c>
      <c r="X167" s="135">
        <f t="shared" si="49"/>
        <v>1</v>
      </c>
      <c r="Y167" s="135">
        <f t="shared" si="49"/>
        <v>1</v>
      </c>
      <c r="Z167" s="135">
        <f t="shared" si="49"/>
        <v>1</v>
      </c>
      <c r="AA167" s="135">
        <f t="shared" si="49"/>
        <v>1</v>
      </c>
      <c r="AB167" s="135">
        <f t="shared" si="49"/>
        <v>1</v>
      </c>
      <c r="AC167" s="135">
        <f t="shared" si="49"/>
        <v>1</v>
      </c>
      <c r="AD167" s="135">
        <f t="shared" si="49"/>
        <v>1</v>
      </c>
      <c r="AE167" s="135">
        <f t="shared" si="49"/>
        <v>1</v>
      </c>
      <c r="AF167" s="135">
        <f t="shared" si="49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50">AF169</f>
        <v>1</v>
      </c>
      <c r="C169" s="136">
        <v>1</v>
      </c>
      <c r="D169" s="135">
        <f t="shared" ref="D169:S176" si="51">C169</f>
        <v>1</v>
      </c>
      <c r="E169" s="135">
        <f t="shared" si="51"/>
        <v>1</v>
      </c>
      <c r="F169" s="135">
        <f t="shared" si="51"/>
        <v>1</v>
      </c>
      <c r="G169" s="135">
        <f t="shared" si="51"/>
        <v>1</v>
      </c>
      <c r="H169" s="135">
        <f t="shared" si="51"/>
        <v>1</v>
      </c>
      <c r="I169" s="135">
        <f t="shared" si="51"/>
        <v>1</v>
      </c>
      <c r="J169" s="135">
        <f t="shared" si="51"/>
        <v>1</v>
      </c>
      <c r="K169" s="135">
        <f t="shared" si="51"/>
        <v>1</v>
      </c>
      <c r="L169" s="135">
        <f t="shared" si="51"/>
        <v>1</v>
      </c>
      <c r="M169" s="135">
        <f t="shared" si="51"/>
        <v>1</v>
      </c>
      <c r="N169" s="135">
        <f t="shared" si="51"/>
        <v>1</v>
      </c>
      <c r="O169" s="135">
        <f t="shared" si="51"/>
        <v>1</v>
      </c>
      <c r="P169" s="135">
        <f t="shared" si="51"/>
        <v>1</v>
      </c>
      <c r="Q169" s="135">
        <f t="shared" si="51"/>
        <v>1</v>
      </c>
      <c r="R169" s="135">
        <f t="shared" si="51"/>
        <v>1</v>
      </c>
      <c r="S169" s="135">
        <f t="shared" si="51"/>
        <v>1</v>
      </c>
      <c r="T169" s="135">
        <f t="shared" ref="S169:AF176" si="52">S169</f>
        <v>1</v>
      </c>
      <c r="U169" s="135">
        <f t="shared" si="52"/>
        <v>1</v>
      </c>
      <c r="V169" s="135">
        <f t="shared" si="52"/>
        <v>1</v>
      </c>
      <c r="W169" s="135">
        <f t="shared" si="52"/>
        <v>1</v>
      </c>
      <c r="X169" s="135">
        <f t="shared" si="52"/>
        <v>1</v>
      </c>
      <c r="Y169" s="135">
        <f t="shared" si="52"/>
        <v>1</v>
      </c>
      <c r="Z169" s="135">
        <f t="shared" si="52"/>
        <v>1</v>
      </c>
      <c r="AA169" s="135">
        <f t="shared" si="52"/>
        <v>1</v>
      </c>
      <c r="AB169" s="135">
        <f t="shared" si="52"/>
        <v>1</v>
      </c>
      <c r="AC169" s="135">
        <f t="shared" si="52"/>
        <v>1</v>
      </c>
      <c r="AD169" s="135">
        <f t="shared" si="52"/>
        <v>1</v>
      </c>
      <c r="AE169" s="135">
        <f t="shared" si="52"/>
        <v>1</v>
      </c>
      <c r="AF169" s="135">
        <f t="shared" si="52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50"/>
        <v>0.42</v>
      </c>
      <c r="C170" s="136">
        <v>0.42</v>
      </c>
      <c r="D170" s="135">
        <f t="shared" si="51"/>
        <v>0.42</v>
      </c>
      <c r="E170" s="135">
        <f t="shared" si="51"/>
        <v>0.42</v>
      </c>
      <c r="F170" s="135">
        <f t="shared" si="51"/>
        <v>0.42</v>
      </c>
      <c r="G170" s="135">
        <f t="shared" si="51"/>
        <v>0.42</v>
      </c>
      <c r="H170" s="135">
        <f t="shared" si="51"/>
        <v>0.42</v>
      </c>
      <c r="I170" s="135">
        <f t="shared" si="51"/>
        <v>0.42</v>
      </c>
      <c r="J170" s="135">
        <f t="shared" si="51"/>
        <v>0.42</v>
      </c>
      <c r="K170" s="135">
        <f t="shared" si="51"/>
        <v>0.42</v>
      </c>
      <c r="L170" s="135">
        <f t="shared" si="51"/>
        <v>0.42</v>
      </c>
      <c r="M170" s="135">
        <f t="shared" si="51"/>
        <v>0.42</v>
      </c>
      <c r="N170" s="135">
        <f t="shared" si="51"/>
        <v>0.42</v>
      </c>
      <c r="O170" s="135">
        <f t="shared" si="51"/>
        <v>0.42</v>
      </c>
      <c r="P170" s="135">
        <f t="shared" si="51"/>
        <v>0.42</v>
      </c>
      <c r="Q170" s="135">
        <f t="shared" si="51"/>
        <v>0.42</v>
      </c>
      <c r="R170" s="135">
        <f t="shared" si="51"/>
        <v>0.42</v>
      </c>
      <c r="S170" s="135">
        <f t="shared" si="52"/>
        <v>0.42</v>
      </c>
      <c r="T170" s="135">
        <f t="shared" si="52"/>
        <v>0.42</v>
      </c>
      <c r="U170" s="135">
        <f t="shared" si="52"/>
        <v>0.42</v>
      </c>
      <c r="V170" s="135">
        <f t="shared" si="52"/>
        <v>0.42</v>
      </c>
      <c r="W170" s="135">
        <f t="shared" si="52"/>
        <v>0.42</v>
      </c>
      <c r="X170" s="135">
        <f t="shared" si="52"/>
        <v>0.42</v>
      </c>
      <c r="Y170" s="135">
        <f t="shared" si="52"/>
        <v>0.42</v>
      </c>
      <c r="Z170" s="135">
        <f t="shared" si="52"/>
        <v>0.42</v>
      </c>
      <c r="AA170" s="135">
        <f t="shared" si="52"/>
        <v>0.42</v>
      </c>
      <c r="AB170" s="135">
        <f t="shared" si="52"/>
        <v>0.42</v>
      </c>
      <c r="AC170" s="135">
        <f t="shared" si="52"/>
        <v>0.42</v>
      </c>
      <c r="AD170" s="135">
        <f t="shared" si="52"/>
        <v>0.42</v>
      </c>
      <c r="AE170" s="135">
        <f t="shared" si="52"/>
        <v>0.42</v>
      </c>
      <c r="AF170" s="135">
        <f t="shared" si="52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50"/>
        <v>0.46</v>
      </c>
      <c r="C171" s="136">
        <v>0.46</v>
      </c>
      <c r="D171" s="135">
        <f t="shared" si="51"/>
        <v>0.46</v>
      </c>
      <c r="E171" s="135">
        <f t="shared" si="51"/>
        <v>0.46</v>
      </c>
      <c r="F171" s="135">
        <f t="shared" si="51"/>
        <v>0.46</v>
      </c>
      <c r="G171" s="135">
        <f t="shared" si="51"/>
        <v>0.46</v>
      </c>
      <c r="H171" s="135">
        <f t="shared" si="51"/>
        <v>0.46</v>
      </c>
      <c r="I171" s="135">
        <f t="shared" si="51"/>
        <v>0.46</v>
      </c>
      <c r="J171" s="135">
        <f t="shared" si="51"/>
        <v>0.46</v>
      </c>
      <c r="K171" s="135">
        <f t="shared" si="51"/>
        <v>0.46</v>
      </c>
      <c r="L171" s="135">
        <f t="shared" si="51"/>
        <v>0.46</v>
      </c>
      <c r="M171" s="135">
        <f t="shared" si="51"/>
        <v>0.46</v>
      </c>
      <c r="N171" s="135">
        <f t="shared" si="51"/>
        <v>0.46</v>
      </c>
      <c r="O171" s="135">
        <f t="shared" si="51"/>
        <v>0.46</v>
      </c>
      <c r="P171" s="135">
        <f t="shared" si="51"/>
        <v>0.46</v>
      </c>
      <c r="Q171" s="135">
        <f t="shared" si="51"/>
        <v>0.46</v>
      </c>
      <c r="R171" s="135">
        <f t="shared" si="51"/>
        <v>0.46</v>
      </c>
      <c r="S171" s="135">
        <f t="shared" si="52"/>
        <v>0.46</v>
      </c>
      <c r="T171" s="135">
        <f t="shared" si="52"/>
        <v>0.46</v>
      </c>
      <c r="U171" s="135">
        <f t="shared" si="52"/>
        <v>0.46</v>
      </c>
      <c r="V171" s="135">
        <f t="shared" si="52"/>
        <v>0.46</v>
      </c>
      <c r="W171" s="135">
        <f t="shared" si="52"/>
        <v>0.46</v>
      </c>
      <c r="X171" s="135">
        <f t="shared" si="52"/>
        <v>0.46</v>
      </c>
      <c r="Y171" s="135">
        <f t="shared" si="52"/>
        <v>0.46</v>
      </c>
      <c r="Z171" s="135">
        <f t="shared" si="52"/>
        <v>0.46</v>
      </c>
      <c r="AA171" s="135">
        <f t="shared" si="52"/>
        <v>0.46</v>
      </c>
      <c r="AB171" s="135">
        <f t="shared" si="52"/>
        <v>0.46</v>
      </c>
      <c r="AC171" s="135">
        <f t="shared" si="52"/>
        <v>0.46</v>
      </c>
      <c r="AD171" s="135">
        <f t="shared" si="52"/>
        <v>0.46</v>
      </c>
      <c r="AE171" s="135">
        <f t="shared" si="52"/>
        <v>0.46</v>
      </c>
      <c r="AF171" s="135">
        <f t="shared" si="52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50"/>
        <v>0.85</v>
      </c>
      <c r="C172" s="136">
        <v>0.85</v>
      </c>
      <c r="D172" s="135">
        <f t="shared" si="51"/>
        <v>0.85</v>
      </c>
      <c r="E172" s="135">
        <f t="shared" si="51"/>
        <v>0.85</v>
      </c>
      <c r="F172" s="135">
        <f t="shared" si="51"/>
        <v>0.85</v>
      </c>
      <c r="G172" s="135">
        <f t="shared" si="51"/>
        <v>0.85</v>
      </c>
      <c r="H172" s="135">
        <f t="shared" si="51"/>
        <v>0.85</v>
      </c>
      <c r="I172" s="135">
        <f t="shared" si="51"/>
        <v>0.85</v>
      </c>
      <c r="J172" s="135">
        <f t="shared" si="51"/>
        <v>0.85</v>
      </c>
      <c r="K172" s="135">
        <f t="shared" si="51"/>
        <v>0.85</v>
      </c>
      <c r="L172" s="135">
        <f t="shared" si="51"/>
        <v>0.85</v>
      </c>
      <c r="M172" s="135">
        <f t="shared" si="51"/>
        <v>0.85</v>
      </c>
      <c r="N172" s="135">
        <f t="shared" si="51"/>
        <v>0.85</v>
      </c>
      <c r="O172" s="135">
        <f t="shared" si="51"/>
        <v>0.85</v>
      </c>
      <c r="P172" s="135">
        <f t="shared" si="51"/>
        <v>0.85</v>
      </c>
      <c r="Q172" s="135">
        <f t="shared" si="51"/>
        <v>0.85</v>
      </c>
      <c r="R172" s="135">
        <f t="shared" si="51"/>
        <v>0.85</v>
      </c>
      <c r="S172" s="135">
        <f t="shared" si="52"/>
        <v>0.85</v>
      </c>
      <c r="T172" s="135">
        <f t="shared" si="52"/>
        <v>0.85</v>
      </c>
      <c r="U172" s="135">
        <f t="shared" si="52"/>
        <v>0.85</v>
      </c>
      <c r="V172" s="135">
        <f t="shared" si="52"/>
        <v>0.85</v>
      </c>
      <c r="W172" s="135">
        <f t="shared" si="52"/>
        <v>0.85</v>
      </c>
      <c r="X172" s="135">
        <f t="shared" si="52"/>
        <v>0.85</v>
      </c>
      <c r="Y172" s="135">
        <f t="shared" si="52"/>
        <v>0.85</v>
      </c>
      <c r="Z172" s="135">
        <f t="shared" si="52"/>
        <v>0.85</v>
      </c>
      <c r="AA172" s="135">
        <f t="shared" si="52"/>
        <v>0.85</v>
      </c>
      <c r="AB172" s="135">
        <f t="shared" si="52"/>
        <v>0.85</v>
      </c>
      <c r="AC172" s="135">
        <f t="shared" si="52"/>
        <v>0.85</v>
      </c>
      <c r="AD172" s="135">
        <f t="shared" si="52"/>
        <v>0.85</v>
      </c>
      <c r="AE172" s="135">
        <f t="shared" si="52"/>
        <v>0.85</v>
      </c>
      <c r="AF172" s="135">
        <f t="shared" si="52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50"/>
        <v>0.9</v>
      </c>
      <c r="C173" s="136">
        <v>0.9</v>
      </c>
      <c r="D173" s="135">
        <f t="shared" si="51"/>
        <v>0.9</v>
      </c>
      <c r="E173" s="135">
        <f t="shared" si="51"/>
        <v>0.9</v>
      </c>
      <c r="F173" s="135">
        <f t="shared" si="51"/>
        <v>0.9</v>
      </c>
      <c r="G173" s="135">
        <f t="shared" si="51"/>
        <v>0.9</v>
      </c>
      <c r="H173" s="135">
        <f t="shared" si="51"/>
        <v>0.9</v>
      </c>
      <c r="I173" s="135">
        <f t="shared" si="51"/>
        <v>0.9</v>
      </c>
      <c r="J173" s="135">
        <f t="shared" si="51"/>
        <v>0.9</v>
      </c>
      <c r="K173" s="135">
        <f t="shared" si="51"/>
        <v>0.9</v>
      </c>
      <c r="L173" s="135">
        <f t="shared" si="51"/>
        <v>0.9</v>
      </c>
      <c r="M173" s="135">
        <f t="shared" si="51"/>
        <v>0.9</v>
      </c>
      <c r="N173" s="135">
        <f t="shared" si="51"/>
        <v>0.9</v>
      </c>
      <c r="O173" s="135">
        <f t="shared" si="51"/>
        <v>0.9</v>
      </c>
      <c r="P173" s="135">
        <f t="shared" si="51"/>
        <v>0.9</v>
      </c>
      <c r="Q173" s="135">
        <f t="shared" si="51"/>
        <v>0.9</v>
      </c>
      <c r="R173" s="135">
        <f t="shared" si="51"/>
        <v>0.9</v>
      </c>
      <c r="S173" s="135">
        <f t="shared" si="52"/>
        <v>0.9</v>
      </c>
      <c r="T173" s="135">
        <f t="shared" si="52"/>
        <v>0.9</v>
      </c>
      <c r="U173" s="135">
        <f t="shared" si="52"/>
        <v>0.9</v>
      </c>
      <c r="V173" s="135">
        <f t="shared" si="52"/>
        <v>0.9</v>
      </c>
      <c r="W173" s="135">
        <f t="shared" si="52"/>
        <v>0.9</v>
      </c>
      <c r="X173" s="135">
        <f t="shared" si="52"/>
        <v>0.9</v>
      </c>
      <c r="Y173" s="135">
        <f t="shared" si="52"/>
        <v>0.9</v>
      </c>
      <c r="Z173" s="135">
        <f t="shared" si="52"/>
        <v>0.9</v>
      </c>
      <c r="AA173" s="135">
        <f t="shared" si="52"/>
        <v>0.9</v>
      </c>
      <c r="AB173" s="135">
        <f t="shared" si="52"/>
        <v>0.9</v>
      </c>
      <c r="AC173" s="135">
        <f t="shared" si="52"/>
        <v>0.9</v>
      </c>
      <c r="AD173" s="135">
        <f t="shared" si="52"/>
        <v>0.9</v>
      </c>
      <c r="AE173" s="135">
        <f t="shared" si="52"/>
        <v>0.9</v>
      </c>
      <c r="AF173" s="135">
        <f t="shared" si="52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50"/>
        <v>0.44</v>
      </c>
      <c r="C174" s="136">
        <v>0.44</v>
      </c>
      <c r="D174" s="135">
        <f t="shared" si="51"/>
        <v>0.44</v>
      </c>
      <c r="E174" s="135">
        <f t="shared" si="51"/>
        <v>0.44</v>
      </c>
      <c r="F174" s="135">
        <f t="shared" si="51"/>
        <v>0.44</v>
      </c>
      <c r="G174" s="135">
        <f t="shared" si="51"/>
        <v>0.44</v>
      </c>
      <c r="H174" s="135">
        <f t="shared" si="51"/>
        <v>0.44</v>
      </c>
      <c r="I174" s="135">
        <f t="shared" si="51"/>
        <v>0.44</v>
      </c>
      <c r="J174" s="135">
        <f t="shared" si="51"/>
        <v>0.44</v>
      </c>
      <c r="K174" s="135">
        <f t="shared" si="51"/>
        <v>0.44</v>
      </c>
      <c r="L174" s="135">
        <f t="shared" si="51"/>
        <v>0.44</v>
      </c>
      <c r="M174" s="135">
        <f t="shared" si="51"/>
        <v>0.44</v>
      </c>
      <c r="N174" s="135">
        <f t="shared" si="51"/>
        <v>0.44</v>
      </c>
      <c r="O174" s="135">
        <f t="shared" si="51"/>
        <v>0.44</v>
      </c>
      <c r="P174" s="135">
        <f t="shared" si="51"/>
        <v>0.44</v>
      </c>
      <c r="Q174" s="135">
        <f t="shared" si="51"/>
        <v>0.44</v>
      </c>
      <c r="R174" s="135">
        <f t="shared" si="51"/>
        <v>0.44</v>
      </c>
      <c r="S174" s="135">
        <f t="shared" si="52"/>
        <v>0.44</v>
      </c>
      <c r="T174" s="135">
        <f t="shared" si="52"/>
        <v>0.44</v>
      </c>
      <c r="U174" s="135">
        <f t="shared" si="52"/>
        <v>0.44</v>
      </c>
      <c r="V174" s="135">
        <f t="shared" si="52"/>
        <v>0.44</v>
      </c>
      <c r="W174" s="135">
        <f t="shared" si="52"/>
        <v>0.44</v>
      </c>
      <c r="X174" s="135">
        <f t="shared" si="52"/>
        <v>0.44</v>
      </c>
      <c r="Y174" s="135">
        <f t="shared" si="52"/>
        <v>0.44</v>
      </c>
      <c r="Z174" s="135">
        <f t="shared" si="52"/>
        <v>0.44</v>
      </c>
      <c r="AA174" s="135">
        <f t="shared" si="52"/>
        <v>0.44</v>
      </c>
      <c r="AB174" s="135">
        <f t="shared" si="52"/>
        <v>0.44</v>
      </c>
      <c r="AC174" s="135">
        <f t="shared" si="52"/>
        <v>0.44</v>
      </c>
      <c r="AD174" s="135">
        <f t="shared" si="52"/>
        <v>0.44</v>
      </c>
      <c r="AE174" s="135">
        <f t="shared" si="52"/>
        <v>0.44</v>
      </c>
      <c r="AF174" s="135">
        <f t="shared" si="52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50"/>
        <v>2.1</v>
      </c>
      <c r="C175" s="136">
        <v>2.1</v>
      </c>
      <c r="D175" s="135">
        <f t="shared" si="51"/>
        <v>2.1</v>
      </c>
      <c r="E175" s="135">
        <f t="shared" si="51"/>
        <v>2.1</v>
      </c>
      <c r="F175" s="135">
        <f t="shared" si="51"/>
        <v>2.1</v>
      </c>
      <c r="G175" s="135">
        <f t="shared" si="51"/>
        <v>2.1</v>
      </c>
      <c r="H175" s="135">
        <f t="shared" si="51"/>
        <v>2.1</v>
      </c>
      <c r="I175" s="135">
        <f t="shared" si="51"/>
        <v>2.1</v>
      </c>
      <c r="J175" s="135">
        <f t="shared" si="51"/>
        <v>2.1</v>
      </c>
      <c r="K175" s="135">
        <f t="shared" si="51"/>
        <v>2.1</v>
      </c>
      <c r="L175" s="135">
        <f t="shared" si="51"/>
        <v>2.1</v>
      </c>
      <c r="M175" s="135">
        <f t="shared" si="51"/>
        <v>2.1</v>
      </c>
      <c r="N175" s="135">
        <f t="shared" si="51"/>
        <v>2.1</v>
      </c>
      <c r="O175" s="135">
        <f t="shared" si="51"/>
        <v>2.1</v>
      </c>
      <c r="P175" s="135">
        <f t="shared" si="51"/>
        <v>2.1</v>
      </c>
      <c r="Q175" s="135">
        <f t="shared" si="51"/>
        <v>2.1</v>
      </c>
      <c r="R175" s="135">
        <f t="shared" si="51"/>
        <v>2.1</v>
      </c>
      <c r="S175" s="135">
        <f t="shared" si="52"/>
        <v>2.1</v>
      </c>
      <c r="T175" s="135">
        <f t="shared" si="52"/>
        <v>2.1</v>
      </c>
      <c r="U175" s="135">
        <f t="shared" si="52"/>
        <v>2.1</v>
      </c>
      <c r="V175" s="135">
        <f t="shared" si="52"/>
        <v>2.1</v>
      </c>
      <c r="W175" s="135">
        <f t="shared" si="52"/>
        <v>2.1</v>
      </c>
      <c r="X175" s="135">
        <f t="shared" si="52"/>
        <v>2.1</v>
      </c>
      <c r="Y175" s="135">
        <f t="shared" si="52"/>
        <v>2.1</v>
      </c>
      <c r="Z175" s="135">
        <f t="shared" si="52"/>
        <v>2.1</v>
      </c>
      <c r="AA175" s="135">
        <f t="shared" si="52"/>
        <v>2.1</v>
      </c>
      <c r="AB175" s="135">
        <f t="shared" si="52"/>
        <v>2.1</v>
      </c>
      <c r="AC175" s="135">
        <f t="shared" si="52"/>
        <v>2.1</v>
      </c>
      <c r="AD175" s="135">
        <f t="shared" si="52"/>
        <v>2.1</v>
      </c>
      <c r="AE175" s="135">
        <f t="shared" si="52"/>
        <v>2.1</v>
      </c>
      <c r="AF175" s="135">
        <f t="shared" si="52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50"/>
        <v>0.9</v>
      </c>
      <c r="C176" s="136">
        <v>0.9</v>
      </c>
      <c r="D176" s="135">
        <f t="shared" si="51"/>
        <v>0.9</v>
      </c>
      <c r="E176" s="135">
        <f t="shared" si="51"/>
        <v>0.9</v>
      </c>
      <c r="F176" s="135">
        <f t="shared" si="51"/>
        <v>0.9</v>
      </c>
      <c r="G176" s="135">
        <f t="shared" si="51"/>
        <v>0.9</v>
      </c>
      <c r="H176" s="135">
        <f t="shared" si="51"/>
        <v>0.9</v>
      </c>
      <c r="I176" s="135">
        <f t="shared" si="51"/>
        <v>0.9</v>
      </c>
      <c r="J176" s="135">
        <f t="shared" si="51"/>
        <v>0.9</v>
      </c>
      <c r="K176" s="135">
        <f t="shared" si="51"/>
        <v>0.9</v>
      </c>
      <c r="L176" s="135">
        <f t="shared" si="51"/>
        <v>0.9</v>
      </c>
      <c r="M176" s="135">
        <f t="shared" si="51"/>
        <v>0.9</v>
      </c>
      <c r="N176" s="135">
        <f t="shared" si="51"/>
        <v>0.9</v>
      </c>
      <c r="O176" s="135">
        <f t="shared" si="51"/>
        <v>0.9</v>
      </c>
      <c r="P176" s="135">
        <f t="shared" si="51"/>
        <v>0.9</v>
      </c>
      <c r="Q176" s="135">
        <f t="shared" si="51"/>
        <v>0.9</v>
      </c>
      <c r="R176" s="135">
        <f t="shared" si="51"/>
        <v>0.9</v>
      </c>
      <c r="S176" s="135">
        <f t="shared" si="52"/>
        <v>0.9</v>
      </c>
      <c r="T176" s="135">
        <f t="shared" si="52"/>
        <v>0.9</v>
      </c>
      <c r="U176" s="135">
        <f t="shared" si="52"/>
        <v>0.9</v>
      </c>
      <c r="V176" s="135">
        <f t="shared" si="52"/>
        <v>0.9</v>
      </c>
      <c r="W176" s="135">
        <f t="shared" si="52"/>
        <v>0.9</v>
      </c>
      <c r="X176" s="135">
        <f t="shared" si="52"/>
        <v>0.9</v>
      </c>
      <c r="Y176" s="135">
        <f t="shared" si="52"/>
        <v>0.9</v>
      </c>
      <c r="Z176" s="135">
        <f t="shared" si="52"/>
        <v>0.9</v>
      </c>
      <c r="AA176" s="135">
        <f t="shared" si="52"/>
        <v>0.9</v>
      </c>
      <c r="AB176" s="135">
        <f t="shared" si="52"/>
        <v>0.9</v>
      </c>
      <c r="AC176" s="135">
        <f t="shared" si="52"/>
        <v>0.9</v>
      </c>
      <c r="AD176" s="135">
        <f t="shared" si="52"/>
        <v>0.9</v>
      </c>
      <c r="AE176" s="135">
        <f t="shared" si="52"/>
        <v>0.9</v>
      </c>
      <c r="AF176" s="135">
        <f t="shared" si="52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3">AF178</f>
        <v>0.57999999999999996</v>
      </c>
      <c r="C178" s="136">
        <v>0.57999999999999996</v>
      </c>
      <c r="D178" s="135">
        <f t="shared" ref="D178:S190" si="54">C178</f>
        <v>0.57999999999999996</v>
      </c>
      <c r="E178" s="135">
        <f t="shared" si="54"/>
        <v>0.57999999999999996</v>
      </c>
      <c r="F178" s="135">
        <f t="shared" si="54"/>
        <v>0.57999999999999996</v>
      </c>
      <c r="G178" s="135">
        <f t="shared" si="54"/>
        <v>0.57999999999999996</v>
      </c>
      <c r="H178" s="135">
        <f t="shared" si="54"/>
        <v>0.57999999999999996</v>
      </c>
      <c r="I178" s="135">
        <f t="shared" si="54"/>
        <v>0.57999999999999996</v>
      </c>
      <c r="J178" s="135">
        <f t="shared" si="54"/>
        <v>0.57999999999999996</v>
      </c>
      <c r="K178" s="135">
        <f t="shared" si="54"/>
        <v>0.57999999999999996</v>
      </c>
      <c r="L178" s="135">
        <f t="shared" si="54"/>
        <v>0.57999999999999996</v>
      </c>
      <c r="M178" s="135">
        <f t="shared" si="54"/>
        <v>0.57999999999999996</v>
      </c>
      <c r="N178" s="135">
        <f t="shared" si="54"/>
        <v>0.57999999999999996</v>
      </c>
      <c r="O178" s="135">
        <f t="shared" si="54"/>
        <v>0.57999999999999996</v>
      </c>
      <c r="P178" s="135">
        <f t="shared" si="54"/>
        <v>0.57999999999999996</v>
      </c>
      <c r="Q178" s="135">
        <f t="shared" si="54"/>
        <v>0.57999999999999996</v>
      </c>
      <c r="R178" s="135">
        <f t="shared" si="54"/>
        <v>0.57999999999999996</v>
      </c>
      <c r="S178" s="135">
        <f t="shared" si="54"/>
        <v>0.57999999999999996</v>
      </c>
      <c r="T178" s="135">
        <f t="shared" ref="S178:AF190" si="55">S178</f>
        <v>0.57999999999999996</v>
      </c>
      <c r="U178" s="135">
        <f t="shared" si="55"/>
        <v>0.57999999999999996</v>
      </c>
      <c r="V178" s="135">
        <f t="shared" si="55"/>
        <v>0.57999999999999996</v>
      </c>
      <c r="W178" s="135">
        <f t="shared" si="55"/>
        <v>0.57999999999999996</v>
      </c>
      <c r="X178" s="135">
        <f t="shared" si="55"/>
        <v>0.57999999999999996</v>
      </c>
      <c r="Y178" s="135">
        <f t="shared" si="55"/>
        <v>0.57999999999999996</v>
      </c>
      <c r="Z178" s="135">
        <f t="shared" si="55"/>
        <v>0.57999999999999996</v>
      </c>
      <c r="AA178" s="135">
        <f t="shared" si="55"/>
        <v>0.57999999999999996</v>
      </c>
      <c r="AB178" s="135">
        <f t="shared" si="55"/>
        <v>0.57999999999999996</v>
      </c>
      <c r="AC178" s="135">
        <f t="shared" si="55"/>
        <v>0.57999999999999996</v>
      </c>
      <c r="AD178" s="135">
        <f t="shared" si="55"/>
        <v>0.57999999999999996</v>
      </c>
      <c r="AE178" s="135">
        <f t="shared" si="55"/>
        <v>0.57999999999999996</v>
      </c>
      <c r="AF178" s="135">
        <f t="shared" si="55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3"/>
        <v>0.8</v>
      </c>
      <c r="C179" s="136">
        <v>0.8</v>
      </c>
      <c r="D179" s="135">
        <f t="shared" si="54"/>
        <v>0.8</v>
      </c>
      <c r="E179" s="135">
        <f t="shared" si="54"/>
        <v>0.8</v>
      </c>
      <c r="F179" s="135">
        <f t="shared" si="54"/>
        <v>0.8</v>
      </c>
      <c r="G179" s="135">
        <f t="shared" si="54"/>
        <v>0.8</v>
      </c>
      <c r="H179" s="135">
        <f t="shared" si="54"/>
        <v>0.8</v>
      </c>
      <c r="I179" s="135">
        <f t="shared" si="54"/>
        <v>0.8</v>
      </c>
      <c r="J179" s="135">
        <f t="shared" si="54"/>
        <v>0.8</v>
      </c>
      <c r="K179" s="135">
        <f t="shared" si="54"/>
        <v>0.8</v>
      </c>
      <c r="L179" s="135">
        <f t="shared" si="54"/>
        <v>0.8</v>
      </c>
      <c r="M179" s="135">
        <f t="shared" si="54"/>
        <v>0.8</v>
      </c>
      <c r="N179" s="135">
        <f t="shared" si="54"/>
        <v>0.8</v>
      </c>
      <c r="O179" s="135">
        <f t="shared" si="54"/>
        <v>0.8</v>
      </c>
      <c r="P179" s="135">
        <f t="shared" si="54"/>
        <v>0.8</v>
      </c>
      <c r="Q179" s="135">
        <f t="shared" si="54"/>
        <v>0.8</v>
      </c>
      <c r="R179" s="135">
        <f t="shared" si="54"/>
        <v>0.8</v>
      </c>
      <c r="S179" s="135">
        <f t="shared" si="54"/>
        <v>0.8</v>
      </c>
      <c r="T179" s="135">
        <f t="shared" si="55"/>
        <v>0.8</v>
      </c>
      <c r="U179" s="135">
        <f t="shared" si="55"/>
        <v>0.8</v>
      </c>
      <c r="V179" s="135">
        <f t="shared" si="55"/>
        <v>0.8</v>
      </c>
      <c r="W179" s="135">
        <f t="shared" si="55"/>
        <v>0.8</v>
      </c>
      <c r="X179" s="135">
        <f t="shared" si="55"/>
        <v>0.8</v>
      </c>
      <c r="Y179" s="135">
        <f t="shared" si="55"/>
        <v>0.8</v>
      </c>
      <c r="Z179" s="135">
        <f t="shared" si="55"/>
        <v>0.8</v>
      </c>
      <c r="AA179" s="135">
        <f t="shared" si="55"/>
        <v>0.8</v>
      </c>
      <c r="AB179" s="135">
        <f t="shared" si="55"/>
        <v>0.8</v>
      </c>
      <c r="AC179" s="135">
        <f t="shared" si="55"/>
        <v>0.8</v>
      </c>
      <c r="AD179" s="135">
        <f t="shared" si="55"/>
        <v>0.8</v>
      </c>
      <c r="AE179" s="135">
        <f t="shared" si="55"/>
        <v>0.8</v>
      </c>
      <c r="AF179" s="135">
        <f t="shared" si="55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3"/>
        <v>0</v>
      </c>
      <c r="C180" s="136">
        <v>0</v>
      </c>
      <c r="D180" s="135">
        <f t="shared" si="54"/>
        <v>0</v>
      </c>
      <c r="E180" s="135">
        <f t="shared" si="54"/>
        <v>0</v>
      </c>
      <c r="F180" s="135">
        <f t="shared" si="54"/>
        <v>0</v>
      </c>
      <c r="G180" s="135">
        <f t="shared" si="54"/>
        <v>0</v>
      </c>
      <c r="H180" s="135">
        <f t="shared" si="54"/>
        <v>0</v>
      </c>
      <c r="I180" s="135">
        <f t="shared" si="54"/>
        <v>0</v>
      </c>
      <c r="J180" s="135">
        <f t="shared" si="54"/>
        <v>0</v>
      </c>
      <c r="K180" s="135">
        <f t="shared" si="54"/>
        <v>0</v>
      </c>
      <c r="L180" s="135">
        <f t="shared" si="54"/>
        <v>0</v>
      </c>
      <c r="M180" s="135">
        <f t="shared" si="54"/>
        <v>0</v>
      </c>
      <c r="N180" s="135">
        <f t="shared" si="54"/>
        <v>0</v>
      </c>
      <c r="O180" s="135">
        <f t="shared" si="54"/>
        <v>0</v>
      </c>
      <c r="P180" s="135">
        <f t="shared" si="54"/>
        <v>0</v>
      </c>
      <c r="Q180" s="135">
        <f t="shared" si="54"/>
        <v>0</v>
      </c>
      <c r="R180" s="135">
        <f t="shared" si="54"/>
        <v>0</v>
      </c>
      <c r="S180" s="135">
        <f t="shared" si="54"/>
        <v>0</v>
      </c>
      <c r="T180" s="135">
        <f t="shared" si="55"/>
        <v>0</v>
      </c>
      <c r="U180" s="135">
        <f t="shared" si="55"/>
        <v>0</v>
      </c>
      <c r="V180" s="135">
        <f t="shared" si="55"/>
        <v>0</v>
      </c>
      <c r="W180" s="135">
        <f t="shared" si="55"/>
        <v>0</v>
      </c>
      <c r="X180" s="135">
        <f t="shared" si="55"/>
        <v>0</v>
      </c>
      <c r="Y180" s="135">
        <f t="shared" si="55"/>
        <v>0</v>
      </c>
      <c r="Z180" s="135">
        <f t="shared" si="55"/>
        <v>0</v>
      </c>
      <c r="AA180" s="135">
        <f t="shared" si="55"/>
        <v>0</v>
      </c>
      <c r="AB180" s="135">
        <f t="shared" si="55"/>
        <v>0</v>
      </c>
      <c r="AC180" s="135">
        <f t="shared" si="55"/>
        <v>0</v>
      </c>
      <c r="AD180" s="135">
        <f t="shared" si="55"/>
        <v>0</v>
      </c>
      <c r="AE180" s="135">
        <f t="shared" si="55"/>
        <v>0</v>
      </c>
      <c r="AF180" s="135">
        <f t="shared" si="55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3"/>
        <v>0.6</v>
      </c>
      <c r="C181" s="136">
        <v>0.6</v>
      </c>
      <c r="D181" s="135">
        <f t="shared" si="54"/>
        <v>0.6</v>
      </c>
      <c r="E181" s="135">
        <f t="shared" si="54"/>
        <v>0.6</v>
      </c>
      <c r="F181" s="135">
        <f t="shared" si="54"/>
        <v>0.6</v>
      </c>
      <c r="G181" s="135">
        <f t="shared" si="54"/>
        <v>0.6</v>
      </c>
      <c r="H181" s="135">
        <f t="shared" si="54"/>
        <v>0.6</v>
      </c>
      <c r="I181" s="135">
        <f t="shared" si="54"/>
        <v>0.6</v>
      </c>
      <c r="J181" s="135">
        <f t="shared" si="54"/>
        <v>0.6</v>
      </c>
      <c r="K181" s="135">
        <f t="shared" si="54"/>
        <v>0.6</v>
      </c>
      <c r="L181" s="135">
        <f t="shared" si="54"/>
        <v>0.6</v>
      </c>
      <c r="M181" s="135">
        <f t="shared" si="54"/>
        <v>0.6</v>
      </c>
      <c r="N181" s="135">
        <f t="shared" si="54"/>
        <v>0.6</v>
      </c>
      <c r="O181" s="135">
        <f t="shared" si="54"/>
        <v>0.6</v>
      </c>
      <c r="P181" s="135">
        <f t="shared" si="54"/>
        <v>0.6</v>
      </c>
      <c r="Q181" s="135">
        <f t="shared" si="54"/>
        <v>0.6</v>
      </c>
      <c r="R181" s="135">
        <f t="shared" si="54"/>
        <v>0.6</v>
      </c>
      <c r="S181" s="135">
        <f t="shared" si="54"/>
        <v>0.6</v>
      </c>
      <c r="T181" s="135">
        <f t="shared" si="55"/>
        <v>0.6</v>
      </c>
      <c r="U181" s="135">
        <f t="shared" si="55"/>
        <v>0.6</v>
      </c>
      <c r="V181" s="135">
        <f t="shared" si="55"/>
        <v>0.6</v>
      </c>
      <c r="W181" s="135">
        <f t="shared" si="55"/>
        <v>0.6</v>
      </c>
      <c r="X181" s="135">
        <f t="shared" si="55"/>
        <v>0.6</v>
      </c>
      <c r="Y181" s="135">
        <f t="shared" si="55"/>
        <v>0.6</v>
      </c>
      <c r="Z181" s="135">
        <f t="shared" si="55"/>
        <v>0.6</v>
      </c>
      <c r="AA181" s="135">
        <f t="shared" si="55"/>
        <v>0.6</v>
      </c>
      <c r="AB181" s="135">
        <f t="shared" si="55"/>
        <v>0.6</v>
      </c>
      <c r="AC181" s="135">
        <f t="shared" si="55"/>
        <v>0.6</v>
      </c>
      <c r="AD181" s="135">
        <f t="shared" si="55"/>
        <v>0.6</v>
      </c>
      <c r="AE181" s="135">
        <f t="shared" si="55"/>
        <v>0.6</v>
      </c>
      <c r="AF181" s="135">
        <f t="shared" si="55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3"/>
        <v>0.6</v>
      </c>
      <c r="C182" s="136">
        <v>0.6</v>
      </c>
      <c r="D182" s="135">
        <f t="shared" si="54"/>
        <v>0.6</v>
      </c>
      <c r="E182" s="135">
        <f t="shared" si="54"/>
        <v>0.6</v>
      </c>
      <c r="F182" s="135">
        <f t="shared" si="54"/>
        <v>0.6</v>
      </c>
      <c r="G182" s="135">
        <f t="shared" si="54"/>
        <v>0.6</v>
      </c>
      <c r="H182" s="135">
        <f t="shared" si="54"/>
        <v>0.6</v>
      </c>
      <c r="I182" s="135">
        <f t="shared" si="54"/>
        <v>0.6</v>
      </c>
      <c r="J182" s="135">
        <f t="shared" si="54"/>
        <v>0.6</v>
      </c>
      <c r="K182" s="135">
        <f t="shared" si="54"/>
        <v>0.6</v>
      </c>
      <c r="L182" s="135">
        <f t="shared" si="54"/>
        <v>0.6</v>
      </c>
      <c r="M182" s="135">
        <f t="shared" si="54"/>
        <v>0.6</v>
      </c>
      <c r="N182" s="135">
        <f t="shared" si="54"/>
        <v>0.6</v>
      </c>
      <c r="O182" s="135">
        <f t="shared" si="54"/>
        <v>0.6</v>
      </c>
      <c r="P182" s="135">
        <f t="shared" si="54"/>
        <v>0.6</v>
      </c>
      <c r="Q182" s="135">
        <f t="shared" si="54"/>
        <v>0.6</v>
      </c>
      <c r="R182" s="135">
        <f t="shared" si="54"/>
        <v>0.6</v>
      </c>
      <c r="S182" s="135">
        <f t="shared" si="54"/>
        <v>0.6</v>
      </c>
      <c r="T182" s="135">
        <f t="shared" si="55"/>
        <v>0.6</v>
      </c>
      <c r="U182" s="135">
        <f t="shared" si="55"/>
        <v>0.6</v>
      </c>
      <c r="V182" s="135">
        <f t="shared" si="55"/>
        <v>0.6</v>
      </c>
      <c r="W182" s="135">
        <f t="shared" si="55"/>
        <v>0.6</v>
      </c>
      <c r="X182" s="135">
        <f t="shared" si="55"/>
        <v>0.6</v>
      </c>
      <c r="Y182" s="135">
        <f t="shared" si="55"/>
        <v>0.6</v>
      </c>
      <c r="Z182" s="135">
        <f t="shared" si="55"/>
        <v>0.6</v>
      </c>
      <c r="AA182" s="135">
        <f t="shared" si="55"/>
        <v>0.6</v>
      </c>
      <c r="AB182" s="135">
        <f t="shared" si="55"/>
        <v>0.6</v>
      </c>
      <c r="AC182" s="135">
        <f t="shared" si="55"/>
        <v>0.6</v>
      </c>
      <c r="AD182" s="135">
        <f t="shared" si="55"/>
        <v>0.6</v>
      </c>
      <c r="AE182" s="135">
        <f t="shared" si="55"/>
        <v>0.6</v>
      </c>
      <c r="AF182" s="135">
        <f t="shared" si="55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3"/>
        <v>0.35</v>
      </c>
      <c r="C183" s="136">
        <v>0.35</v>
      </c>
      <c r="D183" s="135">
        <f t="shared" si="54"/>
        <v>0.35</v>
      </c>
      <c r="E183" s="135">
        <f t="shared" si="54"/>
        <v>0.35</v>
      </c>
      <c r="F183" s="135">
        <f t="shared" si="54"/>
        <v>0.35</v>
      </c>
      <c r="G183" s="135">
        <f t="shared" si="54"/>
        <v>0.35</v>
      </c>
      <c r="H183" s="135">
        <f t="shared" si="54"/>
        <v>0.35</v>
      </c>
      <c r="I183" s="135">
        <f t="shared" si="54"/>
        <v>0.35</v>
      </c>
      <c r="J183" s="135">
        <f t="shared" si="54"/>
        <v>0.35</v>
      </c>
      <c r="K183" s="135">
        <f t="shared" si="54"/>
        <v>0.35</v>
      </c>
      <c r="L183" s="135">
        <f t="shared" si="54"/>
        <v>0.35</v>
      </c>
      <c r="M183" s="135">
        <f t="shared" si="54"/>
        <v>0.35</v>
      </c>
      <c r="N183" s="135">
        <f t="shared" si="54"/>
        <v>0.35</v>
      </c>
      <c r="O183" s="135">
        <f t="shared" si="54"/>
        <v>0.35</v>
      </c>
      <c r="P183" s="135">
        <f t="shared" si="54"/>
        <v>0.35</v>
      </c>
      <c r="Q183" s="135">
        <f t="shared" si="54"/>
        <v>0.35</v>
      </c>
      <c r="R183" s="135">
        <f t="shared" si="54"/>
        <v>0.35</v>
      </c>
      <c r="S183" s="135">
        <f t="shared" si="54"/>
        <v>0.35</v>
      </c>
      <c r="T183" s="135">
        <f t="shared" si="55"/>
        <v>0.35</v>
      </c>
      <c r="U183" s="135">
        <f t="shared" si="55"/>
        <v>0.35</v>
      </c>
      <c r="V183" s="135">
        <f t="shared" si="55"/>
        <v>0.35</v>
      </c>
      <c r="W183" s="135">
        <f t="shared" si="55"/>
        <v>0.35</v>
      </c>
      <c r="X183" s="135">
        <f t="shared" si="55"/>
        <v>0.35</v>
      </c>
      <c r="Y183" s="135">
        <f t="shared" si="55"/>
        <v>0.35</v>
      </c>
      <c r="Z183" s="135">
        <f t="shared" si="55"/>
        <v>0.35</v>
      </c>
      <c r="AA183" s="135">
        <f t="shared" si="55"/>
        <v>0.35</v>
      </c>
      <c r="AB183" s="135">
        <f t="shared" si="55"/>
        <v>0.35</v>
      </c>
      <c r="AC183" s="135">
        <f t="shared" si="55"/>
        <v>0.35</v>
      </c>
      <c r="AD183" s="135">
        <f t="shared" si="55"/>
        <v>0.35</v>
      </c>
      <c r="AE183" s="135">
        <f t="shared" si="55"/>
        <v>0.35</v>
      </c>
      <c r="AF183" s="135">
        <f t="shared" si="55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3"/>
        <v>0.28999999999999998</v>
      </c>
      <c r="C184" s="136">
        <v>0.28999999999999998</v>
      </c>
      <c r="D184" s="135">
        <f t="shared" si="54"/>
        <v>0.28999999999999998</v>
      </c>
      <c r="E184" s="135">
        <f t="shared" si="54"/>
        <v>0.28999999999999998</v>
      </c>
      <c r="F184" s="135">
        <f t="shared" si="54"/>
        <v>0.28999999999999998</v>
      </c>
      <c r="G184" s="135">
        <f t="shared" si="54"/>
        <v>0.28999999999999998</v>
      </c>
      <c r="H184" s="135">
        <f t="shared" si="54"/>
        <v>0.28999999999999998</v>
      </c>
      <c r="I184" s="135">
        <f t="shared" si="54"/>
        <v>0.28999999999999998</v>
      </c>
      <c r="J184" s="135">
        <f t="shared" si="54"/>
        <v>0.28999999999999998</v>
      </c>
      <c r="K184" s="135">
        <f t="shared" si="54"/>
        <v>0.28999999999999998</v>
      </c>
      <c r="L184" s="135">
        <f t="shared" si="54"/>
        <v>0.28999999999999998</v>
      </c>
      <c r="M184" s="135">
        <f t="shared" si="54"/>
        <v>0.28999999999999998</v>
      </c>
      <c r="N184" s="135">
        <f t="shared" si="54"/>
        <v>0.28999999999999998</v>
      </c>
      <c r="O184" s="135">
        <f t="shared" si="54"/>
        <v>0.28999999999999998</v>
      </c>
      <c r="P184" s="135">
        <f t="shared" si="54"/>
        <v>0.28999999999999998</v>
      </c>
      <c r="Q184" s="135">
        <f t="shared" si="54"/>
        <v>0.28999999999999998</v>
      </c>
      <c r="R184" s="135">
        <f t="shared" si="54"/>
        <v>0.28999999999999998</v>
      </c>
      <c r="S184" s="135">
        <f t="shared" si="54"/>
        <v>0.28999999999999998</v>
      </c>
      <c r="T184" s="135">
        <f t="shared" si="55"/>
        <v>0.28999999999999998</v>
      </c>
      <c r="U184" s="135">
        <f t="shared" si="55"/>
        <v>0.28999999999999998</v>
      </c>
      <c r="V184" s="135">
        <f t="shared" si="55"/>
        <v>0.28999999999999998</v>
      </c>
      <c r="W184" s="135">
        <f t="shared" si="55"/>
        <v>0.28999999999999998</v>
      </c>
      <c r="X184" s="135">
        <f t="shared" si="55"/>
        <v>0.28999999999999998</v>
      </c>
      <c r="Y184" s="135">
        <f t="shared" si="55"/>
        <v>0.28999999999999998</v>
      </c>
      <c r="Z184" s="135">
        <f t="shared" si="55"/>
        <v>0.28999999999999998</v>
      </c>
      <c r="AA184" s="135">
        <f t="shared" si="55"/>
        <v>0.28999999999999998</v>
      </c>
      <c r="AB184" s="135">
        <f t="shared" si="55"/>
        <v>0.28999999999999998</v>
      </c>
      <c r="AC184" s="135">
        <f t="shared" si="55"/>
        <v>0.28999999999999998</v>
      </c>
      <c r="AD184" s="135">
        <f t="shared" si="55"/>
        <v>0.28999999999999998</v>
      </c>
      <c r="AE184" s="135">
        <f t="shared" si="55"/>
        <v>0.28999999999999998</v>
      </c>
      <c r="AF184" s="135">
        <f t="shared" si="55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3"/>
        <v>0.06</v>
      </c>
      <c r="C185" s="136">
        <v>0.06</v>
      </c>
      <c r="D185" s="135">
        <f t="shared" si="54"/>
        <v>0.06</v>
      </c>
      <c r="E185" s="135">
        <f t="shared" si="54"/>
        <v>0.06</v>
      </c>
      <c r="F185" s="135">
        <f t="shared" si="54"/>
        <v>0.06</v>
      </c>
      <c r="G185" s="135">
        <f t="shared" si="54"/>
        <v>0.06</v>
      </c>
      <c r="H185" s="135">
        <f t="shared" si="54"/>
        <v>0.06</v>
      </c>
      <c r="I185" s="135">
        <f t="shared" si="54"/>
        <v>0.06</v>
      </c>
      <c r="J185" s="135">
        <f t="shared" si="54"/>
        <v>0.06</v>
      </c>
      <c r="K185" s="135">
        <f t="shared" si="54"/>
        <v>0.06</v>
      </c>
      <c r="L185" s="135">
        <f t="shared" si="54"/>
        <v>0.06</v>
      </c>
      <c r="M185" s="135">
        <f t="shared" si="54"/>
        <v>0.06</v>
      </c>
      <c r="N185" s="135">
        <f t="shared" si="54"/>
        <v>0.06</v>
      </c>
      <c r="O185" s="135">
        <f t="shared" si="54"/>
        <v>0.06</v>
      </c>
      <c r="P185" s="135">
        <f t="shared" si="54"/>
        <v>0.06</v>
      </c>
      <c r="Q185" s="135">
        <f t="shared" si="54"/>
        <v>0.06</v>
      </c>
      <c r="R185" s="135">
        <f t="shared" si="54"/>
        <v>0.06</v>
      </c>
      <c r="S185" s="135">
        <f t="shared" si="54"/>
        <v>0.06</v>
      </c>
      <c r="T185" s="135">
        <f t="shared" si="55"/>
        <v>0.06</v>
      </c>
      <c r="U185" s="135">
        <f t="shared" si="55"/>
        <v>0.06</v>
      </c>
      <c r="V185" s="135">
        <f t="shared" si="55"/>
        <v>0.06</v>
      </c>
      <c r="W185" s="135">
        <f t="shared" si="55"/>
        <v>0.06</v>
      </c>
      <c r="X185" s="135">
        <f t="shared" si="55"/>
        <v>0.06</v>
      </c>
      <c r="Y185" s="135">
        <f t="shared" si="55"/>
        <v>0.06</v>
      </c>
      <c r="Z185" s="135">
        <f t="shared" si="55"/>
        <v>0.06</v>
      </c>
      <c r="AA185" s="135">
        <f t="shared" si="55"/>
        <v>0.06</v>
      </c>
      <c r="AB185" s="135">
        <f t="shared" si="55"/>
        <v>0.06</v>
      </c>
      <c r="AC185" s="135">
        <f t="shared" si="55"/>
        <v>0.06</v>
      </c>
      <c r="AD185" s="135">
        <f t="shared" si="55"/>
        <v>0.06</v>
      </c>
      <c r="AE185" s="135">
        <f t="shared" si="55"/>
        <v>0.06</v>
      </c>
      <c r="AF185" s="135">
        <f t="shared" si="55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3"/>
        <v>0.11</v>
      </c>
      <c r="C186" s="136">
        <v>0.11</v>
      </c>
      <c r="D186" s="135">
        <f t="shared" si="54"/>
        <v>0.11</v>
      </c>
      <c r="E186" s="135">
        <f t="shared" si="54"/>
        <v>0.11</v>
      </c>
      <c r="F186" s="135">
        <f t="shared" si="54"/>
        <v>0.11</v>
      </c>
      <c r="G186" s="135">
        <f t="shared" si="54"/>
        <v>0.11</v>
      </c>
      <c r="H186" s="135">
        <f t="shared" si="54"/>
        <v>0.11</v>
      </c>
      <c r="I186" s="135">
        <f t="shared" si="54"/>
        <v>0.11</v>
      </c>
      <c r="J186" s="135">
        <f t="shared" si="54"/>
        <v>0.11</v>
      </c>
      <c r="K186" s="135">
        <f t="shared" si="54"/>
        <v>0.11</v>
      </c>
      <c r="L186" s="135">
        <f t="shared" si="54"/>
        <v>0.11</v>
      </c>
      <c r="M186" s="135">
        <f t="shared" si="54"/>
        <v>0.11</v>
      </c>
      <c r="N186" s="135">
        <f t="shared" si="54"/>
        <v>0.11</v>
      </c>
      <c r="O186" s="135">
        <f t="shared" si="54"/>
        <v>0.11</v>
      </c>
      <c r="P186" s="135">
        <f t="shared" si="54"/>
        <v>0.11</v>
      </c>
      <c r="Q186" s="135">
        <f t="shared" si="54"/>
        <v>0.11</v>
      </c>
      <c r="R186" s="135">
        <f t="shared" si="54"/>
        <v>0.11</v>
      </c>
      <c r="S186" s="135">
        <f t="shared" si="54"/>
        <v>0.11</v>
      </c>
      <c r="T186" s="135">
        <f t="shared" si="55"/>
        <v>0.11</v>
      </c>
      <c r="U186" s="135">
        <f t="shared" si="55"/>
        <v>0.11</v>
      </c>
      <c r="V186" s="135">
        <f t="shared" si="55"/>
        <v>0.11</v>
      </c>
      <c r="W186" s="135">
        <f t="shared" si="55"/>
        <v>0.11</v>
      </c>
      <c r="X186" s="135">
        <f t="shared" si="55"/>
        <v>0.11</v>
      </c>
      <c r="Y186" s="135">
        <f t="shared" si="55"/>
        <v>0.11</v>
      </c>
      <c r="Z186" s="135">
        <f t="shared" si="55"/>
        <v>0.11</v>
      </c>
      <c r="AA186" s="135">
        <f t="shared" si="55"/>
        <v>0.11</v>
      </c>
      <c r="AB186" s="135">
        <f t="shared" si="55"/>
        <v>0.11</v>
      </c>
      <c r="AC186" s="135">
        <f t="shared" si="55"/>
        <v>0.11</v>
      </c>
      <c r="AD186" s="135">
        <f t="shared" si="55"/>
        <v>0.11</v>
      </c>
      <c r="AE186" s="135">
        <f t="shared" si="55"/>
        <v>0.11</v>
      </c>
      <c r="AF186" s="135">
        <f t="shared" si="55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3"/>
        <v>0.1</v>
      </c>
      <c r="C187" s="136">
        <v>0.1</v>
      </c>
      <c r="D187" s="135">
        <f t="shared" si="54"/>
        <v>0.1</v>
      </c>
      <c r="E187" s="135">
        <f t="shared" si="54"/>
        <v>0.1</v>
      </c>
      <c r="F187" s="135">
        <f t="shared" si="54"/>
        <v>0.1</v>
      </c>
      <c r="G187" s="135">
        <f t="shared" si="54"/>
        <v>0.1</v>
      </c>
      <c r="H187" s="135">
        <f t="shared" si="54"/>
        <v>0.1</v>
      </c>
      <c r="I187" s="135">
        <f t="shared" si="54"/>
        <v>0.1</v>
      </c>
      <c r="J187" s="135">
        <f t="shared" si="54"/>
        <v>0.1</v>
      </c>
      <c r="K187" s="135">
        <f t="shared" si="54"/>
        <v>0.1</v>
      </c>
      <c r="L187" s="135">
        <f t="shared" si="54"/>
        <v>0.1</v>
      </c>
      <c r="M187" s="135">
        <f t="shared" si="54"/>
        <v>0.1</v>
      </c>
      <c r="N187" s="135">
        <f t="shared" si="54"/>
        <v>0.1</v>
      </c>
      <c r="O187" s="135">
        <f t="shared" si="54"/>
        <v>0.1</v>
      </c>
      <c r="P187" s="135">
        <f t="shared" si="54"/>
        <v>0.1</v>
      </c>
      <c r="Q187" s="135">
        <f t="shared" si="54"/>
        <v>0.1</v>
      </c>
      <c r="R187" s="135">
        <f t="shared" si="54"/>
        <v>0.1</v>
      </c>
      <c r="S187" s="135">
        <f t="shared" si="55"/>
        <v>0.1</v>
      </c>
      <c r="T187" s="135">
        <f t="shared" si="55"/>
        <v>0.1</v>
      </c>
      <c r="U187" s="135">
        <f t="shared" si="55"/>
        <v>0.1</v>
      </c>
      <c r="V187" s="135">
        <f t="shared" si="55"/>
        <v>0.1</v>
      </c>
      <c r="W187" s="135">
        <f t="shared" si="55"/>
        <v>0.1</v>
      </c>
      <c r="X187" s="135">
        <f t="shared" si="55"/>
        <v>0.1</v>
      </c>
      <c r="Y187" s="135">
        <f t="shared" si="55"/>
        <v>0.1</v>
      </c>
      <c r="Z187" s="135">
        <f t="shared" si="55"/>
        <v>0.1</v>
      </c>
      <c r="AA187" s="135">
        <f t="shared" si="55"/>
        <v>0.1</v>
      </c>
      <c r="AB187" s="135">
        <f t="shared" si="55"/>
        <v>0.1</v>
      </c>
      <c r="AC187" s="135">
        <f t="shared" si="55"/>
        <v>0.1</v>
      </c>
      <c r="AD187" s="135">
        <f t="shared" si="55"/>
        <v>0.1</v>
      </c>
      <c r="AE187" s="135">
        <f t="shared" si="55"/>
        <v>0.1</v>
      </c>
      <c r="AF187" s="135">
        <f t="shared" si="55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3"/>
        <v>0.09</v>
      </c>
      <c r="C188" s="136">
        <v>0.09</v>
      </c>
      <c r="D188" s="135">
        <f t="shared" si="54"/>
        <v>0.09</v>
      </c>
      <c r="E188" s="135">
        <f t="shared" si="54"/>
        <v>0.09</v>
      </c>
      <c r="F188" s="135">
        <f t="shared" si="54"/>
        <v>0.09</v>
      </c>
      <c r="G188" s="135">
        <f t="shared" si="54"/>
        <v>0.09</v>
      </c>
      <c r="H188" s="135">
        <f t="shared" si="54"/>
        <v>0.09</v>
      </c>
      <c r="I188" s="135">
        <f t="shared" si="54"/>
        <v>0.09</v>
      </c>
      <c r="J188" s="135">
        <f t="shared" si="54"/>
        <v>0.09</v>
      </c>
      <c r="K188" s="135">
        <f t="shared" si="54"/>
        <v>0.09</v>
      </c>
      <c r="L188" s="135">
        <f t="shared" si="54"/>
        <v>0.09</v>
      </c>
      <c r="M188" s="135">
        <f t="shared" si="54"/>
        <v>0.09</v>
      </c>
      <c r="N188" s="135">
        <f t="shared" si="54"/>
        <v>0.09</v>
      </c>
      <c r="O188" s="135">
        <f t="shared" si="54"/>
        <v>0.09</v>
      </c>
      <c r="P188" s="135">
        <f t="shared" si="54"/>
        <v>0.09</v>
      </c>
      <c r="Q188" s="135">
        <f t="shared" si="54"/>
        <v>0.09</v>
      </c>
      <c r="R188" s="135">
        <f t="shared" si="54"/>
        <v>0.09</v>
      </c>
      <c r="S188" s="135">
        <f t="shared" si="55"/>
        <v>0.09</v>
      </c>
      <c r="T188" s="135">
        <f t="shared" si="55"/>
        <v>0.09</v>
      </c>
      <c r="U188" s="135">
        <f t="shared" si="55"/>
        <v>0.09</v>
      </c>
      <c r="V188" s="135">
        <f t="shared" si="55"/>
        <v>0.09</v>
      </c>
      <c r="W188" s="135">
        <f t="shared" si="55"/>
        <v>0.09</v>
      </c>
      <c r="X188" s="135">
        <f t="shared" si="55"/>
        <v>0.09</v>
      </c>
      <c r="Y188" s="135">
        <f t="shared" si="55"/>
        <v>0.09</v>
      </c>
      <c r="Z188" s="135">
        <f t="shared" si="55"/>
        <v>0.09</v>
      </c>
      <c r="AA188" s="135">
        <f t="shared" si="55"/>
        <v>0.09</v>
      </c>
      <c r="AB188" s="135">
        <f t="shared" si="55"/>
        <v>0.09</v>
      </c>
      <c r="AC188" s="135">
        <f t="shared" si="55"/>
        <v>0.09</v>
      </c>
      <c r="AD188" s="135">
        <f t="shared" si="55"/>
        <v>0.09</v>
      </c>
      <c r="AE188" s="135">
        <f t="shared" si="55"/>
        <v>0.09</v>
      </c>
      <c r="AF188" s="135">
        <f t="shared" si="55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3"/>
        <v>0.04</v>
      </c>
      <c r="C189" s="52">
        <v>0.04</v>
      </c>
      <c r="D189" s="135">
        <f t="shared" si="54"/>
        <v>0.04</v>
      </c>
      <c r="E189" s="135">
        <f t="shared" si="54"/>
        <v>0.04</v>
      </c>
      <c r="F189" s="135">
        <f t="shared" si="54"/>
        <v>0.04</v>
      </c>
      <c r="G189" s="135">
        <f t="shared" si="54"/>
        <v>0.04</v>
      </c>
      <c r="H189" s="135">
        <f t="shared" si="54"/>
        <v>0.04</v>
      </c>
      <c r="I189" s="135">
        <f t="shared" si="54"/>
        <v>0.04</v>
      </c>
      <c r="J189" s="135">
        <f t="shared" si="54"/>
        <v>0.04</v>
      </c>
      <c r="K189" s="135">
        <f t="shared" si="54"/>
        <v>0.04</v>
      </c>
      <c r="L189" s="135">
        <f t="shared" si="54"/>
        <v>0.04</v>
      </c>
      <c r="M189" s="135">
        <f t="shared" si="54"/>
        <v>0.04</v>
      </c>
      <c r="N189" s="135">
        <f t="shared" si="54"/>
        <v>0.04</v>
      </c>
      <c r="O189" s="135">
        <f t="shared" si="54"/>
        <v>0.04</v>
      </c>
      <c r="P189" s="135">
        <f t="shared" si="54"/>
        <v>0.04</v>
      </c>
      <c r="Q189" s="135">
        <f t="shared" si="54"/>
        <v>0.04</v>
      </c>
      <c r="R189" s="135">
        <f t="shared" si="54"/>
        <v>0.04</v>
      </c>
      <c r="S189" s="135">
        <f t="shared" si="55"/>
        <v>0.04</v>
      </c>
      <c r="T189" s="135">
        <f t="shared" si="55"/>
        <v>0.04</v>
      </c>
      <c r="U189" s="135">
        <f t="shared" si="55"/>
        <v>0.04</v>
      </c>
      <c r="V189" s="135">
        <f t="shared" si="55"/>
        <v>0.04</v>
      </c>
      <c r="W189" s="135">
        <f t="shared" si="55"/>
        <v>0.04</v>
      </c>
      <c r="X189" s="135">
        <f t="shared" si="55"/>
        <v>0.04</v>
      </c>
      <c r="Y189" s="135">
        <f t="shared" si="55"/>
        <v>0.04</v>
      </c>
      <c r="Z189" s="135">
        <f t="shared" si="55"/>
        <v>0.04</v>
      </c>
      <c r="AA189" s="135">
        <f t="shared" si="55"/>
        <v>0.04</v>
      </c>
      <c r="AB189" s="135">
        <f t="shared" si="55"/>
        <v>0.04</v>
      </c>
      <c r="AC189" s="135">
        <f t="shared" si="55"/>
        <v>0.04</v>
      </c>
      <c r="AD189" s="135">
        <f t="shared" si="55"/>
        <v>0.04</v>
      </c>
      <c r="AE189" s="135">
        <f t="shared" si="55"/>
        <v>0.04</v>
      </c>
      <c r="AF189" s="135">
        <f t="shared" si="55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3"/>
        <v>2.3E-2</v>
      </c>
      <c r="C190" s="52">
        <v>2.3E-2</v>
      </c>
      <c r="D190" s="135">
        <f>C190</f>
        <v>2.3E-2</v>
      </c>
      <c r="E190" s="135">
        <f t="shared" si="54"/>
        <v>2.3E-2</v>
      </c>
      <c r="F190" s="135">
        <f t="shared" si="54"/>
        <v>2.3E-2</v>
      </c>
      <c r="G190" s="135">
        <f t="shared" si="54"/>
        <v>2.3E-2</v>
      </c>
      <c r="H190" s="135">
        <f t="shared" si="54"/>
        <v>2.3E-2</v>
      </c>
      <c r="I190" s="135">
        <f t="shared" si="54"/>
        <v>2.3E-2</v>
      </c>
      <c r="J190" s="135">
        <f t="shared" si="54"/>
        <v>2.3E-2</v>
      </c>
      <c r="K190" s="135">
        <f t="shared" si="54"/>
        <v>2.3E-2</v>
      </c>
      <c r="L190" s="135">
        <f t="shared" si="54"/>
        <v>2.3E-2</v>
      </c>
      <c r="M190" s="135">
        <f t="shared" si="54"/>
        <v>2.3E-2</v>
      </c>
      <c r="N190" s="135">
        <f t="shared" si="54"/>
        <v>2.3E-2</v>
      </c>
      <c r="O190" s="135">
        <f t="shared" si="54"/>
        <v>2.3E-2</v>
      </c>
      <c r="P190" s="135">
        <f t="shared" si="54"/>
        <v>2.3E-2</v>
      </c>
      <c r="Q190" s="135">
        <f t="shared" si="54"/>
        <v>2.3E-2</v>
      </c>
      <c r="R190" s="135">
        <f t="shared" si="54"/>
        <v>2.3E-2</v>
      </c>
      <c r="S190" s="135">
        <f t="shared" si="55"/>
        <v>2.3E-2</v>
      </c>
      <c r="T190" s="135">
        <f t="shared" si="55"/>
        <v>2.3E-2</v>
      </c>
      <c r="U190" s="135">
        <f t="shared" si="55"/>
        <v>2.3E-2</v>
      </c>
      <c r="V190" s="135">
        <f t="shared" si="55"/>
        <v>2.3E-2</v>
      </c>
      <c r="W190" s="135">
        <f t="shared" si="55"/>
        <v>2.3E-2</v>
      </c>
      <c r="X190" s="135">
        <f t="shared" si="55"/>
        <v>2.3E-2</v>
      </c>
      <c r="Y190" s="135">
        <f t="shared" si="55"/>
        <v>2.3E-2</v>
      </c>
      <c r="Z190" s="135">
        <f t="shared" si="55"/>
        <v>2.3E-2</v>
      </c>
      <c r="AA190" s="135">
        <f t="shared" si="55"/>
        <v>2.3E-2</v>
      </c>
      <c r="AB190" s="135">
        <f t="shared" si="55"/>
        <v>2.3E-2</v>
      </c>
      <c r="AC190" s="135">
        <f t="shared" si="55"/>
        <v>2.3E-2</v>
      </c>
      <c r="AD190" s="135">
        <f t="shared" si="55"/>
        <v>2.3E-2</v>
      </c>
      <c r="AE190" s="135">
        <f t="shared" si="55"/>
        <v>2.3E-2</v>
      </c>
      <c r="AF190" s="135">
        <f t="shared" si="55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6">SUM(C101:C190)</f>
        <v>194.70600000000002</v>
      </c>
      <c r="D191" s="140">
        <f t="shared" si="56"/>
        <v>194.70600000000002</v>
      </c>
      <c r="E191" s="140">
        <f t="shared" si="56"/>
        <v>194.70600000000002</v>
      </c>
      <c r="F191" s="140">
        <f t="shared" si="56"/>
        <v>194.70600000000002</v>
      </c>
      <c r="G191" s="140">
        <f t="shared" si="56"/>
        <v>194.70600000000002</v>
      </c>
      <c r="H191" s="140">
        <f t="shared" si="56"/>
        <v>194.70600000000002</v>
      </c>
      <c r="I191" s="140">
        <f t="shared" si="56"/>
        <v>194.70600000000002</v>
      </c>
      <c r="J191" s="140">
        <f t="shared" si="56"/>
        <v>192.10600000000005</v>
      </c>
      <c r="K191" s="140">
        <f t="shared" si="56"/>
        <v>192.10600000000005</v>
      </c>
      <c r="L191" s="140">
        <f t="shared" si="56"/>
        <v>192.10600000000005</v>
      </c>
      <c r="M191" s="140">
        <f t="shared" si="56"/>
        <v>192.10600000000005</v>
      </c>
      <c r="N191" s="140">
        <f t="shared" si="56"/>
        <v>192.10600000000005</v>
      </c>
      <c r="O191" s="140">
        <f t="shared" si="56"/>
        <v>192.10600000000005</v>
      </c>
      <c r="P191" s="140">
        <f t="shared" si="56"/>
        <v>192.10600000000005</v>
      </c>
      <c r="Q191" s="140">
        <f t="shared" si="56"/>
        <v>192.10600000000005</v>
      </c>
      <c r="R191" s="140">
        <f t="shared" si="56"/>
        <v>192.10600000000005</v>
      </c>
      <c r="S191" s="140">
        <f t="shared" si="56"/>
        <v>192.10600000000005</v>
      </c>
      <c r="T191" s="140">
        <f t="shared" si="56"/>
        <v>192.10600000000005</v>
      </c>
      <c r="U191" s="140">
        <f t="shared" si="56"/>
        <v>192.10600000000005</v>
      </c>
      <c r="V191" s="140">
        <f t="shared" si="56"/>
        <v>192.10600000000005</v>
      </c>
      <c r="W191" s="140">
        <f t="shared" si="56"/>
        <v>192.10600000000005</v>
      </c>
      <c r="X191" s="140">
        <f t="shared" si="56"/>
        <v>192.10600000000005</v>
      </c>
      <c r="Y191" s="140">
        <f t="shared" si="56"/>
        <v>192.10600000000005</v>
      </c>
      <c r="Z191" s="140">
        <f t="shared" si="56"/>
        <v>192.10600000000005</v>
      </c>
      <c r="AA191" s="140">
        <f t="shared" si="56"/>
        <v>192.10600000000005</v>
      </c>
      <c r="AB191" s="140">
        <f t="shared" si="56"/>
        <v>192.10600000000005</v>
      </c>
      <c r="AC191" s="140">
        <f t="shared" si="56"/>
        <v>192.10600000000005</v>
      </c>
      <c r="AD191" s="140">
        <f t="shared" si="56"/>
        <v>192.10600000000005</v>
      </c>
      <c r="AE191" s="140">
        <f t="shared" si="56"/>
        <v>192.10600000000005</v>
      </c>
      <c r="AF191" s="140">
        <f t="shared" si="56"/>
        <v>192.10600000000005</v>
      </c>
      <c r="AG191" s="141">
        <f t="shared" si="56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7">AF193</f>
        <v>0.3</v>
      </c>
      <c r="C193" s="142">
        <v>0.3</v>
      </c>
      <c r="D193" s="142">
        <f t="shared" ref="D193:S198" si="58">C193</f>
        <v>0.3</v>
      </c>
      <c r="E193" s="142">
        <f t="shared" si="58"/>
        <v>0.3</v>
      </c>
      <c r="F193" s="142">
        <f t="shared" si="58"/>
        <v>0.3</v>
      </c>
      <c r="G193" s="142">
        <f t="shared" si="58"/>
        <v>0.3</v>
      </c>
      <c r="H193" s="142">
        <f t="shared" si="58"/>
        <v>0.3</v>
      </c>
      <c r="I193" s="142">
        <f t="shared" si="58"/>
        <v>0.3</v>
      </c>
      <c r="J193" s="142">
        <f t="shared" si="58"/>
        <v>0.3</v>
      </c>
      <c r="K193" s="142">
        <f t="shared" si="58"/>
        <v>0.3</v>
      </c>
      <c r="L193" s="142">
        <f t="shared" si="58"/>
        <v>0.3</v>
      </c>
      <c r="M193" s="142">
        <f t="shared" si="58"/>
        <v>0.3</v>
      </c>
      <c r="N193" s="142">
        <f t="shared" si="58"/>
        <v>0.3</v>
      </c>
      <c r="O193" s="142">
        <f t="shared" si="58"/>
        <v>0.3</v>
      </c>
      <c r="P193" s="142">
        <f t="shared" si="58"/>
        <v>0.3</v>
      </c>
      <c r="Q193" s="142">
        <f t="shared" si="58"/>
        <v>0.3</v>
      </c>
      <c r="R193" s="142">
        <f t="shared" si="58"/>
        <v>0.3</v>
      </c>
      <c r="S193" s="142">
        <f t="shared" si="58"/>
        <v>0.3</v>
      </c>
      <c r="T193" s="142">
        <f t="shared" ref="T193:AF198" si="59">S193</f>
        <v>0.3</v>
      </c>
      <c r="U193" s="142">
        <f t="shared" si="59"/>
        <v>0.3</v>
      </c>
      <c r="V193" s="142">
        <f t="shared" si="59"/>
        <v>0.3</v>
      </c>
      <c r="W193" s="142">
        <f t="shared" si="59"/>
        <v>0.3</v>
      </c>
      <c r="X193" s="142">
        <f t="shared" si="59"/>
        <v>0.3</v>
      </c>
      <c r="Y193" s="142">
        <f t="shared" si="59"/>
        <v>0.3</v>
      </c>
      <c r="Z193" s="142">
        <f t="shared" si="59"/>
        <v>0.3</v>
      </c>
      <c r="AA193" s="142">
        <f t="shared" si="59"/>
        <v>0.3</v>
      </c>
      <c r="AB193" s="142">
        <f t="shared" si="59"/>
        <v>0.3</v>
      </c>
      <c r="AC193" s="142">
        <f t="shared" si="59"/>
        <v>0.3</v>
      </c>
      <c r="AD193" s="142">
        <f t="shared" si="59"/>
        <v>0.3</v>
      </c>
      <c r="AE193" s="142">
        <f t="shared" si="59"/>
        <v>0.3</v>
      </c>
      <c r="AF193" s="142">
        <f t="shared" si="59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7"/>
        <v>0.4</v>
      </c>
      <c r="C194" s="135">
        <v>0.4</v>
      </c>
      <c r="D194" s="135">
        <f t="shared" si="58"/>
        <v>0.4</v>
      </c>
      <c r="E194" s="135">
        <f t="shared" si="58"/>
        <v>0.4</v>
      </c>
      <c r="F194" s="135">
        <f t="shared" si="58"/>
        <v>0.4</v>
      </c>
      <c r="G194" s="135">
        <f t="shared" si="58"/>
        <v>0.4</v>
      </c>
      <c r="H194" s="135">
        <f t="shared" si="58"/>
        <v>0.4</v>
      </c>
      <c r="I194" s="135">
        <f t="shared" si="58"/>
        <v>0.4</v>
      </c>
      <c r="J194" s="135">
        <f t="shared" si="58"/>
        <v>0.4</v>
      </c>
      <c r="K194" s="135">
        <f t="shared" si="58"/>
        <v>0.4</v>
      </c>
      <c r="L194" s="135">
        <f t="shared" si="58"/>
        <v>0.4</v>
      </c>
      <c r="M194" s="135">
        <f t="shared" si="58"/>
        <v>0.4</v>
      </c>
      <c r="N194" s="135">
        <f t="shared" si="58"/>
        <v>0.4</v>
      </c>
      <c r="O194" s="135">
        <f t="shared" si="58"/>
        <v>0.4</v>
      </c>
      <c r="P194" s="135">
        <f t="shared" si="58"/>
        <v>0.4</v>
      </c>
      <c r="Q194" s="135">
        <f t="shared" si="58"/>
        <v>0.4</v>
      </c>
      <c r="R194" s="135">
        <f t="shared" si="58"/>
        <v>0.4</v>
      </c>
      <c r="S194" s="135">
        <f t="shared" si="58"/>
        <v>0.4</v>
      </c>
      <c r="T194" s="135">
        <f t="shared" si="59"/>
        <v>0.4</v>
      </c>
      <c r="U194" s="135">
        <f t="shared" si="59"/>
        <v>0.4</v>
      </c>
      <c r="V194" s="135">
        <f t="shared" si="59"/>
        <v>0.4</v>
      </c>
      <c r="W194" s="135">
        <f>V194</f>
        <v>0.4</v>
      </c>
      <c r="X194" s="135">
        <f>W194</f>
        <v>0.4</v>
      </c>
      <c r="Y194" s="135">
        <f t="shared" si="59"/>
        <v>0.4</v>
      </c>
      <c r="Z194" s="135">
        <f t="shared" si="59"/>
        <v>0.4</v>
      </c>
      <c r="AA194" s="135">
        <f t="shared" si="59"/>
        <v>0.4</v>
      </c>
      <c r="AB194" s="135">
        <f t="shared" si="59"/>
        <v>0.4</v>
      </c>
      <c r="AC194" s="135">
        <f t="shared" si="59"/>
        <v>0.4</v>
      </c>
      <c r="AD194" s="135">
        <f t="shared" si="59"/>
        <v>0.4</v>
      </c>
      <c r="AE194" s="135">
        <f t="shared" si="59"/>
        <v>0.4</v>
      </c>
      <c r="AF194" s="135">
        <f t="shared" si="59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7"/>
        <v>1.5</v>
      </c>
      <c r="C195" s="135">
        <v>1.5</v>
      </c>
      <c r="D195" s="135">
        <f t="shared" si="58"/>
        <v>1.5</v>
      </c>
      <c r="E195" s="135">
        <f t="shared" si="58"/>
        <v>1.5</v>
      </c>
      <c r="F195" s="135">
        <f t="shared" si="58"/>
        <v>1.5</v>
      </c>
      <c r="G195" s="135">
        <f t="shared" si="58"/>
        <v>1.5</v>
      </c>
      <c r="H195" s="135">
        <f t="shared" si="58"/>
        <v>1.5</v>
      </c>
      <c r="I195" s="135">
        <f t="shared" si="58"/>
        <v>1.5</v>
      </c>
      <c r="J195" s="135">
        <f t="shared" si="58"/>
        <v>1.5</v>
      </c>
      <c r="K195" s="135">
        <f t="shared" si="58"/>
        <v>1.5</v>
      </c>
      <c r="L195" s="135">
        <f t="shared" si="58"/>
        <v>1.5</v>
      </c>
      <c r="M195" s="135">
        <f t="shared" si="58"/>
        <v>1.5</v>
      </c>
      <c r="N195" s="135">
        <f t="shared" si="58"/>
        <v>1.5</v>
      </c>
      <c r="O195" s="135">
        <f t="shared" si="58"/>
        <v>1.5</v>
      </c>
      <c r="P195" s="135">
        <f t="shared" si="58"/>
        <v>1.5</v>
      </c>
      <c r="Q195" s="135">
        <f t="shared" si="58"/>
        <v>1.5</v>
      </c>
      <c r="R195" s="135">
        <f t="shared" si="58"/>
        <v>1.5</v>
      </c>
      <c r="S195" s="135">
        <f t="shared" si="58"/>
        <v>1.5</v>
      </c>
      <c r="T195" s="135">
        <f t="shared" si="59"/>
        <v>1.5</v>
      </c>
      <c r="U195" s="135">
        <f t="shared" si="59"/>
        <v>1.5</v>
      </c>
      <c r="V195" s="135">
        <f t="shared" si="59"/>
        <v>1.5</v>
      </c>
      <c r="W195" s="135">
        <f t="shared" si="59"/>
        <v>1.5</v>
      </c>
      <c r="X195" s="135">
        <f t="shared" si="59"/>
        <v>1.5</v>
      </c>
      <c r="Y195" s="135">
        <f t="shared" si="59"/>
        <v>1.5</v>
      </c>
      <c r="Z195" s="135">
        <f t="shared" si="59"/>
        <v>1.5</v>
      </c>
      <c r="AA195" s="135">
        <f t="shared" si="59"/>
        <v>1.5</v>
      </c>
      <c r="AB195" s="135">
        <f t="shared" si="59"/>
        <v>1.5</v>
      </c>
      <c r="AC195" s="135">
        <f t="shared" si="59"/>
        <v>1.5</v>
      </c>
      <c r="AD195" s="135">
        <f t="shared" si="59"/>
        <v>1.5</v>
      </c>
      <c r="AE195" s="135">
        <f t="shared" si="59"/>
        <v>1.5</v>
      </c>
      <c r="AF195" s="135">
        <f t="shared" si="59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7"/>
        <v>0.3</v>
      </c>
      <c r="C196" s="135">
        <v>0.3</v>
      </c>
      <c r="D196" s="135">
        <f t="shared" si="58"/>
        <v>0.3</v>
      </c>
      <c r="E196" s="135">
        <f t="shared" si="58"/>
        <v>0.3</v>
      </c>
      <c r="F196" s="135">
        <f t="shared" si="58"/>
        <v>0.3</v>
      </c>
      <c r="G196" s="135">
        <f t="shared" si="58"/>
        <v>0.3</v>
      </c>
      <c r="H196" s="135">
        <f t="shared" si="58"/>
        <v>0.3</v>
      </c>
      <c r="I196" s="135">
        <f t="shared" si="58"/>
        <v>0.3</v>
      </c>
      <c r="J196" s="135">
        <f t="shared" si="58"/>
        <v>0.3</v>
      </c>
      <c r="K196" s="135">
        <f t="shared" si="58"/>
        <v>0.3</v>
      </c>
      <c r="L196" s="135">
        <f t="shared" si="58"/>
        <v>0.3</v>
      </c>
      <c r="M196" s="135">
        <f t="shared" si="58"/>
        <v>0.3</v>
      </c>
      <c r="N196" s="135">
        <f t="shared" si="58"/>
        <v>0.3</v>
      </c>
      <c r="O196" s="135">
        <f t="shared" si="58"/>
        <v>0.3</v>
      </c>
      <c r="P196" s="135">
        <f t="shared" si="58"/>
        <v>0.3</v>
      </c>
      <c r="Q196" s="135">
        <f t="shared" si="58"/>
        <v>0.3</v>
      </c>
      <c r="R196" s="135">
        <f t="shared" si="58"/>
        <v>0.3</v>
      </c>
      <c r="S196" s="135">
        <f t="shared" si="58"/>
        <v>0.3</v>
      </c>
      <c r="T196" s="135">
        <f t="shared" si="59"/>
        <v>0.3</v>
      </c>
      <c r="U196" s="135">
        <f t="shared" si="59"/>
        <v>0.3</v>
      </c>
      <c r="V196" s="135">
        <f t="shared" si="59"/>
        <v>0.3</v>
      </c>
      <c r="W196" s="135">
        <f t="shared" si="59"/>
        <v>0.3</v>
      </c>
      <c r="X196" s="135">
        <f t="shared" si="59"/>
        <v>0.3</v>
      </c>
      <c r="Y196" s="135">
        <f t="shared" si="59"/>
        <v>0.3</v>
      </c>
      <c r="Z196" s="135">
        <f t="shared" si="59"/>
        <v>0.3</v>
      </c>
      <c r="AA196" s="135">
        <f t="shared" si="59"/>
        <v>0.3</v>
      </c>
      <c r="AB196" s="135">
        <f t="shared" si="59"/>
        <v>0.3</v>
      </c>
      <c r="AC196" s="135">
        <f t="shared" si="59"/>
        <v>0.3</v>
      </c>
      <c r="AD196" s="135">
        <f t="shared" si="59"/>
        <v>0.3</v>
      </c>
      <c r="AE196" s="135">
        <f t="shared" si="59"/>
        <v>0.3</v>
      </c>
      <c r="AF196" s="135">
        <f t="shared" si="59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7"/>
        <v>0.4</v>
      </c>
      <c r="C197" s="135">
        <v>0.4</v>
      </c>
      <c r="D197" s="135">
        <f t="shared" si="58"/>
        <v>0.4</v>
      </c>
      <c r="E197" s="135">
        <f t="shared" si="58"/>
        <v>0.4</v>
      </c>
      <c r="F197" s="135">
        <f t="shared" si="58"/>
        <v>0.4</v>
      </c>
      <c r="G197" s="135">
        <f t="shared" si="58"/>
        <v>0.4</v>
      </c>
      <c r="H197" s="135">
        <f t="shared" si="58"/>
        <v>0.4</v>
      </c>
      <c r="I197" s="135">
        <f t="shared" si="58"/>
        <v>0.4</v>
      </c>
      <c r="J197" s="135">
        <f t="shared" si="58"/>
        <v>0.4</v>
      </c>
      <c r="K197" s="135">
        <f t="shared" si="58"/>
        <v>0.4</v>
      </c>
      <c r="L197" s="135">
        <f t="shared" si="58"/>
        <v>0.4</v>
      </c>
      <c r="M197" s="135">
        <f t="shared" si="58"/>
        <v>0.4</v>
      </c>
      <c r="N197" s="135">
        <f t="shared" si="58"/>
        <v>0.4</v>
      </c>
      <c r="O197" s="135">
        <f t="shared" si="58"/>
        <v>0.4</v>
      </c>
      <c r="P197" s="135">
        <f t="shared" si="58"/>
        <v>0.4</v>
      </c>
      <c r="Q197" s="135">
        <f t="shared" si="58"/>
        <v>0.4</v>
      </c>
      <c r="R197" s="135">
        <f t="shared" si="58"/>
        <v>0.4</v>
      </c>
      <c r="S197" s="135">
        <f t="shared" si="58"/>
        <v>0.4</v>
      </c>
      <c r="T197" s="135">
        <f t="shared" si="59"/>
        <v>0.4</v>
      </c>
      <c r="U197" s="135">
        <f t="shared" si="59"/>
        <v>0.4</v>
      </c>
      <c r="V197" s="135">
        <f t="shared" si="59"/>
        <v>0.4</v>
      </c>
      <c r="W197" s="135">
        <f t="shared" si="59"/>
        <v>0.4</v>
      </c>
      <c r="X197" s="135">
        <f t="shared" si="59"/>
        <v>0.4</v>
      </c>
      <c r="Y197" s="135">
        <f t="shared" si="59"/>
        <v>0.4</v>
      </c>
      <c r="Z197" s="135">
        <f t="shared" si="59"/>
        <v>0.4</v>
      </c>
      <c r="AA197" s="135">
        <f t="shared" si="59"/>
        <v>0.4</v>
      </c>
      <c r="AB197" s="135">
        <f t="shared" si="59"/>
        <v>0.4</v>
      </c>
      <c r="AC197" s="135">
        <f t="shared" si="59"/>
        <v>0.4</v>
      </c>
      <c r="AD197" s="135">
        <f t="shared" si="59"/>
        <v>0.4</v>
      </c>
      <c r="AE197" s="135">
        <f t="shared" si="59"/>
        <v>0.4</v>
      </c>
      <c r="AF197" s="135">
        <f t="shared" si="59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7"/>
        <v>0.64</v>
      </c>
      <c r="C198" s="145">
        <v>0.64</v>
      </c>
      <c r="D198" s="145">
        <f t="shared" si="58"/>
        <v>0.64</v>
      </c>
      <c r="E198" s="145">
        <f t="shared" si="58"/>
        <v>0.64</v>
      </c>
      <c r="F198" s="145">
        <f t="shared" si="58"/>
        <v>0.64</v>
      </c>
      <c r="G198" s="145">
        <f t="shared" si="58"/>
        <v>0.64</v>
      </c>
      <c r="H198" s="145">
        <f t="shared" si="58"/>
        <v>0.64</v>
      </c>
      <c r="I198" s="145">
        <f t="shared" si="58"/>
        <v>0.64</v>
      </c>
      <c r="J198" s="145">
        <f t="shared" si="58"/>
        <v>0.64</v>
      </c>
      <c r="K198" s="145">
        <f t="shared" si="58"/>
        <v>0.64</v>
      </c>
      <c r="L198" s="145">
        <f t="shared" si="58"/>
        <v>0.64</v>
      </c>
      <c r="M198" s="145">
        <f t="shared" si="58"/>
        <v>0.64</v>
      </c>
      <c r="N198" s="145">
        <f t="shared" si="58"/>
        <v>0.64</v>
      </c>
      <c r="O198" s="145">
        <f t="shared" si="58"/>
        <v>0.64</v>
      </c>
      <c r="P198" s="145">
        <f t="shared" si="58"/>
        <v>0.64</v>
      </c>
      <c r="Q198" s="145">
        <f t="shared" si="58"/>
        <v>0.64</v>
      </c>
      <c r="R198" s="145">
        <f t="shared" si="58"/>
        <v>0.64</v>
      </c>
      <c r="S198" s="145">
        <f t="shared" si="58"/>
        <v>0.64</v>
      </c>
      <c r="T198" s="145">
        <f t="shared" si="59"/>
        <v>0.64</v>
      </c>
      <c r="U198" s="145">
        <f t="shared" si="59"/>
        <v>0.64</v>
      </c>
      <c r="V198" s="145">
        <f t="shared" si="59"/>
        <v>0.64</v>
      </c>
      <c r="W198" s="145">
        <f t="shared" si="59"/>
        <v>0.64</v>
      </c>
      <c r="X198" s="145">
        <f t="shared" si="59"/>
        <v>0.64</v>
      </c>
      <c r="Y198" s="145">
        <f t="shared" si="59"/>
        <v>0.64</v>
      </c>
      <c r="Z198" s="145">
        <f t="shared" si="59"/>
        <v>0.64</v>
      </c>
      <c r="AA198" s="145">
        <f t="shared" si="59"/>
        <v>0.64</v>
      </c>
      <c r="AB198" s="145">
        <f t="shared" si="59"/>
        <v>0.64</v>
      </c>
      <c r="AC198" s="145">
        <f t="shared" si="59"/>
        <v>0.64</v>
      </c>
      <c r="AD198" s="145">
        <f t="shared" si="59"/>
        <v>0.64</v>
      </c>
      <c r="AE198" s="145">
        <f t="shared" si="59"/>
        <v>0.64</v>
      </c>
      <c r="AF198" s="145">
        <f t="shared" si="59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60">SUM(D193:D198)</f>
        <v>3.54</v>
      </c>
      <c r="E199" s="148">
        <f t="shared" si="60"/>
        <v>3.54</v>
      </c>
      <c r="F199" s="148">
        <f t="shared" si="60"/>
        <v>3.54</v>
      </c>
      <c r="G199" s="148">
        <f t="shared" si="60"/>
        <v>3.54</v>
      </c>
      <c r="H199" s="148">
        <f t="shared" si="60"/>
        <v>3.54</v>
      </c>
      <c r="I199" s="148">
        <f t="shared" si="60"/>
        <v>3.54</v>
      </c>
      <c r="J199" s="148">
        <f t="shared" si="60"/>
        <v>3.54</v>
      </c>
      <c r="K199" s="148">
        <f t="shared" si="60"/>
        <v>3.54</v>
      </c>
      <c r="L199" s="148">
        <f t="shared" si="60"/>
        <v>3.54</v>
      </c>
      <c r="M199" s="148">
        <f>SUM(M193:M198)</f>
        <v>3.54</v>
      </c>
      <c r="N199" s="148">
        <f t="shared" ref="N199:S199" si="61">SUM(N193:N198)</f>
        <v>3.54</v>
      </c>
      <c r="O199" s="148">
        <f t="shared" si="61"/>
        <v>3.54</v>
      </c>
      <c r="P199" s="148">
        <f t="shared" si="61"/>
        <v>3.54</v>
      </c>
      <c r="Q199" s="148">
        <f t="shared" si="61"/>
        <v>3.54</v>
      </c>
      <c r="R199" s="148">
        <f t="shared" si="61"/>
        <v>3.54</v>
      </c>
      <c r="S199" s="148">
        <f t="shared" si="61"/>
        <v>3.54</v>
      </c>
      <c r="T199" s="148">
        <f>SUM(T193:T198)</f>
        <v>3.54</v>
      </c>
      <c r="U199" s="148">
        <f t="shared" ref="U199:AG199" si="62">SUM(U193:U198)</f>
        <v>3.54</v>
      </c>
      <c r="V199" s="148">
        <f t="shared" si="62"/>
        <v>3.54</v>
      </c>
      <c r="W199" s="148">
        <f t="shared" si="62"/>
        <v>3.54</v>
      </c>
      <c r="X199" s="148">
        <f t="shared" si="62"/>
        <v>3.54</v>
      </c>
      <c r="Y199" s="148">
        <f t="shared" si="62"/>
        <v>3.54</v>
      </c>
      <c r="Z199" s="148">
        <f t="shared" si="62"/>
        <v>3.54</v>
      </c>
      <c r="AA199" s="148">
        <f t="shared" si="62"/>
        <v>3.54</v>
      </c>
      <c r="AB199" s="148">
        <f t="shared" si="62"/>
        <v>3.54</v>
      </c>
      <c r="AC199" s="148">
        <f t="shared" si="62"/>
        <v>3.54</v>
      </c>
      <c r="AD199" s="148">
        <f t="shared" si="62"/>
        <v>3.54</v>
      </c>
      <c r="AE199" s="148">
        <f t="shared" si="62"/>
        <v>3.54</v>
      </c>
      <c r="AF199" s="148">
        <f t="shared" si="62"/>
        <v>3.54</v>
      </c>
      <c r="AG199" s="149">
        <f t="shared" si="62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1346.24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2078/10/21)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3">B75</f>
        <v>877.54</v>
      </c>
      <c r="U213" s="173">
        <f t="shared" si="63"/>
        <v>843.83999999999992</v>
      </c>
      <c r="V213" s="173">
        <f t="shared" si="63"/>
        <v>797.14</v>
      </c>
      <c r="W213" s="173">
        <f t="shared" si="63"/>
        <v>780.83999999999992</v>
      </c>
      <c r="X213" s="173">
        <f t="shared" si="63"/>
        <v>756.54</v>
      </c>
      <c r="Y213" s="173">
        <f t="shared" si="63"/>
        <v>795.63999999999987</v>
      </c>
      <c r="Z213" s="173">
        <f t="shared" si="63"/>
        <v>898.24</v>
      </c>
      <c r="AA213" s="173">
        <f t="shared" si="63"/>
        <v>943.63999999999987</v>
      </c>
      <c r="AB213" s="173">
        <f t="shared" si="63"/>
        <v>1028.04</v>
      </c>
      <c r="AC213" s="173">
        <f t="shared" si="63"/>
        <v>1093.54</v>
      </c>
      <c r="AD213" s="173">
        <f t="shared" si="63"/>
        <v>1213.54</v>
      </c>
      <c r="AE213" s="173">
        <f t="shared" si="63"/>
        <v>1346.24</v>
      </c>
      <c r="AF213" s="173">
        <f t="shared" si="63"/>
        <v>1342.64</v>
      </c>
      <c r="AG213" s="173">
        <f t="shared" si="63"/>
        <v>1301.74</v>
      </c>
      <c r="AH213" s="173">
        <f t="shared" si="63"/>
        <v>1531.7400000000002</v>
      </c>
      <c r="AI213" s="173">
        <f t="shared" si="63"/>
        <v>1308.8399999999999</v>
      </c>
      <c r="AJ213" s="173">
        <f t="shared" si="63"/>
        <v>1282.24</v>
      </c>
      <c r="AK213" s="173">
        <f t="shared" si="63"/>
        <v>1265.44</v>
      </c>
      <c r="AL213" s="173">
        <f t="shared" si="63"/>
        <v>1266.7399999999998</v>
      </c>
      <c r="AM213" s="173">
        <f t="shared" si="63"/>
        <v>1319.6399999999999</v>
      </c>
      <c r="AN213" s="173">
        <f t="shared" si="63"/>
        <v>1349.8400000000001</v>
      </c>
      <c r="AO213" s="173">
        <f t="shared" si="63"/>
        <v>1425.1399999999999</v>
      </c>
      <c r="AP213" s="173">
        <f t="shared" si="63"/>
        <v>1485.54</v>
      </c>
      <c r="AQ213" s="173">
        <f t="shared" si="63"/>
        <v>9.5399999999999991</v>
      </c>
      <c r="AR213" s="173">
        <f t="shared" si="63"/>
        <v>1449.1400000000003</v>
      </c>
      <c r="AS213" s="173">
        <f t="shared" si="63"/>
        <v>1435.44</v>
      </c>
      <c r="AT213" s="173">
        <f t="shared" si="63"/>
        <v>1433.4400000000003</v>
      </c>
      <c r="AU213" s="173">
        <f t="shared" si="63"/>
        <v>1339.94</v>
      </c>
      <c r="AV213" s="173">
        <f t="shared" si="63"/>
        <v>1315.74</v>
      </c>
      <c r="AW213" s="173">
        <f t="shared" si="63"/>
        <v>1090.54</v>
      </c>
      <c r="AX213" s="173">
        <f t="shared" si="63"/>
        <v>967.63999999999987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4">C198</f>
        <v>0.64</v>
      </c>
      <c r="C234" s="176">
        <f t="shared" si="64"/>
        <v>0.64</v>
      </c>
      <c r="D234" s="176">
        <f t="shared" si="64"/>
        <v>0.64</v>
      </c>
      <c r="E234" s="176">
        <f t="shared" si="64"/>
        <v>0.64</v>
      </c>
      <c r="F234" s="176">
        <f t="shared" si="64"/>
        <v>0.64</v>
      </c>
      <c r="G234" s="176">
        <f t="shared" si="64"/>
        <v>0.64</v>
      </c>
      <c r="H234" s="176">
        <f t="shared" si="64"/>
        <v>0.64</v>
      </c>
      <c r="I234" s="176">
        <f t="shared" si="64"/>
        <v>0.64</v>
      </c>
      <c r="J234" s="176">
        <f t="shared" si="64"/>
        <v>0.64</v>
      </c>
      <c r="K234" s="176">
        <f t="shared" si="64"/>
        <v>0.64</v>
      </c>
      <c r="L234" s="176">
        <f t="shared" si="64"/>
        <v>0.64</v>
      </c>
      <c r="M234" s="176">
        <f t="shared" si="64"/>
        <v>0.64</v>
      </c>
      <c r="N234" s="176">
        <f t="shared" si="64"/>
        <v>0.64</v>
      </c>
      <c r="O234" s="176">
        <f t="shared" si="64"/>
        <v>0.64</v>
      </c>
      <c r="P234" s="176">
        <f t="shared" si="64"/>
        <v>0.64</v>
      </c>
      <c r="Q234" s="176">
        <f t="shared" si="64"/>
        <v>0.64</v>
      </c>
      <c r="R234" s="176">
        <f t="shared" si="64"/>
        <v>0.64</v>
      </c>
      <c r="S234" s="176">
        <f t="shared" si="64"/>
        <v>0.64</v>
      </c>
      <c r="T234" s="176">
        <f t="shared" si="64"/>
        <v>0.64</v>
      </c>
      <c r="U234" s="176">
        <f t="shared" si="64"/>
        <v>0.64</v>
      </c>
      <c r="V234" s="176">
        <f t="shared" si="64"/>
        <v>0.64</v>
      </c>
      <c r="W234" s="176">
        <f t="shared" si="64"/>
        <v>0.64</v>
      </c>
      <c r="X234" s="176">
        <f t="shared" si="64"/>
        <v>0.64</v>
      </c>
      <c r="Y234" s="176">
        <f t="shared" si="64"/>
        <v>0.64</v>
      </c>
      <c r="Z234" s="176">
        <f t="shared" si="64"/>
        <v>0.64</v>
      </c>
      <c r="AA234" s="176">
        <f t="shared" si="64"/>
        <v>0.64</v>
      </c>
      <c r="AB234" s="176">
        <f t="shared" si="64"/>
        <v>0.64</v>
      </c>
      <c r="AC234" s="176">
        <f t="shared" si="64"/>
        <v>0.64</v>
      </c>
      <c r="AD234" s="176">
        <f t="shared" si="64"/>
        <v>0.64</v>
      </c>
      <c r="AE234" s="176">
        <f t="shared" si="64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5">IF(C202&lt;100,"",C202-520)</f>
        <v/>
      </c>
      <c r="D235" s="119" t="str">
        <f t="shared" si="65"/>
        <v/>
      </c>
      <c r="E235" s="119" t="str">
        <f t="shared" si="65"/>
        <v/>
      </c>
      <c r="F235" s="119" t="str">
        <f t="shared" si="65"/>
        <v/>
      </c>
      <c r="G235" s="119" t="str">
        <f t="shared" si="65"/>
        <v/>
      </c>
      <c r="H235" s="119" t="str">
        <f t="shared" si="65"/>
        <v/>
      </c>
      <c r="I235" s="119" t="str">
        <f t="shared" si="65"/>
        <v/>
      </c>
      <c r="J235" s="119" t="str">
        <f t="shared" si="65"/>
        <v/>
      </c>
      <c r="K235" s="119" t="str">
        <f t="shared" si="65"/>
        <v/>
      </c>
      <c r="L235" s="119" t="str">
        <f t="shared" si="65"/>
        <v/>
      </c>
      <c r="M235" s="119" t="str">
        <f t="shared" si="65"/>
        <v/>
      </c>
      <c r="N235" s="119" t="str">
        <f t="shared" si="65"/>
        <v/>
      </c>
      <c r="O235" s="119" t="str">
        <f t="shared" si="65"/>
        <v/>
      </c>
      <c r="P235" s="119" t="str">
        <f t="shared" si="65"/>
        <v/>
      </c>
      <c r="Q235" s="119" t="str">
        <f t="shared" si="65"/>
        <v/>
      </c>
      <c r="R235" s="119" t="str">
        <f t="shared" si="65"/>
        <v/>
      </c>
      <c r="S235" s="119" t="str">
        <f t="shared" si="65"/>
        <v/>
      </c>
      <c r="T235" s="119" t="str">
        <f t="shared" si="65"/>
        <v/>
      </c>
      <c r="U235" s="119" t="str">
        <f t="shared" si="65"/>
        <v/>
      </c>
      <c r="V235" s="119" t="str">
        <f t="shared" si="65"/>
        <v/>
      </c>
      <c r="W235" s="119" t="str">
        <f t="shared" si="65"/>
        <v/>
      </c>
      <c r="X235" s="119" t="str">
        <f t="shared" si="65"/>
        <v/>
      </c>
      <c r="Y235" s="119" t="str">
        <f t="shared" si="65"/>
        <v/>
      </c>
      <c r="Z235" s="119" t="str">
        <f t="shared" si="65"/>
        <v/>
      </c>
      <c r="AA235" s="119" t="str">
        <f t="shared" si="65"/>
        <v/>
      </c>
      <c r="AB235" s="119" t="str">
        <f t="shared" si="65"/>
        <v/>
      </c>
      <c r="AC235" s="119" t="str">
        <f t="shared" si="65"/>
        <v/>
      </c>
      <c r="AD235" s="119" t="str">
        <f t="shared" si="65"/>
        <v/>
      </c>
      <c r="AE235" s="119" t="str">
        <f t="shared" si="65"/>
        <v/>
      </c>
      <c r="AF235" s="119" t="str">
        <f t="shared" si="65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6">IF(B203&lt;100,"",B203-620)</f>
        <v/>
      </c>
      <c r="C236" s="119" t="str">
        <f t="shared" si="66"/>
        <v/>
      </c>
      <c r="D236" s="119" t="str">
        <f t="shared" si="66"/>
        <v/>
      </c>
      <c r="E236" s="119" t="str">
        <f t="shared" si="66"/>
        <v/>
      </c>
      <c r="F236" s="119" t="str">
        <f t="shared" si="66"/>
        <v/>
      </c>
      <c r="G236" s="119" t="str">
        <f t="shared" si="66"/>
        <v/>
      </c>
      <c r="H236" s="119" t="str">
        <f t="shared" si="66"/>
        <v/>
      </c>
      <c r="I236" s="119" t="str">
        <f t="shared" si="66"/>
        <v/>
      </c>
      <c r="J236" s="119" t="str">
        <f t="shared" si="66"/>
        <v/>
      </c>
      <c r="K236" s="119" t="str">
        <f t="shared" si="66"/>
        <v/>
      </c>
      <c r="L236" s="119" t="str">
        <f t="shared" si="66"/>
        <v/>
      </c>
      <c r="M236" s="119" t="str">
        <f t="shared" si="66"/>
        <v/>
      </c>
      <c r="N236" s="119" t="str">
        <f t="shared" si="66"/>
        <v/>
      </c>
      <c r="O236" s="119" t="str">
        <f t="shared" si="66"/>
        <v/>
      </c>
      <c r="P236" s="119" t="str">
        <f t="shared" si="66"/>
        <v/>
      </c>
      <c r="Q236" s="119" t="str">
        <f t="shared" si="66"/>
        <v/>
      </c>
      <c r="R236" s="119" t="str">
        <f t="shared" si="66"/>
        <v/>
      </c>
      <c r="S236" s="119" t="str">
        <f t="shared" si="66"/>
        <v/>
      </c>
      <c r="T236" s="119" t="str">
        <f t="shared" si="66"/>
        <v/>
      </c>
      <c r="U236" s="119" t="str">
        <f t="shared" si="66"/>
        <v/>
      </c>
      <c r="V236" s="119" t="str">
        <f t="shared" si="66"/>
        <v/>
      </c>
      <c r="W236" s="119" t="str">
        <f t="shared" si="66"/>
        <v/>
      </c>
      <c r="X236" s="119" t="str">
        <f t="shared" si="66"/>
        <v/>
      </c>
      <c r="Y236" s="119" t="str">
        <f t="shared" si="66"/>
        <v/>
      </c>
      <c r="Z236" s="119" t="str">
        <f t="shared" si="66"/>
        <v/>
      </c>
      <c r="AA236" s="119" t="str">
        <f t="shared" si="66"/>
        <v/>
      </c>
      <c r="AB236" s="119" t="str">
        <f t="shared" si="66"/>
        <v/>
      </c>
      <c r="AC236" s="119" t="str">
        <f t="shared" si="66"/>
        <v/>
      </c>
      <c r="AD236" s="119" t="str">
        <f t="shared" si="66"/>
        <v/>
      </c>
      <c r="AE236" s="119" t="str">
        <f t="shared" si="66"/>
        <v/>
      </c>
      <c r="AF236" s="119" t="str">
        <f t="shared" si="66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7">IF(B204&lt;100,"",B204-330)</f>
        <v/>
      </c>
      <c r="C237" s="119" t="str">
        <f t="shared" si="67"/>
        <v/>
      </c>
      <c r="D237" s="119" t="str">
        <f t="shared" si="67"/>
        <v/>
      </c>
      <c r="E237" s="119" t="str">
        <f t="shared" si="67"/>
        <v/>
      </c>
      <c r="F237" s="119" t="str">
        <f t="shared" si="67"/>
        <v/>
      </c>
      <c r="G237" s="119" t="str">
        <f t="shared" si="67"/>
        <v/>
      </c>
      <c r="H237" s="119" t="str">
        <f t="shared" si="67"/>
        <v/>
      </c>
      <c r="I237" s="119" t="str">
        <f t="shared" si="67"/>
        <v/>
      </c>
      <c r="J237" s="119" t="str">
        <f t="shared" si="67"/>
        <v/>
      </c>
      <c r="K237" s="119" t="str">
        <f t="shared" si="67"/>
        <v/>
      </c>
      <c r="L237" s="119" t="str">
        <f t="shared" si="67"/>
        <v/>
      </c>
      <c r="M237" s="119" t="str">
        <f t="shared" si="67"/>
        <v/>
      </c>
      <c r="N237" s="119" t="str">
        <f t="shared" si="67"/>
        <v/>
      </c>
      <c r="O237" s="119" t="str">
        <f t="shared" si="67"/>
        <v/>
      </c>
      <c r="P237" s="119" t="str">
        <f t="shared" si="67"/>
        <v/>
      </c>
      <c r="Q237" s="119" t="str">
        <f t="shared" si="67"/>
        <v/>
      </c>
      <c r="R237" s="119" t="str">
        <f t="shared" si="67"/>
        <v/>
      </c>
      <c r="S237" s="119" t="str">
        <f t="shared" si="67"/>
        <v/>
      </c>
      <c r="T237" s="119" t="str">
        <f t="shared" si="67"/>
        <v/>
      </c>
      <c r="U237" s="119" t="str">
        <f t="shared" si="67"/>
        <v/>
      </c>
      <c r="V237" s="119" t="str">
        <f t="shared" si="67"/>
        <v/>
      </c>
      <c r="W237" s="119" t="str">
        <f t="shared" si="67"/>
        <v/>
      </c>
      <c r="X237" s="119" t="str">
        <f t="shared" si="67"/>
        <v/>
      </c>
      <c r="Y237" s="119" t="str">
        <f t="shared" si="67"/>
        <v/>
      </c>
      <c r="Z237" s="119" t="str">
        <f t="shared" si="67"/>
        <v/>
      </c>
      <c r="AA237" s="119" t="str">
        <f t="shared" si="67"/>
        <v/>
      </c>
      <c r="AB237" s="119" t="str">
        <f t="shared" si="67"/>
        <v/>
      </c>
      <c r="AC237" s="119" t="str">
        <f t="shared" si="67"/>
        <v/>
      </c>
      <c r="AD237" s="119" t="str">
        <f t="shared" si="67"/>
        <v/>
      </c>
      <c r="AE237" s="119" t="str">
        <f t="shared" si="67"/>
        <v/>
      </c>
      <c r="AF237" s="119" t="str">
        <f t="shared" si="67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8">IF(C205&lt;100,"",C205-1500)</f>
        <v/>
      </c>
      <c r="D238" s="119" t="str">
        <f t="shared" si="68"/>
        <v/>
      </c>
      <c r="E238" s="119" t="str">
        <f t="shared" si="68"/>
        <v/>
      </c>
      <c r="F238" s="119" t="str">
        <f t="shared" si="68"/>
        <v/>
      </c>
      <c r="G238" s="119" t="str">
        <f t="shared" si="68"/>
        <v/>
      </c>
      <c r="H238" s="119" t="str">
        <f t="shared" si="68"/>
        <v/>
      </c>
      <c r="I238" s="119" t="str">
        <f t="shared" si="68"/>
        <v/>
      </c>
      <c r="J238" s="119" t="str">
        <f t="shared" si="68"/>
        <v/>
      </c>
      <c r="K238" s="119" t="str">
        <f t="shared" si="68"/>
        <v/>
      </c>
      <c r="L238" s="119" t="str">
        <f t="shared" si="68"/>
        <v/>
      </c>
      <c r="M238" s="119" t="str">
        <f t="shared" si="68"/>
        <v/>
      </c>
      <c r="N238" s="119" t="str">
        <f t="shared" si="68"/>
        <v/>
      </c>
      <c r="O238" s="119" t="str">
        <f t="shared" si="68"/>
        <v/>
      </c>
      <c r="P238" s="119" t="str">
        <f t="shared" si="68"/>
        <v/>
      </c>
      <c r="Q238" s="119" t="str">
        <f t="shared" si="68"/>
        <v/>
      </c>
      <c r="R238" s="119" t="str">
        <f t="shared" si="68"/>
        <v/>
      </c>
      <c r="S238" s="119" t="str">
        <f t="shared" si="68"/>
        <v/>
      </c>
      <c r="T238" s="119" t="str">
        <f t="shared" si="68"/>
        <v/>
      </c>
      <c r="U238" s="119" t="str">
        <f t="shared" si="68"/>
        <v/>
      </c>
      <c r="V238" s="119" t="str">
        <f t="shared" si="68"/>
        <v/>
      </c>
      <c r="W238" s="119" t="str">
        <f t="shared" si="68"/>
        <v/>
      </c>
      <c r="X238" s="119" t="str">
        <f t="shared" si="68"/>
        <v/>
      </c>
      <c r="Y238" s="119" t="str">
        <f t="shared" si="68"/>
        <v/>
      </c>
      <c r="Z238" s="119" t="str">
        <f t="shared" si="68"/>
        <v/>
      </c>
      <c r="AA238" s="119" t="str">
        <f t="shared" si="68"/>
        <v/>
      </c>
      <c r="AB238" s="119" t="str">
        <f t="shared" si="68"/>
        <v/>
      </c>
      <c r="AC238" s="119" t="str">
        <f t="shared" si="68"/>
        <v/>
      </c>
      <c r="AD238" s="119" t="str">
        <f t="shared" si="68"/>
        <v/>
      </c>
      <c r="AE238" s="119" t="str">
        <f t="shared" si="68"/>
        <v/>
      </c>
      <c r="AF238" s="119" t="str">
        <f t="shared" si="68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C57:L59 D63:D67 D60:M61 R40:T41 M58:M59 U40:Y42 X85:AA91 AB81:AF81 B81:R81 C56:AF56 B82:AF83 D193:AF199 B193:B199 C68:AF72 AB84:AF91 B84:B91 B73:AF80 B9:AF10 B191:AF191 AF57:AF59 B53:B72 AG73 AB94:AF99 B94:B99 U212:AF212 C53:C55 C60:C67 C85:C91 B36:L36 S58:W59 M37:R37 M39:R42 N58:R61 S60:S61 Y18:Y30 Y11:AE11 V22:X22 M11:X12 M53:AF55 Z40:AE43 Z12:AF14 Z16:AF31 Y36:AF36 AF41:AF43 N45:X48 Y48">
    <cfRule type="expression" dxfId="4152" priority="278">
      <formula>B$9&gt;=20/24</formula>
    </cfRule>
    <cfRule type="expression" dxfId="4151" priority="279">
      <formula>AND(B$9&gt;=14/24,B$9&lt;20/24)</formula>
    </cfRule>
    <cfRule type="expression" dxfId="4150" priority="280">
      <formula>AND(B$9&gt;=8/24,B$9&lt;14/24)</formula>
    </cfRule>
    <cfRule type="expression" dxfId="4149" priority="281">
      <formula>B$9&lt;8/24</formula>
    </cfRule>
  </conditionalFormatting>
  <conditionalFormatting sqref="AL4:AL6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148" priority="273">
      <formula>M$9&gt;=20/24</formula>
    </cfRule>
    <cfRule type="expression" dxfId="4147" priority="274">
      <formula>AND(M$9&gt;=14/24,M$9&lt;20/24)</formula>
    </cfRule>
    <cfRule type="expression" dxfId="4146" priority="275">
      <formula>AND(M$9&gt;=8/24,M$9&lt;14/24)</formula>
    </cfRule>
    <cfRule type="expression" dxfId="4145" priority="276">
      <formula>M$9&lt;8/24</formula>
    </cfRule>
  </conditionalFormatting>
  <conditionalFormatting sqref="M43:R43">
    <cfRule type="expression" dxfId="4144" priority="269">
      <formula>M$9&gt;=20/24</formula>
    </cfRule>
    <cfRule type="expression" dxfId="4143" priority="270">
      <formula>AND(M$9&gt;=14/24,M$9&lt;20/24)</formula>
    </cfRule>
    <cfRule type="expression" dxfId="4142" priority="271">
      <formula>AND(M$9&gt;=8/24,M$9&lt;14/24)</formula>
    </cfRule>
    <cfRule type="expression" dxfId="4141" priority="272">
      <formula>M$9&lt;8/24</formula>
    </cfRule>
  </conditionalFormatting>
  <conditionalFormatting sqref="Z32:AF32">
    <cfRule type="expression" dxfId="4140" priority="265">
      <formula>Z$9&gt;=20/24</formula>
    </cfRule>
    <cfRule type="expression" dxfId="4139" priority="266">
      <formula>AND(Z$9&gt;=14/24,Z$9&lt;20/24)</formula>
    </cfRule>
    <cfRule type="expression" dxfId="4138" priority="267">
      <formula>AND(Z$9&gt;=8/24,Z$9&lt;14/24)</formula>
    </cfRule>
    <cfRule type="expression" dxfId="4137" priority="268">
      <formula>Z$9&lt;8/24</formula>
    </cfRule>
  </conditionalFormatting>
  <conditionalFormatting sqref="S39:AE39">
    <cfRule type="expression" dxfId="4136" priority="261">
      <formula>S$9&gt;=20/24</formula>
    </cfRule>
    <cfRule type="expression" dxfId="4135" priority="262">
      <formula>AND(S$9&gt;=14/24,S$9&lt;20/24)</formula>
    </cfRule>
    <cfRule type="expression" dxfId="4134" priority="263">
      <formula>AND(S$9&gt;=8/24,S$9&lt;14/24)</formula>
    </cfRule>
    <cfRule type="expression" dxfId="4133" priority="264">
      <formula>S$9&lt;8/24</formula>
    </cfRule>
  </conditionalFormatting>
  <conditionalFormatting sqref="S57:AE57">
    <cfRule type="expression" dxfId="4132" priority="257">
      <formula>S$9&gt;=20/24</formula>
    </cfRule>
    <cfRule type="expression" dxfId="4131" priority="258">
      <formula>AND(S$9&gt;=14/24,S$9&lt;20/24)</formula>
    </cfRule>
    <cfRule type="expression" dxfId="4130" priority="259">
      <formula>AND(S$9&gt;=8/24,S$9&lt;14/24)</formula>
    </cfRule>
    <cfRule type="expression" dxfId="4129" priority="260">
      <formula>S$9&lt;8/24</formula>
    </cfRule>
  </conditionalFormatting>
  <conditionalFormatting sqref="S81:AA81">
    <cfRule type="expression" dxfId="4128" priority="253">
      <formula>S$9&gt;=20/24</formula>
    </cfRule>
    <cfRule type="expression" dxfId="4127" priority="254">
      <formula>AND(S$9&gt;=14/24,S$9&lt;20/24)</formula>
    </cfRule>
    <cfRule type="expression" dxfId="4126" priority="255">
      <formula>AND(S$9&gt;=8/24,S$9&lt;14/24)</formula>
    </cfRule>
    <cfRule type="expression" dxfId="4125" priority="256">
      <formula>S$9&lt;8/24</formula>
    </cfRule>
  </conditionalFormatting>
  <conditionalFormatting sqref="U84:AA84">
    <cfRule type="expression" dxfId="4124" priority="249">
      <formula>U$9&gt;=20/24</formula>
    </cfRule>
    <cfRule type="expression" dxfId="4123" priority="250">
      <formula>AND(U$9&gt;=14/24,U$9&lt;20/24)</formula>
    </cfRule>
    <cfRule type="expression" dxfId="4122" priority="251">
      <formula>AND(U$9&gt;=8/24,U$9&lt;14/24)</formula>
    </cfRule>
    <cfRule type="expression" dxfId="4121" priority="252">
      <formula>U$9&lt;8/24</formula>
    </cfRule>
  </conditionalFormatting>
  <conditionalFormatting sqref="M49:X49">
    <cfRule type="expression" dxfId="4120" priority="241">
      <formula>M$9&gt;=20/24</formula>
    </cfRule>
    <cfRule type="expression" dxfId="4119" priority="242">
      <formula>AND(M$9&gt;=14/24,M$9&lt;20/24)</formula>
    </cfRule>
    <cfRule type="expression" dxfId="4118" priority="243">
      <formula>AND(M$9&gt;=8/24,M$9&lt;14/24)</formula>
    </cfRule>
    <cfRule type="expression" dxfId="4117" priority="244">
      <formula>M$9&lt;8/24</formula>
    </cfRule>
  </conditionalFormatting>
  <conditionalFormatting sqref="M50:X50">
    <cfRule type="expression" dxfId="4116" priority="237">
      <formula>M$9&gt;=20/24</formula>
    </cfRule>
    <cfRule type="expression" dxfId="4115" priority="238">
      <formula>AND(M$9&gt;=14/24,M$9&lt;20/24)</formula>
    </cfRule>
    <cfRule type="expression" dxfId="4114" priority="239">
      <formula>AND(M$9&gt;=8/24,M$9&lt;14/24)</formula>
    </cfRule>
    <cfRule type="expression" dxfId="4113" priority="240">
      <formula>M$9&lt;8/24</formula>
    </cfRule>
  </conditionalFormatting>
  <conditionalFormatting sqref="M45:X48 Y48">
    <cfRule type="expression" dxfId="4112" priority="233">
      <formula>M$9&gt;=20/24</formula>
    </cfRule>
    <cfRule type="expression" dxfId="4111" priority="234">
      <formula>AND(M$9&gt;=14/24,M$9&lt;20/24)</formula>
    </cfRule>
    <cfRule type="expression" dxfId="4110" priority="235">
      <formula>AND(M$9&gt;=8/24,M$9&lt;14/24)</formula>
    </cfRule>
    <cfRule type="expression" dxfId="4109" priority="236">
      <formula>M$9&lt;8/24</formula>
    </cfRule>
  </conditionalFormatting>
  <conditionalFormatting sqref="S37:AE37">
    <cfRule type="expression" dxfId="4108" priority="229">
      <formula>S$9&gt;=20/24</formula>
    </cfRule>
    <cfRule type="expression" dxfId="4107" priority="230">
      <formula>AND(S$9&gt;=14/24,S$9&lt;20/24)</formula>
    </cfRule>
    <cfRule type="expression" dxfId="4106" priority="231">
      <formula>AND(S$9&gt;=8/24,S$9&lt;14/24)</formula>
    </cfRule>
    <cfRule type="expression" dxfId="4105" priority="232">
      <formula>S$9&lt;8/24</formula>
    </cfRule>
  </conditionalFormatting>
  <conditionalFormatting sqref="Y31:Y32 Y35:AF35">
    <cfRule type="expression" dxfId="4104" priority="225">
      <formula>Y$9&gt;=20/24</formula>
    </cfRule>
    <cfRule type="expression" dxfId="4103" priority="226">
      <formula>AND(Y$9&gt;=14/24,Y$9&lt;20/24)</formula>
    </cfRule>
    <cfRule type="expression" dxfId="4102" priority="227">
      <formula>AND(Y$9&gt;=8/24,Y$9&lt;14/24)</formula>
    </cfRule>
    <cfRule type="expression" dxfId="4101" priority="228">
      <formula>Y$9&lt;8/24</formula>
    </cfRule>
  </conditionalFormatting>
  <conditionalFormatting sqref="S42:T43 U43:Y43 S45:AF48">
    <cfRule type="expression" dxfId="4100" priority="221">
      <formula>S$9&gt;=20/24</formula>
    </cfRule>
    <cfRule type="expression" dxfId="4099" priority="222">
      <formula>AND(S$9&gt;=14/24,S$9&lt;20/24)</formula>
    </cfRule>
    <cfRule type="expression" dxfId="4098" priority="223">
      <formula>AND(S$9&gt;=8/24,S$9&lt;14/24)</formula>
    </cfRule>
    <cfRule type="expression" dxfId="4097" priority="224">
      <formula>S$9&lt;8/24</formula>
    </cfRule>
  </conditionalFormatting>
  <conditionalFormatting sqref="S49:AF49">
    <cfRule type="expression" dxfId="4096" priority="217">
      <formula>S$9&gt;=20/24</formula>
    </cfRule>
    <cfRule type="expression" dxfId="4095" priority="218">
      <formula>AND(S$9&gt;=14/24,S$9&lt;20/24)</formula>
    </cfRule>
    <cfRule type="expression" dxfId="4094" priority="219">
      <formula>AND(S$9&gt;=8/24,S$9&lt;14/24)</formula>
    </cfRule>
    <cfRule type="expression" dxfId="4093" priority="220">
      <formula>S$9&lt;8/24</formula>
    </cfRule>
  </conditionalFormatting>
  <conditionalFormatting sqref="S50:AF50">
    <cfRule type="expression" dxfId="4092" priority="213">
      <formula>S$9&gt;=20/24</formula>
    </cfRule>
    <cfRule type="expression" dxfId="4091" priority="214">
      <formula>AND(S$9&gt;=14/24,S$9&lt;20/24)</formula>
    </cfRule>
    <cfRule type="expression" dxfId="4090" priority="215">
      <formula>AND(S$9&gt;=8/24,S$9&lt;14/24)</formula>
    </cfRule>
    <cfRule type="expression" dxfId="4089" priority="216">
      <formula>S$9&lt;8/24</formula>
    </cfRule>
  </conditionalFormatting>
  <conditionalFormatting sqref="T60:T67 U60:U64 X60:AF67">
    <cfRule type="expression" dxfId="4088" priority="209">
      <formula>T$9&gt;=20/24</formula>
    </cfRule>
    <cfRule type="expression" dxfId="4087" priority="210">
      <formula>AND(T$9&gt;=14/24,T$9&lt;20/24)</formula>
    </cfRule>
    <cfRule type="expression" dxfId="4086" priority="211">
      <formula>AND(T$9&gt;=8/24,T$9&lt;14/24)</formula>
    </cfRule>
    <cfRule type="expression" dxfId="4085" priority="212">
      <formula>T$9&lt;8/24</formula>
    </cfRule>
  </conditionalFormatting>
  <conditionalFormatting sqref="D62:I62 I63:I67 J62:L67">
    <cfRule type="expression" dxfId="4084" priority="205">
      <formula>D$9&gt;=20/24</formula>
    </cfRule>
    <cfRule type="expression" dxfId="4083" priority="206">
      <formula>AND(D$9&gt;=14/24,D$9&lt;20/24)</formula>
    </cfRule>
    <cfRule type="expression" dxfId="4082" priority="207">
      <formula>AND(D$9&gt;=8/24,D$9&lt;14/24)</formula>
    </cfRule>
    <cfRule type="expression" dxfId="4081" priority="208">
      <formula>D$9&lt;8/24</formula>
    </cfRule>
  </conditionalFormatting>
  <conditionalFormatting sqref="U94:AA97">
    <cfRule type="expression" dxfId="4080" priority="201">
      <formula>U$9&gt;=20/24</formula>
    </cfRule>
    <cfRule type="expression" dxfId="4079" priority="202">
      <formula>AND(U$9&gt;=14/24,U$9&lt;20/24)</formula>
    </cfRule>
    <cfRule type="expression" dxfId="4078" priority="203">
      <formula>AND(U$9&gt;=8/24,U$9&lt;14/24)</formula>
    </cfRule>
    <cfRule type="expression" dxfId="4077" priority="204">
      <formula>U$9&lt;8/24</formula>
    </cfRule>
  </conditionalFormatting>
  <conditionalFormatting sqref="AG51 C11:F11 Z12:Z17 B11:B32 C12:C32 D12:F14 G11:J14 D16:L32 K13:L14 B34:L36 Y18:Z32 Y11:AF11 V22:X22 K11:X12 AA12:AF32 Y34:AF36 B37:AF56">
    <cfRule type="expression" dxfId="4076" priority="200">
      <formula>B11&gt;$AG11</formula>
    </cfRule>
  </conditionalFormatting>
  <conditionalFormatting sqref="A100:A156 A84:A97 A11:A14 A16:A32 A45:A72 A80:A82 A74:A78 A35:A43 A169:A199">
    <cfRule type="expression" dxfId="4075" priority="199">
      <formula>$AH11=0</formula>
    </cfRule>
  </conditionalFormatting>
  <conditionalFormatting sqref="U98:AA98">
    <cfRule type="expression" dxfId="4074" priority="195">
      <formula>U$9&gt;=20/24</formula>
    </cfRule>
    <cfRule type="expression" dxfId="4073" priority="196">
      <formula>AND(U$9&gt;=14/24,U$9&lt;20/24)</formula>
    </cfRule>
    <cfRule type="expression" dxfId="4072" priority="197">
      <formula>AND(U$9&gt;=8/24,U$9&lt;14/24)</formula>
    </cfRule>
    <cfRule type="expression" dxfId="4071" priority="198">
      <formula>U$9&lt;8/24</formula>
    </cfRule>
  </conditionalFormatting>
  <conditionalFormatting sqref="A98">
    <cfRule type="expression" dxfId="4070" priority="194">
      <formula>$AH98=0</formula>
    </cfRule>
  </conditionalFormatting>
  <conditionalFormatting sqref="E63:H67">
    <cfRule type="expression" dxfId="4069" priority="186">
      <formula>E$9&gt;=20/24</formula>
    </cfRule>
    <cfRule type="expression" dxfId="4068" priority="187">
      <formula>AND(E$9&gt;=14/24,E$9&lt;20/24)</formula>
    </cfRule>
    <cfRule type="expression" dxfId="4067" priority="188">
      <formula>AND(E$9&gt;=8/24,E$9&lt;14/24)</formula>
    </cfRule>
    <cfRule type="expression" dxfId="4066" priority="189">
      <formula>E$9&lt;8/24</formula>
    </cfRule>
  </conditionalFormatting>
  <conditionalFormatting sqref="M62:S67">
    <cfRule type="expression" dxfId="4065" priority="182">
      <formula>M$9&gt;=20/24</formula>
    </cfRule>
    <cfRule type="expression" dxfId="4064" priority="183">
      <formula>AND(M$9&gt;=14/24,M$9&lt;20/24)</formula>
    </cfRule>
    <cfRule type="expression" dxfId="4063" priority="184">
      <formula>AND(M$9&gt;=8/24,M$9&lt;14/24)</formula>
    </cfRule>
    <cfRule type="expression" dxfId="4062" priority="185">
      <formula>M$9&lt;8/24</formula>
    </cfRule>
  </conditionalFormatting>
  <conditionalFormatting sqref="AL32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4061" priority="177">
      <formula>Z$9&gt;=20/24</formula>
    </cfRule>
    <cfRule type="expression" dxfId="4060" priority="178">
      <formula>AND(Z$9&gt;=14/24,Z$9&lt;20/24)</formula>
    </cfRule>
    <cfRule type="expression" dxfId="4059" priority="179">
      <formula>AND(Z$9&gt;=8/24,Z$9&lt;14/24)</formula>
    </cfRule>
    <cfRule type="expression" dxfId="4058" priority="180">
      <formula>Z$9&lt;8/24</formula>
    </cfRule>
  </conditionalFormatting>
  <conditionalFormatting sqref="Y34">
    <cfRule type="expression" dxfId="4057" priority="169">
      <formula>Y$9&gt;=20/24</formula>
    </cfRule>
    <cfRule type="expression" dxfId="4056" priority="170">
      <formula>AND(Y$9&gt;=14/24,Y$9&lt;20/24)</formula>
    </cfRule>
    <cfRule type="expression" dxfId="4055" priority="171">
      <formula>AND(Y$9&gt;=8/24,Y$9&lt;14/24)</formula>
    </cfRule>
    <cfRule type="expression" dxfId="4054" priority="172">
      <formula>Y$9&lt;8/24</formula>
    </cfRule>
  </conditionalFormatting>
  <conditionalFormatting sqref="A34">
    <cfRule type="expression" dxfId="4053" priority="168">
      <formula>$AH34=0</formula>
    </cfRule>
  </conditionalFormatting>
  <conditionalFormatting sqref="A83">
    <cfRule type="expression" dxfId="4052" priority="167">
      <formula>$AH83=0</formula>
    </cfRule>
  </conditionalFormatting>
  <conditionalFormatting sqref="Z15:AF15">
    <cfRule type="expression" dxfId="4051" priority="163">
      <formula>Z$9&gt;=20/24</formula>
    </cfRule>
    <cfRule type="expression" dxfId="4050" priority="164">
      <formula>AND(Z$9&gt;=14/24,Z$9&lt;20/24)</formula>
    </cfRule>
    <cfRule type="expression" dxfId="4049" priority="165">
      <formula>AND(Z$9&gt;=8/24,Z$9&lt;14/24)</formula>
    </cfRule>
    <cfRule type="expression" dxfId="4048" priority="166">
      <formula>Z$9&lt;8/24</formula>
    </cfRule>
  </conditionalFormatting>
  <conditionalFormatting sqref="D15:L15">
    <cfRule type="expression" dxfId="4047" priority="158">
      <formula>D15&gt;$AG15</formula>
    </cfRule>
  </conditionalFormatting>
  <conditionalFormatting sqref="A15">
    <cfRule type="expression" dxfId="4046" priority="157">
      <formula>$AH15=0</formula>
    </cfRule>
  </conditionalFormatting>
  <conditionalFormatting sqref="A163:A168">
    <cfRule type="expression" dxfId="4045" priority="156">
      <formula>$AH163=0</formula>
    </cfRule>
  </conditionalFormatting>
  <conditionalFormatting sqref="A157:A162">
    <cfRule type="expression" dxfId="4044" priority="155">
      <formula>$AH157=0</formula>
    </cfRule>
  </conditionalFormatting>
  <conditionalFormatting sqref="Z44:AF44">
    <cfRule type="expression" dxfId="4043" priority="151">
      <formula>Z$9&gt;=20/24</formula>
    </cfRule>
    <cfRule type="expression" dxfId="4042" priority="152">
      <formula>AND(Z$9&gt;=14/24,Z$9&lt;20/24)</formula>
    </cfRule>
    <cfRule type="expression" dxfId="4041" priority="153">
      <formula>AND(Z$9&gt;=8/24,Z$9&lt;14/24)</formula>
    </cfRule>
    <cfRule type="expression" dxfId="4040" priority="154">
      <formula>Z$9&lt;8/24</formula>
    </cfRule>
  </conditionalFormatting>
  <conditionalFormatting sqref="M44:X44">
    <cfRule type="expression" dxfId="4039" priority="147">
      <formula>M$9&gt;=20/24</formula>
    </cfRule>
    <cfRule type="expression" dxfId="4038" priority="148">
      <formula>AND(M$9&gt;=14/24,M$9&lt;20/24)</formula>
    </cfRule>
    <cfRule type="expression" dxfId="4037" priority="149">
      <formula>AND(M$9&gt;=8/24,M$9&lt;14/24)</formula>
    </cfRule>
    <cfRule type="expression" dxfId="4036" priority="150">
      <formula>M$9&lt;8/24</formula>
    </cfRule>
  </conditionalFormatting>
  <conditionalFormatting sqref="S44:Y44">
    <cfRule type="expression" dxfId="4035" priority="143">
      <formula>S$9&gt;=20/24</formula>
    </cfRule>
    <cfRule type="expression" dxfId="4034" priority="144">
      <formula>AND(S$9&gt;=14/24,S$9&lt;20/24)</formula>
    </cfRule>
    <cfRule type="expression" dxfId="4033" priority="145">
      <formula>AND(S$9&gt;=8/24,S$9&lt;14/24)</formula>
    </cfRule>
    <cfRule type="expression" dxfId="4032" priority="146">
      <formula>S$9&lt;8/24</formula>
    </cfRule>
  </conditionalFormatting>
  <conditionalFormatting sqref="A44">
    <cfRule type="expression" dxfId="4031" priority="142">
      <formula>$AH44=0</formula>
    </cfRule>
  </conditionalFormatting>
  <conditionalFormatting sqref="A79">
    <cfRule type="expression" dxfId="4030" priority="141">
      <formula>$AH79=0</formula>
    </cfRule>
  </conditionalFormatting>
  <conditionalFormatting sqref="A73">
    <cfRule type="expression" dxfId="4029" priority="140">
      <formula>$AH73=0</formula>
    </cfRule>
  </conditionalFormatting>
  <conditionalFormatting sqref="AL34:AL35 AL7:AL31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U65:W67 V60:W64">
    <cfRule type="expression" dxfId="4028" priority="136">
      <formula>U$9&gt;=20/24</formula>
    </cfRule>
    <cfRule type="expression" dxfId="4027" priority="137">
      <formula>AND(U$9&gt;=14/24,U$9&lt;20/24)</formula>
    </cfRule>
    <cfRule type="expression" dxfId="4026" priority="138">
      <formula>AND(U$9&gt;=8/24,U$9&lt;14/24)</formula>
    </cfRule>
    <cfRule type="expression" dxfId="4025" priority="139">
      <formula>U$9&lt;8/24</formula>
    </cfRule>
  </conditionalFormatting>
  <conditionalFormatting sqref="U85:W91">
    <cfRule type="expression" dxfId="4024" priority="132">
      <formula>U$9&gt;=20/24</formula>
    </cfRule>
    <cfRule type="expression" dxfId="4023" priority="133">
      <formula>AND(U$9&gt;=14/24,U$9&lt;20/24)</formula>
    </cfRule>
    <cfRule type="expression" dxfId="4022" priority="134">
      <formula>AND(U$9&gt;=8/24,U$9&lt;14/24)</formula>
    </cfRule>
    <cfRule type="expression" dxfId="4021" priority="135">
      <formula>U$9&lt;8/24</formula>
    </cfRule>
  </conditionalFormatting>
  <conditionalFormatting sqref="C84:I84 D85:I91 S85:T91 J84:R91">
    <cfRule type="expression" dxfId="4020" priority="128">
      <formula>C$9&gt;=20/24</formula>
    </cfRule>
    <cfRule type="expression" dxfId="4019" priority="129">
      <formula>AND(C$9&gt;=14/24,C$9&lt;20/24)</formula>
    </cfRule>
    <cfRule type="expression" dxfId="4018" priority="130">
      <formula>AND(C$9&gt;=8/24,C$9&lt;14/24)</formula>
    </cfRule>
    <cfRule type="expression" dxfId="4017" priority="131">
      <formula>C$9&lt;8/24</formula>
    </cfRule>
  </conditionalFormatting>
  <conditionalFormatting sqref="S84:T84">
    <cfRule type="expression" dxfId="4016" priority="124">
      <formula>S$9&gt;=20/24</formula>
    </cfRule>
    <cfRule type="expression" dxfId="4015" priority="125">
      <formula>AND(S$9&gt;=14/24,S$9&lt;20/24)</formula>
    </cfRule>
    <cfRule type="expression" dxfId="4014" priority="126">
      <formula>AND(S$9&gt;=8/24,S$9&lt;14/24)</formula>
    </cfRule>
    <cfRule type="expression" dxfId="4013" priority="127">
      <formula>S$9&lt;8/24</formula>
    </cfRule>
  </conditionalFormatting>
  <conditionalFormatting sqref="C94:F94 C95:N97">
    <cfRule type="expression" dxfId="4012" priority="120">
      <formula>C$9&gt;=20/24</formula>
    </cfRule>
    <cfRule type="expression" dxfId="4011" priority="121">
      <formula>AND(C$9&gt;=14/24,C$9&lt;20/24)</formula>
    </cfRule>
    <cfRule type="expression" dxfId="4010" priority="122">
      <formula>AND(C$9&gt;=8/24,C$9&lt;14/24)</formula>
    </cfRule>
    <cfRule type="expression" dxfId="4009" priority="123">
      <formula>C$9&lt;8/24</formula>
    </cfRule>
  </conditionalFormatting>
  <conditionalFormatting sqref="O94:R97">
    <cfRule type="expression" dxfId="4008" priority="116">
      <formula>O$9&gt;=20/24</formula>
    </cfRule>
    <cfRule type="expression" dxfId="4007" priority="117">
      <formula>AND(O$9&gt;=14/24,O$9&lt;20/24)</formula>
    </cfRule>
    <cfRule type="expression" dxfId="4006" priority="118">
      <formula>AND(O$9&gt;=8/24,O$9&lt;14/24)</formula>
    </cfRule>
    <cfRule type="expression" dxfId="4005" priority="119">
      <formula>O$9&lt;8/24</formula>
    </cfRule>
  </conditionalFormatting>
  <conditionalFormatting sqref="S94:T97">
    <cfRule type="expression" dxfId="4004" priority="112">
      <formula>S$9&gt;=20/24</formula>
    </cfRule>
    <cfRule type="expression" dxfId="4003" priority="113">
      <formula>AND(S$9&gt;=14/24,S$9&lt;20/24)</formula>
    </cfRule>
    <cfRule type="expression" dxfId="4002" priority="114">
      <formula>AND(S$9&gt;=8/24,S$9&lt;14/24)</formula>
    </cfRule>
    <cfRule type="expression" dxfId="4001" priority="115">
      <formula>S$9&lt;8/24</formula>
    </cfRule>
  </conditionalFormatting>
  <conditionalFormatting sqref="C98:N98">
    <cfRule type="expression" dxfId="4000" priority="108">
      <formula>C$9&gt;=20/24</formula>
    </cfRule>
    <cfRule type="expression" dxfId="3999" priority="109">
      <formula>AND(C$9&gt;=14/24,C$9&lt;20/24)</formula>
    </cfRule>
    <cfRule type="expression" dxfId="3998" priority="110">
      <formula>AND(C$9&gt;=8/24,C$9&lt;14/24)</formula>
    </cfRule>
    <cfRule type="expression" dxfId="3997" priority="111">
      <formula>C$9&lt;8/24</formula>
    </cfRule>
  </conditionalFormatting>
  <conditionalFormatting sqref="O98:R98">
    <cfRule type="expression" dxfId="3996" priority="104">
      <formula>O$9&gt;=20/24</formula>
    </cfRule>
    <cfRule type="expression" dxfId="3995" priority="105">
      <formula>AND(O$9&gt;=14/24,O$9&lt;20/24)</formula>
    </cfRule>
    <cfRule type="expression" dxfId="3994" priority="106">
      <formula>AND(O$9&gt;=8/24,O$9&lt;14/24)</formula>
    </cfRule>
    <cfRule type="expression" dxfId="3993" priority="107">
      <formula>O$9&lt;8/24</formula>
    </cfRule>
  </conditionalFormatting>
  <conditionalFormatting sqref="S98:T98">
    <cfRule type="expression" dxfId="3992" priority="100">
      <formula>S$9&gt;=20/24</formula>
    </cfRule>
    <cfRule type="expression" dxfId="3991" priority="101">
      <formula>AND(S$9&gt;=14/24,S$9&lt;20/24)</formula>
    </cfRule>
    <cfRule type="expression" dxfId="3990" priority="102">
      <formula>AND(S$9&gt;=8/24,S$9&lt;14/24)</formula>
    </cfRule>
    <cfRule type="expression" dxfId="3989" priority="103">
      <formula>S$9&lt;8/24</formula>
    </cfRule>
  </conditionalFormatting>
  <conditionalFormatting sqref="M94:N94">
    <cfRule type="expression" dxfId="3988" priority="96">
      <formula>M$9&gt;=20/24</formula>
    </cfRule>
    <cfRule type="expression" dxfId="3987" priority="97">
      <formula>AND(M$9&gt;=14/24,M$9&lt;20/24)</formula>
    </cfRule>
    <cfRule type="expression" dxfId="3986" priority="98">
      <formula>AND(M$9&gt;=8/24,M$9&lt;14/24)</formula>
    </cfRule>
    <cfRule type="expression" dxfId="3985" priority="99">
      <formula>M$9&lt;8/24</formula>
    </cfRule>
  </conditionalFormatting>
  <conditionalFormatting sqref="G94:L94">
    <cfRule type="expression" dxfId="3984" priority="92">
      <formula>G$9&gt;=20/24</formula>
    </cfRule>
    <cfRule type="expression" dxfId="3983" priority="93">
      <formula>AND(G$9&gt;=14/24,G$9&lt;20/24)</formula>
    </cfRule>
    <cfRule type="expression" dxfId="3982" priority="94">
      <formula>AND(G$9&gt;=8/24,G$9&lt;14/24)</formula>
    </cfRule>
    <cfRule type="expression" dxfId="3981" priority="95">
      <formula>G$9&lt;8/24</formula>
    </cfRule>
  </conditionalFormatting>
  <conditionalFormatting sqref="U94:W94">
    <cfRule type="expression" dxfId="3980" priority="88">
      <formula>U$9&gt;=20/24</formula>
    </cfRule>
    <cfRule type="expression" dxfId="3979" priority="89">
      <formula>AND(U$9&gt;=14/24,U$9&lt;20/24)</formula>
    </cfRule>
    <cfRule type="expression" dxfId="3978" priority="90">
      <formula>AND(U$9&gt;=8/24,U$9&lt;14/24)</formula>
    </cfRule>
    <cfRule type="expression" dxfId="3977" priority="91">
      <formula>U$9&lt;8/24</formula>
    </cfRule>
  </conditionalFormatting>
  <conditionalFormatting sqref="O94:T94">
    <cfRule type="expression" dxfId="3976" priority="84">
      <formula>O$9&gt;=20/24</formula>
    </cfRule>
    <cfRule type="expression" dxfId="3975" priority="85">
      <formula>AND(O$9&gt;=14/24,O$9&lt;20/24)</formula>
    </cfRule>
    <cfRule type="expression" dxfId="3974" priority="86">
      <formula>AND(O$9&gt;=8/24,O$9&lt;14/24)</formula>
    </cfRule>
    <cfRule type="expression" dxfId="3973" priority="87">
      <formula>O$9&lt;8/24</formula>
    </cfRule>
  </conditionalFormatting>
  <conditionalFormatting sqref="U99:AA99">
    <cfRule type="expression" dxfId="3972" priority="80">
      <formula>U$9&gt;=20/24</formula>
    </cfRule>
    <cfRule type="expression" dxfId="3971" priority="81">
      <formula>AND(U$9&gt;=14/24,U$9&lt;20/24)</formula>
    </cfRule>
    <cfRule type="expression" dxfId="3970" priority="82">
      <formula>AND(U$9&gt;=8/24,U$9&lt;14/24)</formula>
    </cfRule>
    <cfRule type="expression" dxfId="3969" priority="83">
      <formula>U$9&lt;8/24</formula>
    </cfRule>
  </conditionalFormatting>
  <conditionalFormatting sqref="C99:N99">
    <cfRule type="expression" dxfId="3968" priority="76">
      <formula>C$9&gt;=20/24</formula>
    </cfRule>
    <cfRule type="expression" dxfId="3967" priority="77">
      <formula>AND(C$9&gt;=14/24,C$9&lt;20/24)</formula>
    </cfRule>
    <cfRule type="expression" dxfId="3966" priority="78">
      <formula>AND(C$9&gt;=8/24,C$9&lt;14/24)</formula>
    </cfRule>
    <cfRule type="expression" dxfId="3965" priority="79">
      <formula>C$9&lt;8/24</formula>
    </cfRule>
  </conditionalFormatting>
  <conditionalFormatting sqref="O99:R99">
    <cfRule type="expression" dxfId="3964" priority="72">
      <formula>O$9&gt;=20/24</formula>
    </cfRule>
    <cfRule type="expression" dxfId="3963" priority="73">
      <formula>AND(O$9&gt;=14/24,O$9&lt;20/24)</formula>
    </cfRule>
    <cfRule type="expression" dxfId="3962" priority="74">
      <formula>AND(O$9&gt;=8/24,O$9&lt;14/24)</formula>
    </cfRule>
    <cfRule type="expression" dxfId="3961" priority="75">
      <formula>O$9&lt;8/24</formula>
    </cfRule>
  </conditionalFormatting>
  <conditionalFormatting sqref="S99:T99">
    <cfRule type="expression" dxfId="3960" priority="68">
      <formula>S$9&gt;=20/24</formula>
    </cfRule>
    <cfRule type="expression" dxfId="3959" priority="69">
      <formula>AND(S$9&gt;=14/24,S$9&lt;20/24)</formula>
    </cfRule>
    <cfRule type="expression" dxfId="3958" priority="70">
      <formula>AND(S$9&gt;=8/24,S$9&lt;14/24)</formula>
    </cfRule>
    <cfRule type="expression" dxfId="3957" priority="71">
      <formula>S$9&lt;8/24</formula>
    </cfRule>
  </conditionalFormatting>
  <conditionalFormatting sqref="Y12:Y16">
    <cfRule type="expression" dxfId="3956" priority="64">
      <formula>Y$9&gt;=20/24</formula>
    </cfRule>
    <cfRule type="expression" dxfId="3955" priority="65">
      <formula>AND(Y$9&gt;=14/24,Y$9&lt;20/24)</formula>
    </cfRule>
    <cfRule type="expression" dxfId="3954" priority="66">
      <formula>AND(Y$9&gt;=8/24,Y$9&lt;14/24)</formula>
    </cfRule>
    <cfRule type="expression" dxfId="3953" priority="67">
      <formula>Y$9&lt;8/24</formula>
    </cfRule>
  </conditionalFormatting>
  <conditionalFormatting sqref="Y17">
    <cfRule type="expression" dxfId="3952" priority="60">
      <formula>Y$9&gt;=20/24</formula>
    </cfRule>
    <cfRule type="expression" dxfId="3951" priority="61">
      <formula>AND(Y$9&gt;=14/24,Y$9&lt;20/24)</formula>
    </cfRule>
    <cfRule type="expression" dxfId="3950" priority="62">
      <formula>AND(Y$9&gt;=8/24,Y$9&lt;14/24)</formula>
    </cfRule>
    <cfRule type="expression" dxfId="3949" priority="63">
      <formula>Y$9&lt;8/24</formula>
    </cfRule>
  </conditionalFormatting>
  <conditionalFormatting sqref="Y12:Y13">
    <cfRule type="expression" dxfId="3948" priority="56">
      <formula>Y$9&gt;=20/24</formula>
    </cfRule>
    <cfRule type="expression" dxfId="3947" priority="57">
      <formula>AND(Y$9&gt;=14/24,Y$9&lt;20/24)</formula>
    </cfRule>
    <cfRule type="expression" dxfId="3946" priority="58">
      <formula>AND(Y$9&gt;=8/24,Y$9&lt;14/24)</formula>
    </cfRule>
    <cfRule type="expression" dxfId="3945" priority="59">
      <formula>Y$9&lt;8/24</formula>
    </cfRule>
  </conditionalFormatting>
  <conditionalFormatting sqref="AC58:AE59">
    <cfRule type="expression" dxfId="3944" priority="52">
      <formula>AC$9&gt;=20/24</formula>
    </cfRule>
    <cfRule type="expression" dxfId="3943" priority="53">
      <formula>AND(AC$9&gt;=14/24,AC$9&lt;20/24)</formula>
    </cfRule>
    <cfRule type="expression" dxfId="3942" priority="54">
      <formula>AND(AC$9&gt;=8/24,AC$9&lt;14/24)</formula>
    </cfRule>
    <cfRule type="expression" dxfId="3941" priority="55">
      <formula>AC$9&lt;8/24</formula>
    </cfRule>
  </conditionalFormatting>
  <conditionalFormatting sqref="AL33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40" priority="285">
      <formula>C$9&gt;=20/24</formula>
    </cfRule>
    <cfRule type="expression" dxfId="3939" priority="286">
      <formula>AND(C$9&gt;=14/24,C$9&lt;20/24)</formula>
    </cfRule>
    <cfRule type="expression" dxfId="3938" priority="287">
      <formula>AND(C$9&gt;=8/24,C$9&lt;14/24)</formula>
    </cfRule>
    <cfRule type="expression" dxfId="3937" priority="288">
      <formula>C$9&lt;8/24</formula>
    </cfRule>
  </conditionalFormatting>
  <conditionalFormatting sqref="A200">
    <cfRule type="expression" dxfId="3936" priority="289">
      <formula>$AH200=0</formula>
    </cfRule>
  </conditionalFormatting>
  <conditionalFormatting sqref="AG212">
    <cfRule type="expression" dxfId="3935" priority="290">
      <formula>B$9&gt;=20/24</formula>
    </cfRule>
    <cfRule type="expression" dxfId="3934" priority="291">
      <formula>AND(B$9&gt;=14/24,B$9&lt;20/24)</formula>
    </cfRule>
    <cfRule type="expression" dxfId="3933" priority="292">
      <formula>AND(B$9&gt;=8/24,B$9&lt;14/24)</formula>
    </cfRule>
    <cfRule type="expression" dxfId="3932" priority="293">
      <formula>B$9&lt;8/24</formula>
    </cfRule>
  </conditionalFormatting>
  <conditionalFormatting sqref="S8">
    <cfRule type="expression" dxfId="3931" priority="46">
      <formula>U$9&gt;=20/24</formula>
    </cfRule>
    <cfRule type="expression" dxfId="3930" priority="47">
      <formula>AND(U$9&gt;=14/24,U$9&lt;20/24)</formula>
    </cfRule>
    <cfRule type="expression" dxfId="3929" priority="48">
      <formula>AND(U$9&gt;=8/24,U$9&lt;14/24)</formula>
    </cfRule>
    <cfRule type="expression" dxfId="3928" priority="49">
      <formula>U$9&lt;8/24</formula>
    </cfRule>
  </conditionalFormatting>
  <conditionalFormatting sqref="AB8">
    <cfRule type="expression" dxfId="3927" priority="42">
      <formula>AD$9&gt;=20/24</formula>
    </cfRule>
    <cfRule type="expression" dxfId="3926" priority="43">
      <formula>AND(AD$9&gt;=14/24,AD$9&lt;20/24)</formula>
    </cfRule>
    <cfRule type="expression" dxfId="3925" priority="44">
      <formula>AND(AD$9&gt;=8/24,AD$9&lt;14/24)</formula>
    </cfRule>
    <cfRule type="expression" dxfId="3924" priority="45">
      <formula>AD$9&lt;8/24</formula>
    </cfRule>
  </conditionalFormatting>
  <conditionalFormatting sqref="AH212:AX212">
    <cfRule type="expression" dxfId="3923" priority="294">
      <formula>AG$9&gt;=20/24</formula>
    </cfRule>
    <cfRule type="expression" dxfId="3922" priority="295">
      <formula>AND(AG$9&gt;=14/24,AG$9&lt;20/24)</formula>
    </cfRule>
    <cfRule type="expression" dxfId="3921" priority="296">
      <formula>AND(AG$9&gt;=8/24,AG$9&lt;14/24)</formula>
    </cfRule>
    <cfRule type="expression" dxfId="3920" priority="297">
      <formula>AG$9&lt;8/24</formula>
    </cfRule>
  </conditionalFormatting>
  <conditionalFormatting sqref="T212">
    <cfRule type="expression" dxfId="3919" priority="298">
      <formula>AX$9&gt;=20/24</formula>
    </cfRule>
    <cfRule type="expression" dxfId="3918" priority="299">
      <formula>AND(AX$9&gt;=14/24,AX$9&lt;20/24)</formula>
    </cfRule>
    <cfRule type="expression" dxfId="3917" priority="300">
      <formula>AND(AX$9&gt;=8/24,AX$9&lt;14/24)</formula>
    </cfRule>
    <cfRule type="expression" dxfId="3916" priority="301">
      <formula>AX$9&lt;8/24</formula>
    </cfRule>
  </conditionalFormatting>
  <conditionalFormatting sqref="A99">
    <cfRule type="expression" dxfId="3915" priority="41">
      <formula>$AH99=0</formula>
    </cfRule>
  </conditionalFormatting>
  <conditionalFormatting sqref="Z33:AF33">
    <cfRule type="expression" dxfId="3914" priority="33">
      <formula>Z$9&gt;=20/24</formula>
    </cfRule>
    <cfRule type="expression" dxfId="3913" priority="34">
      <formula>AND(Z$9&gt;=14/24,Z$9&lt;20/24)</formula>
    </cfRule>
    <cfRule type="expression" dxfId="3912" priority="35">
      <formula>AND(Z$9&gt;=8/24,Z$9&lt;14/24)</formula>
    </cfRule>
    <cfRule type="expression" dxfId="3911" priority="36">
      <formula>Z$9&lt;8/24</formula>
    </cfRule>
  </conditionalFormatting>
  <conditionalFormatting sqref="Y33">
    <cfRule type="expression" dxfId="3910" priority="29">
      <formula>Y$9&gt;=20/24</formula>
    </cfRule>
    <cfRule type="expression" dxfId="3909" priority="30">
      <formula>AND(Y$9&gt;=14/24,Y$9&lt;20/24)</formula>
    </cfRule>
    <cfRule type="expression" dxfId="3908" priority="31">
      <formula>AND(Y$9&gt;=8/24,Y$9&lt;14/24)</formula>
    </cfRule>
    <cfRule type="expression" dxfId="3907" priority="32">
      <formula>Y$9&lt;8/24</formula>
    </cfRule>
  </conditionalFormatting>
  <conditionalFormatting sqref="B33:L33 Y33:AF33">
    <cfRule type="expression" dxfId="3906" priority="28">
      <formula>B33&gt;$AG33</formula>
    </cfRule>
  </conditionalFormatting>
  <conditionalFormatting sqref="M16:U32 V16:X21 M13:X14 V23:X32 M36:X36">
    <cfRule type="expression" dxfId="3905" priority="24">
      <formula>M$9&gt;=20/24</formula>
    </cfRule>
    <cfRule type="expression" dxfId="3904" priority="25">
      <formula>AND(M$9&gt;=14/24,M$9&lt;20/24)</formula>
    </cfRule>
    <cfRule type="expression" dxfId="3903" priority="26">
      <formula>AND(M$9&gt;=8/24,M$9&lt;14/24)</formula>
    </cfRule>
    <cfRule type="expression" dxfId="3902" priority="27">
      <formula>M$9&lt;8/24</formula>
    </cfRule>
  </conditionalFormatting>
  <conditionalFormatting sqref="M35:X35">
    <cfRule type="expression" dxfId="3901" priority="20">
      <formula>M$9&gt;=20/24</formula>
    </cfRule>
    <cfRule type="expression" dxfId="3900" priority="21">
      <formula>AND(M$9&gt;=14/24,M$9&lt;20/24)</formula>
    </cfRule>
    <cfRule type="expression" dxfId="3899" priority="22">
      <formula>AND(M$9&gt;=8/24,M$9&lt;14/24)</formula>
    </cfRule>
    <cfRule type="expression" dxfId="3898" priority="23">
      <formula>M$9&lt;8/24</formula>
    </cfRule>
  </conditionalFormatting>
  <conditionalFormatting sqref="M16:U32 V16:X21 M13:X14 V23:X32 M34:X36">
    <cfRule type="expression" dxfId="3897" priority="19">
      <formula>M13&gt;$AG13</formula>
    </cfRule>
  </conditionalFormatting>
  <conditionalFormatting sqref="M34:X34">
    <cfRule type="expression" dxfId="3896" priority="15">
      <formula>M$9&gt;=20/24</formula>
    </cfRule>
    <cfRule type="expression" dxfId="3895" priority="16">
      <formula>AND(M$9&gt;=14/24,M$9&lt;20/24)</formula>
    </cfRule>
    <cfRule type="expression" dxfId="3894" priority="17">
      <formula>AND(M$9&gt;=8/24,M$9&lt;14/24)</formula>
    </cfRule>
    <cfRule type="expression" dxfId="3893" priority="18">
      <formula>M$9&lt;8/24</formula>
    </cfRule>
  </conditionalFormatting>
  <conditionalFormatting sqref="M15:X15">
    <cfRule type="expression" dxfId="3892" priority="11">
      <formula>M$9&gt;=20/24</formula>
    </cfRule>
    <cfRule type="expression" dxfId="3891" priority="12">
      <formula>AND(M$9&gt;=14/24,M$9&lt;20/24)</formula>
    </cfRule>
    <cfRule type="expression" dxfId="3890" priority="13">
      <formula>AND(M$9&gt;=8/24,M$9&lt;14/24)</formula>
    </cfRule>
    <cfRule type="expression" dxfId="3889" priority="14">
      <formula>M$9&lt;8/24</formula>
    </cfRule>
  </conditionalFormatting>
  <conditionalFormatting sqref="M15:X15">
    <cfRule type="expression" dxfId="3888" priority="10">
      <formula>M15&gt;$AG15</formula>
    </cfRule>
  </conditionalFormatting>
  <conditionalFormatting sqref="M33:X33">
    <cfRule type="expression" dxfId="3887" priority="6">
      <formula>M$9&gt;=20/24</formula>
    </cfRule>
    <cfRule type="expression" dxfId="3886" priority="7">
      <formula>AND(M$9&gt;=14/24,M$9&lt;20/24)</formula>
    </cfRule>
    <cfRule type="expression" dxfId="3885" priority="8">
      <formula>AND(M$9&gt;=8/24,M$9&lt;14/24)</formula>
    </cfRule>
    <cfRule type="expression" dxfId="3884" priority="9">
      <formula>M$9&lt;8/24</formula>
    </cfRule>
  </conditionalFormatting>
  <conditionalFormatting sqref="M33:X33">
    <cfRule type="expression" dxfId="3883" priority="5">
      <formula>M33&gt;$AG33</formula>
    </cfRule>
  </conditionalFormatting>
  <conditionalFormatting sqref="AB58:AB59">
    <cfRule type="expression" dxfId="3882" priority="1">
      <formula>AB$9&gt;=20/24</formula>
    </cfRule>
    <cfRule type="expression" dxfId="3881" priority="2">
      <formula>AND(AB$9&gt;=14/24,AB$9&lt;20/24)</formula>
    </cfRule>
    <cfRule type="expression" dxfId="3880" priority="3">
      <formula>AND(AB$9&gt;=8/24,AB$9&lt;14/24)</formula>
    </cfRule>
    <cfRule type="expression" dxfId="3879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" id="{1523DFA4-D00F-45CC-8359-BFCC3A05A89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A58" sqref="AA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2078/10/22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257</v>
      </c>
      <c r="C5" s="32">
        <f t="shared" si="0"/>
        <v>235</v>
      </c>
      <c r="D5" s="32">
        <f t="shared" si="0"/>
        <v>201</v>
      </c>
      <c r="E5" s="32">
        <f t="shared" si="0"/>
        <v>194</v>
      </c>
      <c r="F5" s="32">
        <f t="shared" si="0"/>
        <v>199</v>
      </c>
      <c r="G5" s="32">
        <f t="shared" si="0"/>
        <v>204</v>
      </c>
      <c r="H5" s="32">
        <f t="shared" si="0"/>
        <v>209</v>
      </c>
      <c r="I5" s="32">
        <f t="shared" si="0"/>
        <v>287</v>
      </c>
      <c r="J5" s="32">
        <f t="shared" si="0"/>
        <v>289</v>
      </c>
      <c r="K5" s="32">
        <f t="shared" si="0"/>
        <v>71.2</v>
      </c>
      <c r="L5" s="32">
        <f t="shared" si="0"/>
        <v>104</v>
      </c>
      <c r="M5" s="32">
        <f t="shared" si="0"/>
        <v>227.7</v>
      </c>
      <c r="N5" s="32">
        <f t="shared" si="0"/>
        <v>268.60000000000002</v>
      </c>
      <c r="O5" s="32">
        <f t="shared" si="0"/>
        <v>312.60000000000002</v>
      </c>
      <c r="P5" s="32">
        <f t="shared" si="0"/>
        <v>337.9</v>
      </c>
      <c r="Q5" s="32">
        <f t="shared" si="0"/>
        <v>331.1</v>
      </c>
      <c r="R5" s="32">
        <f t="shared" si="0"/>
        <v>360.9</v>
      </c>
      <c r="S5" s="32">
        <f t="shared" si="0"/>
        <v>373</v>
      </c>
      <c r="T5" s="32">
        <f t="shared" si="0"/>
        <v>386.9</v>
      </c>
      <c r="U5" s="32">
        <f t="shared" si="0"/>
        <v>207.70000000000002</v>
      </c>
      <c r="V5" s="32">
        <f t="shared" si="0"/>
        <v>144.80000000000001</v>
      </c>
      <c r="W5" s="32">
        <f t="shared" si="0"/>
        <v>224.3</v>
      </c>
      <c r="X5" s="32">
        <f t="shared" si="0"/>
        <v>245.2</v>
      </c>
      <c r="Y5" s="32">
        <f t="shared" si="0"/>
        <v>195.3</v>
      </c>
      <c r="Z5" s="32">
        <f t="shared" si="0"/>
        <v>280.39999999999998</v>
      </c>
      <c r="AA5" s="32">
        <f t="shared" si="0"/>
        <v>262</v>
      </c>
      <c r="AB5" s="32">
        <f t="shared" si="0"/>
        <v>475.3</v>
      </c>
      <c r="AC5" s="32">
        <f t="shared" si="0"/>
        <v>494.10000000000008</v>
      </c>
      <c r="AD5" s="32">
        <f t="shared" si="0"/>
        <v>392.1</v>
      </c>
      <c r="AE5" s="32">
        <f t="shared" si="0"/>
        <v>317.60000000000002</v>
      </c>
      <c r="AF5" s="32">
        <f>B68</f>
        <v>332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Load=828</v>
      </c>
      <c r="B7" s="37">
        <f>B75</f>
        <v>940.14</v>
      </c>
      <c r="C7" s="37">
        <f t="shared" ref="C7:AF7" si="1">C75</f>
        <v>893.14</v>
      </c>
      <c r="D7" s="37">
        <f t="shared" si="1"/>
        <v>881.14</v>
      </c>
      <c r="E7" s="37">
        <f t="shared" si="1"/>
        <v>863.14</v>
      </c>
      <c r="F7" s="37">
        <f t="shared" si="1"/>
        <v>828.13999999999987</v>
      </c>
      <c r="G7" s="37">
        <f t="shared" si="1"/>
        <v>902.14</v>
      </c>
      <c r="H7" s="37">
        <f t="shared" si="1"/>
        <v>892.74</v>
      </c>
      <c r="I7" s="37">
        <f t="shared" si="1"/>
        <v>950.04</v>
      </c>
      <c r="J7" s="37">
        <f t="shared" si="1"/>
        <v>1012.9399999999998</v>
      </c>
      <c r="K7" s="37">
        <f t="shared" si="1"/>
        <v>1096.1399999999999</v>
      </c>
      <c r="L7" s="37">
        <f t="shared" si="1"/>
        <v>1253.6400000000001</v>
      </c>
      <c r="M7" s="37">
        <f t="shared" si="1"/>
        <v>1336.1399999999999</v>
      </c>
      <c r="N7" s="37">
        <f t="shared" si="1"/>
        <v>1397.54</v>
      </c>
      <c r="O7" s="37">
        <f t="shared" si="1"/>
        <v>1371.8400000000001</v>
      </c>
      <c r="P7" s="37">
        <f t="shared" si="1"/>
        <v>1256.7399999999998</v>
      </c>
      <c r="Q7" s="37">
        <f t="shared" si="1"/>
        <v>1217.24</v>
      </c>
      <c r="R7" s="37">
        <f t="shared" si="1"/>
        <v>1176.54</v>
      </c>
      <c r="S7" s="37">
        <f t="shared" si="1"/>
        <v>1179.8399999999997</v>
      </c>
      <c r="T7" s="37">
        <f t="shared" si="1"/>
        <v>1165.54</v>
      </c>
      <c r="U7" s="37">
        <f t="shared" si="1"/>
        <v>1149.24</v>
      </c>
      <c r="V7" s="37">
        <f t="shared" si="1"/>
        <v>1174.3400000000001</v>
      </c>
      <c r="W7" s="37">
        <f t="shared" si="1"/>
        <v>1264.94</v>
      </c>
      <c r="X7" s="37">
        <f t="shared" si="1"/>
        <v>1495.3400000000001</v>
      </c>
      <c r="Y7" s="37">
        <f t="shared" si="1"/>
        <v>1576.3400000000001</v>
      </c>
      <c r="Z7" s="37">
        <f t="shared" si="1"/>
        <v>1594.14</v>
      </c>
      <c r="AA7" s="37">
        <f t="shared" si="1"/>
        <v>1540.24</v>
      </c>
      <c r="AB7" s="37">
        <f t="shared" si="1"/>
        <v>1472.8400000000001</v>
      </c>
      <c r="AC7" s="37">
        <f t="shared" si="1"/>
        <v>1397.54</v>
      </c>
      <c r="AD7" s="37">
        <f t="shared" si="1"/>
        <v>1379.34</v>
      </c>
      <c r="AE7" s="37">
        <f t="shared" si="1"/>
        <v>1176.8399999999999</v>
      </c>
      <c r="AF7" s="37">
        <f t="shared" si="1"/>
        <v>1024.3399999999999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40</v>
      </c>
      <c r="D11" s="49">
        <v>50</v>
      </c>
      <c r="E11" s="49">
        <v>50</v>
      </c>
      <c r="F11" s="49">
        <v>25</v>
      </c>
      <c r="G11" s="49">
        <v>15</v>
      </c>
      <c r="H11" s="49">
        <v>15</v>
      </c>
      <c r="I11" s="49">
        <v>15</v>
      </c>
      <c r="J11" s="49">
        <v>15</v>
      </c>
      <c r="K11" s="49">
        <v>60</v>
      </c>
      <c r="L11" s="49">
        <v>350</v>
      </c>
      <c r="M11" s="50">
        <v>370</v>
      </c>
      <c r="N11" s="50">
        <v>255</v>
      </c>
      <c r="O11" s="50">
        <v>200</v>
      </c>
      <c r="P11" s="50">
        <v>90</v>
      </c>
      <c r="Q11" s="50">
        <v>80</v>
      </c>
      <c r="R11" s="50">
        <v>80</v>
      </c>
      <c r="S11" s="50">
        <v>60</v>
      </c>
      <c r="T11" s="50">
        <v>60</v>
      </c>
      <c r="U11" s="50">
        <v>60</v>
      </c>
      <c r="V11" s="50">
        <v>250</v>
      </c>
      <c r="W11" s="50">
        <v>300</v>
      </c>
      <c r="X11" s="50">
        <v>355</v>
      </c>
      <c r="Y11" s="50">
        <v>380</v>
      </c>
      <c r="Z11" s="51">
        <v>440</v>
      </c>
      <c r="AA11" s="51">
        <v>301</v>
      </c>
      <c r="AB11" s="50">
        <v>260</v>
      </c>
      <c r="AC11" s="50">
        <v>15</v>
      </c>
      <c r="AD11" s="50">
        <v>15</v>
      </c>
      <c r="AE11" s="50">
        <v>40</v>
      </c>
      <c r="AF11" s="49">
        <v>40</v>
      </c>
      <c r="AG11" s="52">
        <v>456</v>
      </c>
      <c r="AH11" s="53">
        <f>MAX(B11:AF11)</f>
        <v>440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38</v>
      </c>
      <c r="C12" s="49">
        <v>38</v>
      </c>
      <c r="D12" s="49">
        <v>38</v>
      </c>
      <c r="E12" s="49">
        <v>38</v>
      </c>
      <c r="F12" s="49">
        <v>38</v>
      </c>
      <c r="G12" s="49">
        <v>38</v>
      </c>
      <c r="H12" s="49">
        <v>38</v>
      </c>
      <c r="I12" s="49">
        <v>38</v>
      </c>
      <c r="J12" s="49">
        <v>38</v>
      </c>
      <c r="K12" s="49">
        <v>38</v>
      </c>
      <c r="L12" s="49">
        <v>38</v>
      </c>
      <c r="M12" s="49">
        <v>38</v>
      </c>
      <c r="N12" s="49">
        <v>43</v>
      </c>
      <c r="O12" s="49">
        <v>43</v>
      </c>
      <c r="P12" s="49">
        <v>43</v>
      </c>
      <c r="Q12" s="49">
        <v>36</v>
      </c>
      <c r="R12" s="49">
        <v>36</v>
      </c>
      <c r="S12" s="49">
        <v>36</v>
      </c>
      <c r="T12" s="49">
        <v>36</v>
      </c>
      <c r="U12" s="49">
        <v>36</v>
      </c>
      <c r="V12" s="49">
        <v>36</v>
      </c>
      <c r="W12" s="49">
        <v>36</v>
      </c>
      <c r="X12" s="49">
        <v>36</v>
      </c>
      <c r="Y12" s="57">
        <v>36</v>
      </c>
      <c r="Z12" s="50">
        <v>36</v>
      </c>
      <c r="AA12" s="50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43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24</v>
      </c>
      <c r="C13" s="49">
        <v>24</v>
      </c>
      <c r="D13" s="49">
        <v>24</v>
      </c>
      <c r="E13" s="49">
        <v>24</v>
      </c>
      <c r="F13" s="49">
        <v>21.6</v>
      </c>
      <c r="G13" s="49">
        <v>21.6</v>
      </c>
      <c r="H13" s="49">
        <v>21.6</v>
      </c>
      <c r="I13" s="49">
        <v>21.6</v>
      </c>
      <c r="J13" s="49">
        <v>21.6</v>
      </c>
      <c r="K13" s="49">
        <v>21.6</v>
      </c>
      <c r="L13" s="49">
        <v>21.6</v>
      </c>
      <c r="M13" s="49">
        <v>19.399999999999999</v>
      </c>
      <c r="N13" s="49">
        <v>21.3</v>
      </c>
      <c r="O13" s="49">
        <v>21.3</v>
      </c>
      <c r="P13" s="49">
        <v>21.3</v>
      </c>
      <c r="Q13" s="49">
        <v>21.3</v>
      </c>
      <c r="R13" s="49">
        <v>20.8</v>
      </c>
      <c r="S13" s="49">
        <v>20.7</v>
      </c>
      <c r="T13" s="49">
        <v>11</v>
      </c>
      <c r="U13" s="49">
        <v>10.3</v>
      </c>
      <c r="V13" s="49">
        <v>10.3</v>
      </c>
      <c r="W13" s="49">
        <v>10.3</v>
      </c>
      <c r="X13" s="49">
        <v>10.3</v>
      </c>
      <c r="Y13" s="57">
        <v>26.8</v>
      </c>
      <c r="Z13" s="57">
        <v>26.8</v>
      </c>
      <c r="AA13" s="57">
        <v>26.8</v>
      </c>
      <c r="AB13" s="57">
        <v>26.8</v>
      </c>
      <c r="AC13" s="57">
        <v>22</v>
      </c>
      <c r="AD13" s="57">
        <v>22</v>
      </c>
      <c r="AE13" s="57">
        <v>22</v>
      </c>
      <c r="AF13" s="57">
        <v>22</v>
      </c>
      <c r="AG13" s="58">
        <v>52.4</v>
      </c>
      <c r="AH13" s="53">
        <f t="shared" si="2"/>
        <v>26.8</v>
      </c>
      <c r="AI13" s="54">
        <f t="shared" si="3"/>
        <v>10.3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48.6</v>
      </c>
      <c r="C14" s="49">
        <v>48.6</v>
      </c>
      <c r="D14" s="49">
        <v>48.6</v>
      </c>
      <c r="E14" s="49">
        <v>40.6</v>
      </c>
      <c r="F14" s="49">
        <v>40.6</v>
      </c>
      <c r="G14" s="49">
        <v>40.6</v>
      </c>
      <c r="H14" s="49">
        <v>40.6</v>
      </c>
      <c r="I14" s="49">
        <v>40.6</v>
      </c>
      <c r="J14" s="49">
        <v>40.6</v>
      </c>
      <c r="K14" s="49">
        <v>40.6</v>
      </c>
      <c r="L14" s="49">
        <v>40.6</v>
      </c>
      <c r="M14" s="50">
        <v>41</v>
      </c>
      <c r="N14" s="50">
        <v>40.799999999999997</v>
      </c>
      <c r="O14" s="50">
        <v>40.799999999999997</v>
      </c>
      <c r="P14" s="50">
        <v>40.799999999999997</v>
      </c>
      <c r="Q14" s="50">
        <v>41</v>
      </c>
      <c r="R14" s="50">
        <v>35.9</v>
      </c>
      <c r="S14" s="50">
        <v>34.799999999999997</v>
      </c>
      <c r="T14" s="50">
        <v>34.799999999999997</v>
      </c>
      <c r="U14" s="50">
        <v>34</v>
      </c>
      <c r="V14" s="50">
        <v>34</v>
      </c>
      <c r="W14" s="50">
        <v>34</v>
      </c>
      <c r="X14" s="50">
        <v>34</v>
      </c>
      <c r="Y14" s="59">
        <v>49</v>
      </c>
      <c r="Z14" s="59">
        <v>49</v>
      </c>
      <c r="AA14" s="59">
        <v>49</v>
      </c>
      <c r="AB14" s="59">
        <v>49</v>
      </c>
      <c r="AC14" s="59">
        <v>49</v>
      </c>
      <c r="AD14" s="59">
        <v>49</v>
      </c>
      <c r="AE14" s="59">
        <v>49</v>
      </c>
      <c r="AF14" s="59">
        <v>49</v>
      </c>
      <c r="AG14" s="58">
        <v>50</v>
      </c>
      <c r="AH14" s="53">
        <f t="shared" si="2"/>
        <v>49</v>
      </c>
      <c r="AI14" s="54">
        <f t="shared" si="3"/>
        <v>34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21.8</v>
      </c>
      <c r="C15" s="60">
        <v>21.8</v>
      </c>
      <c r="D15" s="60">
        <v>21.8</v>
      </c>
      <c r="E15" s="60">
        <v>18.3</v>
      </c>
      <c r="F15" s="60">
        <v>18.3</v>
      </c>
      <c r="G15" s="60">
        <v>18.3</v>
      </c>
      <c r="H15" s="60">
        <v>18.3</v>
      </c>
      <c r="I15" s="60">
        <v>18.3</v>
      </c>
      <c r="J15" s="60">
        <v>18.3</v>
      </c>
      <c r="K15" s="60">
        <v>18.3</v>
      </c>
      <c r="L15" s="60">
        <v>21.9</v>
      </c>
      <c r="M15" s="50">
        <v>21.7</v>
      </c>
      <c r="N15" s="50">
        <v>22.5</v>
      </c>
      <c r="O15" s="50">
        <v>22.5</v>
      </c>
      <c r="P15" s="50">
        <v>22.5</v>
      </c>
      <c r="Q15" s="50">
        <v>22.9</v>
      </c>
      <c r="R15" s="50">
        <v>23.3</v>
      </c>
      <c r="S15" s="50">
        <v>23.3</v>
      </c>
      <c r="T15" s="50">
        <v>23.3</v>
      </c>
      <c r="U15" s="50">
        <v>23.3</v>
      </c>
      <c r="V15" s="50">
        <v>23.3</v>
      </c>
      <c r="W15" s="50">
        <v>23.3</v>
      </c>
      <c r="X15" s="50">
        <v>23.3</v>
      </c>
      <c r="Y15" s="59">
        <v>23.3</v>
      </c>
      <c r="Z15" s="59">
        <v>23.3</v>
      </c>
      <c r="AA15" s="59">
        <v>23.3</v>
      </c>
      <c r="AB15" s="59">
        <v>23.3</v>
      </c>
      <c r="AC15" s="59">
        <v>23.3</v>
      </c>
      <c r="AD15" s="59">
        <v>23.3</v>
      </c>
      <c r="AE15" s="59">
        <v>23.3</v>
      </c>
      <c r="AF15" s="59">
        <v>23.3</v>
      </c>
      <c r="AG15" s="61">
        <v>45</v>
      </c>
      <c r="AH15" s="53">
        <f t="shared" si="2"/>
        <v>23.3</v>
      </c>
      <c r="AI15" s="54">
        <f t="shared" si="3"/>
        <v>18.3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9.1</v>
      </c>
      <c r="C19" s="49">
        <v>9.1</v>
      </c>
      <c r="D19" s="49">
        <v>9.1</v>
      </c>
      <c r="E19" s="49">
        <v>9.1</v>
      </c>
      <c r="F19" s="49">
        <v>9.1</v>
      </c>
      <c r="G19" s="49">
        <v>9.1</v>
      </c>
      <c r="H19" s="49">
        <v>9.1</v>
      </c>
      <c r="I19" s="49">
        <v>9.1</v>
      </c>
      <c r="J19" s="49">
        <v>9.1</v>
      </c>
      <c r="K19" s="49">
        <v>9.1</v>
      </c>
      <c r="L19" s="49">
        <v>9.1</v>
      </c>
      <c r="M19" s="50">
        <v>9.1</v>
      </c>
      <c r="N19" s="50">
        <v>9.1</v>
      </c>
      <c r="O19" s="50">
        <v>9.1</v>
      </c>
      <c r="P19" s="50">
        <v>9.1</v>
      </c>
      <c r="Q19" s="50">
        <v>9.1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8">
        <v>30</v>
      </c>
      <c r="AH19" s="53">
        <f t="shared" si="2"/>
        <v>9.1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9.6</v>
      </c>
      <c r="C22" s="49">
        <v>9.6</v>
      </c>
      <c r="D22" s="49">
        <v>9.6</v>
      </c>
      <c r="E22" s="49">
        <v>13.8</v>
      </c>
      <c r="F22" s="49">
        <v>13.8</v>
      </c>
      <c r="G22" s="49">
        <v>13.8</v>
      </c>
      <c r="H22" s="49">
        <v>13.8</v>
      </c>
      <c r="I22" s="49">
        <v>13.8</v>
      </c>
      <c r="J22" s="49">
        <v>13.8</v>
      </c>
      <c r="K22" s="49">
        <v>13.8</v>
      </c>
      <c r="L22" s="49">
        <v>13.8</v>
      </c>
      <c r="M22" s="50">
        <v>13.8</v>
      </c>
      <c r="N22" s="50">
        <v>9.6999999999999993</v>
      </c>
      <c r="O22" s="50">
        <v>12.5</v>
      </c>
      <c r="P22" s="50">
        <v>12.5</v>
      </c>
      <c r="Q22" s="50">
        <v>12.1</v>
      </c>
      <c r="R22" s="50">
        <v>12.1</v>
      </c>
      <c r="S22" s="50">
        <v>12.1</v>
      </c>
      <c r="T22" s="50">
        <v>12.1</v>
      </c>
      <c r="U22" s="50">
        <v>12.1</v>
      </c>
      <c r="V22" s="50">
        <v>12.1</v>
      </c>
      <c r="W22" s="50">
        <v>12.1</v>
      </c>
      <c r="X22" s="50">
        <v>12.1</v>
      </c>
      <c r="Y22" s="50">
        <v>21</v>
      </c>
      <c r="Z22" s="50">
        <v>21</v>
      </c>
      <c r="AA22" s="50">
        <v>21</v>
      </c>
      <c r="AB22" s="50">
        <v>21</v>
      </c>
      <c r="AC22" s="50">
        <v>21</v>
      </c>
      <c r="AD22" s="50">
        <v>21</v>
      </c>
      <c r="AE22" s="50">
        <v>21</v>
      </c>
      <c r="AF22" s="50">
        <v>21</v>
      </c>
      <c r="AG22" s="58">
        <v>25</v>
      </c>
      <c r="AH22" s="53">
        <f t="shared" si="2"/>
        <v>21</v>
      </c>
      <c r="AI22" s="54">
        <f t="shared" si="3"/>
        <v>9.6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15</v>
      </c>
      <c r="C24" s="49">
        <v>15</v>
      </c>
      <c r="D24" s="49">
        <v>15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18</v>
      </c>
      <c r="K24" s="49">
        <v>18</v>
      </c>
      <c r="L24" s="49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18</v>
      </c>
      <c r="T24" s="50">
        <v>18</v>
      </c>
      <c r="U24" s="50">
        <v>18</v>
      </c>
      <c r="V24" s="50">
        <v>18</v>
      </c>
      <c r="W24" s="50">
        <v>18</v>
      </c>
      <c r="X24" s="50">
        <v>18</v>
      </c>
      <c r="Y24" s="50">
        <v>18</v>
      </c>
      <c r="Z24" s="50">
        <v>18</v>
      </c>
      <c r="AA24" s="50">
        <v>18</v>
      </c>
      <c r="AB24" s="50">
        <v>18</v>
      </c>
      <c r="AC24" s="50">
        <v>18</v>
      </c>
      <c r="AD24" s="50">
        <v>18</v>
      </c>
      <c r="AE24" s="50">
        <v>18</v>
      </c>
      <c r="AF24" s="50">
        <v>18</v>
      </c>
      <c r="AG24" s="58">
        <v>25</v>
      </c>
      <c r="AH24" s="53">
        <f t="shared" si="2"/>
        <v>18</v>
      </c>
      <c r="AI24" s="54">
        <f t="shared" si="3"/>
        <v>15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0</v>
      </c>
      <c r="C33" s="60">
        <v>0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66.099999999999994</v>
      </c>
      <c r="C37" s="60">
        <v>65</v>
      </c>
      <c r="D37" s="60">
        <v>64.7</v>
      </c>
      <c r="E37" s="60">
        <v>66.5</v>
      </c>
      <c r="F37" s="60">
        <v>66.5</v>
      </c>
      <c r="G37" s="60">
        <v>63.8</v>
      </c>
      <c r="H37" s="60">
        <v>62.6</v>
      </c>
      <c r="I37" s="60">
        <v>62.6</v>
      </c>
      <c r="J37" s="60">
        <v>61</v>
      </c>
      <c r="K37" s="60">
        <v>60.2</v>
      </c>
      <c r="L37" s="60">
        <v>60.2</v>
      </c>
      <c r="M37" s="69">
        <v>59.3</v>
      </c>
      <c r="N37" s="69">
        <f>38.5+19.9</f>
        <v>58.4</v>
      </c>
      <c r="O37" s="69">
        <v>58.1</v>
      </c>
      <c r="P37" s="69">
        <f>36.3+19.5</f>
        <v>55.8</v>
      </c>
      <c r="Q37" s="69">
        <f>37+19</f>
        <v>56</v>
      </c>
      <c r="R37" s="69">
        <f>39.2+19.8</f>
        <v>59</v>
      </c>
      <c r="S37" s="69">
        <f>19.4+38.1</f>
        <v>57.5</v>
      </c>
      <c r="T37" s="69">
        <f t="shared" ref="T37:U37" si="4">19.4+38.1</f>
        <v>57.5</v>
      </c>
      <c r="U37" s="69">
        <f t="shared" si="4"/>
        <v>57.5</v>
      </c>
      <c r="V37" s="69">
        <f>18.9+36.5</f>
        <v>55.4</v>
      </c>
      <c r="W37" s="69">
        <f>18.9+36.5</f>
        <v>55.4</v>
      </c>
      <c r="X37" s="69">
        <f>18.9+36.5</f>
        <v>55.4</v>
      </c>
      <c r="Y37" s="69">
        <v>50.2</v>
      </c>
      <c r="Z37" s="69">
        <f>16.5+30.3</f>
        <v>46.8</v>
      </c>
      <c r="AA37" s="69">
        <f>16.5+30.3</f>
        <v>46.8</v>
      </c>
      <c r="AB37" s="69">
        <v>51.4</v>
      </c>
      <c r="AC37" s="69">
        <v>51.7</v>
      </c>
      <c r="AD37" s="69">
        <v>54.1</v>
      </c>
      <c r="AE37" s="69">
        <v>56.9</v>
      </c>
      <c r="AF37" s="60">
        <v>56.5</v>
      </c>
      <c r="AG37" s="66">
        <v>240</v>
      </c>
      <c r="AH37" s="53">
        <f t="shared" si="2"/>
        <v>66.5</v>
      </c>
      <c r="AI37" s="54">
        <f t="shared" si="3"/>
        <v>46.8</v>
      </c>
      <c r="AK37" s="55"/>
    </row>
    <row r="38" spans="1:88" ht="15.75" thickBot="1" x14ac:dyDescent="0.3">
      <c r="A38" s="70" t="s">
        <v>46</v>
      </c>
      <c r="B38" s="71">
        <f>SUM(B11:B36)</f>
        <v>432.79999999999995</v>
      </c>
      <c r="C38" s="71">
        <f t="shared" ref="C38:AF38" si="5">SUM(C11:C36)</f>
        <v>460.79999999999995</v>
      </c>
      <c r="D38" s="71">
        <f t="shared" si="5"/>
        <v>470.79999999999995</v>
      </c>
      <c r="E38" s="71">
        <f t="shared" si="5"/>
        <v>466.5</v>
      </c>
      <c r="F38" s="71">
        <f t="shared" si="5"/>
        <v>439.09999999999997</v>
      </c>
      <c r="G38" s="71">
        <f t="shared" si="5"/>
        <v>429.09999999999997</v>
      </c>
      <c r="H38" s="71">
        <f t="shared" si="5"/>
        <v>429.09999999999997</v>
      </c>
      <c r="I38" s="71">
        <f t="shared" si="5"/>
        <v>429.09999999999997</v>
      </c>
      <c r="J38" s="71">
        <f t="shared" si="5"/>
        <v>429.09999999999997</v>
      </c>
      <c r="K38" s="71">
        <f t="shared" si="5"/>
        <v>474.09999999999997</v>
      </c>
      <c r="L38" s="71">
        <f t="shared" si="5"/>
        <v>767.70000000000016</v>
      </c>
      <c r="M38" s="71">
        <f>SUM(M11:M36)</f>
        <v>785.7</v>
      </c>
      <c r="N38" s="71">
        <f t="shared" si="5"/>
        <v>674.1</v>
      </c>
      <c r="O38" s="71">
        <f t="shared" si="5"/>
        <v>621.90000000000009</v>
      </c>
      <c r="P38" s="71">
        <f t="shared" si="5"/>
        <v>511.9</v>
      </c>
      <c r="Q38" s="71">
        <f t="shared" si="5"/>
        <v>495.09999999999997</v>
      </c>
      <c r="R38" s="71">
        <f t="shared" si="5"/>
        <v>489.9</v>
      </c>
      <c r="S38" s="71">
        <f t="shared" si="5"/>
        <v>468.69999999999993</v>
      </c>
      <c r="T38" s="71">
        <f t="shared" si="5"/>
        <v>459</v>
      </c>
      <c r="U38" s="71">
        <f t="shared" si="5"/>
        <v>457.5</v>
      </c>
      <c r="V38" s="71">
        <f t="shared" si="5"/>
        <v>647.5</v>
      </c>
      <c r="W38" s="71">
        <f t="shared" si="5"/>
        <v>697.50000000000011</v>
      </c>
      <c r="X38" s="71">
        <f t="shared" si="5"/>
        <v>752.50000000000011</v>
      </c>
      <c r="Y38" s="71">
        <v>817.9000000000002</v>
      </c>
      <c r="Z38" s="71">
        <f t="shared" si="5"/>
        <v>877.90000000000009</v>
      </c>
      <c r="AA38" s="71">
        <f t="shared" si="5"/>
        <v>738.90000000000009</v>
      </c>
      <c r="AB38" s="71">
        <f t="shared" si="5"/>
        <v>697.90000000000009</v>
      </c>
      <c r="AC38" s="71">
        <f t="shared" si="5"/>
        <v>448.09999999999997</v>
      </c>
      <c r="AD38" s="71">
        <f t="shared" si="5"/>
        <v>448.09999999999997</v>
      </c>
      <c r="AE38" s="71">
        <f t="shared" si="5"/>
        <v>473.09999999999997</v>
      </c>
      <c r="AF38" s="71">
        <f t="shared" si="5"/>
        <v>473.09999999999997</v>
      </c>
      <c r="AG38" s="66">
        <f>SUM(AG11:AG37)</f>
        <v>1492.8299999999997</v>
      </c>
      <c r="AH38" s="53">
        <f t="shared" si="2"/>
        <v>877.90000000000009</v>
      </c>
      <c r="AI38" s="54">
        <f t="shared" si="3"/>
        <v>429.09999999999997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49">
        <v>0</v>
      </c>
      <c r="E39" s="60">
        <v>0</v>
      </c>
      <c r="F39" s="60">
        <v>0</v>
      </c>
      <c r="G39" s="60">
        <v>98</v>
      </c>
      <c r="H39" s="60">
        <v>98</v>
      </c>
      <c r="I39" s="60">
        <v>146</v>
      </c>
      <c r="J39" s="60">
        <v>146</v>
      </c>
      <c r="K39" s="60">
        <v>146</v>
      </c>
      <c r="L39" s="60">
        <v>146</v>
      </c>
      <c r="M39" s="50">
        <v>145</v>
      </c>
      <c r="N39" s="50">
        <v>145.69999999999999</v>
      </c>
      <c r="O39" s="50">
        <v>145.80000000000001</v>
      </c>
      <c r="P39" s="50">
        <v>136.69999999999999</v>
      </c>
      <c r="Q39" s="50">
        <v>146</v>
      </c>
      <c r="R39" s="50">
        <v>126.6</v>
      </c>
      <c r="S39" s="50">
        <v>126.7</v>
      </c>
      <c r="T39" s="50">
        <v>110</v>
      </c>
      <c r="U39" s="50">
        <v>96</v>
      </c>
      <c r="V39" s="50">
        <v>97.5</v>
      </c>
      <c r="W39" s="50">
        <v>140</v>
      </c>
      <c r="X39" s="50">
        <v>144.9</v>
      </c>
      <c r="Y39" s="50">
        <v>145</v>
      </c>
      <c r="Z39" s="50">
        <v>145</v>
      </c>
      <c r="AA39" s="50">
        <v>145</v>
      </c>
      <c r="AB39" s="50">
        <v>145</v>
      </c>
      <c r="AC39" s="50">
        <v>145</v>
      </c>
      <c r="AD39" s="50">
        <v>145</v>
      </c>
      <c r="AE39" s="50">
        <v>70.8</v>
      </c>
      <c r="AF39" s="49">
        <v>66.2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22</v>
      </c>
      <c r="F40" s="60">
        <v>22</v>
      </c>
      <c r="G40" s="60">
        <v>30</v>
      </c>
      <c r="H40" s="60">
        <v>31</v>
      </c>
      <c r="I40" s="60">
        <v>35</v>
      </c>
      <c r="J40" s="60">
        <v>35</v>
      </c>
      <c r="K40" s="60">
        <v>50</v>
      </c>
      <c r="L40" s="60">
        <v>71.2</v>
      </c>
      <c r="M40" s="72">
        <v>70.400000000000006</v>
      </c>
      <c r="N40" s="72">
        <v>69.3</v>
      </c>
      <c r="O40" s="72">
        <v>69.8</v>
      </c>
      <c r="P40" s="72">
        <v>59.1</v>
      </c>
      <c r="Q40" s="72">
        <v>49.6</v>
      </c>
      <c r="R40" s="72">
        <v>49.6</v>
      </c>
      <c r="S40" s="72">
        <v>49.5</v>
      </c>
      <c r="T40" s="72">
        <v>49.5</v>
      </c>
      <c r="U40" s="72">
        <v>34.799999999999997</v>
      </c>
      <c r="V40" s="72">
        <v>34.700000000000003</v>
      </c>
      <c r="W40" s="72">
        <v>63.7</v>
      </c>
      <c r="X40" s="72">
        <v>70.400000000000006</v>
      </c>
      <c r="Y40" s="72">
        <v>68.900000000000006</v>
      </c>
      <c r="Z40" s="72">
        <v>70.900000000000006</v>
      </c>
      <c r="AA40" s="72">
        <v>70.900000000000006</v>
      </c>
      <c r="AB40" s="72">
        <v>70.900000000000006</v>
      </c>
      <c r="AC40" s="72">
        <v>70.900000000000006</v>
      </c>
      <c r="AD40" s="72">
        <v>58.9</v>
      </c>
      <c r="AE40" s="72">
        <v>35</v>
      </c>
      <c r="AF40" s="60">
        <v>22.1</v>
      </c>
      <c r="AG40" s="66">
        <v>70</v>
      </c>
      <c r="AH40" s="53">
        <f t="shared" si="2"/>
        <v>71.2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69.7</v>
      </c>
      <c r="C41" s="60">
        <v>69.7</v>
      </c>
      <c r="D41" s="60">
        <v>69.7</v>
      </c>
      <c r="E41" s="60">
        <v>69.3</v>
      </c>
      <c r="F41" s="60">
        <v>69</v>
      </c>
      <c r="G41" s="60">
        <v>32</v>
      </c>
      <c r="H41" s="60">
        <v>16.600000000000001</v>
      </c>
      <c r="I41" s="60">
        <v>16.899999999999999</v>
      </c>
      <c r="J41" s="60">
        <v>0</v>
      </c>
      <c r="K41" s="60">
        <v>16</v>
      </c>
      <c r="L41" s="60">
        <v>52.6</v>
      </c>
      <c r="M41" s="72">
        <v>60</v>
      </c>
      <c r="N41" s="72">
        <v>68.400000000000006</v>
      </c>
      <c r="O41" s="72">
        <v>67.7</v>
      </c>
      <c r="P41" s="72">
        <v>63.3</v>
      </c>
      <c r="Q41" s="72">
        <v>63.2</v>
      </c>
      <c r="R41" s="72">
        <v>63.3</v>
      </c>
      <c r="S41" s="72">
        <v>68.2</v>
      </c>
      <c r="T41" s="72">
        <v>68.2</v>
      </c>
      <c r="U41" s="72">
        <v>68.2</v>
      </c>
      <c r="V41" s="72">
        <v>67.900000000000006</v>
      </c>
      <c r="W41" s="72">
        <v>65.400000000000006</v>
      </c>
      <c r="X41" s="72">
        <v>65.7</v>
      </c>
      <c r="Y41" s="72">
        <v>67.3</v>
      </c>
      <c r="Z41" s="72">
        <v>67.400000000000006</v>
      </c>
      <c r="AA41" s="72">
        <v>67.400000000000006</v>
      </c>
      <c r="AB41" s="72">
        <v>67.400000000000006</v>
      </c>
      <c r="AC41" s="72">
        <v>67.400000000000006</v>
      </c>
      <c r="AD41" s="72">
        <v>66.5</v>
      </c>
      <c r="AE41" s="72">
        <v>66.3</v>
      </c>
      <c r="AF41" s="72">
        <v>37</v>
      </c>
      <c r="AG41" s="66">
        <v>69</v>
      </c>
      <c r="AH41" s="53">
        <f t="shared" si="2"/>
        <v>69.7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52.2</v>
      </c>
      <c r="C42" s="60">
        <v>52.2</v>
      </c>
      <c r="D42" s="60">
        <v>52.2</v>
      </c>
      <c r="E42" s="60">
        <v>50.9</v>
      </c>
      <c r="F42" s="60">
        <v>50.6</v>
      </c>
      <c r="G42" s="60">
        <v>50.6</v>
      </c>
      <c r="H42" s="60">
        <v>50.6</v>
      </c>
      <c r="I42" s="60">
        <v>50.6</v>
      </c>
      <c r="J42" s="60">
        <v>52.4</v>
      </c>
      <c r="K42" s="60">
        <v>52.6</v>
      </c>
      <c r="L42" s="60">
        <v>53.9</v>
      </c>
      <c r="M42" s="72">
        <v>53.9</v>
      </c>
      <c r="N42" s="72">
        <v>53.2</v>
      </c>
      <c r="O42" s="72">
        <v>52.4</v>
      </c>
      <c r="P42" s="72">
        <v>52.4</v>
      </c>
      <c r="Q42" s="72">
        <v>50.4</v>
      </c>
      <c r="R42" s="72">
        <v>50.6</v>
      </c>
      <c r="S42" s="72">
        <v>52.4</v>
      </c>
      <c r="T42" s="72">
        <v>52.4</v>
      </c>
      <c r="U42" s="72">
        <v>52.4</v>
      </c>
      <c r="V42" s="72">
        <v>52.4</v>
      </c>
      <c r="W42" s="72">
        <v>52.4</v>
      </c>
      <c r="X42" s="72">
        <v>52.4</v>
      </c>
      <c r="Y42" s="72">
        <v>52.4</v>
      </c>
      <c r="Z42" s="72">
        <v>54.4</v>
      </c>
      <c r="AA42" s="72">
        <v>54.4</v>
      </c>
      <c r="AB42" s="72">
        <v>54.4</v>
      </c>
      <c r="AC42" s="72">
        <v>54.4</v>
      </c>
      <c r="AD42" s="72">
        <v>54.4</v>
      </c>
      <c r="AE42" s="72">
        <v>54.4</v>
      </c>
      <c r="AF42" s="72">
        <v>54.9</v>
      </c>
      <c r="AG42" s="66">
        <v>60</v>
      </c>
      <c r="AH42" s="53">
        <f t="shared" si="2"/>
        <v>54.9</v>
      </c>
      <c r="AI42" s="54">
        <f t="shared" si="3"/>
        <v>50.4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10</v>
      </c>
      <c r="H43" s="60">
        <v>10</v>
      </c>
      <c r="I43" s="60">
        <v>10</v>
      </c>
      <c r="J43" s="60">
        <v>10</v>
      </c>
      <c r="K43" s="60">
        <v>15</v>
      </c>
      <c r="L43" s="60">
        <v>15</v>
      </c>
      <c r="M43" s="50">
        <v>15</v>
      </c>
      <c r="N43" s="50">
        <v>15</v>
      </c>
      <c r="O43" s="50">
        <v>28.6</v>
      </c>
      <c r="P43" s="50">
        <v>22.8</v>
      </c>
      <c r="Q43" s="50">
        <v>15</v>
      </c>
      <c r="R43" s="50">
        <v>12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30</v>
      </c>
      <c r="Z43" s="50">
        <v>30</v>
      </c>
      <c r="AA43" s="50">
        <v>30</v>
      </c>
      <c r="AB43" s="50">
        <v>22.5</v>
      </c>
      <c r="AC43" s="50">
        <v>15</v>
      </c>
      <c r="AD43" s="50">
        <v>10</v>
      </c>
      <c r="AE43" s="72">
        <v>15</v>
      </c>
      <c r="AF43" s="72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79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5</v>
      </c>
      <c r="C46" s="60">
        <v>5</v>
      </c>
      <c r="D46" s="6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5</v>
      </c>
      <c r="J46" s="60">
        <v>5</v>
      </c>
      <c r="K46" s="60">
        <v>5</v>
      </c>
      <c r="L46" s="60">
        <v>5</v>
      </c>
      <c r="M46" s="6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13</v>
      </c>
      <c r="C47" s="60">
        <v>13</v>
      </c>
      <c r="D47" s="60">
        <v>13</v>
      </c>
      <c r="E47" s="60">
        <v>13</v>
      </c>
      <c r="F47" s="60">
        <v>13</v>
      </c>
      <c r="G47" s="60">
        <v>13</v>
      </c>
      <c r="H47" s="60">
        <v>13</v>
      </c>
      <c r="I47" s="60">
        <v>13</v>
      </c>
      <c r="J47" s="60">
        <v>13</v>
      </c>
      <c r="K47" s="60">
        <v>13</v>
      </c>
      <c r="L47" s="60">
        <v>13</v>
      </c>
      <c r="M47" s="60">
        <v>13</v>
      </c>
      <c r="N47" s="60">
        <v>13</v>
      </c>
      <c r="O47" s="60">
        <v>13</v>
      </c>
      <c r="P47" s="60">
        <v>13</v>
      </c>
      <c r="Q47" s="60">
        <v>13</v>
      </c>
      <c r="R47" s="60">
        <v>13</v>
      </c>
      <c r="S47" s="60">
        <v>13</v>
      </c>
      <c r="T47" s="60">
        <v>13</v>
      </c>
      <c r="U47" s="60">
        <v>13</v>
      </c>
      <c r="V47" s="60">
        <v>13</v>
      </c>
      <c r="W47" s="60">
        <v>13</v>
      </c>
      <c r="X47" s="60">
        <v>13</v>
      </c>
      <c r="Y47" s="50">
        <v>13</v>
      </c>
      <c r="Z47" s="50">
        <v>13</v>
      </c>
      <c r="AA47" s="50">
        <v>13</v>
      </c>
      <c r="AB47" s="50">
        <v>13</v>
      </c>
      <c r="AC47" s="50">
        <v>13</v>
      </c>
      <c r="AD47" s="50">
        <v>13</v>
      </c>
      <c r="AE47" s="50">
        <v>13</v>
      </c>
      <c r="AF47" s="50">
        <v>13</v>
      </c>
      <c r="AG47" s="66">
        <v>14.1</v>
      </c>
      <c r="AH47" s="53">
        <f t="shared" si="2"/>
        <v>13</v>
      </c>
      <c r="AI47" s="54">
        <f t="shared" si="3"/>
        <v>13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5.9</v>
      </c>
      <c r="C48" s="60">
        <v>5.9</v>
      </c>
      <c r="D48" s="60">
        <v>5.9</v>
      </c>
      <c r="E48" s="60">
        <v>5.9</v>
      </c>
      <c r="F48" s="79">
        <v>5.9</v>
      </c>
      <c r="G48" s="79">
        <v>5.9</v>
      </c>
      <c r="H48" s="79">
        <v>5.9</v>
      </c>
      <c r="I48" s="79">
        <v>5.9</v>
      </c>
      <c r="J48" s="79">
        <v>5.9</v>
      </c>
      <c r="K48" s="79">
        <v>5.9</v>
      </c>
      <c r="L48" s="79">
        <v>5.9</v>
      </c>
      <c r="M48" s="79">
        <v>5.9</v>
      </c>
      <c r="N48" s="79">
        <v>5.9</v>
      </c>
      <c r="O48" s="79">
        <v>5.9</v>
      </c>
      <c r="P48" s="79">
        <v>5.9</v>
      </c>
      <c r="Q48" s="79">
        <v>5.9</v>
      </c>
      <c r="R48" s="79">
        <v>5.9</v>
      </c>
      <c r="S48" s="79">
        <v>5.9</v>
      </c>
      <c r="T48" s="79">
        <v>5.9</v>
      </c>
      <c r="U48" s="79">
        <v>5.9</v>
      </c>
      <c r="V48" s="79">
        <v>5.9</v>
      </c>
      <c r="W48" s="79">
        <v>5.9</v>
      </c>
      <c r="X48" s="79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60">
        <v>6</v>
      </c>
      <c r="N49" s="60">
        <v>6</v>
      </c>
      <c r="O49" s="60">
        <v>6</v>
      </c>
      <c r="P49" s="60">
        <v>6</v>
      </c>
      <c r="Q49" s="60">
        <v>6</v>
      </c>
      <c r="R49" s="60">
        <v>6</v>
      </c>
      <c r="S49" s="60">
        <v>6</v>
      </c>
      <c r="T49" s="60">
        <v>6</v>
      </c>
      <c r="U49" s="60">
        <v>6</v>
      </c>
      <c r="V49" s="60">
        <v>6</v>
      </c>
      <c r="W49" s="60">
        <v>6</v>
      </c>
      <c r="X49" s="6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60">
        <v>4</v>
      </c>
      <c r="T50" s="60">
        <v>4</v>
      </c>
      <c r="U50" s="60">
        <v>4</v>
      </c>
      <c r="V50" s="60">
        <v>4</v>
      </c>
      <c r="W50" s="60">
        <v>4</v>
      </c>
      <c r="X50" s="6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f t="shared" ref="C51:AF51" si="6">C199</f>
        <v>3.54</v>
      </c>
      <c r="D51" s="75">
        <f t="shared" si="6"/>
        <v>3.54</v>
      </c>
      <c r="E51" s="75">
        <f t="shared" si="6"/>
        <v>3.54</v>
      </c>
      <c r="F51" s="75">
        <f t="shared" si="6"/>
        <v>3.54</v>
      </c>
      <c r="G51" s="75">
        <f t="shared" si="6"/>
        <v>3.54</v>
      </c>
      <c r="H51" s="75">
        <f t="shared" si="6"/>
        <v>3.54</v>
      </c>
      <c r="I51" s="75">
        <f t="shared" si="6"/>
        <v>3.54</v>
      </c>
      <c r="J51" s="75">
        <f t="shared" si="6"/>
        <v>3.54</v>
      </c>
      <c r="K51" s="75">
        <f t="shared" si="6"/>
        <v>3.54</v>
      </c>
      <c r="L51" s="75">
        <f t="shared" si="6"/>
        <v>3.54</v>
      </c>
      <c r="M51" s="75">
        <f t="shared" si="6"/>
        <v>3.54</v>
      </c>
      <c r="N51" s="75">
        <f t="shared" si="6"/>
        <v>3.54</v>
      </c>
      <c r="O51" s="75">
        <f t="shared" si="6"/>
        <v>3.54</v>
      </c>
      <c r="P51" s="75">
        <f t="shared" si="6"/>
        <v>3.54</v>
      </c>
      <c r="Q51" s="75">
        <f t="shared" si="6"/>
        <v>3.54</v>
      </c>
      <c r="R51" s="75">
        <f t="shared" si="6"/>
        <v>3.54</v>
      </c>
      <c r="S51" s="75">
        <f t="shared" si="6"/>
        <v>3.54</v>
      </c>
      <c r="T51" s="75">
        <f t="shared" si="6"/>
        <v>3.54</v>
      </c>
      <c r="U51" s="75">
        <f t="shared" si="6"/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f t="shared" si="6"/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ref="AG51" si="7">AG199</f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175.34</v>
      </c>
      <c r="C52" s="71">
        <f t="shared" ref="C52:AF52" si="8">SUM(C39:C51)</f>
        <v>175.34</v>
      </c>
      <c r="D52" s="71">
        <f t="shared" si="8"/>
        <v>175.34</v>
      </c>
      <c r="E52" s="71">
        <f t="shared" si="8"/>
        <v>195.64</v>
      </c>
      <c r="F52" s="71">
        <f t="shared" si="8"/>
        <v>195.04</v>
      </c>
      <c r="G52" s="71">
        <f t="shared" si="8"/>
        <v>274.04000000000002</v>
      </c>
      <c r="H52" s="71">
        <f t="shared" si="8"/>
        <v>259.64000000000004</v>
      </c>
      <c r="I52" s="71">
        <f t="shared" si="8"/>
        <v>311.94</v>
      </c>
      <c r="J52" s="71">
        <f t="shared" si="8"/>
        <v>296.83999999999997</v>
      </c>
      <c r="K52" s="71">
        <f t="shared" si="8"/>
        <v>333.04</v>
      </c>
      <c r="L52" s="71">
        <f t="shared" si="8"/>
        <v>392.14</v>
      </c>
      <c r="M52" s="71">
        <f t="shared" si="8"/>
        <v>397.73999999999995</v>
      </c>
      <c r="N52" s="71">
        <f t="shared" si="8"/>
        <v>405.03999999999996</v>
      </c>
      <c r="O52" s="71">
        <f t="shared" si="8"/>
        <v>417.74</v>
      </c>
      <c r="P52" s="71">
        <f t="shared" si="8"/>
        <v>387.73999999999995</v>
      </c>
      <c r="Q52" s="71">
        <f t="shared" si="8"/>
        <v>377.64</v>
      </c>
      <c r="R52" s="71">
        <f t="shared" si="8"/>
        <v>355.54</v>
      </c>
      <c r="S52" s="71">
        <f t="shared" si="8"/>
        <v>350.23999999999995</v>
      </c>
      <c r="T52" s="71">
        <f t="shared" si="8"/>
        <v>333.53999999999996</v>
      </c>
      <c r="U52" s="71">
        <f t="shared" si="8"/>
        <v>304.83999999999997</v>
      </c>
      <c r="V52" s="71">
        <f t="shared" si="8"/>
        <v>305.94</v>
      </c>
      <c r="W52" s="71">
        <f t="shared" si="8"/>
        <v>374.94</v>
      </c>
      <c r="X52" s="71">
        <f t="shared" si="8"/>
        <v>386.84</v>
      </c>
      <c r="Y52" s="71">
        <v>417.03999999999996</v>
      </c>
      <c r="Z52" s="71">
        <f t="shared" si="8"/>
        <v>421.14</v>
      </c>
      <c r="AA52" s="71">
        <f t="shared" si="8"/>
        <v>421.14</v>
      </c>
      <c r="AB52" s="71">
        <f t="shared" si="8"/>
        <v>413.64</v>
      </c>
      <c r="AC52" s="71">
        <f t="shared" si="8"/>
        <v>406.14</v>
      </c>
      <c r="AD52" s="71">
        <f t="shared" si="8"/>
        <v>388.23999999999995</v>
      </c>
      <c r="AE52" s="71">
        <f t="shared" si="8"/>
        <v>294.94</v>
      </c>
      <c r="AF52" s="71">
        <f t="shared" si="8"/>
        <v>233.64000000000001</v>
      </c>
      <c r="AG52" s="76">
        <f>SUM(AG39:AG51)</f>
        <v>489.91</v>
      </c>
      <c r="AH52" s="53">
        <f t="shared" si="2"/>
        <v>421.14</v>
      </c>
      <c r="AI52" s="54">
        <f t="shared" si="3"/>
        <v>175.34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14</v>
      </c>
      <c r="M53" s="77">
        <v>30.5</v>
      </c>
      <c r="N53" s="77">
        <v>59.9</v>
      </c>
      <c r="O53" s="77">
        <v>39.799999999999997</v>
      </c>
      <c r="P53" s="77">
        <v>29.9</v>
      </c>
      <c r="Q53" s="77">
        <v>0</v>
      </c>
      <c r="R53" s="50">
        <v>0</v>
      </c>
      <c r="S53" s="50">
        <v>0</v>
      </c>
      <c r="T53" s="50">
        <v>0</v>
      </c>
      <c r="U53" s="50">
        <v>0</v>
      </c>
      <c r="V53" s="50">
        <v>13.2</v>
      </c>
      <c r="W53" s="50">
        <v>30.8</v>
      </c>
      <c r="X53" s="50">
        <v>51</v>
      </c>
      <c r="Y53" s="50">
        <v>60</v>
      </c>
      <c r="Z53" s="50">
        <v>59.9</v>
      </c>
      <c r="AA53" s="50">
        <v>59.9</v>
      </c>
      <c r="AB53" s="50">
        <v>60</v>
      </c>
      <c r="AC53" s="50">
        <v>40</v>
      </c>
      <c r="AD53" s="50">
        <v>29</v>
      </c>
      <c r="AE53" s="50">
        <v>9.9</v>
      </c>
      <c r="AF53" s="50">
        <v>0</v>
      </c>
      <c r="AG53" s="61">
        <v>60</v>
      </c>
      <c r="AH53" s="53">
        <f t="shared" si="2"/>
        <v>60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6</v>
      </c>
      <c r="M54" s="77">
        <v>13.3</v>
      </c>
      <c r="N54" s="77">
        <v>22.4</v>
      </c>
      <c r="O54" s="77">
        <v>17.399999999999999</v>
      </c>
      <c r="P54" s="77">
        <v>10.7</v>
      </c>
      <c r="Q54" s="77">
        <v>4.8</v>
      </c>
      <c r="R54" s="72">
        <v>0</v>
      </c>
      <c r="S54" s="50">
        <v>0</v>
      </c>
      <c r="T54" s="50">
        <v>0</v>
      </c>
      <c r="U54" s="50">
        <v>0</v>
      </c>
      <c r="V54" s="72">
        <v>0</v>
      </c>
      <c r="W54" s="72">
        <v>12.2</v>
      </c>
      <c r="X54" s="72">
        <v>22.5</v>
      </c>
      <c r="Y54" s="72">
        <v>28</v>
      </c>
      <c r="Z54" s="72">
        <v>29.2</v>
      </c>
      <c r="AA54" s="72">
        <v>29.2</v>
      </c>
      <c r="AB54" s="72">
        <v>28.8</v>
      </c>
      <c r="AC54" s="72">
        <v>20.5</v>
      </c>
      <c r="AD54" s="72">
        <v>14.6</v>
      </c>
      <c r="AE54" s="72">
        <v>4.9000000000000004</v>
      </c>
      <c r="AF54" s="72">
        <v>0</v>
      </c>
      <c r="AG54" s="66">
        <v>32</v>
      </c>
      <c r="AH54" s="53">
        <f t="shared" si="2"/>
        <v>29.2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2.6</v>
      </c>
      <c r="M55" s="80">
        <v>4.9000000000000004</v>
      </c>
      <c r="N55" s="80">
        <v>8.4</v>
      </c>
      <c r="O55" s="80">
        <v>6.4</v>
      </c>
      <c r="P55" s="80">
        <v>3.9</v>
      </c>
      <c r="Q55" s="80">
        <v>1.8</v>
      </c>
      <c r="R55" s="78">
        <v>0</v>
      </c>
      <c r="S55" s="50">
        <v>0</v>
      </c>
      <c r="T55" s="50">
        <v>0</v>
      </c>
      <c r="U55" s="50">
        <v>0</v>
      </c>
      <c r="V55" s="78">
        <v>0</v>
      </c>
      <c r="W55" s="78">
        <v>4.7</v>
      </c>
      <c r="X55" s="78">
        <v>8.1999999999999993</v>
      </c>
      <c r="Y55" s="78">
        <v>8.1999999999999993</v>
      </c>
      <c r="Z55" s="78">
        <v>10.7</v>
      </c>
      <c r="AA55" s="78">
        <v>10.7</v>
      </c>
      <c r="AB55" s="78">
        <v>10.5</v>
      </c>
      <c r="AC55" s="78">
        <v>7.5</v>
      </c>
      <c r="AD55" s="78">
        <v>5.3</v>
      </c>
      <c r="AE55" s="78">
        <v>1.9</v>
      </c>
      <c r="AF55" s="78">
        <v>0</v>
      </c>
      <c r="AG55" s="81">
        <v>14</v>
      </c>
      <c r="AH55" s="53">
        <f t="shared" si="2"/>
        <v>10.7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9">SUM(D53:D55)</f>
        <v>0</v>
      </c>
      <c r="E56" s="71">
        <f t="shared" si="9"/>
        <v>0</v>
      </c>
      <c r="F56" s="71">
        <f t="shared" si="9"/>
        <v>0</v>
      </c>
      <c r="G56" s="71">
        <f t="shared" si="9"/>
        <v>0</v>
      </c>
      <c r="H56" s="71">
        <f t="shared" si="9"/>
        <v>0</v>
      </c>
      <c r="I56" s="71">
        <f t="shared" si="9"/>
        <v>0</v>
      </c>
      <c r="J56" s="71">
        <f t="shared" si="9"/>
        <v>0</v>
      </c>
      <c r="K56" s="71">
        <f t="shared" si="9"/>
        <v>0</v>
      </c>
      <c r="L56" s="71">
        <f t="shared" si="9"/>
        <v>22.6</v>
      </c>
      <c r="M56" s="71">
        <f t="shared" si="9"/>
        <v>48.699999999999996</v>
      </c>
      <c r="N56" s="71">
        <f t="shared" si="9"/>
        <v>90.7</v>
      </c>
      <c r="O56" s="71">
        <f t="shared" si="9"/>
        <v>63.599999999999994</v>
      </c>
      <c r="P56" s="71">
        <f t="shared" si="9"/>
        <v>44.499999999999993</v>
      </c>
      <c r="Q56" s="71">
        <f t="shared" si="9"/>
        <v>6.6</v>
      </c>
      <c r="R56" s="71">
        <f t="shared" si="9"/>
        <v>0</v>
      </c>
      <c r="S56" s="71">
        <f t="shared" si="9"/>
        <v>0</v>
      </c>
      <c r="T56" s="71">
        <f t="shared" si="9"/>
        <v>0</v>
      </c>
      <c r="U56" s="71">
        <f t="shared" si="9"/>
        <v>0</v>
      </c>
      <c r="V56" s="71">
        <f t="shared" si="9"/>
        <v>13.2</v>
      </c>
      <c r="W56" s="71">
        <f t="shared" si="9"/>
        <v>47.7</v>
      </c>
      <c r="X56" s="71">
        <f t="shared" si="9"/>
        <v>81.7</v>
      </c>
      <c r="Y56" s="71">
        <v>96.2</v>
      </c>
      <c r="Z56" s="71">
        <f t="shared" si="9"/>
        <v>99.8</v>
      </c>
      <c r="AA56" s="71">
        <f t="shared" si="9"/>
        <v>99.8</v>
      </c>
      <c r="AB56" s="71">
        <f t="shared" si="9"/>
        <v>99.3</v>
      </c>
      <c r="AC56" s="71">
        <f t="shared" si="9"/>
        <v>68</v>
      </c>
      <c r="AD56" s="71">
        <f t="shared" si="9"/>
        <v>48.9</v>
      </c>
      <c r="AE56" s="71">
        <f t="shared" si="9"/>
        <v>16.7</v>
      </c>
      <c r="AF56" s="71">
        <f t="shared" si="9"/>
        <v>0</v>
      </c>
      <c r="AG56" s="76">
        <f>SUM(AG53:AG55)</f>
        <v>106</v>
      </c>
      <c r="AH56" s="53">
        <f t="shared" si="2"/>
        <v>99.8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57</v>
      </c>
      <c r="C57" s="50">
        <v>65</v>
      </c>
      <c r="D57" s="50">
        <v>64</v>
      </c>
      <c r="E57" s="50">
        <v>69</v>
      </c>
      <c r="F57" s="50">
        <v>65</v>
      </c>
      <c r="G57" s="50">
        <v>63</v>
      </c>
      <c r="H57" s="50">
        <v>65</v>
      </c>
      <c r="I57" s="50">
        <v>53</v>
      </c>
      <c r="J57" s="50">
        <v>58</v>
      </c>
      <c r="K57" s="50">
        <v>70</v>
      </c>
      <c r="L57" s="50">
        <v>68.2</v>
      </c>
      <c r="M57" s="50">
        <v>68</v>
      </c>
      <c r="N57" s="50">
        <v>77</v>
      </c>
      <c r="O57" s="50">
        <v>68.599999999999994</v>
      </c>
      <c r="P57" s="50">
        <v>64.900000000000006</v>
      </c>
      <c r="Q57" s="50">
        <v>75.599999999999994</v>
      </c>
      <c r="R57" s="50">
        <v>75.599999999999994</v>
      </c>
      <c r="S57" s="50">
        <v>70</v>
      </c>
      <c r="T57" s="50">
        <v>79</v>
      </c>
      <c r="U57" s="50">
        <v>79.900000000000006</v>
      </c>
      <c r="V57" s="50">
        <v>68.3</v>
      </c>
      <c r="W57" s="50">
        <v>73.7</v>
      </c>
      <c r="X57" s="50">
        <v>72.5</v>
      </c>
      <c r="Y57" s="50">
        <v>68.3</v>
      </c>
      <c r="Z57" s="50">
        <v>68.5</v>
      </c>
      <c r="AA57" s="50">
        <v>69.599999999999994</v>
      </c>
      <c r="AB57" s="50">
        <v>58.8</v>
      </c>
      <c r="AC57" s="50">
        <v>14.8</v>
      </c>
      <c r="AD57" s="50">
        <v>65.3</v>
      </c>
      <c r="AE57" s="50">
        <v>67.5</v>
      </c>
      <c r="AF57" s="50">
        <v>70.5</v>
      </c>
      <c r="AG57" s="61"/>
      <c r="AH57" s="53">
        <f t="shared" si="2"/>
        <v>79.900000000000006</v>
      </c>
      <c r="AI57" s="54">
        <f t="shared" si="3"/>
        <v>14.8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82">
        <v>0</v>
      </c>
      <c r="Z58" s="82">
        <v>0</v>
      </c>
      <c r="AA58" s="82">
        <v>80</v>
      </c>
      <c r="AB58" s="72">
        <v>74</v>
      </c>
      <c r="AC58" s="72">
        <v>87</v>
      </c>
      <c r="AD58" s="72">
        <v>75</v>
      </c>
      <c r="AE58" s="72">
        <v>0</v>
      </c>
      <c r="AF58" s="72">
        <v>0</v>
      </c>
      <c r="AG58" s="66"/>
      <c r="AH58" s="53">
        <f t="shared" si="2"/>
        <v>87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275</v>
      </c>
      <c r="C59" s="72">
        <v>192</v>
      </c>
      <c r="D59" s="72">
        <v>171</v>
      </c>
      <c r="E59" s="72">
        <v>132</v>
      </c>
      <c r="F59" s="72">
        <v>129</v>
      </c>
      <c r="G59" s="72">
        <v>136</v>
      </c>
      <c r="H59" s="50">
        <v>139</v>
      </c>
      <c r="I59" s="50">
        <v>156</v>
      </c>
      <c r="J59" s="50">
        <v>229</v>
      </c>
      <c r="K59" s="50">
        <v>219</v>
      </c>
      <c r="L59" s="50">
        <v>3</v>
      </c>
      <c r="M59" s="72">
        <v>36</v>
      </c>
      <c r="N59" s="72">
        <v>150.69999999999999</v>
      </c>
      <c r="O59" s="72">
        <v>200</v>
      </c>
      <c r="P59" s="72">
        <v>247.7</v>
      </c>
      <c r="Q59" s="72">
        <v>262.3</v>
      </c>
      <c r="R59" s="72">
        <v>255.5</v>
      </c>
      <c r="S59" s="72">
        <v>290.89999999999998</v>
      </c>
      <c r="T59" s="72">
        <v>294</v>
      </c>
      <c r="U59" s="72">
        <v>307</v>
      </c>
      <c r="V59" s="72">
        <v>85</v>
      </c>
      <c r="W59" s="72">
        <v>16.7</v>
      </c>
      <c r="X59" s="72">
        <v>24</v>
      </c>
      <c r="Y59" s="83">
        <v>48</v>
      </c>
      <c r="Z59" s="83">
        <v>0</v>
      </c>
      <c r="AA59" s="83">
        <v>4</v>
      </c>
      <c r="AB59" s="72">
        <v>12</v>
      </c>
      <c r="AC59" s="72">
        <v>242.3</v>
      </c>
      <c r="AD59" s="72">
        <v>225.4</v>
      </c>
      <c r="AE59" s="72">
        <v>199</v>
      </c>
      <c r="AF59" s="72">
        <v>200.1</v>
      </c>
      <c r="AG59" s="84"/>
      <c r="AH59" s="53">
        <f t="shared" si="2"/>
        <v>307</v>
      </c>
      <c r="AI59" s="54">
        <f t="shared" si="3"/>
        <v>0</v>
      </c>
      <c r="AK59" s="55"/>
    </row>
    <row r="60" spans="1:37" x14ac:dyDescent="0.25">
      <c r="A60" s="65" t="s">
        <v>68</v>
      </c>
      <c r="B60" s="57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54.4</v>
      </c>
      <c r="W60" s="72">
        <v>54.4</v>
      </c>
      <c r="X60" s="72">
        <v>54.4</v>
      </c>
      <c r="Y60" s="72">
        <v>59.2</v>
      </c>
      <c r="Z60" s="72">
        <v>54.9</v>
      </c>
      <c r="AA60" s="72">
        <v>54.9</v>
      </c>
      <c r="AB60" s="72">
        <v>50.2</v>
      </c>
      <c r="AC60" s="72">
        <v>56.2</v>
      </c>
      <c r="AD60" s="72">
        <v>57.6</v>
      </c>
      <c r="AE60" s="72">
        <v>53.3</v>
      </c>
      <c r="AF60" s="72">
        <v>47</v>
      </c>
      <c r="AG60" s="84"/>
      <c r="AH60" s="53">
        <f t="shared" si="2"/>
        <v>59.2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73.400000000000006</v>
      </c>
      <c r="Y61" s="50">
        <v>69.7</v>
      </c>
      <c r="Z61" s="50">
        <v>71.900000000000006</v>
      </c>
      <c r="AA61" s="50">
        <v>71.900000000000006</v>
      </c>
      <c r="AB61" s="50">
        <v>67</v>
      </c>
      <c r="AC61" s="50">
        <v>75</v>
      </c>
      <c r="AD61" s="50">
        <v>70.8</v>
      </c>
      <c r="AE61" s="50">
        <v>72.3</v>
      </c>
      <c r="AF61" s="50">
        <v>0</v>
      </c>
      <c r="AG61" s="84"/>
      <c r="AH61" s="53">
        <f t="shared" si="2"/>
        <v>75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332</v>
      </c>
      <c r="C68" s="71">
        <f>SUM(C57:C67)</f>
        <v>257</v>
      </c>
      <c r="D68" s="71">
        <f t="shared" ref="D68:AF68" si="10">SUM(D57:D67)</f>
        <v>235</v>
      </c>
      <c r="E68" s="71">
        <f t="shared" si="10"/>
        <v>201</v>
      </c>
      <c r="F68" s="71">
        <f t="shared" si="10"/>
        <v>194</v>
      </c>
      <c r="G68" s="71">
        <f t="shared" si="10"/>
        <v>199</v>
      </c>
      <c r="H68" s="71">
        <f t="shared" si="10"/>
        <v>204</v>
      </c>
      <c r="I68" s="71">
        <f t="shared" si="10"/>
        <v>209</v>
      </c>
      <c r="J68" s="71">
        <f t="shared" si="10"/>
        <v>287</v>
      </c>
      <c r="K68" s="71">
        <f t="shared" si="10"/>
        <v>289</v>
      </c>
      <c r="L68" s="71">
        <f t="shared" si="10"/>
        <v>71.2</v>
      </c>
      <c r="M68" s="71">
        <f t="shared" si="10"/>
        <v>104</v>
      </c>
      <c r="N68" s="71">
        <f t="shared" si="10"/>
        <v>227.7</v>
      </c>
      <c r="O68" s="71">
        <f t="shared" si="10"/>
        <v>268.60000000000002</v>
      </c>
      <c r="P68" s="71">
        <f t="shared" si="10"/>
        <v>312.60000000000002</v>
      </c>
      <c r="Q68" s="71">
        <f t="shared" si="10"/>
        <v>337.9</v>
      </c>
      <c r="R68" s="71">
        <f t="shared" si="10"/>
        <v>331.1</v>
      </c>
      <c r="S68" s="71">
        <f t="shared" si="10"/>
        <v>360.9</v>
      </c>
      <c r="T68" s="71">
        <f t="shared" si="10"/>
        <v>373</v>
      </c>
      <c r="U68" s="71">
        <f t="shared" si="10"/>
        <v>386.9</v>
      </c>
      <c r="V68" s="71">
        <f t="shared" si="10"/>
        <v>207.70000000000002</v>
      </c>
      <c r="W68" s="71">
        <f t="shared" si="10"/>
        <v>144.80000000000001</v>
      </c>
      <c r="X68" s="71">
        <f t="shared" si="10"/>
        <v>224.3</v>
      </c>
      <c r="Y68" s="71">
        <v>245.2</v>
      </c>
      <c r="Z68" s="71">
        <f t="shared" si="10"/>
        <v>195.3</v>
      </c>
      <c r="AA68" s="71">
        <f t="shared" si="10"/>
        <v>280.39999999999998</v>
      </c>
      <c r="AB68" s="71">
        <f t="shared" si="10"/>
        <v>262</v>
      </c>
      <c r="AC68" s="71">
        <f t="shared" si="10"/>
        <v>475.3</v>
      </c>
      <c r="AD68" s="71">
        <f t="shared" si="10"/>
        <v>494.10000000000008</v>
      </c>
      <c r="AE68" s="71">
        <f t="shared" si="10"/>
        <v>392.1</v>
      </c>
      <c r="AF68" s="71">
        <f t="shared" si="10"/>
        <v>317.60000000000002</v>
      </c>
      <c r="AG68" s="76">
        <f>SUM(AG57:AG67)</f>
        <v>0</v>
      </c>
      <c r="AH68" s="53">
        <f t="shared" si="2"/>
        <v>494.10000000000008</v>
      </c>
      <c r="AI68" s="54">
        <f t="shared" si="3"/>
        <v>71.2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1">SUM(D69:D71)</f>
        <v>0</v>
      </c>
      <c r="E72" s="71">
        <f t="shared" si="11"/>
        <v>0</v>
      </c>
      <c r="F72" s="71">
        <f t="shared" si="11"/>
        <v>0</v>
      </c>
      <c r="G72" s="71">
        <f t="shared" si="11"/>
        <v>0</v>
      </c>
      <c r="H72" s="71">
        <f t="shared" si="11"/>
        <v>0</v>
      </c>
      <c r="I72" s="71">
        <f t="shared" si="11"/>
        <v>0</v>
      </c>
      <c r="J72" s="71">
        <f t="shared" si="11"/>
        <v>0</v>
      </c>
      <c r="K72" s="71">
        <f t="shared" si="11"/>
        <v>0</v>
      </c>
      <c r="L72" s="71">
        <f t="shared" si="11"/>
        <v>0</v>
      </c>
      <c r="M72" s="71">
        <f t="shared" si="11"/>
        <v>0</v>
      </c>
      <c r="N72" s="71">
        <f t="shared" si="11"/>
        <v>0</v>
      </c>
      <c r="O72" s="71">
        <f t="shared" si="11"/>
        <v>0</v>
      </c>
      <c r="P72" s="71">
        <f t="shared" si="11"/>
        <v>0</v>
      </c>
      <c r="Q72" s="71">
        <f t="shared" si="11"/>
        <v>0</v>
      </c>
      <c r="R72" s="71">
        <f t="shared" si="11"/>
        <v>0</v>
      </c>
      <c r="S72" s="71">
        <f t="shared" si="11"/>
        <v>0</v>
      </c>
      <c r="T72" s="71">
        <f t="shared" si="11"/>
        <v>0</v>
      </c>
      <c r="U72" s="71">
        <f t="shared" si="11"/>
        <v>0</v>
      </c>
      <c r="V72" s="71">
        <f t="shared" si="11"/>
        <v>0</v>
      </c>
      <c r="W72" s="71">
        <f t="shared" si="11"/>
        <v>0</v>
      </c>
      <c r="X72" s="71">
        <f t="shared" si="11"/>
        <v>0</v>
      </c>
      <c r="Y72" s="71">
        <v>0</v>
      </c>
      <c r="Z72" s="71">
        <f t="shared" si="11"/>
        <v>0</v>
      </c>
      <c r="AA72" s="71">
        <f t="shared" si="11"/>
        <v>0</v>
      </c>
      <c r="AB72" s="71">
        <f t="shared" si="11"/>
        <v>0</v>
      </c>
      <c r="AC72" s="71">
        <f t="shared" si="11"/>
        <v>0</v>
      </c>
      <c r="AD72" s="71">
        <f t="shared" si="11"/>
        <v>0</v>
      </c>
      <c r="AE72" s="71">
        <f t="shared" si="11"/>
        <v>0</v>
      </c>
      <c r="AF72" s="71">
        <f t="shared" si="11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940.14</v>
      </c>
      <c r="C73" s="88">
        <f>C68+C56+C52+C38+C72</f>
        <v>893.14</v>
      </c>
      <c r="D73" s="88">
        <f t="shared" ref="D73:AG73" si="12">D68+D56+D52+D38+D72</f>
        <v>881.14</v>
      </c>
      <c r="E73" s="88">
        <f t="shared" si="12"/>
        <v>863.14</v>
      </c>
      <c r="F73" s="88">
        <f t="shared" si="12"/>
        <v>828.13999999999987</v>
      </c>
      <c r="G73" s="88">
        <f t="shared" si="12"/>
        <v>902.14</v>
      </c>
      <c r="H73" s="88">
        <f t="shared" si="12"/>
        <v>892.74</v>
      </c>
      <c r="I73" s="88">
        <f t="shared" si="12"/>
        <v>950.04</v>
      </c>
      <c r="J73" s="88">
        <f t="shared" si="12"/>
        <v>1012.9399999999998</v>
      </c>
      <c r="K73" s="88">
        <f t="shared" si="12"/>
        <v>1096.1399999999999</v>
      </c>
      <c r="L73" s="88">
        <f t="shared" si="12"/>
        <v>1253.6400000000001</v>
      </c>
      <c r="M73" s="88">
        <f t="shared" si="12"/>
        <v>1336.1399999999999</v>
      </c>
      <c r="N73" s="88">
        <f t="shared" si="12"/>
        <v>1397.54</v>
      </c>
      <c r="O73" s="88">
        <f t="shared" si="12"/>
        <v>1371.8400000000001</v>
      </c>
      <c r="P73" s="88">
        <f t="shared" si="12"/>
        <v>1256.7399999999998</v>
      </c>
      <c r="Q73" s="88">
        <f t="shared" si="12"/>
        <v>1217.24</v>
      </c>
      <c r="R73" s="88">
        <f t="shared" si="12"/>
        <v>1176.54</v>
      </c>
      <c r="S73" s="88">
        <f t="shared" si="12"/>
        <v>1179.8399999999997</v>
      </c>
      <c r="T73" s="88">
        <f t="shared" si="12"/>
        <v>1165.54</v>
      </c>
      <c r="U73" s="88">
        <f t="shared" si="12"/>
        <v>1149.24</v>
      </c>
      <c r="V73" s="88">
        <f t="shared" si="12"/>
        <v>1174.3400000000001</v>
      </c>
      <c r="W73" s="88">
        <f t="shared" si="12"/>
        <v>1264.94</v>
      </c>
      <c r="X73" s="88">
        <f t="shared" si="12"/>
        <v>1445.3400000000001</v>
      </c>
      <c r="Y73" s="88">
        <v>1576.3400000000001</v>
      </c>
      <c r="Z73" s="88">
        <f t="shared" si="12"/>
        <v>1594.14</v>
      </c>
      <c r="AA73" s="88">
        <f t="shared" si="12"/>
        <v>1540.24</v>
      </c>
      <c r="AB73" s="88">
        <f t="shared" si="12"/>
        <v>1472.8400000000001</v>
      </c>
      <c r="AC73" s="88">
        <f t="shared" si="12"/>
        <v>1397.54</v>
      </c>
      <c r="AD73" s="88">
        <f t="shared" si="12"/>
        <v>1379.34</v>
      </c>
      <c r="AE73" s="88">
        <f t="shared" si="12"/>
        <v>1176.8399999999999</v>
      </c>
      <c r="AF73" s="88">
        <f t="shared" si="12"/>
        <v>1024.3399999999999</v>
      </c>
      <c r="AG73" s="88">
        <f t="shared" si="12"/>
        <v>2144.14</v>
      </c>
      <c r="AH73" s="53">
        <f t="shared" si="2"/>
        <v>1594.14</v>
      </c>
      <c r="AI73" s="54">
        <f t="shared" si="3"/>
        <v>828.13999999999987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>
        <v>50</v>
      </c>
      <c r="Y74" s="90">
        <v>0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50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940.14</v>
      </c>
      <c r="C75" s="88">
        <f>C73+C74</f>
        <v>893.14</v>
      </c>
      <c r="D75" s="88">
        <f t="shared" ref="D75:AF75" si="13">D72+D68+D56+D52+D38+D74</f>
        <v>881.14</v>
      </c>
      <c r="E75" s="88">
        <f t="shared" si="13"/>
        <v>863.14</v>
      </c>
      <c r="F75" s="88">
        <f t="shared" si="13"/>
        <v>828.13999999999987</v>
      </c>
      <c r="G75" s="88">
        <f t="shared" si="13"/>
        <v>902.14</v>
      </c>
      <c r="H75" s="88">
        <f t="shared" si="13"/>
        <v>892.74</v>
      </c>
      <c r="I75" s="88">
        <f t="shared" si="13"/>
        <v>950.04</v>
      </c>
      <c r="J75" s="88">
        <f t="shared" si="13"/>
        <v>1012.9399999999998</v>
      </c>
      <c r="K75" s="88">
        <f t="shared" si="13"/>
        <v>1096.1399999999999</v>
      </c>
      <c r="L75" s="88">
        <f t="shared" si="13"/>
        <v>1253.6400000000001</v>
      </c>
      <c r="M75" s="88">
        <f t="shared" si="13"/>
        <v>1336.1399999999999</v>
      </c>
      <c r="N75" s="88">
        <f t="shared" si="13"/>
        <v>1397.54</v>
      </c>
      <c r="O75" s="88">
        <f t="shared" si="13"/>
        <v>1371.8400000000001</v>
      </c>
      <c r="P75" s="88">
        <f t="shared" si="13"/>
        <v>1256.7399999999998</v>
      </c>
      <c r="Q75" s="88">
        <f t="shared" si="13"/>
        <v>1217.24</v>
      </c>
      <c r="R75" s="88">
        <f t="shared" si="13"/>
        <v>1176.54</v>
      </c>
      <c r="S75" s="88">
        <f t="shared" si="13"/>
        <v>1179.8399999999997</v>
      </c>
      <c r="T75" s="88">
        <f t="shared" si="13"/>
        <v>1165.54</v>
      </c>
      <c r="U75" s="88">
        <f t="shared" si="13"/>
        <v>1149.24</v>
      </c>
      <c r="V75" s="88">
        <f t="shared" si="13"/>
        <v>1174.3400000000001</v>
      </c>
      <c r="W75" s="88">
        <f t="shared" si="13"/>
        <v>1264.94</v>
      </c>
      <c r="X75" s="88">
        <f t="shared" si="13"/>
        <v>1495.3400000000001</v>
      </c>
      <c r="Y75" s="88">
        <v>1576.3400000000001</v>
      </c>
      <c r="Z75" s="88">
        <f t="shared" si="13"/>
        <v>1594.14</v>
      </c>
      <c r="AA75" s="88">
        <f t="shared" si="13"/>
        <v>1540.24</v>
      </c>
      <c r="AB75" s="88">
        <f t="shared" si="13"/>
        <v>1472.8400000000001</v>
      </c>
      <c r="AC75" s="88">
        <f t="shared" si="13"/>
        <v>1397.54</v>
      </c>
      <c r="AD75" s="88">
        <f t="shared" si="13"/>
        <v>1379.34</v>
      </c>
      <c r="AE75" s="88">
        <f t="shared" si="13"/>
        <v>1176.8399999999999</v>
      </c>
      <c r="AF75" s="88">
        <f t="shared" si="13"/>
        <v>1024.3399999999999</v>
      </c>
      <c r="AG75" s="76">
        <f>AG72+AG68+AG56+AG52+AG38+AG74</f>
        <v>2144.14</v>
      </c>
      <c r="AH75" s="53">
        <f t="shared" si="2"/>
        <v>1594.14</v>
      </c>
      <c r="AI75" s="54">
        <f t="shared" si="3"/>
        <v>828.13999999999987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4">IF(D60&lt;0,D60*-1,0)</f>
        <v>0</v>
      </c>
      <c r="E76" s="57">
        <f t="shared" si="14"/>
        <v>0</v>
      </c>
      <c r="F76" s="57">
        <f t="shared" si="14"/>
        <v>0</v>
      </c>
      <c r="G76" s="57">
        <f t="shared" si="14"/>
        <v>0</v>
      </c>
      <c r="H76" s="57">
        <f t="shared" si="14"/>
        <v>0</v>
      </c>
      <c r="I76" s="57">
        <f t="shared" si="14"/>
        <v>0</v>
      </c>
      <c r="J76" s="57">
        <f t="shared" si="14"/>
        <v>0</v>
      </c>
      <c r="K76" s="57">
        <f t="shared" si="14"/>
        <v>0</v>
      </c>
      <c r="L76" s="57">
        <f t="shared" si="14"/>
        <v>0</v>
      </c>
      <c r="M76" s="57">
        <f t="shared" si="14"/>
        <v>0</v>
      </c>
      <c r="N76" s="57">
        <f t="shared" si="14"/>
        <v>0</v>
      </c>
      <c r="O76" s="57">
        <f t="shared" si="14"/>
        <v>0</v>
      </c>
      <c r="P76" s="57">
        <f t="shared" si="14"/>
        <v>0</v>
      </c>
      <c r="Q76" s="57">
        <f t="shared" si="14"/>
        <v>0</v>
      </c>
      <c r="R76" s="57">
        <f t="shared" si="14"/>
        <v>0</v>
      </c>
      <c r="S76" s="57">
        <f t="shared" si="14"/>
        <v>0</v>
      </c>
      <c r="T76" s="57">
        <f t="shared" si="14"/>
        <v>0</v>
      </c>
      <c r="U76" s="57">
        <f t="shared" si="14"/>
        <v>0</v>
      </c>
      <c r="V76" s="57">
        <f t="shared" si="14"/>
        <v>0</v>
      </c>
      <c r="W76" s="57">
        <f t="shared" si="14"/>
        <v>0</v>
      </c>
      <c r="X76" s="57">
        <f t="shared" si="14"/>
        <v>0</v>
      </c>
      <c r="Y76" s="57">
        <v>0</v>
      </c>
      <c r="Z76" s="57">
        <f t="shared" si="14"/>
        <v>0</v>
      </c>
      <c r="AA76" s="57">
        <f t="shared" si="14"/>
        <v>0</v>
      </c>
      <c r="AB76" s="57">
        <f t="shared" si="14"/>
        <v>0</v>
      </c>
      <c r="AC76" s="57">
        <f t="shared" si="14"/>
        <v>0</v>
      </c>
      <c r="AD76" s="57">
        <f t="shared" si="14"/>
        <v>0</v>
      </c>
      <c r="AE76" s="57">
        <f t="shared" si="14"/>
        <v>0</v>
      </c>
      <c r="AF76" s="57">
        <f t="shared" si="14"/>
        <v>0</v>
      </c>
      <c r="AG76" s="61"/>
      <c r="AH76" s="53">
        <f t="shared" ref="AH76:AH91" si="15">MAX(B76:AF76)</f>
        <v>0</v>
      </c>
      <c r="AI76" s="54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7">IF(D58&lt;0,D58*-1,0)</f>
        <v>0</v>
      </c>
      <c r="E77" s="57">
        <f t="shared" si="17"/>
        <v>0</v>
      </c>
      <c r="F77" s="57">
        <f t="shared" si="17"/>
        <v>0</v>
      </c>
      <c r="G77" s="57">
        <f t="shared" si="17"/>
        <v>0</v>
      </c>
      <c r="H77" s="57">
        <f t="shared" si="17"/>
        <v>0</v>
      </c>
      <c r="I77" s="57">
        <f t="shared" si="17"/>
        <v>0</v>
      </c>
      <c r="J77" s="57">
        <f t="shared" si="17"/>
        <v>0</v>
      </c>
      <c r="K77" s="57">
        <f t="shared" si="17"/>
        <v>0</v>
      </c>
      <c r="L77" s="57">
        <f t="shared" si="17"/>
        <v>0</v>
      </c>
      <c r="M77" s="57">
        <f t="shared" si="17"/>
        <v>0</v>
      </c>
      <c r="N77" s="57">
        <f t="shared" si="17"/>
        <v>0</v>
      </c>
      <c r="O77" s="57">
        <f t="shared" si="17"/>
        <v>0</v>
      </c>
      <c r="P77" s="57">
        <f t="shared" si="17"/>
        <v>0</v>
      </c>
      <c r="Q77" s="57">
        <f t="shared" si="17"/>
        <v>0</v>
      </c>
      <c r="R77" s="57">
        <f t="shared" si="17"/>
        <v>0</v>
      </c>
      <c r="S77" s="57">
        <f t="shared" si="17"/>
        <v>0</v>
      </c>
      <c r="T77" s="57">
        <f t="shared" si="17"/>
        <v>0</v>
      </c>
      <c r="U77" s="57">
        <f t="shared" si="17"/>
        <v>0</v>
      </c>
      <c r="V77" s="57">
        <f t="shared" si="17"/>
        <v>0</v>
      </c>
      <c r="W77" s="57">
        <f t="shared" si="17"/>
        <v>0</v>
      </c>
      <c r="X77" s="57">
        <f t="shared" si="17"/>
        <v>0</v>
      </c>
      <c r="Y77" s="57">
        <v>0</v>
      </c>
      <c r="Z77" s="57">
        <f t="shared" si="17"/>
        <v>0</v>
      </c>
      <c r="AA77" s="57">
        <f t="shared" si="17"/>
        <v>0</v>
      </c>
      <c r="AB77" s="57">
        <f t="shared" si="17"/>
        <v>0</v>
      </c>
      <c r="AC77" s="57">
        <f t="shared" si="17"/>
        <v>0</v>
      </c>
      <c r="AD77" s="57">
        <f t="shared" si="17"/>
        <v>0</v>
      </c>
      <c r="AE77" s="57">
        <f t="shared" si="17"/>
        <v>0</v>
      </c>
      <c r="AF77" s="57">
        <f t="shared" si="17"/>
        <v>0</v>
      </c>
      <c r="AG77" s="66"/>
      <c r="AH77" s="53">
        <f t="shared" si="15"/>
        <v>0</v>
      </c>
      <c r="AI77" s="54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8">IF(D61&lt;0,D61*-1,0)</f>
        <v>0</v>
      </c>
      <c r="E78" s="57">
        <f t="shared" si="18"/>
        <v>0</v>
      </c>
      <c r="F78" s="57">
        <f t="shared" si="18"/>
        <v>0</v>
      </c>
      <c r="G78" s="57">
        <f t="shared" si="18"/>
        <v>0</v>
      </c>
      <c r="H78" s="57">
        <f t="shared" si="18"/>
        <v>0</v>
      </c>
      <c r="I78" s="57">
        <f t="shared" si="18"/>
        <v>0</v>
      </c>
      <c r="J78" s="57">
        <f t="shared" si="18"/>
        <v>0</v>
      </c>
      <c r="K78" s="57">
        <f t="shared" si="18"/>
        <v>0</v>
      </c>
      <c r="L78" s="57">
        <f t="shared" si="18"/>
        <v>0</v>
      </c>
      <c r="M78" s="57">
        <f t="shared" si="18"/>
        <v>0</v>
      </c>
      <c r="N78" s="57">
        <f t="shared" si="18"/>
        <v>0</v>
      </c>
      <c r="O78" s="57">
        <f t="shared" si="18"/>
        <v>0</v>
      </c>
      <c r="P78" s="57">
        <f t="shared" si="18"/>
        <v>0</v>
      </c>
      <c r="Q78" s="57">
        <f t="shared" si="18"/>
        <v>0</v>
      </c>
      <c r="R78" s="57">
        <f t="shared" si="18"/>
        <v>0</v>
      </c>
      <c r="S78" s="57">
        <f t="shared" si="18"/>
        <v>0</v>
      </c>
      <c r="T78" s="57">
        <f t="shared" si="18"/>
        <v>0</v>
      </c>
      <c r="U78" s="57">
        <f t="shared" si="18"/>
        <v>0</v>
      </c>
      <c r="V78" s="57">
        <f t="shared" si="18"/>
        <v>0</v>
      </c>
      <c r="W78" s="57">
        <f t="shared" si="18"/>
        <v>0</v>
      </c>
      <c r="X78" s="57">
        <f t="shared" si="18"/>
        <v>0</v>
      </c>
      <c r="Y78" s="57">
        <v>0</v>
      </c>
      <c r="Z78" s="57">
        <f t="shared" si="18"/>
        <v>0</v>
      </c>
      <c r="AA78" s="57">
        <f t="shared" si="18"/>
        <v>0</v>
      </c>
      <c r="AB78" s="57">
        <f t="shared" si="18"/>
        <v>0</v>
      </c>
      <c r="AC78" s="57">
        <f t="shared" si="18"/>
        <v>0</v>
      </c>
      <c r="AD78" s="57">
        <f t="shared" si="18"/>
        <v>0</v>
      </c>
      <c r="AE78" s="57">
        <f t="shared" si="18"/>
        <v>0</v>
      </c>
      <c r="AF78" s="57">
        <f t="shared" si="18"/>
        <v>0</v>
      </c>
      <c r="AG78" s="91"/>
      <c r="AH78" s="53">
        <f t="shared" si="15"/>
        <v>0</v>
      </c>
      <c r="AI78" s="54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9">IF(D59&lt;0,D59*-1,0)</f>
        <v>0</v>
      </c>
      <c r="E79" s="57">
        <f t="shared" si="19"/>
        <v>0</v>
      </c>
      <c r="F79" s="57">
        <f t="shared" si="19"/>
        <v>0</v>
      </c>
      <c r="G79" s="57">
        <f t="shared" si="19"/>
        <v>0</v>
      </c>
      <c r="H79" s="57">
        <f t="shared" si="19"/>
        <v>0</v>
      </c>
      <c r="I79" s="57">
        <f t="shared" si="19"/>
        <v>0</v>
      </c>
      <c r="J79" s="57">
        <f t="shared" si="19"/>
        <v>0</v>
      </c>
      <c r="K79" s="57">
        <f t="shared" si="19"/>
        <v>0</v>
      </c>
      <c r="L79" s="57">
        <f t="shared" si="19"/>
        <v>0</v>
      </c>
      <c r="M79" s="57">
        <f t="shared" si="19"/>
        <v>0</v>
      </c>
      <c r="N79" s="57">
        <f t="shared" si="19"/>
        <v>0</v>
      </c>
      <c r="O79" s="57">
        <f t="shared" si="19"/>
        <v>0</v>
      </c>
      <c r="P79" s="57">
        <f t="shared" si="19"/>
        <v>0</v>
      </c>
      <c r="Q79" s="57">
        <f t="shared" si="19"/>
        <v>0</v>
      </c>
      <c r="R79" s="57">
        <f t="shared" si="19"/>
        <v>0</v>
      </c>
      <c r="S79" s="57">
        <f t="shared" si="19"/>
        <v>0</v>
      </c>
      <c r="T79" s="57">
        <f t="shared" si="19"/>
        <v>0</v>
      </c>
      <c r="U79" s="57">
        <f t="shared" si="19"/>
        <v>0</v>
      </c>
      <c r="V79" s="57">
        <f t="shared" si="19"/>
        <v>0</v>
      </c>
      <c r="W79" s="57">
        <f t="shared" si="19"/>
        <v>0</v>
      </c>
      <c r="X79" s="57">
        <f t="shared" si="19"/>
        <v>0</v>
      </c>
      <c r="Y79" s="57">
        <v>0</v>
      </c>
      <c r="Z79" s="57">
        <f t="shared" si="19"/>
        <v>0</v>
      </c>
      <c r="AA79" s="57">
        <f t="shared" si="19"/>
        <v>0</v>
      </c>
      <c r="AB79" s="57">
        <f t="shared" si="19"/>
        <v>0</v>
      </c>
      <c r="AC79" s="57">
        <f t="shared" si="19"/>
        <v>0</v>
      </c>
      <c r="AD79" s="57">
        <f t="shared" si="19"/>
        <v>0</v>
      </c>
      <c r="AE79" s="57">
        <f t="shared" si="19"/>
        <v>0</v>
      </c>
      <c r="AF79" s="57">
        <f t="shared" si="19"/>
        <v>0</v>
      </c>
      <c r="AG79" s="91"/>
      <c r="AH79" s="53">
        <f t="shared" si="15"/>
        <v>0</v>
      </c>
      <c r="AI79" s="54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20">IF(D57&lt;0,D57*-1,0)</f>
        <v>0</v>
      </c>
      <c r="E80" s="57">
        <f t="shared" si="20"/>
        <v>0</v>
      </c>
      <c r="F80" s="57">
        <f t="shared" si="20"/>
        <v>0</v>
      </c>
      <c r="G80" s="57">
        <f t="shared" si="20"/>
        <v>0</v>
      </c>
      <c r="H80" s="57">
        <f t="shared" si="20"/>
        <v>0</v>
      </c>
      <c r="I80" s="57">
        <f t="shared" si="20"/>
        <v>0</v>
      </c>
      <c r="J80" s="57">
        <f t="shared" si="20"/>
        <v>0</v>
      </c>
      <c r="K80" s="57">
        <f t="shared" si="20"/>
        <v>0</v>
      </c>
      <c r="L80" s="57">
        <f t="shared" si="20"/>
        <v>0</v>
      </c>
      <c r="M80" s="57">
        <f t="shared" si="20"/>
        <v>0</v>
      </c>
      <c r="N80" s="57">
        <f t="shared" si="20"/>
        <v>0</v>
      </c>
      <c r="O80" s="57">
        <f t="shared" si="20"/>
        <v>0</v>
      </c>
      <c r="P80" s="57">
        <f t="shared" si="20"/>
        <v>0</v>
      </c>
      <c r="Q80" s="57">
        <f t="shared" si="20"/>
        <v>0</v>
      </c>
      <c r="R80" s="57">
        <f t="shared" si="20"/>
        <v>0</v>
      </c>
      <c r="S80" s="57">
        <f t="shared" si="20"/>
        <v>0</v>
      </c>
      <c r="T80" s="57">
        <f t="shared" si="20"/>
        <v>0</v>
      </c>
      <c r="U80" s="57">
        <f t="shared" si="20"/>
        <v>0</v>
      </c>
      <c r="V80" s="57">
        <f t="shared" si="20"/>
        <v>0</v>
      </c>
      <c r="W80" s="57">
        <f t="shared" si="20"/>
        <v>0</v>
      </c>
      <c r="X80" s="57">
        <f t="shared" si="20"/>
        <v>0</v>
      </c>
      <c r="Y80" s="57">
        <v>0</v>
      </c>
      <c r="Z80" s="57">
        <f t="shared" si="20"/>
        <v>0</v>
      </c>
      <c r="AA80" s="57">
        <f t="shared" si="20"/>
        <v>0</v>
      </c>
      <c r="AB80" s="57">
        <f t="shared" si="20"/>
        <v>0</v>
      </c>
      <c r="AC80" s="57">
        <f t="shared" si="20"/>
        <v>0</v>
      </c>
      <c r="AD80" s="57">
        <f t="shared" si="20"/>
        <v>0</v>
      </c>
      <c r="AE80" s="57">
        <f t="shared" si="20"/>
        <v>0</v>
      </c>
      <c r="AF80" s="57">
        <f t="shared" si="20"/>
        <v>0</v>
      </c>
      <c r="AG80" s="91"/>
      <c r="AH80" s="53">
        <f t="shared" si="15"/>
        <v>0</v>
      </c>
      <c r="AI80" s="54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2"/>
      <c r="AC81" s="62"/>
      <c r="AD81" s="62"/>
      <c r="AE81" s="62"/>
      <c r="AF81" s="62"/>
      <c r="AG81" s="86"/>
      <c r="AH81" s="53">
        <f t="shared" si="15"/>
        <v>0</v>
      </c>
      <c r="AI81" s="54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1">SUM(C76:C81)</f>
        <v>0</v>
      </c>
      <c r="D82" s="71">
        <f t="shared" si="21"/>
        <v>0</v>
      </c>
      <c r="E82" s="71">
        <f t="shared" si="21"/>
        <v>0</v>
      </c>
      <c r="F82" s="71">
        <f t="shared" si="21"/>
        <v>0</v>
      </c>
      <c r="G82" s="71">
        <f t="shared" si="21"/>
        <v>0</v>
      </c>
      <c r="H82" s="71">
        <f t="shared" si="21"/>
        <v>0</v>
      </c>
      <c r="I82" s="71">
        <f t="shared" si="21"/>
        <v>0</v>
      </c>
      <c r="J82" s="71">
        <f t="shared" si="21"/>
        <v>0</v>
      </c>
      <c r="K82" s="71">
        <f t="shared" si="21"/>
        <v>0</v>
      </c>
      <c r="L82" s="71">
        <f t="shared" si="21"/>
        <v>0</v>
      </c>
      <c r="M82" s="71">
        <f t="shared" si="21"/>
        <v>0</v>
      </c>
      <c r="N82" s="71">
        <f t="shared" si="21"/>
        <v>0</v>
      </c>
      <c r="O82" s="71">
        <f t="shared" si="21"/>
        <v>0</v>
      </c>
      <c r="P82" s="71">
        <f t="shared" si="21"/>
        <v>0</v>
      </c>
      <c r="Q82" s="71">
        <f t="shared" si="21"/>
        <v>0</v>
      </c>
      <c r="R82" s="71">
        <f t="shared" si="21"/>
        <v>0</v>
      </c>
      <c r="S82" s="71">
        <f t="shared" si="21"/>
        <v>0</v>
      </c>
      <c r="T82" s="71">
        <f t="shared" si="21"/>
        <v>0</v>
      </c>
      <c r="U82" s="71">
        <f t="shared" si="21"/>
        <v>0</v>
      </c>
      <c r="V82" s="71">
        <f t="shared" si="21"/>
        <v>0</v>
      </c>
      <c r="W82" s="71">
        <f t="shared" si="21"/>
        <v>0</v>
      </c>
      <c r="X82" s="71">
        <f t="shared" si="21"/>
        <v>0</v>
      </c>
      <c r="Y82" s="71">
        <v>0</v>
      </c>
      <c r="Z82" s="71">
        <f t="shared" si="21"/>
        <v>0</v>
      </c>
      <c r="AA82" s="71">
        <f t="shared" si="21"/>
        <v>0</v>
      </c>
      <c r="AB82" s="71">
        <f t="shared" si="21"/>
        <v>0</v>
      </c>
      <c r="AC82" s="71">
        <f t="shared" si="21"/>
        <v>0</v>
      </c>
      <c r="AD82" s="71">
        <f t="shared" si="21"/>
        <v>0</v>
      </c>
      <c r="AE82" s="71">
        <f t="shared" si="21"/>
        <v>0</v>
      </c>
      <c r="AF82" s="71">
        <f t="shared" si="21"/>
        <v>0</v>
      </c>
      <c r="AG82" s="76">
        <f t="shared" si="21"/>
        <v>0</v>
      </c>
      <c r="AH82" s="53">
        <f t="shared" si="15"/>
        <v>0</v>
      </c>
      <c r="AI82" s="54">
        <f t="shared" si="16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1880.28</v>
      </c>
      <c r="C83" s="71">
        <f t="shared" ref="C83:AG83" si="22">SUM(C70:C82)</f>
        <v>1786.28</v>
      </c>
      <c r="D83" s="71">
        <f t="shared" si="22"/>
        <v>1762.28</v>
      </c>
      <c r="E83" s="71">
        <f t="shared" si="22"/>
        <v>1726.28</v>
      </c>
      <c r="F83" s="71">
        <f t="shared" si="22"/>
        <v>1656.2799999999997</v>
      </c>
      <c r="G83" s="71">
        <f t="shared" si="22"/>
        <v>1804.28</v>
      </c>
      <c r="H83" s="71">
        <f t="shared" si="22"/>
        <v>1785.48</v>
      </c>
      <c r="I83" s="71">
        <f t="shared" si="22"/>
        <v>1900.08</v>
      </c>
      <c r="J83" s="71">
        <f t="shared" si="22"/>
        <v>2025.8799999999997</v>
      </c>
      <c r="K83" s="71">
        <f t="shared" si="22"/>
        <v>2192.2799999999997</v>
      </c>
      <c r="L83" s="71">
        <f t="shared" si="22"/>
        <v>2507.2800000000002</v>
      </c>
      <c r="M83" s="71">
        <f t="shared" si="22"/>
        <v>2672.2799999999997</v>
      </c>
      <c r="N83" s="71">
        <f t="shared" si="22"/>
        <v>2795.08</v>
      </c>
      <c r="O83" s="71">
        <f t="shared" si="22"/>
        <v>2743.6800000000003</v>
      </c>
      <c r="P83" s="71">
        <f t="shared" si="22"/>
        <v>2513.4799999999996</v>
      </c>
      <c r="Q83" s="71">
        <f t="shared" si="22"/>
        <v>2434.48</v>
      </c>
      <c r="R83" s="71">
        <f t="shared" si="22"/>
        <v>2353.08</v>
      </c>
      <c r="S83" s="71">
        <f t="shared" si="22"/>
        <v>2359.6799999999994</v>
      </c>
      <c r="T83" s="71">
        <f t="shared" si="22"/>
        <v>2331.08</v>
      </c>
      <c r="U83" s="71">
        <f t="shared" si="22"/>
        <v>2298.48</v>
      </c>
      <c r="V83" s="71">
        <f t="shared" si="22"/>
        <v>2348.6800000000003</v>
      </c>
      <c r="W83" s="71">
        <f t="shared" si="22"/>
        <v>2529.88</v>
      </c>
      <c r="X83" s="71">
        <f t="shared" si="22"/>
        <v>2990.6800000000003</v>
      </c>
      <c r="Y83" s="71">
        <v>245.2</v>
      </c>
      <c r="Z83" s="71">
        <f t="shared" si="22"/>
        <v>3188.28</v>
      </c>
      <c r="AA83" s="71">
        <f t="shared" si="22"/>
        <v>3080.48</v>
      </c>
      <c r="AB83" s="71">
        <f t="shared" si="22"/>
        <v>2945.6800000000003</v>
      </c>
      <c r="AC83" s="71">
        <f t="shared" si="22"/>
        <v>2795.08</v>
      </c>
      <c r="AD83" s="71">
        <f t="shared" si="22"/>
        <v>2758.68</v>
      </c>
      <c r="AE83" s="71">
        <f t="shared" si="22"/>
        <v>2353.6799999999998</v>
      </c>
      <c r="AF83" s="71">
        <f t="shared" si="22"/>
        <v>2048.6799999999998</v>
      </c>
      <c r="AG83" s="76">
        <f t="shared" si="22"/>
        <v>4360.08</v>
      </c>
      <c r="AH83" s="53">
        <f t="shared" si="15"/>
        <v>3188.28</v>
      </c>
      <c r="AI83" s="54">
        <f t="shared" si="16"/>
        <v>245.2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49.985999999999997</v>
      </c>
      <c r="C84" s="95">
        <v>49.975999999999999</v>
      </c>
      <c r="D84" s="95">
        <v>50.04</v>
      </c>
      <c r="E84" s="95">
        <v>50.036999999999999</v>
      </c>
      <c r="F84" s="95">
        <v>50.042999999999999</v>
      </c>
      <c r="G84" s="95">
        <v>50.036000000000001</v>
      </c>
      <c r="H84" s="95">
        <v>50.024999999999999</v>
      </c>
      <c r="I84" s="95">
        <v>49.993000000000002</v>
      </c>
      <c r="J84" s="95">
        <v>50.064</v>
      </c>
      <c r="K84" s="95">
        <v>49.994999999999997</v>
      </c>
      <c r="L84" s="95">
        <v>50.039000000000001</v>
      </c>
      <c r="M84" s="95">
        <v>50.057000000000002</v>
      </c>
      <c r="N84" s="95">
        <v>50.075000000000003</v>
      </c>
      <c r="O84" s="95">
        <v>50.06</v>
      </c>
      <c r="P84" s="95">
        <v>50.027000000000001</v>
      </c>
      <c r="Q84" s="95">
        <v>49.991999999999997</v>
      </c>
      <c r="R84" s="95">
        <v>50</v>
      </c>
      <c r="S84" s="95">
        <v>50</v>
      </c>
      <c r="T84" s="95">
        <v>49.98</v>
      </c>
      <c r="U84" s="95">
        <v>49.93</v>
      </c>
      <c r="V84" s="95">
        <v>49.93</v>
      </c>
      <c r="W84" s="95">
        <v>50</v>
      </c>
      <c r="X84" s="95">
        <v>50.03</v>
      </c>
      <c r="Y84" s="95">
        <v>50.7</v>
      </c>
      <c r="Z84" s="95">
        <v>49.98</v>
      </c>
      <c r="AA84" s="95">
        <v>50.06</v>
      </c>
      <c r="AB84" s="95">
        <v>50.07</v>
      </c>
      <c r="AC84" s="95">
        <v>49.99</v>
      </c>
      <c r="AD84" s="95">
        <v>50.003</v>
      </c>
      <c r="AE84" s="95">
        <v>49.941000000000003</v>
      </c>
      <c r="AF84" s="95">
        <v>49.939</v>
      </c>
      <c r="AG84" s="96"/>
      <c r="AH84" s="53">
        <f t="shared" si="15"/>
        <v>50.7</v>
      </c>
      <c r="AI84" s="54">
        <f t="shared" si="16"/>
        <v>49.93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125.5</v>
      </c>
      <c r="C85" s="98">
        <v>126</v>
      </c>
      <c r="D85" s="72">
        <v>127.3</v>
      </c>
      <c r="E85" s="72">
        <v>128.19999999999999</v>
      </c>
      <c r="F85" s="72">
        <v>127.4</v>
      </c>
      <c r="G85" s="72">
        <v>127.5</v>
      </c>
      <c r="H85" s="72">
        <v>127.6</v>
      </c>
      <c r="I85" s="72">
        <v>125.9</v>
      </c>
      <c r="J85" s="72">
        <v>124.6</v>
      </c>
      <c r="K85" s="72">
        <v>125</v>
      </c>
      <c r="L85" s="72">
        <v>123.4</v>
      </c>
      <c r="M85" s="72">
        <v>121.3</v>
      </c>
      <c r="N85" s="72">
        <v>122.7</v>
      </c>
      <c r="O85" s="72">
        <v>122.9</v>
      </c>
      <c r="P85" s="72">
        <v>122.9</v>
      </c>
      <c r="Q85" s="72">
        <v>123.7</v>
      </c>
      <c r="R85" s="72">
        <v>124.6</v>
      </c>
      <c r="S85" s="72">
        <v>124.5</v>
      </c>
      <c r="T85" s="72">
        <v>123</v>
      </c>
      <c r="U85" s="72">
        <v>122.3</v>
      </c>
      <c r="V85" s="99">
        <v>124.9</v>
      </c>
      <c r="W85" s="99">
        <v>123.6</v>
      </c>
      <c r="X85" s="99">
        <v>124.9</v>
      </c>
      <c r="Y85" s="99" t="s">
        <v>230</v>
      </c>
      <c r="Z85" s="99">
        <v>124</v>
      </c>
      <c r="AA85" s="99">
        <v>125.2</v>
      </c>
      <c r="AB85" s="72">
        <v>126</v>
      </c>
      <c r="AC85" s="72">
        <v>125.6</v>
      </c>
      <c r="AD85" s="72">
        <v>126.4</v>
      </c>
      <c r="AE85" s="72">
        <v>126.9</v>
      </c>
      <c r="AF85" s="72">
        <v>127</v>
      </c>
      <c r="AG85" s="100"/>
      <c r="AH85" s="53">
        <f t="shared" si="15"/>
        <v>128.19999999999999</v>
      </c>
      <c r="AI85" s="54">
        <f t="shared" si="16"/>
        <v>121.3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129.6</v>
      </c>
      <c r="C86" s="98">
        <v>130</v>
      </c>
      <c r="D86" s="72">
        <v>130.9</v>
      </c>
      <c r="E86" s="72">
        <v>132</v>
      </c>
      <c r="F86" s="72">
        <v>131.6</v>
      </c>
      <c r="G86" s="72">
        <v>130.9</v>
      </c>
      <c r="H86" s="72">
        <v>130.9</v>
      </c>
      <c r="I86" s="72">
        <v>128.80000000000001</v>
      </c>
      <c r="J86" s="72">
        <v>127.6</v>
      </c>
      <c r="K86" s="72">
        <v>128</v>
      </c>
      <c r="L86" s="72">
        <v>126</v>
      </c>
      <c r="M86" s="72">
        <v>124</v>
      </c>
      <c r="N86" s="72">
        <v>125.6</v>
      </c>
      <c r="O86" s="72">
        <v>125.5</v>
      </c>
      <c r="P86" s="72">
        <v>125.6</v>
      </c>
      <c r="Q86" s="72">
        <v>126.2</v>
      </c>
      <c r="R86" s="72">
        <v>127.4</v>
      </c>
      <c r="S86" s="72">
        <v>126.1</v>
      </c>
      <c r="T86" s="72">
        <v>125.9</v>
      </c>
      <c r="U86" s="72">
        <v>126.1</v>
      </c>
      <c r="V86" s="99">
        <v>127.9</v>
      </c>
      <c r="W86" s="99">
        <v>125.5</v>
      </c>
      <c r="X86" s="99">
        <v>126.1</v>
      </c>
      <c r="Y86" s="99">
        <v>124.2</v>
      </c>
      <c r="Z86" s="99">
        <v>125.3</v>
      </c>
      <c r="AA86" s="99">
        <v>126.2</v>
      </c>
      <c r="AB86" s="72">
        <v>127</v>
      </c>
      <c r="AC86" s="72">
        <v>126.4</v>
      </c>
      <c r="AD86" s="72">
        <v>127.2</v>
      </c>
      <c r="AE86" s="72">
        <v>129.80000000000001</v>
      </c>
      <c r="AF86" s="72">
        <v>130</v>
      </c>
      <c r="AG86" s="100"/>
      <c r="AH86" s="53">
        <f t="shared" si="15"/>
        <v>132</v>
      </c>
      <c r="AI86" s="54">
        <f t="shared" si="16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129.80000000000001</v>
      </c>
      <c r="C87" s="98">
        <v>130</v>
      </c>
      <c r="D87" s="72">
        <v>130.30000000000001</v>
      </c>
      <c r="E87" s="72">
        <v>130</v>
      </c>
      <c r="F87" s="72">
        <v>129.5</v>
      </c>
      <c r="G87" s="72">
        <v>129.4</v>
      </c>
      <c r="H87" s="72">
        <v>128.6</v>
      </c>
      <c r="I87" s="72">
        <v>131</v>
      </c>
      <c r="J87" s="72">
        <v>129.4</v>
      </c>
      <c r="K87" s="72">
        <v>129</v>
      </c>
      <c r="L87" s="72">
        <v>127.7</v>
      </c>
      <c r="M87" s="72">
        <v>127</v>
      </c>
      <c r="N87" s="72">
        <v>129</v>
      </c>
      <c r="O87" s="72">
        <v>130.9</v>
      </c>
      <c r="P87" s="72">
        <v>129.69999999999999</v>
      </c>
      <c r="Q87" s="72">
        <v>130.69999999999999</v>
      </c>
      <c r="R87" s="72">
        <v>130.69999999999999</v>
      </c>
      <c r="S87" s="72">
        <v>130.19999999999999</v>
      </c>
      <c r="T87" s="72">
        <v>130.5</v>
      </c>
      <c r="U87" s="72">
        <v>130.5</v>
      </c>
      <c r="V87" s="72">
        <v>130.69999999999999</v>
      </c>
      <c r="W87" s="72">
        <v>128.5</v>
      </c>
      <c r="X87" s="72">
        <v>127.1</v>
      </c>
      <c r="Y87" s="99">
        <v>128</v>
      </c>
      <c r="Z87" s="99">
        <v>128.5</v>
      </c>
      <c r="AA87" s="99">
        <v>131.80000000000001</v>
      </c>
      <c r="AB87" s="72">
        <v>132</v>
      </c>
      <c r="AC87" s="72">
        <v>132.5</v>
      </c>
      <c r="AD87" s="72">
        <v>131</v>
      </c>
      <c r="AE87" s="72">
        <v>131.4</v>
      </c>
      <c r="AF87" s="72">
        <v>131.69999999999999</v>
      </c>
      <c r="AG87" s="100"/>
      <c r="AH87" s="53">
        <f t="shared" si="15"/>
        <v>132.5</v>
      </c>
      <c r="AI87" s="54">
        <f t="shared" si="16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134</v>
      </c>
      <c r="C88" s="98">
        <v>133.5</v>
      </c>
      <c r="D88" s="72">
        <v>133</v>
      </c>
      <c r="E88" s="72">
        <v>133.19999999999999</v>
      </c>
      <c r="F88" s="72">
        <v>132.5</v>
      </c>
      <c r="G88" s="72">
        <v>132.6</v>
      </c>
      <c r="H88" s="72">
        <v>132.1</v>
      </c>
      <c r="I88" s="72">
        <v>134</v>
      </c>
      <c r="J88" s="72">
        <v>132.19999999999999</v>
      </c>
      <c r="K88" s="72">
        <v>133.19999999999999</v>
      </c>
      <c r="L88" s="72">
        <v>132.1</v>
      </c>
      <c r="M88" s="72">
        <v>132</v>
      </c>
      <c r="N88" s="72">
        <v>132.1</v>
      </c>
      <c r="O88" s="72">
        <v>133.1</v>
      </c>
      <c r="P88" s="72">
        <v>131.4</v>
      </c>
      <c r="Q88" s="72">
        <v>132.69999999999999</v>
      </c>
      <c r="R88" s="72">
        <v>132.6</v>
      </c>
      <c r="S88" s="72">
        <v>132.69999999999999</v>
      </c>
      <c r="T88" s="72">
        <v>133</v>
      </c>
      <c r="U88" s="72">
        <v>132.1</v>
      </c>
      <c r="V88" s="72">
        <v>132.6</v>
      </c>
      <c r="W88" s="72">
        <v>130.4</v>
      </c>
      <c r="X88" s="72">
        <v>130.5</v>
      </c>
      <c r="Y88" s="99">
        <v>133.69999999999999</v>
      </c>
      <c r="Z88" s="99">
        <v>133.80000000000001</v>
      </c>
      <c r="AA88" s="99">
        <v>135.30000000000001</v>
      </c>
      <c r="AB88" s="72">
        <v>136</v>
      </c>
      <c r="AC88" s="72">
        <v>136.80000000000001</v>
      </c>
      <c r="AD88" s="72">
        <v>134</v>
      </c>
      <c r="AE88" s="72">
        <v>134.69999999999999</v>
      </c>
      <c r="AF88" s="72">
        <v>135.19999999999999</v>
      </c>
      <c r="AG88" s="100"/>
      <c r="AH88" s="53">
        <f t="shared" si="15"/>
        <v>136.80000000000001</v>
      </c>
      <c r="AI88" s="54">
        <f t="shared" si="16"/>
        <v>130.4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130.1</v>
      </c>
      <c r="C89" s="102">
        <v>130.5</v>
      </c>
      <c r="D89" s="103">
        <v>131.4</v>
      </c>
      <c r="E89" s="103">
        <v>134.19999999999999</v>
      </c>
      <c r="F89" s="103">
        <v>132</v>
      </c>
      <c r="G89" s="103">
        <v>134.69999999999999</v>
      </c>
      <c r="H89" s="103">
        <v>135</v>
      </c>
      <c r="I89" s="103">
        <v>134</v>
      </c>
      <c r="J89" s="103">
        <v>131.9</v>
      </c>
      <c r="K89" s="103">
        <v>133.6</v>
      </c>
      <c r="L89" s="103">
        <v>131.9</v>
      </c>
      <c r="M89" s="103">
        <v>131.1</v>
      </c>
      <c r="N89" s="103">
        <v>132.80000000000001</v>
      </c>
      <c r="O89" s="103">
        <v>133.30000000000001</v>
      </c>
      <c r="P89" s="103">
        <v>133.19999999999999</v>
      </c>
      <c r="Q89" s="103">
        <v>133.1</v>
      </c>
      <c r="R89" s="103">
        <v>134</v>
      </c>
      <c r="S89" s="103">
        <v>126.7</v>
      </c>
      <c r="T89" s="103">
        <v>132</v>
      </c>
      <c r="U89" s="103">
        <v>131.5</v>
      </c>
      <c r="V89" s="103">
        <v>134.9</v>
      </c>
      <c r="W89" s="103">
        <v>134.9</v>
      </c>
      <c r="X89" s="103">
        <v>135.30000000000001</v>
      </c>
      <c r="Y89" s="99">
        <v>132</v>
      </c>
      <c r="Z89" s="99">
        <v>132.9</v>
      </c>
      <c r="AA89" s="99">
        <v>135.30000000000001</v>
      </c>
      <c r="AB89" s="103">
        <v>136</v>
      </c>
      <c r="AC89" s="103">
        <v>136.19999999999999</v>
      </c>
      <c r="AD89" s="103">
        <v>136</v>
      </c>
      <c r="AE89" s="103">
        <v>131.80000000000001</v>
      </c>
      <c r="AF89" s="103">
        <v>132.6</v>
      </c>
      <c r="AG89" s="104"/>
      <c r="AH89" s="53">
        <f t="shared" si="15"/>
        <v>136.19999999999999</v>
      </c>
      <c r="AI89" s="54">
        <f t="shared" si="16"/>
        <v>126.7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136.4</v>
      </c>
      <c r="C90" s="98">
        <v>136.6</v>
      </c>
      <c r="D90" s="72">
        <v>136.9</v>
      </c>
      <c r="E90" s="72">
        <v>136.5</v>
      </c>
      <c r="F90" s="72">
        <v>135.19999999999999</v>
      </c>
      <c r="G90" s="72">
        <v>132.80000000000001</v>
      </c>
      <c r="H90" s="72">
        <v>131.9</v>
      </c>
      <c r="I90" s="72">
        <v>135.5</v>
      </c>
      <c r="J90" s="72">
        <v>133.9</v>
      </c>
      <c r="K90" s="72">
        <v>129.9</v>
      </c>
      <c r="L90" s="72">
        <v>131.30000000000001</v>
      </c>
      <c r="M90" s="72">
        <v>129.6</v>
      </c>
      <c r="N90" s="72">
        <v>130.19999999999999</v>
      </c>
      <c r="O90" s="72">
        <v>132</v>
      </c>
      <c r="P90" s="72">
        <v>130.6</v>
      </c>
      <c r="Q90" s="72">
        <v>132.9</v>
      </c>
      <c r="R90" s="72">
        <v>135.30000000000001</v>
      </c>
      <c r="S90" s="72">
        <v>133.80000000000001</v>
      </c>
      <c r="T90" s="72">
        <v>133.80000000000001</v>
      </c>
      <c r="U90" s="72">
        <v>130.6</v>
      </c>
      <c r="V90" s="72">
        <v>133</v>
      </c>
      <c r="W90" s="72">
        <v>132</v>
      </c>
      <c r="X90" s="72">
        <v>128.9</v>
      </c>
      <c r="Y90" s="99">
        <v>133.5</v>
      </c>
      <c r="Z90" s="99">
        <v>133.4</v>
      </c>
      <c r="AA90" s="99">
        <v>135.1</v>
      </c>
      <c r="AB90" s="72">
        <v>134.30000000000001</v>
      </c>
      <c r="AC90" s="72">
        <v>136.19999999999999</v>
      </c>
      <c r="AD90" s="72">
        <v>133.5</v>
      </c>
      <c r="AE90" s="72">
        <v>135.1</v>
      </c>
      <c r="AF90" s="72">
        <v>136.9</v>
      </c>
      <c r="AG90" s="100"/>
      <c r="AH90" s="53">
        <f t="shared" si="15"/>
        <v>136.9</v>
      </c>
      <c r="AI90" s="54">
        <f t="shared" si="16"/>
        <v>128.9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65.099999999999994</v>
      </c>
      <c r="C91" s="105">
        <v>65.8</v>
      </c>
      <c r="D91" s="106">
        <v>66.3</v>
      </c>
      <c r="E91" s="106">
        <v>66.900000000000006</v>
      </c>
      <c r="F91" s="106">
        <v>66.599999999999994</v>
      </c>
      <c r="G91" s="106">
        <v>66.5</v>
      </c>
      <c r="H91" s="106">
        <v>66.400000000000006</v>
      </c>
      <c r="I91" s="106">
        <v>65.400000000000006</v>
      </c>
      <c r="J91" s="106">
        <v>65.400000000000006</v>
      </c>
      <c r="K91" s="106">
        <v>65.099999999999994</v>
      </c>
      <c r="L91" s="106">
        <v>64.400000000000006</v>
      </c>
      <c r="M91" s="106">
        <v>63.9</v>
      </c>
      <c r="N91" s="106">
        <v>64.099999999999994</v>
      </c>
      <c r="O91" s="106">
        <v>63.8</v>
      </c>
      <c r="P91" s="106">
        <v>63.8</v>
      </c>
      <c r="Q91" s="106">
        <v>64.099999999999994</v>
      </c>
      <c r="R91" s="106">
        <v>64.900000000000006</v>
      </c>
      <c r="S91" s="106">
        <v>64.3</v>
      </c>
      <c r="T91" s="106">
        <v>64.3</v>
      </c>
      <c r="U91" s="106">
        <v>64</v>
      </c>
      <c r="V91" s="106">
        <v>65.3</v>
      </c>
      <c r="W91" s="106">
        <v>64.099999999999994</v>
      </c>
      <c r="X91" s="106">
        <v>63.9</v>
      </c>
      <c r="Y91" s="106">
        <v>62.9</v>
      </c>
      <c r="Z91" s="106">
        <v>63.4</v>
      </c>
      <c r="AA91" s="106">
        <v>63.8</v>
      </c>
      <c r="AB91" s="106">
        <v>64.2</v>
      </c>
      <c r="AC91" s="106">
        <v>64.3</v>
      </c>
      <c r="AD91" s="106">
        <v>64.400000000000006</v>
      </c>
      <c r="AE91" s="106">
        <v>65.099999999999994</v>
      </c>
      <c r="AF91" s="106">
        <v>65.599999999999994</v>
      </c>
      <c r="AG91" s="107"/>
      <c r="AH91" s="53">
        <f t="shared" si="15"/>
        <v>66.900000000000006</v>
      </c>
      <c r="AI91" s="54">
        <f t="shared" si="16"/>
        <v>62.9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219.03999999999996</v>
      </c>
      <c r="C93" s="113">
        <f>SUM(C15,C18,C21:C22,C42,C44:C45,C47,C49,C94:C97,C102,C108,C114,C123,C125,C137,C144,C147:C148,C155,C157,C159,C163:C165,C167:C169,C174,C180:C181,C183:C185,C193,C198)</f>
        <v>207.03999999999996</v>
      </c>
      <c r="D93" s="113">
        <f t="shared" ref="D93:AF93" si="23">SUM(D15,D18,D21:D22,D42,D44:D45,D47,D49,D94:D97,D102,D108,D114,D123,D125,D137,D144,D147:D148,D155,D157,D159,D163:D165,D167:D169,D174,D180:D181,D183:D185,D193,D198)</f>
        <v>190.63999999999996</v>
      </c>
      <c r="E93" s="113">
        <f t="shared" si="23"/>
        <v>183.64</v>
      </c>
      <c r="F93" s="113">
        <f t="shared" si="23"/>
        <v>184.04000000000002</v>
      </c>
      <c r="G93" s="112">
        <f t="shared" si="23"/>
        <v>205.94</v>
      </c>
      <c r="H93" s="112">
        <f t="shared" si="23"/>
        <v>215.44</v>
      </c>
      <c r="I93" s="112">
        <f t="shared" si="23"/>
        <v>244.33999999999997</v>
      </c>
      <c r="J93" s="112">
        <f t="shared" si="23"/>
        <v>271.64000000000004</v>
      </c>
      <c r="K93" s="112">
        <f t="shared" si="23"/>
        <v>316.44000000000005</v>
      </c>
      <c r="L93" s="112">
        <f t="shared" si="23"/>
        <v>367.24</v>
      </c>
      <c r="M93" s="112">
        <f t="shared" si="23"/>
        <v>397.74</v>
      </c>
      <c r="N93" s="112">
        <f t="shared" si="23"/>
        <v>444.6400000000001</v>
      </c>
      <c r="O93" s="112">
        <f t="shared" si="23"/>
        <v>431.74</v>
      </c>
      <c r="P93" s="112">
        <f t="shared" si="23"/>
        <v>413.24000000000007</v>
      </c>
      <c r="Q93" s="112">
        <f t="shared" si="23"/>
        <v>389.04000000000008</v>
      </c>
      <c r="R93" s="112">
        <f t="shared" si="23"/>
        <v>382.34000000000003</v>
      </c>
      <c r="S93" s="112">
        <f t="shared" si="23"/>
        <v>379.64000000000004</v>
      </c>
      <c r="T93" s="112">
        <f t="shared" si="23"/>
        <v>355.94000000000005</v>
      </c>
      <c r="U93" s="112">
        <f t="shared" si="23"/>
        <v>342.24</v>
      </c>
      <c r="V93" s="112">
        <v>342.24</v>
      </c>
      <c r="W93" s="112">
        <f t="shared" si="23"/>
        <v>397.24</v>
      </c>
      <c r="X93" s="112">
        <f t="shared" si="23"/>
        <v>472.04</v>
      </c>
      <c r="Y93" s="112">
        <v>503.09708333333333</v>
      </c>
      <c r="Z93" s="112">
        <f t="shared" si="23"/>
        <v>519.93999999999994</v>
      </c>
      <c r="AA93" s="112">
        <f t="shared" si="23"/>
        <v>512.84</v>
      </c>
      <c r="AB93" s="112">
        <f t="shared" si="23"/>
        <v>499.14</v>
      </c>
      <c r="AC93" s="112">
        <f t="shared" si="23"/>
        <v>483.44</v>
      </c>
      <c r="AD93" s="112">
        <f t="shared" si="23"/>
        <v>455.94000000000005</v>
      </c>
      <c r="AE93" s="112">
        <f t="shared" si="23"/>
        <v>351.84000000000003</v>
      </c>
      <c r="AF93" s="112">
        <f t="shared" si="23"/>
        <v>278.74</v>
      </c>
      <c r="AG93" s="114"/>
      <c r="AH93" s="53">
        <f>MAX(C93:AF93)</f>
        <v>519.93999999999994</v>
      </c>
      <c r="AI93" s="54">
        <f>MIN(C93:AF93)</f>
        <v>183.64</v>
      </c>
    </row>
    <row r="94" spans="1:88" x14ac:dyDescent="0.25">
      <c r="A94" s="115" t="s">
        <v>98</v>
      </c>
      <c r="B94" s="116">
        <v>-5</v>
      </c>
      <c r="C94" s="57">
        <v>-6</v>
      </c>
      <c r="D94" s="57">
        <v>-2.4</v>
      </c>
      <c r="E94" s="57">
        <v>17.3</v>
      </c>
      <c r="F94" s="57">
        <v>19.3</v>
      </c>
      <c r="G94" s="117">
        <v>44.8</v>
      </c>
      <c r="H94" s="117">
        <v>41.5</v>
      </c>
      <c r="I94" s="117">
        <v>46</v>
      </c>
      <c r="J94" s="117">
        <v>36</v>
      </c>
      <c r="K94" s="117">
        <v>40.9</v>
      </c>
      <c r="L94" s="117">
        <v>51.3</v>
      </c>
      <c r="M94" s="118">
        <v>43</v>
      </c>
      <c r="N94" s="118">
        <v>48.3</v>
      </c>
      <c r="O94" s="117">
        <v>71.8</v>
      </c>
      <c r="P94" s="117">
        <v>71.599999999999994</v>
      </c>
      <c r="Q94" s="117">
        <v>70</v>
      </c>
      <c r="R94" s="117">
        <v>67.3</v>
      </c>
      <c r="S94" s="117">
        <v>62</v>
      </c>
      <c r="T94" s="117">
        <v>52</v>
      </c>
      <c r="U94" s="117">
        <v>43.8</v>
      </c>
      <c r="V94" s="118">
        <v>51.8</v>
      </c>
      <c r="W94" s="118">
        <v>80.3</v>
      </c>
      <c r="X94" s="118">
        <v>69.3</v>
      </c>
      <c r="Y94" s="117">
        <v>59.5</v>
      </c>
      <c r="Z94" s="117">
        <v>65.8</v>
      </c>
      <c r="AA94" s="117">
        <v>75.7</v>
      </c>
      <c r="AB94" s="118">
        <v>72.7</v>
      </c>
      <c r="AC94" s="118">
        <v>76.599999999999994</v>
      </c>
      <c r="AD94" s="118">
        <v>69.5</v>
      </c>
      <c r="AE94" s="118">
        <v>56.2</v>
      </c>
      <c r="AF94" s="118">
        <v>42.5</v>
      </c>
      <c r="AG94" s="119">
        <v>75</v>
      </c>
      <c r="AH94" s="53">
        <f t="shared" ref="AH94:AH99" si="24">IF(ABS(MAX(C94:AF94))&gt;ABS(MIN(C94:AF94)),MAX(C94:AF94),MIN(C94:AF94))</f>
        <v>80.3</v>
      </c>
      <c r="AI94" s="120">
        <f t="shared" ref="AI94:AI99" si="25">INDEX($C$9:$AF$9,1,MATCH(AH94,C94:AF94,0))</f>
        <v>0.72916666666666663</v>
      </c>
    </row>
    <row r="95" spans="1:88" x14ac:dyDescent="0.25">
      <c r="A95" s="121" t="s">
        <v>99</v>
      </c>
      <c r="B95" s="122">
        <v>-48</v>
      </c>
      <c r="C95" s="59">
        <v>-44</v>
      </c>
      <c r="D95" s="59">
        <v>-42</v>
      </c>
      <c r="E95" s="59">
        <v>-50.3</v>
      </c>
      <c r="F95" s="59">
        <v>-47.5</v>
      </c>
      <c r="G95" s="59">
        <v>-42</v>
      </c>
      <c r="H95" s="59">
        <v>-36.6</v>
      </c>
      <c r="I95" s="59">
        <v>-25</v>
      </c>
      <c r="J95" s="59">
        <v>-13.6</v>
      </c>
      <c r="K95" s="59">
        <v>0</v>
      </c>
      <c r="L95" s="59">
        <v>25</v>
      </c>
      <c r="M95" s="59">
        <v>35.6</v>
      </c>
      <c r="N95" s="59">
        <v>45.4</v>
      </c>
      <c r="O95" s="59">
        <v>34.200000000000003</v>
      </c>
      <c r="P95" s="59">
        <v>29.3</v>
      </c>
      <c r="Q95" s="59">
        <v>18.3</v>
      </c>
      <c r="R95" s="59">
        <v>17.3</v>
      </c>
      <c r="S95" s="59">
        <f>9+11.2</f>
        <v>20.2</v>
      </c>
      <c r="T95" s="59">
        <f t="shared" ref="T95" si="26">9+11.2</f>
        <v>20.2</v>
      </c>
      <c r="U95" s="59">
        <f>10.2+11.6</f>
        <v>21.799999999999997</v>
      </c>
      <c r="V95" s="59">
        <f>6.2+4.6</f>
        <v>10.8</v>
      </c>
      <c r="W95" s="59">
        <f>19+16.6</f>
        <v>35.6</v>
      </c>
      <c r="X95" s="59">
        <f>35.5+32.7</f>
        <v>68.2</v>
      </c>
      <c r="Y95" s="59">
        <v>93</v>
      </c>
      <c r="Z95" s="59">
        <f>47.1+43.6</f>
        <v>90.7</v>
      </c>
      <c r="AA95" s="59">
        <f>42.9+38.9</f>
        <v>81.8</v>
      </c>
      <c r="AB95" s="72">
        <v>78.7</v>
      </c>
      <c r="AC95" s="72">
        <v>78</v>
      </c>
      <c r="AD95" s="72">
        <v>66</v>
      </c>
      <c r="AE95" s="72">
        <v>11.5</v>
      </c>
      <c r="AF95" s="72">
        <v>-29</v>
      </c>
      <c r="AG95" s="119">
        <v>240</v>
      </c>
      <c r="AH95" s="53">
        <f t="shared" si="24"/>
        <v>93</v>
      </c>
      <c r="AI95" s="120">
        <f t="shared" si="25"/>
        <v>0.77083333333333337</v>
      </c>
    </row>
    <row r="96" spans="1:88" x14ac:dyDescent="0.25">
      <c r="A96" s="121" t="s">
        <v>100</v>
      </c>
      <c r="B96" s="122">
        <v>17</v>
      </c>
      <c r="C96" s="59">
        <v>17</v>
      </c>
      <c r="D96" s="59">
        <v>-5</v>
      </c>
      <c r="E96" s="59">
        <v>-3.9</v>
      </c>
      <c r="F96" s="59">
        <v>-6.6</v>
      </c>
      <c r="G96" s="59">
        <v>0.2</v>
      </c>
      <c r="H96" s="59">
        <v>3.1</v>
      </c>
      <c r="I96" s="59">
        <v>3.7</v>
      </c>
      <c r="J96" s="59">
        <v>3.4</v>
      </c>
      <c r="K96" s="59">
        <v>19.899999999999999</v>
      </c>
      <c r="L96" s="59">
        <v>22.9</v>
      </c>
      <c r="M96" s="59">
        <v>33.299999999999997</v>
      </c>
      <c r="N96" s="59">
        <v>51.2</v>
      </c>
      <c r="O96" s="59">
        <v>42.2</v>
      </c>
      <c r="P96" s="59">
        <v>31.7</v>
      </c>
      <c r="Q96" s="59">
        <v>13.4</v>
      </c>
      <c r="R96" s="59">
        <v>7.6</v>
      </c>
      <c r="S96" s="59">
        <v>11.5</v>
      </c>
      <c r="T96" s="59">
        <v>11.5</v>
      </c>
      <c r="U96" s="59">
        <v>8</v>
      </c>
      <c r="V96" s="59">
        <v>15.8</v>
      </c>
      <c r="W96" s="59">
        <v>34.5</v>
      </c>
      <c r="X96" s="59">
        <v>57.6</v>
      </c>
      <c r="Y96" s="59">
        <v>62</v>
      </c>
      <c r="Z96" s="59">
        <v>67.8</v>
      </c>
      <c r="AA96" s="59">
        <v>62.3</v>
      </c>
      <c r="AB96" s="72">
        <v>62</v>
      </c>
      <c r="AC96" s="72">
        <v>48.5</v>
      </c>
      <c r="AD96" s="72">
        <v>48</v>
      </c>
      <c r="AE96" s="72">
        <v>23</v>
      </c>
      <c r="AF96" s="72">
        <v>13.7</v>
      </c>
      <c r="AG96" s="119">
        <v>60</v>
      </c>
      <c r="AH96" s="53">
        <f t="shared" si="24"/>
        <v>67.8</v>
      </c>
      <c r="AI96" s="120">
        <f t="shared" si="25"/>
        <v>0.79166666666666663</v>
      </c>
    </row>
    <row r="97" spans="1:37" x14ac:dyDescent="0.25">
      <c r="A97" s="123" t="s">
        <v>101</v>
      </c>
      <c r="B97" s="124">
        <v>85</v>
      </c>
      <c r="C97" s="62">
        <v>70</v>
      </c>
      <c r="D97" s="62">
        <v>70</v>
      </c>
      <c r="E97" s="62">
        <v>51.1</v>
      </c>
      <c r="F97" s="62">
        <v>49.7</v>
      </c>
      <c r="G97" s="62">
        <v>33.799999999999997</v>
      </c>
      <c r="H97" s="62">
        <v>38.299999999999997</v>
      </c>
      <c r="I97" s="62">
        <v>50.5</v>
      </c>
      <c r="J97" s="62">
        <v>74.900000000000006</v>
      </c>
      <c r="K97" s="62">
        <v>84.5</v>
      </c>
      <c r="L97" s="62">
        <v>92</v>
      </c>
      <c r="M97" s="62">
        <v>110</v>
      </c>
      <c r="N97" s="62">
        <v>127.9</v>
      </c>
      <c r="O97" s="62">
        <v>109.7</v>
      </c>
      <c r="P97" s="62">
        <v>106.8</v>
      </c>
      <c r="Q97" s="62">
        <v>115.5</v>
      </c>
      <c r="R97" s="62">
        <v>117.7</v>
      </c>
      <c r="S97" s="62">
        <v>111.7</v>
      </c>
      <c r="T97" s="62">
        <v>98</v>
      </c>
      <c r="U97" s="62">
        <v>94.4</v>
      </c>
      <c r="V97" s="62">
        <v>105</v>
      </c>
      <c r="W97" s="62">
        <v>72.599999999999994</v>
      </c>
      <c r="X97" s="62">
        <v>102.7</v>
      </c>
      <c r="Y97" s="62">
        <v>97.5</v>
      </c>
      <c r="Z97" s="62">
        <v>110.5</v>
      </c>
      <c r="AA97" s="62">
        <v>107.9</v>
      </c>
      <c r="AB97" s="125">
        <v>100.6</v>
      </c>
      <c r="AC97" s="125">
        <v>95.2</v>
      </c>
      <c r="AD97" s="125">
        <v>87.3</v>
      </c>
      <c r="AE97" s="125">
        <v>76</v>
      </c>
      <c r="AF97" s="125">
        <v>65.900000000000006</v>
      </c>
      <c r="AG97" s="126">
        <v>120</v>
      </c>
      <c r="AH97" s="53">
        <f t="shared" si="24"/>
        <v>127.9</v>
      </c>
      <c r="AI97" s="120">
        <f t="shared" si="25"/>
        <v>0.375</v>
      </c>
    </row>
    <row r="98" spans="1:37" x14ac:dyDescent="0.25">
      <c r="A98" s="123" t="s">
        <v>102</v>
      </c>
      <c r="B98" s="124">
        <v>92</v>
      </c>
      <c r="C98" s="62">
        <v>75</v>
      </c>
      <c r="D98" s="62">
        <v>72</v>
      </c>
      <c r="E98" s="62">
        <v>52.9</v>
      </c>
      <c r="F98" s="62">
        <v>55.3</v>
      </c>
      <c r="G98" s="62">
        <v>37.5</v>
      </c>
      <c r="H98" s="62">
        <v>39.9</v>
      </c>
      <c r="I98" s="62">
        <v>51</v>
      </c>
      <c r="J98" s="62">
        <v>71.2</v>
      </c>
      <c r="K98" s="62">
        <v>72.5</v>
      </c>
      <c r="L98" s="62">
        <v>96.6</v>
      </c>
      <c r="M98" s="62">
        <v>104</v>
      </c>
      <c r="N98" s="62">
        <v>102.1</v>
      </c>
      <c r="O98" s="62">
        <v>85.4</v>
      </c>
      <c r="P98" s="62">
        <v>84.5</v>
      </c>
      <c r="Q98" s="62">
        <v>91.5</v>
      </c>
      <c r="R98" s="62">
        <v>88.2</v>
      </c>
      <c r="S98" s="62">
        <v>91.7</v>
      </c>
      <c r="T98" s="62">
        <v>97</v>
      </c>
      <c r="U98" s="62">
        <v>102.5</v>
      </c>
      <c r="V98" s="62">
        <v>78.400000000000006</v>
      </c>
      <c r="W98" s="62">
        <v>69.900000000000006</v>
      </c>
      <c r="X98" s="62">
        <v>68.7</v>
      </c>
      <c r="Y98" s="62">
        <v>91.1</v>
      </c>
      <c r="Z98" s="62">
        <v>79.2</v>
      </c>
      <c r="AA98" s="62">
        <v>69.900000000000006</v>
      </c>
      <c r="AB98" s="125">
        <v>69</v>
      </c>
      <c r="AC98" s="125">
        <v>81.400000000000006</v>
      </c>
      <c r="AD98" s="125">
        <v>68.5</v>
      </c>
      <c r="AE98" s="125">
        <v>54.6</v>
      </c>
      <c r="AF98" s="125">
        <v>62.6</v>
      </c>
      <c r="AG98" s="126"/>
      <c r="AH98" s="53">
        <f t="shared" si="24"/>
        <v>104</v>
      </c>
      <c r="AI98" s="120">
        <f t="shared" si="25"/>
        <v>0.33333333333333331</v>
      </c>
    </row>
    <row r="99" spans="1:37" ht="15.75" thickBot="1" x14ac:dyDescent="0.3">
      <c r="A99" s="123" t="s">
        <v>103</v>
      </c>
      <c r="B99" s="124">
        <v>77</v>
      </c>
      <c r="C99" s="62">
        <v>75</v>
      </c>
      <c r="D99" s="62">
        <v>71</v>
      </c>
      <c r="E99" s="62">
        <v>59.3</v>
      </c>
      <c r="F99" s="62">
        <v>62</v>
      </c>
      <c r="G99" s="62">
        <v>12</v>
      </c>
      <c r="H99" s="62">
        <v>9</v>
      </c>
      <c r="I99" s="62">
        <v>-7.3</v>
      </c>
      <c r="J99" s="62">
        <v>6.2</v>
      </c>
      <c r="K99" s="62">
        <v>13.1</v>
      </c>
      <c r="L99" s="62">
        <v>36.9</v>
      </c>
      <c r="M99" s="62">
        <v>37.4</v>
      </c>
      <c r="N99" s="62">
        <v>41.7</v>
      </c>
      <c r="O99" s="62">
        <v>22</v>
      </c>
      <c r="P99" s="62">
        <v>11.4</v>
      </c>
      <c r="Q99" s="62">
        <v>14</v>
      </c>
      <c r="R99" s="62">
        <v>16.3</v>
      </c>
      <c r="S99" s="62">
        <v>24.7</v>
      </c>
      <c r="T99" s="62">
        <v>30</v>
      </c>
      <c r="U99" s="62">
        <v>36.6</v>
      </c>
      <c r="V99" s="62">
        <v>18.100000000000001</v>
      </c>
      <c r="W99" s="62">
        <v>2.8</v>
      </c>
      <c r="X99" s="62">
        <v>13.5</v>
      </c>
      <c r="Y99" s="62">
        <v>27.8</v>
      </c>
      <c r="Z99" s="62">
        <v>24.2</v>
      </c>
      <c r="AA99" s="62">
        <v>14.2</v>
      </c>
      <c r="AB99" s="125">
        <v>15</v>
      </c>
      <c r="AC99" s="125">
        <v>12.6</v>
      </c>
      <c r="AD99" s="125">
        <v>12.4</v>
      </c>
      <c r="AE99" s="125">
        <v>17</v>
      </c>
      <c r="AF99" s="125">
        <v>20.2</v>
      </c>
      <c r="AG99" s="127"/>
      <c r="AH99" s="53">
        <f t="shared" si="24"/>
        <v>75</v>
      </c>
      <c r="AI99" s="120">
        <f t="shared" si="25"/>
        <v>4.1666666666666664E-2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7">AF101</f>
        <v>9.9</v>
      </c>
      <c r="C101" s="52">
        <v>9.9</v>
      </c>
      <c r="D101" s="133">
        <f t="shared" ref="D101:S106" si="28">C101</f>
        <v>9.9</v>
      </c>
      <c r="E101" s="133">
        <f t="shared" si="28"/>
        <v>9.9</v>
      </c>
      <c r="F101" s="133">
        <f t="shared" si="28"/>
        <v>9.9</v>
      </c>
      <c r="G101" s="133">
        <f t="shared" si="28"/>
        <v>9.9</v>
      </c>
      <c r="H101" s="133">
        <f t="shared" si="28"/>
        <v>9.9</v>
      </c>
      <c r="I101" s="133">
        <f t="shared" si="28"/>
        <v>9.9</v>
      </c>
      <c r="J101" s="133">
        <f t="shared" si="28"/>
        <v>9.9</v>
      </c>
      <c r="K101" s="133">
        <f t="shared" si="28"/>
        <v>9.9</v>
      </c>
      <c r="L101" s="133">
        <f t="shared" si="28"/>
        <v>9.9</v>
      </c>
      <c r="M101" s="133">
        <f t="shared" si="28"/>
        <v>9.9</v>
      </c>
      <c r="N101" s="133">
        <f t="shared" si="28"/>
        <v>9.9</v>
      </c>
      <c r="O101" s="133">
        <f t="shared" si="28"/>
        <v>9.9</v>
      </c>
      <c r="P101" s="133">
        <f t="shared" si="28"/>
        <v>9.9</v>
      </c>
      <c r="Q101" s="133">
        <f t="shared" si="28"/>
        <v>9.9</v>
      </c>
      <c r="R101" s="133">
        <f t="shared" si="28"/>
        <v>9.9</v>
      </c>
      <c r="S101" s="133">
        <f t="shared" si="28"/>
        <v>9.9</v>
      </c>
      <c r="T101" s="133">
        <f t="shared" ref="T101:AF106" si="29">S101</f>
        <v>9.9</v>
      </c>
      <c r="U101" s="133">
        <f t="shared" si="29"/>
        <v>9.9</v>
      </c>
      <c r="V101" s="133">
        <f t="shared" si="29"/>
        <v>9.9</v>
      </c>
      <c r="W101" s="133">
        <f t="shared" si="29"/>
        <v>9.9</v>
      </c>
      <c r="X101" s="133">
        <f t="shared" si="29"/>
        <v>9.9</v>
      </c>
      <c r="Y101" s="133">
        <f t="shared" si="29"/>
        <v>9.9</v>
      </c>
      <c r="Z101" s="133">
        <f t="shared" si="29"/>
        <v>9.9</v>
      </c>
      <c r="AA101" s="133">
        <f t="shared" si="29"/>
        <v>9.9</v>
      </c>
      <c r="AB101" s="133">
        <f t="shared" si="29"/>
        <v>9.9</v>
      </c>
      <c r="AC101" s="133">
        <f t="shared" si="29"/>
        <v>9.9</v>
      </c>
      <c r="AD101" s="133">
        <f t="shared" si="29"/>
        <v>9.9</v>
      </c>
      <c r="AE101" s="133">
        <f t="shared" si="29"/>
        <v>9.9</v>
      </c>
      <c r="AF101" s="133">
        <f t="shared" si="29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7"/>
        <v>9.6</v>
      </c>
      <c r="C102" s="136">
        <v>9.6</v>
      </c>
      <c r="D102" s="135">
        <f t="shared" si="28"/>
        <v>9.6</v>
      </c>
      <c r="E102" s="135">
        <f t="shared" si="28"/>
        <v>9.6</v>
      </c>
      <c r="F102" s="135">
        <f t="shared" si="28"/>
        <v>9.6</v>
      </c>
      <c r="G102" s="135">
        <f t="shared" si="28"/>
        <v>9.6</v>
      </c>
      <c r="H102" s="135">
        <f t="shared" si="28"/>
        <v>9.6</v>
      </c>
      <c r="I102" s="135">
        <f t="shared" si="28"/>
        <v>9.6</v>
      </c>
      <c r="J102" s="135">
        <f t="shared" si="28"/>
        <v>9.6</v>
      </c>
      <c r="K102" s="135">
        <f t="shared" si="28"/>
        <v>9.6</v>
      </c>
      <c r="L102" s="135">
        <f t="shared" si="28"/>
        <v>9.6</v>
      </c>
      <c r="M102" s="135">
        <f t="shared" si="28"/>
        <v>9.6</v>
      </c>
      <c r="N102" s="135">
        <f t="shared" si="28"/>
        <v>9.6</v>
      </c>
      <c r="O102" s="135">
        <f t="shared" si="28"/>
        <v>9.6</v>
      </c>
      <c r="P102" s="135">
        <f t="shared" si="28"/>
        <v>9.6</v>
      </c>
      <c r="Q102" s="135">
        <f t="shared" si="28"/>
        <v>9.6</v>
      </c>
      <c r="R102" s="135">
        <f t="shared" si="28"/>
        <v>9.6</v>
      </c>
      <c r="S102" s="135">
        <f t="shared" si="28"/>
        <v>9.6</v>
      </c>
      <c r="T102" s="135">
        <f t="shared" si="29"/>
        <v>9.6</v>
      </c>
      <c r="U102" s="135">
        <f t="shared" si="29"/>
        <v>9.6</v>
      </c>
      <c r="V102" s="135">
        <f t="shared" si="29"/>
        <v>9.6</v>
      </c>
      <c r="W102" s="135">
        <f t="shared" si="29"/>
        <v>9.6</v>
      </c>
      <c r="X102" s="135">
        <f t="shared" si="29"/>
        <v>9.6</v>
      </c>
      <c r="Y102" s="135">
        <f t="shared" si="29"/>
        <v>9.6</v>
      </c>
      <c r="Z102" s="135">
        <f t="shared" si="29"/>
        <v>9.6</v>
      </c>
      <c r="AA102" s="135">
        <f t="shared" si="29"/>
        <v>9.6</v>
      </c>
      <c r="AB102" s="135">
        <f t="shared" si="29"/>
        <v>9.6</v>
      </c>
      <c r="AC102" s="135">
        <f t="shared" si="29"/>
        <v>9.6</v>
      </c>
      <c r="AD102" s="135">
        <f t="shared" si="29"/>
        <v>9.6</v>
      </c>
      <c r="AE102" s="135">
        <f t="shared" si="29"/>
        <v>9.6</v>
      </c>
      <c r="AF102" s="135">
        <f t="shared" si="29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7"/>
        <v>9.98</v>
      </c>
      <c r="C103" s="136">
        <v>9.98</v>
      </c>
      <c r="D103" s="135">
        <f t="shared" si="28"/>
        <v>9.98</v>
      </c>
      <c r="E103" s="135">
        <f t="shared" si="28"/>
        <v>9.98</v>
      </c>
      <c r="F103" s="135">
        <f t="shared" si="28"/>
        <v>9.98</v>
      </c>
      <c r="G103" s="135">
        <f t="shared" si="28"/>
        <v>9.98</v>
      </c>
      <c r="H103" s="135">
        <f t="shared" si="28"/>
        <v>9.98</v>
      </c>
      <c r="I103" s="135">
        <f t="shared" si="28"/>
        <v>9.98</v>
      </c>
      <c r="J103" s="135">
        <f t="shared" si="28"/>
        <v>9.98</v>
      </c>
      <c r="K103" s="135">
        <f t="shared" si="28"/>
        <v>9.98</v>
      </c>
      <c r="L103" s="135">
        <f t="shared" si="28"/>
        <v>9.98</v>
      </c>
      <c r="M103" s="135">
        <f t="shared" si="28"/>
        <v>9.98</v>
      </c>
      <c r="N103" s="135">
        <f t="shared" si="28"/>
        <v>9.98</v>
      </c>
      <c r="O103" s="135">
        <f t="shared" si="28"/>
        <v>9.98</v>
      </c>
      <c r="P103" s="135">
        <f t="shared" si="28"/>
        <v>9.98</v>
      </c>
      <c r="Q103" s="135">
        <f t="shared" si="28"/>
        <v>9.98</v>
      </c>
      <c r="R103" s="135">
        <f t="shared" si="28"/>
        <v>9.98</v>
      </c>
      <c r="S103" s="135">
        <f t="shared" si="28"/>
        <v>9.98</v>
      </c>
      <c r="T103" s="135">
        <f t="shared" si="29"/>
        <v>9.98</v>
      </c>
      <c r="U103" s="135">
        <f t="shared" si="29"/>
        <v>9.98</v>
      </c>
      <c r="V103" s="135">
        <f t="shared" si="29"/>
        <v>9.98</v>
      </c>
      <c r="W103" s="135">
        <f t="shared" si="29"/>
        <v>9.98</v>
      </c>
      <c r="X103" s="135">
        <f t="shared" si="29"/>
        <v>9.98</v>
      </c>
      <c r="Y103" s="135">
        <f t="shared" si="29"/>
        <v>9.98</v>
      </c>
      <c r="Z103" s="135">
        <f t="shared" si="29"/>
        <v>9.98</v>
      </c>
      <c r="AA103" s="135">
        <f t="shared" si="29"/>
        <v>9.98</v>
      </c>
      <c r="AB103" s="135">
        <f t="shared" si="29"/>
        <v>9.98</v>
      </c>
      <c r="AC103" s="135">
        <f t="shared" si="29"/>
        <v>9.98</v>
      </c>
      <c r="AD103" s="135">
        <f t="shared" si="29"/>
        <v>9.98</v>
      </c>
      <c r="AE103" s="135">
        <f t="shared" si="29"/>
        <v>9.98</v>
      </c>
      <c r="AF103" s="135">
        <f t="shared" si="29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7"/>
        <v>9.1</v>
      </c>
      <c r="C104" s="136">
        <v>9.1</v>
      </c>
      <c r="D104" s="135">
        <f t="shared" si="28"/>
        <v>9.1</v>
      </c>
      <c r="E104" s="135">
        <f t="shared" si="28"/>
        <v>9.1</v>
      </c>
      <c r="F104" s="135">
        <f t="shared" si="28"/>
        <v>9.1</v>
      </c>
      <c r="G104" s="135">
        <f t="shared" si="28"/>
        <v>9.1</v>
      </c>
      <c r="H104" s="135">
        <f t="shared" si="28"/>
        <v>9.1</v>
      </c>
      <c r="I104" s="135">
        <f t="shared" si="28"/>
        <v>9.1</v>
      </c>
      <c r="J104" s="135">
        <f t="shared" si="28"/>
        <v>9.1</v>
      </c>
      <c r="K104" s="135">
        <f t="shared" si="28"/>
        <v>9.1</v>
      </c>
      <c r="L104" s="135">
        <f t="shared" si="28"/>
        <v>9.1</v>
      </c>
      <c r="M104" s="135">
        <f t="shared" si="28"/>
        <v>9.1</v>
      </c>
      <c r="N104" s="135">
        <f t="shared" si="28"/>
        <v>9.1</v>
      </c>
      <c r="O104" s="135">
        <f t="shared" si="28"/>
        <v>9.1</v>
      </c>
      <c r="P104" s="135">
        <f t="shared" si="28"/>
        <v>9.1</v>
      </c>
      <c r="Q104" s="135">
        <f t="shared" si="28"/>
        <v>9.1</v>
      </c>
      <c r="R104" s="135">
        <f t="shared" si="28"/>
        <v>9.1</v>
      </c>
      <c r="S104" s="135">
        <f t="shared" si="28"/>
        <v>9.1</v>
      </c>
      <c r="T104" s="135">
        <f t="shared" si="29"/>
        <v>9.1</v>
      </c>
      <c r="U104" s="135">
        <f t="shared" si="29"/>
        <v>9.1</v>
      </c>
      <c r="V104" s="135">
        <f t="shared" si="29"/>
        <v>9.1</v>
      </c>
      <c r="W104" s="135">
        <f t="shared" si="29"/>
        <v>9.1</v>
      </c>
      <c r="X104" s="135">
        <f t="shared" si="29"/>
        <v>9.1</v>
      </c>
      <c r="Y104" s="135">
        <f t="shared" si="29"/>
        <v>9.1</v>
      </c>
      <c r="Z104" s="135">
        <f t="shared" si="29"/>
        <v>9.1</v>
      </c>
      <c r="AA104" s="135">
        <f t="shared" si="29"/>
        <v>9.1</v>
      </c>
      <c r="AB104" s="135">
        <f t="shared" si="29"/>
        <v>9.1</v>
      </c>
      <c r="AC104" s="135">
        <f t="shared" si="29"/>
        <v>9.1</v>
      </c>
      <c r="AD104" s="135">
        <f t="shared" si="29"/>
        <v>9.1</v>
      </c>
      <c r="AE104" s="135">
        <f t="shared" si="29"/>
        <v>9.1</v>
      </c>
      <c r="AF104" s="135">
        <f t="shared" si="29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7"/>
        <v>9.18</v>
      </c>
      <c r="C105" s="136">
        <v>9.18</v>
      </c>
      <c r="D105" s="135">
        <f t="shared" si="28"/>
        <v>9.18</v>
      </c>
      <c r="E105" s="135">
        <f t="shared" si="28"/>
        <v>9.18</v>
      </c>
      <c r="F105" s="135">
        <f t="shared" si="28"/>
        <v>9.18</v>
      </c>
      <c r="G105" s="135">
        <f t="shared" si="28"/>
        <v>9.18</v>
      </c>
      <c r="H105" s="135">
        <f t="shared" si="28"/>
        <v>9.18</v>
      </c>
      <c r="I105" s="135">
        <f t="shared" si="28"/>
        <v>9.18</v>
      </c>
      <c r="J105" s="135">
        <f t="shared" si="28"/>
        <v>9.18</v>
      </c>
      <c r="K105" s="135">
        <f t="shared" si="28"/>
        <v>9.18</v>
      </c>
      <c r="L105" s="135">
        <f t="shared" si="28"/>
        <v>9.18</v>
      </c>
      <c r="M105" s="135">
        <f t="shared" si="28"/>
        <v>9.18</v>
      </c>
      <c r="N105" s="135">
        <f t="shared" si="28"/>
        <v>9.18</v>
      </c>
      <c r="O105" s="135">
        <f t="shared" si="28"/>
        <v>9.18</v>
      </c>
      <c r="P105" s="135">
        <f t="shared" si="28"/>
        <v>9.18</v>
      </c>
      <c r="Q105" s="135">
        <f t="shared" si="28"/>
        <v>9.18</v>
      </c>
      <c r="R105" s="135">
        <f t="shared" si="28"/>
        <v>9.18</v>
      </c>
      <c r="S105" s="135">
        <f t="shared" si="28"/>
        <v>9.18</v>
      </c>
      <c r="T105" s="135">
        <f t="shared" si="29"/>
        <v>9.18</v>
      </c>
      <c r="U105" s="135">
        <f t="shared" si="29"/>
        <v>9.18</v>
      </c>
      <c r="V105" s="135">
        <f t="shared" si="29"/>
        <v>9.18</v>
      </c>
      <c r="W105" s="135">
        <f t="shared" si="29"/>
        <v>9.18</v>
      </c>
      <c r="X105" s="135">
        <f t="shared" si="29"/>
        <v>9.18</v>
      </c>
      <c r="Y105" s="135">
        <f t="shared" si="29"/>
        <v>9.18</v>
      </c>
      <c r="Z105" s="135">
        <f t="shared" si="29"/>
        <v>9.18</v>
      </c>
      <c r="AA105" s="135">
        <f t="shared" si="29"/>
        <v>9.18</v>
      </c>
      <c r="AB105" s="135">
        <f t="shared" si="29"/>
        <v>9.18</v>
      </c>
      <c r="AC105" s="135">
        <f t="shared" si="29"/>
        <v>9.18</v>
      </c>
      <c r="AD105" s="135">
        <f t="shared" si="29"/>
        <v>9.18</v>
      </c>
      <c r="AE105" s="135">
        <f t="shared" si="29"/>
        <v>9.18</v>
      </c>
      <c r="AF105" s="135">
        <f t="shared" si="29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7"/>
        <v>7</v>
      </c>
      <c r="C106" s="136">
        <v>7</v>
      </c>
      <c r="D106" s="135">
        <f t="shared" si="28"/>
        <v>7</v>
      </c>
      <c r="E106" s="135">
        <f t="shared" si="28"/>
        <v>7</v>
      </c>
      <c r="F106" s="135">
        <f t="shared" si="28"/>
        <v>7</v>
      </c>
      <c r="G106" s="135">
        <f t="shared" si="28"/>
        <v>7</v>
      </c>
      <c r="H106" s="135">
        <f t="shared" si="28"/>
        <v>7</v>
      </c>
      <c r="I106" s="135">
        <f t="shared" si="28"/>
        <v>7</v>
      </c>
      <c r="J106" s="135">
        <f t="shared" si="28"/>
        <v>7</v>
      </c>
      <c r="K106" s="135">
        <f t="shared" si="28"/>
        <v>7</v>
      </c>
      <c r="L106" s="135">
        <f t="shared" si="28"/>
        <v>7</v>
      </c>
      <c r="M106" s="135">
        <f t="shared" si="28"/>
        <v>7</v>
      </c>
      <c r="N106" s="135">
        <f t="shared" si="28"/>
        <v>7</v>
      </c>
      <c r="O106" s="135">
        <f t="shared" si="28"/>
        <v>7</v>
      </c>
      <c r="P106" s="135">
        <f t="shared" si="28"/>
        <v>7</v>
      </c>
      <c r="Q106" s="135">
        <f t="shared" si="28"/>
        <v>7</v>
      </c>
      <c r="R106" s="135">
        <f t="shared" si="28"/>
        <v>7</v>
      </c>
      <c r="S106" s="135">
        <f t="shared" si="28"/>
        <v>7</v>
      </c>
      <c r="T106" s="135">
        <f t="shared" si="29"/>
        <v>7</v>
      </c>
      <c r="U106" s="135">
        <f t="shared" si="29"/>
        <v>7</v>
      </c>
      <c r="V106" s="135">
        <f t="shared" si="29"/>
        <v>7</v>
      </c>
      <c r="W106" s="135">
        <f t="shared" si="29"/>
        <v>7</v>
      </c>
      <c r="X106" s="135">
        <f t="shared" si="29"/>
        <v>7</v>
      </c>
      <c r="Y106" s="135">
        <f t="shared" si="29"/>
        <v>7</v>
      </c>
      <c r="Z106" s="135">
        <f t="shared" si="29"/>
        <v>7</v>
      </c>
      <c r="AA106" s="135">
        <f t="shared" si="29"/>
        <v>7</v>
      </c>
      <c r="AB106" s="135">
        <f t="shared" si="29"/>
        <v>7</v>
      </c>
      <c r="AC106" s="135">
        <f t="shared" si="29"/>
        <v>7</v>
      </c>
      <c r="AD106" s="135">
        <f t="shared" si="29"/>
        <v>7</v>
      </c>
      <c r="AE106" s="135">
        <f t="shared" si="29"/>
        <v>7</v>
      </c>
      <c r="AF106" s="135">
        <f t="shared" si="29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30">C108</f>
        <v>2.25</v>
      </c>
      <c r="E108" s="135">
        <f t="shared" si="30"/>
        <v>2.25</v>
      </c>
      <c r="F108" s="135">
        <f t="shared" si="30"/>
        <v>2.25</v>
      </c>
      <c r="G108" s="135">
        <f t="shared" si="30"/>
        <v>2.25</v>
      </c>
      <c r="H108" s="135">
        <f t="shared" si="30"/>
        <v>2.25</v>
      </c>
      <c r="I108" s="135">
        <f t="shared" si="30"/>
        <v>2.25</v>
      </c>
      <c r="J108" s="135">
        <f t="shared" si="30"/>
        <v>2.25</v>
      </c>
      <c r="K108" s="135">
        <f t="shared" si="30"/>
        <v>2.25</v>
      </c>
      <c r="L108" s="135">
        <f t="shared" si="30"/>
        <v>2.25</v>
      </c>
      <c r="M108" s="135">
        <f t="shared" si="30"/>
        <v>2.25</v>
      </c>
      <c r="N108" s="135">
        <f t="shared" si="30"/>
        <v>2.25</v>
      </c>
      <c r="O108" s="135">
        <f t="shared" si="30"/>
        <v>2.25</v>
      </c>
      <c r="P108" s="135">
        <f t="shared" si="30"/>
        <v>2.25</v>
      </c>
      <c r="Q108" s="135">
        <f t="shared" si="30"/>
        <v>2.25</v>
      </c>
      <c r="R108" s="135">
        <f t="shared" si="30"/>
        <v>2.25</v>
      </c>
      <c r="S108" s="135">
        <f t="shared" si="30"/>
        <v>2.25</v>
      </c>
      <c r="T108" s="135">
        <f t="shared" ref="T108:AF109" si="31">S108</f>
        <v>2.25</v>
      </c>
      <c r="U108" s="135">
        <f t="shared" si="31"/>
        <v>2.25</v>
      </c>
      <c r="V108" s="135">
        <f t="shared" si="31"/>
        <v>2.25</v>
      </c>
      <c r="W108" s="135">
        <f t="shared" si="31"/>
        <v>2.25</v>
      </c>
      <c r="X108" s="135">
        <f t="shared" si="31"/>
        <v>2.25</v>
      </c>
      <c r="Y108" s="135">
        <f t="shared" si="31"/>
        <v>2.25</v>
      </c>
      <c r="Z108" s="135">
        <f t="shared" si="31"/>
        <v>2.25</v>
      </c>
      <c r="AA108" s="135">
        <f t="shared" si="31"/>
        <v>2.25</v>
      </c>
      <c r="AB108" s="135">
        <f t="shared" si="31"/>
        <v>2.25</v>
      </c>
      <c r="AC108" s="135">
        <f t="shared" si="31"/>
        <v>2.25</v>
      </c>
      <c r="AD108" s="135">
        <f t="shared" si="31"/>
        <v>2.25</v>
      </c>
      <c r="AE108" s="135">
        <f t="shared" si="31"/>
        <v>2.25</v>
      </c>
      <c r="AF108" s="135">
        <f t="shared" si="31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30"/>
        <v>1.64</v>
      </c>
      <c r="E109" s="135">
        <f t="shared" si="30"/>
        <v>1.64</v>
      </c>
      <c r="F109" s="135">
        <f t="shared" si="30"/>
        <v>1.64</v>
      </c>
      <c r="G109" s="135">
        <f t="shared" si="30"/>
        <v>1.64</v>
      </c>
      <c r="H109" s="135">
        <f t="shared" si="30"/>
        <v>1.64</v>
      </c>
      <c r="I109" s="135">
        <f t="shared" si="30"/>
        <v>1.64</v>
      </c>
      <c r="J109" s="135">
        <f t="shared" si="30"/>
        <v>1.64</v>
      </c>
      <c r="K109" s="135">
        <f t="shared" si="30"/>
        <v>1.64</v>
      </c>
      <c r="L109" s="135">
        <f t="shared" si="30"/>
        <v>1.64</v>
      </c>
      <c r="M109" s="135">
        <f t="shared" si="30"/>
        <v>1.64</v>
      </c>
      <c r="N109" s="135">
        <f t="shared" si="30"/>
        <v>1.64</v>
      </c>
      <c r="O109" s="135">
        <f t="shared" si="30"/>
        <v>1.64</v>
      </c>
      <c r="P109" s="135">
        <f t="shared" si="30"/>
        <v>1.64</v>
      </c>
      <c r="Q109" s="135">
        <f t="shared" si="30"/>
        <v>1.64</v>
      </c>
      <c r="R109" s="135">
        <f t="shared" si="30"/>
        <v>1.64</v>
      </c>
      <c r="S109" s="135">
        <f t="shared" si="30"/>
        <v>1.64</v>
      </c>
      <c r="T109" s="135">
        <f t="shared" si="31"/>
        <v>1.64</v>
      </c>
      <c r="U109" s="135">
        <f t="shared" si="31"/>
        <v>1.64</v>
      </c>
      <c r="V109" s="135">
        <f t="shared" si="31"/>
        <v>1.64</v>
      </c>
      <c r="W109" s="135">
        <f t="shared" si="31"/>
        <v>1.64</v>
      </c>
      <c r="X109" s="135">
        <f t="shared" si="31"/>
        <v>1.64</v>
      </c>
      <c r="Y109" s="135">
        <f t="shared" si="31"/>
        <v>1.64</v>
      </c>
      <c r="Z109" s="135">
        <f t="shared" si="31"/>
        <v>1.64</v>
      </c>
      <c r="AA109" s="135">
        <f t="shared" si="31"/>
        <v>1.64</v>
      </c>
      <c r="AB109" s="135">
        <f t="shared" si="31"/>
        <v>1.64</v>
      </c>
      <c r="AC109" s="135">
        <f t="shared" si="31"/>
        <v>1.64</v>
      </c>
      <c r="AD109" s="135">
        <f t="shared" si="31"/>
        <v>1.64</v>
      </c>
      <c r="AE109" s="135">
        <f t="shared" si="31"/>
        <v>1.64</v>
      </c>
      <c r="AF109" s="135">
        <f t="shared" si="31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2">AF111</f>
        <v>1.62</v>
      </c>
      <c r="C111" s="136">
        <v>1.62</v>
      </c>
      <c r="D111" s="135">
        <f t="shared" ref="D111:S118" si="33">C111</f>
        <v>1.62</v>
      </c>
      <c r="E111" s="135">
        <f t="shared" si="33"/>
        <v>1.62</v>
      </c>
      <c r="F111" s="135">
        <f t="shared" si="33"/>
        <v>1.62</v>
      </c>
      <c r="G111" s="135">
        <f t="shared" si="33"/>
        <v>1.62</v>
      </c>
      <c r="H111" s="135">
        <f t="shared" si="33"/>
        <v>1.62</v>
      </c>
      <c r="I111" s="135">
        <f t="shared" si="33"/>
        <v>1.62</v>
      </c>
      <c r="J111" s="135">
        <f t="shared" si="33"/>
        <v>1.62</v>
      </c>
      <c r="K111" s="135">
        <f t="shared" si="33"/>
        <v>1.62</v>
      </c>
      <c r="L111" s="135">
        <f t="shared" si="33"/>
        <v>1.62</v>
      </c>
      <c r="M111" s="135">
        <f t="shared" si="33"/>
        <v>1.62</v>
      </c>
      <c r="N111" s="135">
        <f t="shared" si="33"/>
        <v>1.62</v>
      </c>
      <c r="O111" s="135">
        <f t="shared" si="33"/>
        <v>1.62</v>
      </c>
      <c r="P111" s="135">
        <f t="shared" si="33"/>
        <v>1.62</v>
      </c>
      <c r="Q111" s="135">
        <f t="shared" si="33"/>
        <v>1.62</v>
      </c>
      <c r="R111" s="135">
        <f t="shared" si="33"/>
        <v>1.62</v>
      </c>
      <c r="S111" s="135">
        <f t="shared" si="33"/>
        <v>1.62</v>
      </c>
      <c r="T111" s="135">
        <f t="shared" ref="T111:AF126" si="34">S111</f>
        <v>1.62</v>
      </c>
      <c r="U111" s="135">
        <f t="shared" si="34"/>
        <v>1.62</v>
      </c>
      <c r="V111" s="135">
        <f t="shared" si="34"/>
        <v>1.62</v>
      </c>
      <c r="W111" s="135">
        <f t="shared" si="34"/>
        <v>1.62</v>
      </c>
      <c r="X111" s="135">
        <f t="shared" si="34"/>
        <v>1.62</v>
      </c>
      <c r="Y111" s="135">
        <f t="shared" si="34"/>
        <v>1.62</v>
      </c>
      <c r="Z111" s="135">
        <f t="shared" si="34"/>
        <v>1.62</v>
      </c>
      <c r="AA111" s="135">
        <f t="shared" si="34"/>
        <v>1.62</v>
      </c>
      <c r="AB111" s="135">
        <f t="shared" si="34"/>
        <v>1.62</v>
      </c>
      <c r="AC111" s="135">
        <f t="shared" si="34"/>
        <v>1.62</v>
      </c>
      <c r="AD111" s="135">
        <f t="shared" si="34"/>
        <v>1.62</v>
      </c>
      <c r="AE111" s="135">
        <f t="shared" si="34"/>
        <v>1.62</v>
      </c>
      <c r="AF111" s="135">
        <f t="shared" si="34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2"/>
        <v>8.36</v>
      </c>
      <c r="C112" s="136">
        <v>8.36</v>
      </c>
      <c r="D112" s="135">
        <f t="shared" si="33"/>
        <v>8.36</v>
      </c>
      <c r="E112" s="135">
        <f t="shared" si="33"/>
        <v>8.36</v>
      </c>
      <c r="F112" s="135">
        <f t="shared" si="33"/>
        <v>8.36</v>
      </c>
      <c r="G112" s="135">
        <f t="shared" si="33"/>
        <v>8.36</v>
      </c>
      <c r="H112" s="135">
        <f t="shared" si="33"/>
        <v>8.36</v>
      </c>
      <c r="I112" s="135">
        <f t="shared" si="33"/>
        <v>8.36</v>
      </c>
      <c r="J112" s="135">
        <f t="shared" si="33"/>
        <v>8.36</v>
      </c>
      <c r="K112" s="135">
        <f t="shared" si="33"/>
        <v>8.36</v>
      </c>
      <c r="L112" s="135">
        <f t="shared" si="33"/>
        <v>8.36</v>
      </c>
      <c r="M112" s="135">
        <f t="shared" si="33"/>
        <v>8.36</v>
      </c>
      <c r="N112" s="135">
        <f t="shared" si="33"/>
        <v>8.36</v>
      </c>
      <c r="O112" s="135">
        <f t="shared" si="33"/>
        <v>8.36</v>
      </c>
      <c r="P112" s="135">
        <f t="shared" si="33"/>
        <v>8.36</v>
      </c>
      <c r="Q112" s="135">
        <f t="shared" si="33"/>
        <v>8.36</v>
      </c>
      <c r="R112" s="135">
        <f t="shared" si="33"/>
        <v>8.36</v>
      </c>
      <c r="S112" s="135">
        <f t="shared" si="33"/>
        <v>8.36</v>
      </c>
      <c r="T112" s="135">
        <f t="shared" si="34"/>
        <v>8.36</v>
      </c>
      <c r="U112" s="135">
        <f t="shared" si="34"/>
        <v>8.36</v>
      </c>
      <c r="V112" s="135">
        <f t="shared" si="34"/>
        <v>8.36</v>
      </c>
      <c r="W112" s="135">
        <f t="shared" si="34"/>
        <v>8.36</v>
      </c>
      <c r="X112" s="135">
        <f t="shared" si="34"/>
        <v>8.36</v>
      </c>
      <c r="Y112" s="135">
        <f t="shared" si="34"/>
        <v>8.36</v>
      </c>
      <c r="Z112" s="135">
        <f t="shared" si="34"/>
        <v>8.36</v>
      </c>
      <c r="AA112" s="135">
        <f t="shared" si="34"/>
        <v>8.36</v>
      </c>
      <c r="AB112" s="135">
        <f t="shared" si="34"/>
        <v>8.36</v>
      </c>
      <c r="AC112" s="135">
        <f t="shared" si="34"/>
        <v>8.36</v>
      </c>
      <c r="AD112" s="135">
        <f t="shared" si="34"/>
        <v>8.36</v>
      </c>
      <c r="AE112" s="135">
        <f t="shared" si="34"/>
        <v>8.36</v>
      </c>
      <c r="AF112" s="135">
        <f t="shared" si="34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2"/>
        <v>5.4</v>
      </c>
      <c r="C113" s="136">
        <v>8</v>
      </c>
      <c r="D113" s="135">
        <f t="shared" si="33"/>
        <v>8</v>
      </c>
      <c r="E113" s="135">
        <f t="shared" si="33"/>
        <v>8</v>
      </c>
      <c r="F113" s="135">
        <f t="shared" si="33"/>
        <v>8</v>
      </c>
      <c r="G113" s="135">
        <f t="shared" si="33"/>
        <v>8</v>
      </c>
      <c r="H113" s="135">
        <f t="shared" si="33"/>
        <v>8</v>
      </c>
      <c r="I113" s="135">
        <f t="shared" si="33"/>
        <v>8</v>
      </c>
      <c r="J113" s="135">
        <v>5.4</v>
      </c>
      <c r="K113" s="135">
        <f t="shared" si="33"/>
        <v>5.4</v>
      </c>
      <c r="L113" s="135">
        <f t="shared" si="33"/>
        <v>5.4</v>
      </c>
      <c r="M113" s="135">
        <f t="shared" si="33"/>
        <v>5.4</v>
      </c>
      <c r="N113" s="135">
        <f t="shared" si="33"/>
        <v>5.4</v>
      </c>
      <c r="O113" s="135">
        <f t="shared" si="33"/>
        <v>5.4</v>
      </c>
      <c r="P113" s="135">
        <f t="shared" si="33"/>
        <v>5.4</v>
      </c>
      <c r="Q113" s="135">
        <f t="shared" si="33"/>
        <v>5.4</v>
      </c>
      <c r="R113" s="135">
        <f t="shared" si="33"/>
        <v>5.4</v>
      </c>
      <c r="S113" s="135">
        <f t="shared" si="33"/>
        <v>5.4</v>
      </c>
      <c r="T113" s="135">
        <f t="shared" si="34"/>
        <v>5.4</v>
      </c>
      <c r="U113" s="135">
        <f t="shared" si="34"/>
        <v>5.4</v>
      </c>
      <c r="V113" s="135">
        <f t="shared" si="34"/>
        <v>5.4</v>
      </c>
      <c r="W113" s="135">
        <f t="shared" si="34"/>
        <v>5.4</v>
      </c>
      <c r="X113" s="135">
        <f t="shared" si="34"/>
        <v>5.4</v>
      </c>
      <c r="Y113" s="135">
        <f t="shared" si="34"/>
        <v>5.4</v>
      </c>
      <c r="Z113" s="135">
        <f t="shared" si="34"/>
        <v>5.4</v>
      </c>
      <c r="AA113" s="135">
        <f t="shared" si="34"/>
        <v>5.4</v>
      </c>
      <c r="AB113" s="135">
        <f t="shared" si="34"/>
        <v>5.4</v>
      </c>
      <c r="AC113" s="135">
        <f t="shared" si="34"/>
        <v>5.4</v>
      </c>
      <c r="AD113" s="135">
        <f t="shared" si="34"/>
        <v>5.4</v>
      </c>
      <c r="AE113" s="135">
        <f t="shared" si="34"/>
        <v>5.4</v>
      </c>
      <c r="AF113" s="135">
        <f t="shared" si="34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2"/>
        <v>6.57</v>
      </c>
      <c r="C114" s="136">
        <v>6.57</v>
      </c>
      <c r="D114" s="135">
        <f t="shared" si="33"/>
        <v>6.57</v>
      </c>
      <c r="E114" s="135">
        <f t="shared" si="33"/>
        <v>6.57</v>
      </c>
      <c r="F114" s="135">
        <f t="shared" si="33"/>
        <v>6.57</v>
      </c>
      <c r="G114" s="135">
        <f t="shared" si="33"/>
        <v>6.57</v>
      </c>
      <c r="H114" s="135">
        <f t="shared" si="33"/>
        <v>6.57</v>
      </c>
      <c r="I114" s="135">
        <f t="shared" si="33"/>
        <v>6.57</v>
      </c>
      <c r="J114" s="135">
        <f t="shared" si="33"/>
        <v>6.57</v>
      </c>
      <c r="K114" s="135">
        <f t="shared" si="33"/>
        <v>6.57</v>
      </c>
      <c r="L114" s="135">
        <f t="shared" si="33"/>
        <v>6.57</v>
      </c>
      <c r="M114" s="135">
        <f t="shared" si="33"/>
        <v>6.57</v>
      </c>
      <c r="N114" s="135">
        <f t="shared" si="33"/>
        <v>6.57</v>
      </c>
      <c r="O114" s="135">
        <f t="shared" si="33"/>
        <v>6.57</v>
      </c>
      <c r="P114" s="135">
        <f t="shared" si="33"/>
        <v>6.57</v>
      </c>
      <c r="Q114" s="135">
        <f t="shared" si="33"/>
        <v>6.57</v>
      </c>
      <c r="R114" s="135">
        <f t="shared" si="33"/>
        <v>6.57</v>
      </c>
      <c r="S114" s="135">
        <f t="shared" si="33"/>
        <v>6.57</v>
      </c>
      <c r="T114" s="135">
        <f t="shared" si="34"/>
        <v>6.57</v>
      </c>
      <c r="U114" s="135">
        <f t="shared" si="34"/>
        <v>6.57</v>
      </c>
      <c r="V114" s="135">
        <f t="shared" si="34"/>
        <v>6.57</v>
      </c>
      <c r="W114" s="135">
        <f t="shared" si="34"/>
        <v>6.57</v>
      </c>
      <c r="X114" s="135">
        <f t="shared" si="34"/>
        <v>6.57</v>
      </c>
      <c r="Y114" s="135">
        <f t="shared" si="34"/>
        <v>6.57</v>
      </c>
      <c r="Z114" s="135">
        <f t="shared" si="34"/>
        <v>6.57</v>
      </c>
      <c r="AA114" s="135">
        <f t="shared" si="34"/>
        <v>6.57</v>
      </c>
      <c r="AB114" s="135">
        <f t="shared" si="34"/>
        <v>6.57</v>
      </c>
      <c r="AC114" s="135">
        <f t="shared" si="34"/>
        <v>6.57</v>
      </c>
      <c r="AD114" s="135">
        <f t="shared" si="34"/>
        <v>6.57</v>
      </c>
      <c r="AE114" s="135">
        <f t="shared" si="34"/>
        <v>6.57</v>
      </c>
      <c r="AF114" s="135">
        <f t="shared" si="34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2"/>
        <v>3.43</v>
      </c>
      <c r="C115" s="136">
        <v>3.43</v>
      </c>
      <c r="D115" s="135">
        <f t="shared" si="33"/>
        <v>3.43</v>
      </c>
      <c r="E115" s="135">
        <f t="shared" si="33"/>
        <v>3.43</v>
      </c>
      <c r="F115" s="135">
        <f t="shared" si="33"/>
        <v>3.43</v>
      </c>
      <c r="G115" s="135">
        <f t="shared" si="33"/>
        <v>3.43</v>
      </c>
      <c r="H115" s="135">
        <f t="shared" si="33"/>
        <v>3.43</v>
      </c>
      <c r="I115" s="135">
        <f t="shared" si="33"/>
        <v>3.43</v>
      </c>
      <c r="J115" s="135">
        <f t="shared" si="33"/>
        <v>3.43</v>
      </c>
      <c r="K115" s="135">
        <f t="shared" si="33"/>
        <v>3.43</v>
      </c>
      <c r="L115" s="135">
        <f t="shared" si="33"/>
        <v>3.43</v>
      </c>
      <c r="M115" s="135">
        <f t="shared" si="33"/>
        <v>3.43</v>
      </c>
      <c r="N115" s="135">
        <f t="shared" si="33"/>
        <v>3.43</v>
      </c>
      <c r="O115" s="135">
        <f t="shared" si="33"/>
        <v>3.43</v>
      </c>
      <c r="P115" s="135">
        <f t="shared" si="33"/>
        <v>3.43</v>
      </c>
      <c r="Q115" s="135">
        <f t="shared" si="33"/>
        <v>3.43</v>
      </c>
      <c r="R115" s="135">
        <f t="shared" si="33"/>
        <v>3.43</v>
      </c>
      <c r="S115" s="135">
        <f t="shared" si="33"/>
        <v>3.43</v>
      </c>
      <c r="T115" s="135">
        <f t="shared" si="34"/>
        <v>3.43</v>
      </c>
      <c r="U115" s="135">
        <f t="shared" si="34"/>
        <v>3.43</v>
      </c>
      <c r="V115" s="135">
        <f t="shared" si="34"/>
        <v>3.43</v>
      </c>
      <c r="W115" s="135">
        <f t="shared" si="34"/>
        <v>3.43</v>
      </c>
      <c r="X115" s="135">
        <f t="shared" si="34"/>
        <v>3.43</v>
      </c>
      <c r="Y115" s="135">
        <f t="shared" si="34"/>
        <v>3.43</v>
      </c>
      <c r="Z115" s="135">
        <f t="shared" si="34"/>
        <v>3.43</v>
      </c>
      <c r="AA115" s="135">
        <f t="shared" si="34"/>
        <v>3.43</v>
      </c>
      <c r="AB115" s="135">
        <f t="shared" si="34"/>
        <v>3.43</v>
      </c>
      <c r="AC115" s="135">
        <f t="shared" si="34"/>
        <v>3.43</v>
      </c>
      <c r="AD115" s="135">
        <f t="shared" si="34"/>
        <v>3.43</v>
      </c>
      <c r="AE115" s="135">
        <f t="shared" si="34"/>
        <v>3.43</v>
      </c>
      <c r="AF115" s="135">
        <f t="shared" si="34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2"/>
        <v>2.96</v>
      </c>
      <c r="C116" s="136">
        <v>2.96</v>
      </c>
      <c r="D116" s="135">
        <f t="shared" si="33"/>
        <v>2.96</v>
      </c>
      <c r="E116" s="135">
        <f t="shared" si="33"/>
        <v>2.96</v>
      </c>
      <c r="F116" s="135">
        <f t="shared" si="33"/>
        <v>2.96</v>
      </c>
      <c r="G116" s="135">
        <f t="shared" si="33"/>
        <v>2.96</v>
      </c>
      <c r="H116" s="135">
        <f t="shared" si="33"/>
        <v>2.96</v>
      </c>
      <c r="I116" s="135">
        <f t="shared" si="33"/>
        <v>2.96</v>
      </c>
      <c r="J116" s="135">
        <f t="shared" si="33"/>
        <v>2.96</v>
      </c>
      <c r="K116" s="135">
        <f t="shared" si="33"/>
        <v>2.96</v>
      </c>
      <c r="L116" s="135">
        <f t="shared" si="33"/>
        <v>2.96</v>
      </c>
      <c r="M116" s="135">
        <f t="shared" si="33"/>
        <v>2.96</v>
      </c>
      <c r="N116" s="135">
        <f t="shared" si="33"/>
        <v>2.96</v>
      </c>
      <c r="O116" s="135">
        <f t="shared" si="33"/>
        <v>2.96</v>
      </c>
      <c r="P116" s="135">
        <f t="shared" si="33"/>
        <v>2.96</v>
      </c>
      <c r="Q116" s="135">
        <f t="shared" si="33"/>
        <v>2.96</v>
      </c>
      <c r="R116" s="135">
        <f t="shared" si="33"/>
        <v>2.96</v>
      </c>
      <c r="S116" s="135">
        <f t="shared" si="33"/>
        <v>2.96</v>
      </c>
      <c r="T116" s="135">
        <f t="shared" si="34"/>
        <v>2.96</v>
      </c>
      <c r="U116" s="135">
        <f t="shared" si="34"/>
        <v>2.96</v>
      </c>
      <c r="V116" s="135">
        <f t="shared" si="34"/>
        <v>2.96</v>
      </c>
      <c r="W116" s="135">
        <f t="shared" si="34"/>
        <v>2.96</v>
      </c>
      <c r="X116" s="135">
        <f t="shared" si="34"/>
        <v>2.96</v>
      </c>
      <c r="Y116" s="135">
        <f t="shared" si="34"/>
        <v>2.96</v>
      </c>
      <c r="Z116" s="135">
        <f t="shared" si="34"/>
        <v>2.96</v>
      </c>
      <c r="AA116" s="135">
        <f t="shared" si="34"/>
        <v>2.96</v>
      </c>
      <c r="AB116" s="135">
        <f t="shared" si="34"/>
        <v>2.96</v>
      </c>
      <c r="AC116" s="135">
        <f t="shared" si="34"/>
        <v>2.96</v>
      </c>
      <c r="AD116" s="135">
        <f t="shared" si="34"/>
        <v>2.96</v>
      </c>
      <c r="AE116" s="135">
        <f t="shared" si="34"/>
        <v>2.96</v>
      </c>
      <c r="AF116" s="135">
        <f t="shared" si="34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2"/>
        <v>8</v>
      </c>
      <c r="C117" s="136">
        <v>8</v>
      </c>
      <c r="D117" s="135">
        <f t="shared" si="33"/>
        <v>8</v>
      </c>
      <c r="E117" s="135">
        <f t="shared" si="33"/>
        <v>8</v>
      </c>
      <c r="F117" s="135">
        <f t="shared" si="33"/>
        <v>8</v>
      </c>
      <c r="G117" s="135">
        <f t="shared" si="33"/>
        <v>8</v>
      </c>
      <c r="H117" s="135">
        <f t="shared" si="33"/>
        <v>8</v>
      </c>
      <c r="I117" s="135">
        <f t="shared" si="33"/>
        <v>8</v>
      </c>
      <c r="J117" s="135">
        <f t="shared" si="33"/>
        <v>8</v>
      </c>
      <c r="K117" s="135">
        <f t="shared" si="33"/>
        <v>8</v>
      </c>
      <c r="L117" s="135">
        <f t="shared" si="33"/>
        <v>8</v>
      </c>
      <c r="M117" s="135">
        <f t="shared" si="33"/>
        <v>8</v>
      </c>
      <c r="N117" s="135">
        <f t="shared" si="33"/>
        <v>8</v>
      </c>
      <c r="O117" s="135">
        <f t="shared" si="33"/>
        <v>8</v>
      </c>
      <c r="P117" s="135">
        <f t="shared" si="33"/>
        <v>8</v>
      </c>
      <c r="Q117" s="135">
        <f t="shared" si="33"/>
        <v>8</v>
      </c>
      <c r="R117" s="135">
        <f t="shared" si="33"/>
        <v>8</v>
      </c>
      <c r="S117" s="135">
        <f t="shared" si="33"/>
        <v>8</v>
      </c>
      <c r="T117" s="135">
        <f t="shared" si="34"/>
        <v>8</v>
      </c>
      <c r="U117" s="135">
        <f t="shared" si="34"/>
        <v>8</v>
      </c>
      <c r="V117" s="135">
        <f t="shared" si="34"/>
        <v>8</v>
      </c>
      <c r="W117" s="135">
        <f t="shared" si="34"/>
        <v>8</v>
      </c>
      <c r="X117" s="135">
        <f t="shared" si="34"/>
        <v>8</v>
      </c>
      <c r="Y117" s="135">
        <f t="shared" si="34"/>
        <v>8</v>
      </c>
      <c r="Z117" s="135">
        <f t="shared" si="34"/>
        <v>8</v>
      </c>
      <c r="AA117" s="135">
        <f t="shared" si="34"/>
        <v>8</v>
      </c>
      <c r="AB117" s="135">
        <f t="shared" si="34"/>
        <v>8</v>
      </c>
      <c r="AC117" s="135">
        <f t="shared" si="34"/>
        <v>8</v>
      </c>
      <c r="AD117" s="135">
        <f t="shared" si="34"/>
        <v>8</v>
      </c>
      <c r="AE117" s="135">
        <f t="shared" si="34"/>
        <v>8</v>
      </c>
      <c r="AF117" s="135">
        <f t="shared" si="34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2"/>
        <v>7</v>
      </c>
      <c r="C118" s="136">
        <v>7</v>
      </c>
      <c r="D118" s="135">
        <f>C118</f>
        <v>7</v>
      </c>
      <c r="E118" s="135">
        <f t="shared" si="33"/>
        <v>7</v>
      </c>
      <c r="F118" s="135">
        <f t="shared" si="33"/>
        <v>7</v>
      </c>
      <c r="G118" s="135">
        <f t="shared" si="33"/>
        <v>7</v>
      </c>
      <c r="H118" s="135">
        <f t="shared" si="33"/>
        <v>7</v>
      </c>
      <c r="I118" s="135">
        <f t="shared" si="33"/>
        <v>7</v>
      </c>
      <c r="J118" s="135">
        <f t="shared" si="33"/>
        <v>7</v>
      </c>
      <c r="K118" s="135">
        <f t="shared" si="33"/>
        <v>7</v>
      </c>
      <c r="L118" s="135">
        <f t="shared" si="33"/>
        <v>7</v>
      </c>
      <c r="M118" s="135">
        <f t="shared" si="33"/>
        <v>7</v>
      </c>
      <c r="N118" s="135">
        <f t="shared" si="33"/>
        <v>7</v>
      </c>
      <c r="O118" s="135">
        <f t="shared" si="33"/>
        <v>7</v>
      </c>
      <c r="P118" s="135">
        <f t="shared" si="33"/>
        <v>7</v>
      </c>
      <c r="Q118" s="135">
        <f t="shared" si="33"/>
        <v>7</v>
      </c>
      <c r="R118" s="135">
        <f t="shared" si="33"/>
        <v>7</v>
      </c>
      <c r="S118" s="135">
        <f t="shared" si="33"/>
        <v>7</v>
      </c>
      <c r="T118" s="135">
        <f t="shared" si="34"/>
        <v>7</v>
      </c>
      <c r="U118" s="135">
        <f t="shared" si="34"/>
        <v>7</v>
      </c>
      <c r="V118" s="135">
        <f t="shared" si="34"/>
        <v>7</v>
      </c>
      <c r="W118" s="135">
        <f t="shared" si="34"/>
        <v>7</v>
      </c>
      <c r="X118" s="135">
        <f t="shared" si="34"/>
        <v>7</v>
      </c>
      <c r="Y118" s="135">
        <f t="shared" si="34"/>
        <v>7</v>
      </c>
      <c r="Z118" s="135">
        <f t="shared" si="34"/>
        <v>7</v>
      </c>
      <c r="AA118" s="135">
        <f t="shared" si="34"/>
        <v>7</v>
      </c>
      <c r="AB118" s="135">
        <f t="shared" si="34"/>
        <v>7</v>
      </c>
      <c r="AC118" s="135">
        <f t="shared" si="34"/>
        <v>7</v>
      </c>
      <c r="AD118" s="135">
        <f t="shared" si="34"/>
        <v>7</v>
      </c>
      <c r="AE118" s="135">
        <f t="shared" si="34"/>
        <v>7</v>
      </c>
      <c r="AF118" s="135">
        <f t="shared" si="34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2"/>
        <v>3.47</v>
      </c>
      <c r="C119" s="136">
        <v>3.47</v>
      </c>
      <c r="D119" s="135">
        <f t="shared" ref="D119:S128" si="35">C119</f>
        <v>3.47</v>
      </c>
      <c r="E119" s="135">
        <f t="shared" si="35"/>
        <v>3.47</v>
      </c>
      <c r="F119" s="135">
        <f t="shared" si="35"/>
        <v>3.47</v>
      </c>
      <c r="G119" s="135">
        <f t="shared" si="35"/>
        <v>3.47</v>
      </c>
      <c r="H119" s="135">
        <f t="shared" si="35"/>
        <v>3.47</v>
      </c>
      <c r="I119" s="135">
        <f t="shared" si="35"/>
        <v>3.47</v>
      </c>
      <c r="J119" s="135">
        <f t="shared" si="35"/>
        <v>3.47</v>
      </c>
      <c r="K119" s="135">
        <f t="shared" si="35"/>
        <v>3.47</v>
      </c>
      <c r="L119" s="135">
        <f t="shared" si="35"/>
        <v>3.47</v>
      </c>
      <c r="M119" s="135">
        <f t="shared" si="35"/>
        <v>3.47</v>
      </c>
      <c r="N119" s="135">
        <f t="shared" si="35"/>
        <v>3.47</v>
      </c>
      <c r="O119" s="135">
        <f t="shared" si="35"/>
        <v>3.47</v>
      </c>
      <c r="P119" s="135">
        <f t="shared" si="35"/>
        <v>3.47</v>
      </c>
      <c r="Q119" s="135">
        <f t="shared" si="35"/>
        <v>3.47</v>
      </c>
      <c r="R119" s="135">
        <f t="shared" si="35"/>
        <v>3.47</v>
      </c>
      <c r="S119" s="135">
        <f t="shared" si="35"/>
        <v>3.47</v>
      </c>
      <c r="T119" s="135">
        <f t="shared" si="34"/>
        <v>3.47</v>
      </c>
      <c r="U119" s="135">
        <f t="shared" si="34"/>
        <v>3.47</v>
      </c>
      <c r="V119" s="135">
        <f t="shared" si="34"/>
        <v>3.47</v>
      </c>
      <c r="W119" s="135">
        <f t="shared" si="34"/>
        <v>3.47</v>
      </c>
      <c r="X119" s="135">
        <f t="shared" si="34"/>
        <v>3.47</v>
      </c>
      <c r="Y119" s="135">
        <f t="shared" si="34"/>
        <v>3.47</v>
      </c>
      <c r="Z119" s="135">
        <f t="shared" si="34"/>
        <v>3.47</v>
      </c>
      <c r="AA119" s="135">
        <f t="shared" si="34"/>
        <v>3.47</v>
      </c>
      <c r="AB119" s="135">
        <f t="shared" si="34"/>
        <v>3.47</v>
      </c>
      <c r="AC119" s="135">
        <f t="shared" si="34"/>
        <v>3.47</v>
      </c>
      <c r="AD119" s="135">
        <f t="shared" si="34"/>
        <v>3.47</v>
      </c>
      <c r="AE119" s="135">
        <f t="shared" si="34"/>
        <v>3.47</v>
      </c>
      <c r="AF119" s="135">
        <f t="shared" si="34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2"/>
        <v>2.1</v>
      </c>
      <c r="C120" s="136">
        <v>2.1</v>
      </c>
      <c r="D120" s="135">
        <f t="shared" si="35"/>
        <v>2.1</v>
      </c>
      <c r="E120" s="135">
        <f t="shared" si="35"/>
        <v>2.1</v>
      </c>
      <c r="F120" s="135">
        <f t="shared" si="35"/>
        <v>2.1</v>
      </c>
      <c r="G120" s="135">
        <f t="shared" si="35"/>
        <v>2.1</v>
      </c>
      <c r="H120" s="135">
        <f t="shared" si="35"/>
        <v>2.1</v>
      </c>
      <c r="I120" s="135">
        <f t="shared" si="35"/>
        <v>2.1</v>
      </c>
      <c r="J120" s="135">
        <f t="shared" si="35"/>
        <v>2.1</v>
      </c>
      <c r="K120" s="135">
        <f t="shared" si="35"/>
        <v>2.1</v>
      </c>
      <c r="L120" s="135">
        <f t="shared" si="35"/>
        <v>2.1</v>
      </c>
      <c r="M120" s="135">
        <f t="shared" si="35"/>
        <v>2.1</v>
      </c>
      <c r="N120" s="135">
        <f t="shared" si="35"/>
        <v>2.1</v>
      </c>
      <c r="O120" s="135">
        <f t="shared" si="35"/>
        <v>2.1</v>
      </c>
      <c r="P120" s="135">
        <f t="shared" si="35"/>
        <v>2.1</v>
      </c>
      <c r="Q120" s="135">
        <f t="shared" si="35"/>
        <v>2.1</v>
      </c>
      <c r="R120" s="135">
        <f t="shared" si="35"/>
        <v>2.1</v>
      </c>
      <c r="S120" s="135">
        <f t="shared" si="35"/>
        <v>2.1</v>
      </c>
      <c r="T120" s="135">
        <f t="shared" si="34"/>
        <v>2.1</v>
      </c>
      <c r="U120" s="135">
        <f t="shared" si="34"/>
        <v>2.1</v>
      </c>
      <c r="V120" s="135">
        <f t="shared" si="34"/>
        <v>2.1</v>
      </c>
      <c r="W120" s="135">
        <f t="shared" si="34"/>
        <v>2.1</v>
      </c>
      <c r="X120" s="135">
        <f t="shared" si="34"/>
        <v>2.1</v>
      </c>
      <c r="Y120" s="135">
        <f t="shared" si="34"/>
        <v>2.1</v>
      </c>
      <c r="Z120" s="135">
        <f t="shared" si="34"/>
        <v>2.1</v>
      </c>
      <c r="AA120" s="135">
        <f t="shared" si="34"/>
        <v>2.1</v>
      </c>
      <c r="AB120" s="135">
        <f t="shared" si="34"/>
        <v>2.1</v>
      </c>
      <c r="AC120" s="135">
        <f t="shared" si="34"/>
        <v>2.1</v>
      </c>
      <c r="AD120" s="135">
        <f t="shared" si="34"/>
        <v>2.1</v>
      </c>
      <c r="AE120" s="135">
        <f t="shared" si="34"/>
        <v>2.1</v>
      </c>
      <c r="AF120" s="135">
        <f t="shared" si="34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2"/>
        <v>9.3000000000000007</v>
      </c>
      <c r="C121" s="136">
        <v>9.3000000000000007</v>
      </c>
      <c r="D121" s="135">
        <f t="shared" si="35"/>
        <v>9.3000000000000007</v>
      </c>
      <c r="E121" s="135">
        <f t="shared" si="35"/>
        <v>9.3000000000000007</v>
      </c>
      <c r="F121" s="135">
        <f t="shared" si="35"/>
        <v>9.3000000000000007</v>
      </c>
      <c r="G121" s="135">
        <f t="shared" si="35"/>
        <v>9.3000000000000007</v>
      </c>
      <c r="H121" s="135">
        <f t="shared" si="35"/>
        <v>9.3000000000000007</v>
      </c>
      <c r="I121" s="135">
        <f t="shared" si="35"/>
        <v>9.3000000000000007</v>
      </c>
      <c r="J121" s="135">
        <f t="shared" si="35"/>
        <v>9.3000000000000007</v>
      </c>
      <c r="K121" s="135">
        <f t="shared" si="35"/>
        <v>9.3000000000000007</v>
      </c>
      <c r="L121" s="135">
        <f t="shared" si="35"/>
        <v>9.3000000000000007</v>
      </c>
      <c r="M121" s="135">
        <f t="shared" si="35"/>
        <v>9.3000000000000007</v>
      </c>
      <c r="N121" s="135">
        <f t="shared" si="35"/>
        <v>9.3000000000000007</v>
      </c>
      <c r="O121" s="135">
        <f t="shared" si="35"/>
        <v>9.3000000000000007</v>
      </c>
      <c r="P121" s="135">
        <f t="shared" si="35"/>
        <v>9.3000000000000007</v>
      </c>
      <c r="Q121" s="135">
        <f t="shared" si="35"/>
        <v>9.3000000000000007</v>
      </c>
      <c r="R121" s="135">
        <f t="shared" si="35"/>
        <v>9.3000000000000007</v>
      </c>
      <c r="S121" s="135">
        <f t="shared" si="35"/>
        <v>9.3000000000000007</v>
      </c>
      <c r="T121" s="135">
        <f t="shared" si="34"/>
        <v>9.3000000000000007</v>
      </c>
      <c r="U121" s="135">
        <f t="shared" si="34"/>
        <v>9.3000000000000007</v>
      </c>
      <c r="V121" s="135">
        <f t="shared" si="34"/>
        <v>9.3000000000000007</v>
      </c>
      <c r="W121" s="135">
        <f t="shared" si="34"/>
        <v>9.3000000000000007</v>
      </c>
      <c r="X121" s="135">
        <f t="shared" si="34"/>
        <v>9.3000000000000007</v>
      </c>
      <c r="Y121" s="135">
        <f t="shared" si="34"/>
        <v>9.3000000000000007</v>
      </c>
      <c r="Z121" s="135">
        <f t="shared" si="34"/>
        <v>9.3000000000000007</v>
      </c>
      <c r="AA121" s="135">
        <f t="shared" si="34"/>
        <v>9.3000000000000007</v>
      </c>
      <c r="AB121" s="135">
        <f t="shared" si="34"/>
        <v>9.3000000000000007</v>
      </c>
      <c r="AC121" s="135">
        <f t="shared" si="34"/>
        <v>9.3000000000000007</v>
      </c>
      <c r="AD121" s="135">
        <f t="shared" si="34"/>
        <v>9.3000000000000007</v>
      </c>
      <c r="AE121" s="135">
        <f t="shared" si="34"/>
        <v>9.3000000000000007</v>
      </c>
      <c r="AF121" s="135">
        <f t="shared" si="34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2"/>
        <v>0</v>
      </c>
      <c r="C122" s="136">
        <v>0</v>
      </c>
      <c r="D122" s="135">
        <f t="shared" si="35"/>
        <v>0</v>
      </c>
      <c r="E122" s="135">
        <f t="shared" si="35"/>
        <v>0</v>
      </c>
      <c r="F122" s="135">
        <f t="shared" si="35"/>
        <v>0</v>
      </c>
      <c r="G122" s="135">
        <f t="shared" si="35"/>
        <v>0</v>
      </c>
      <c r="H122" s="135">
        <f t="shared" si="35"/>
        <v>0</v>
      </c>
      <c r="I122" s="135">
        <f t="shared" si="35"/>
        <v>0</v>
      </c>
      <c r="J122" s="135">
        <f t="shared" si="35"/>
        <v>0</v>
      </c>
      <c r="K122" s="135">
        <f t="shared" si="35"/>
        <v>0</v>
      </c>
      <c r="L122" s="135">
        <f t="shared" si="35"/>
        <v>0</v>
      </c>
      <c r="M122" s="135">
        <f t="shared" si="35"/>
        <v>0</v>
      </c>
      <c r="N122" s="135">
        <f t="shared" si="35"/>
        <v>0</v>
      </c>
      <c r="O122" s="135">
        <f t="shared" si="35"/>
        <v>0</v>
      </c>
      <c r="P122" s="135">
        <f t="shared" si="35"/>
        <v>0</v>
      </c>
      <c r="Q122" s="135">
        <f t="shared" si="35"/>
        <v>0</v>
      </c>
      <c r="R122" s="135">
        <f t="shared" si="35"/>
        <v>0</v>
      </c>
      <c r="S122" s="135">
        <f t="shared" si="35"/>
        <v>0</v>
      </c>
      <c r="T122" s="135">
        <f t="shared" si="34"/>
        <v>0</v>
      </c>
      <c r="U122" s="135">
        <f t="shared" si="34"/>
        <v>0</v>
      </c>
      <c r="V122" s="135">
        <f t="shared" si="34"/>
        <v>0</v>
      </c>
      <c r="W122" s="135">
        <f t="shared" si="34"/>
        <v>0</v>
      </c>
      <c r="X122" s="135">
        <f t="shared" si="34"/>
        <v>0</v>
      </c>
      <c r="Y122" s="135">
        <f t="shared" si="34"/>
        <v>0</v>
      </c>
      <c r="Z122" s="135">
        <f t="shared" si="34"/>
        <v>0</v>
      </c>
      <c r="AA122" s="135">
        <f t="shared" si="34"/>
        <v>0</v>
      </c>
      <c r="AB122" s="135">
        <f t="shared" si="34"/>
        <v>0</v>
      </c>
      <c r="AC122" s="135">
        <f t="shared" si="34"/>
        <v>0</v>
      </c>
      <c r="AD122" s="135">
        <f t="shared" si="34"/>
        <v>0</v>
      </c>
      <c r="AE122" s="135">
        <f t="shared" si="34"/>
        <v>0</v>
      </c>
      <c r="AF122" s="135">
        <f t="shared" si="34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2"/>
        <v>0</v>
      </c>
      <c r="C123" s="136">
        <v>0</v>
      </c>
      <c r="D123" s="135">
        <f t="shared" si="35"/>
        <v>0</v>
      </c>
      <c r="E123" s="135">
        <f t="shared" si="35"/>
        <v>0</v>
      </c>
      <c r="F123" s="135">
        <f t="shared" si="35"/>
        <v>0</v>
      </c>
      <c r="G123" s="135">
        <f t="shared" si="35"/>
        <v>0</v>
      </c>
      <c r="H123" s="135">
        <f t="shared" si="35"/>
        <v>0</v>
      </c>
      <c r="I123" s="135">
        <f t="shared" si="35"/>
        <v>0</v>
      </c>
      <c r="J123" s="135">
        <f t="shared" si="35"/>
        <v>0</v>
      </c>
      <c r="K123" s="135">
        <f t="shared" si="35"/>
        <v>0</v>
      </c>
      <c r="L123" s="135">
        <f t="shared" si="35"/>
        <v>0</v>
      </c>
      <c r="M123" s="135">
        <f t="shared" si="35"/>
        <v>0</v>
      </c>
      <c r="N123" s="135">
        <f t="shared" si="35"/>
        <v>0</v>
      </c>
      <c r="O123" s="135">
        <f t="shared" si="35"/>
        <v>0</v>
      </c>
      <c r="P123" s="135">
        <f t="shared" si="35"/>
        <v>0</v>
      </c>
      <c r="Q123" s="135">
        <f t="shared" si="35"/>
        <v>0</v>
      </c>
      <c r="R123" s="135">
        <f t="shared" si="35"/>
        <v>0</v>
      </c>
      <c r="S123" s="135">
        <f t="shared" si="35"/>
        <v>0</v>
      </c>
      <c r="T123" s="135">
        <f t="shared" si="34"/>
        <v>0</v>
      </c>
      <c r="U123" s="135">
        <f t="shared" si="34"/>
        <v>0</v>
      </c>
      <c r="V123" s="135">
        <f t="shared" si="34"/>
        <v>0</v>
      </c>
      <c r="W123" s="135">
        <f t="shared" si="34"/>
        <v>0</v>
      </c>
      <c r="X123" s="135">
        <f t="shared" si="34"/>
        <v>0</v>
      </c>
      <c r="Y123" s="135">
        <f t="shared" si="34"/>
        <v>0</v>
      </c>
      <c r="Z123" s="135">
        <f t="shared" si="34"/>
        <v>0</v>
      </c>
      <c r="AA123" s="135">
        <f t="shared" si="34"/>
        <v>0</v>
      </c>
      <c r="AB123" s="135">
        <f t="shared" si="34"/>
        <v>0</v>
      </c>
      <c r="AC123" s="135">
        <f t="shared" si="34"/>
        <v>0</v>
      </c>
      <c r="AD123" s="135">
        <f t="shared" si="34"/>
        <v>0</v>
      </c>
      <c r="AE123" s="135">
        <f t="shared" si="34"/>
        <v>0</v>
      </c>
      <c r="AF123" s="135">
        <f t="shared" si="34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2"/>
        <v>5</v>
      </c>
      <c r="C124" s="136">
        <v>5</v>
      </c>
      <c r="D124" s="135">
        <f t="shared" si="35"/>
        <v>5</v>
      </c>
      <c r="E124" s="135">
        <f t="shared" si="35"/>
        <v>5</v>
      </c>
      <c r="F124" s="135">
        <f t="shared" si="35"/>
        <v>5</v>
      </c>
      <c r="G124" s="135">
        <f t="shared" si="35"/>
        <v>5</v>
      </c>
      <c r="H124" s="135">
        <f t="shared" si="35"/>
        <v>5</v>
      </c>
      <c r="I124" s="135">
        <f t="shared" si="35"/>
        <v>5</v>
      </c>
      <c r="J124" s="135">
        <f t="shared" si="35"/>
        <v>5</v>
      </c>
      <c r="K124" s="135">
        <f t="shared" si="35"/>
        <v>5</v>
      </c>
      <c r="L124" s="135">
        <f t="shared" si="35"/>
        <v>5</v>
      </c>
      <c r="M124" s="135">
        <f t="shared" si="35"/>
        <v>5</v>
      </c>
      <c r="N124" s="135">
        <f t="shared" si="35"/>
        <v>5</v>
      </c>
      <c r="O124" s="135">
        <f t="shared" si="35"/>
        <v>5</v>
      </c>
      <c r="P124" s="135">
        <f t="shared" si="35"/>
        <v>5</v>
      </c>
      <c r="Q124" s="135">
        <f t="shared" si="35"/>
        <v>5</v>
      </c>
      <c r="R124" s="135">
        <f t="shared" si="35"/>
        <v>5</v>
      </c>
      <c r="S124" s="135">
        <f t="shared" si="35"/>
        <v>5</v>
      </c>
      <c r="T124" s="135">
        <f t="shared" si="34"/>
        <v>5</v>
      </c>
      <c r="U124" s="135">
        <f t="shared" si="34"/>
        <v>5</v>
      </c>
      <c r="V124" s="135">
        <f t="shared" si="34"/>
        <v>5</v>
      </c>
      <c r="W124" s="135">
        <f t="shared" si="34"/>
        <v>5</v>
      </c>
      <c r="X124" s="135">
        <f t="shared" si="34"/>
        <v>5</v>
      </c>
      <c r="Y124" s="135">
        <f t="shared" si="34"/>
        <v>5</v>
      </c>
      <c r="Z124" s="135">
        <f t="shared" si="34"/>
        <v>5</v>
      </c>
      <c r="AA124" s="135">
        <f t="shared" si="34"/>
        <v>5</v>
      </c>
      <c r="AB124" s="135">
        <f t="shared" si="34"/>
        <v>5</v>
      </c>
      <c r="AC124" s="135">
        <f t="shared" si="34"/>
        <v>5</v>
      </c>
      <c r="AD124" s="135">
        <f t="shared" si="34"/>
        <v>5</v>
      </c>
      <c r="AE124" s="135">
        <f t="shared" si="34"/>
        <v>5</v>
      </c>
      <c r="AF124" s="135">
        <f t="shared" si="34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2"/>
        <v>1</v>
      </c>
      <c r="C125" s="136">
        <v>1</v>
      </c>
      <c r="D125" s="135">
        <f t="shared" si="35"/>
        <v>1</v>
      </c>
      <c r="E125" s="135">
        <f t="shared" si="35"/>
        <v>1</v>
      </c>
      <c r="F125" s="135">
        <f t="shared" si="35"/>
        <v>1</v>
      </c>
      <c r="G125" s="135">
        <f t="shared" si="35"/>
        <v>1</v>
      </c>
      <c r="H125" s="135">
        <f t="shared" si="35"/>
        <v>1</v>
      </c>
      <c r="I125" s="135">
        <f t="shared" si="35"/>
        <v>1</v>
      </c>
      <c r="J125" s="135">
        <f t="shared" si="35"/>
        <v>1</v>
      </c>
      <c r="K125" s="135">
        <f t="shared" si="35"/>
        <v>1</v>
      </c>
      <c r="L125" s="135">
        <f t="shared" si="35"/>
        <v>1</v>
      </c>
      <c r="M125" s="135">
        <f t="shared" si="35"/>
        <v>1</v>
      </c>
      <c r="N125" s="135">
        <f t="shared" si="35"/>
        <v>1</v>
      </c>
      <c r="O125" s="135">
        <f t="shared" si="35"/>
        <v>1</v>
      </c>
      <c r="P125" s="135">
        <f t="shared" si="35"/>
        <v>1</v>
      </c>
      <c r="Q125" s="135">
        <f t="shared" si="35"/>
        <v>1</v>
      </c>
      <c r="R125" s="135">
        <f t="shared" si="35"/>
        <v>1</v>
      </c>
      <c r="S125" s="135">
        <f t="shared" si="35"/>
        <v>1</v>
      </c>
      <c r="T125" s="135">
        <f t="shared" si="34"/>
        <v>1</v>
      </c>
      <c r="U125" s="135">
        <f t="shared" si="34"/>
        <v>1</v>
      </c>
      <c r="V125" s="135">
        <f t="shared" si="34"/>
        <v>1</v>
      </c>
      <c r="W125" s="135">
        <f t="shared" si="34"/>
        <v>1</v>
      </c>
      <c r="X125" s="135">
        <f t="shared" si="34"/>
        <v>1</v>
      </c>
      <c r="Y125" s="135">
        <f t="shared" si="34"/>
        <v>1</v>
      </c>
      <c r="Z125" s="135">
        <f t="shared" si="34"/>
        <v>1</v>
      </c>
      <c r="AA125" s="135">
        <f t="shared" si="34"/>
        <v>1</v>
      </c>
      <c r="AB125" s="135">
        <f t="shared" si="34"/>
        <v>1</v>
      </c>
      <c r="AC125" s="135">
        <f t="shared" si="34"/>
        <v>1</v>
      </c>
      <c r="AD125" s="135">
        <f t="shared" si="34"/>
        <v>1</v>
      </c>
      <c r="AE125" s="135">
        <f t="shared" si="34"/>
        <v>1</v>
      </c>
      <c r="AF125" s="135">
        <f t="shared" si="34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2"/>
        <v>1.58</v>
      </c>
      <c r="C126" s="136">
        <v>1.58</v>
      </c>
      <c r="D126" s="135">
        <f t="shared" si="35"/>
        <v>1.58</v>
      </c>
      <c r="E126" s="135">
        <f t="shared" si="35"/>
        <v>1.58</v>
      </c>
      <c r="F126" s="135">
        <f t="shared" si="35"/>
        <v>1.58</v>
      </c>
      <c r="G126" s="135">
        <f t="shared" si="35"/>
        <v>1.58</v>
      </c>
      <c r="H126" s="135">
        <f t="shared" si="35"/>
        <v>1.58</v>
      </c>
      <c r="I126" s="135">
        <f t="shared" si="35"/>
        <v>1.58</v>
      </c>
      <c r="J126" s="135">
        <f t="shared" si="35"/>
        <v>1.58</v>
      </c>
      <c r="K126" s="135">
        <f t="shared" si="35"/>
        <v>1.58</v>
      </c>
      <c r="L126" s="135">
        <f t="shared" si="35"/>
        <v>1.58</v>
      </c>
      <c r="M126" s="135">
        <f t="shared" si="35"/>
        <v>1.58</v>
      </c>
      <c r="N126" s="135">
        <f t="shared" si="35"/>
        <v>1.58</v>
      </c>
      <c r="O126" s="135">
        <f t="shared" si="35"/>
        <v>1.58</v>
      </c>
      <c r="P126" s="135">
        <f t="shared" si="35"/>
        <v>1.58</v>
      </c>
      <c r="Q126" s="135">
        <f t="shared" si="35"/>
        <v>1.58</v>
      </c>
      <c r="R126" s="135">
        <f t="shared" si="35"/>
        <v>1.58</v>
      </c>
      <c r="S126" s="135">
        <f t="shared" si="35"/>
        <v>1.58</v>
      </c>
      <c r="T126" s="135">
        <f t="shared" si="34"/>
        <v>1.58</v>
      </c>
      <c r="U126" s="135">
        <f t="shared" si="34"/>
        <v>1.58</v>
      </c>
      <c r="V126" s="135">
        <f t="shared" si="34"/>
        <v>1.58</v>
      </c>
      <c r="W126" s="135">
        <f t="shared" si="34"/>
        <v>1.58</v>
      </c>
      <c r="X126" s="135">
        <f t="shared" si="34"/>
        <v>1.58</v>
      </c>
      <c r="Y126" s="135">
        <f t="shared" si="34"/>
        <v>1.58</v>
      </c>
      <c r="Z126" s="135">
        <f t="shared" si="34"/>
        <v>1.58</v>
      </c>
      <c r="AA126" s="135">
        <f t="shared" si="34"/>
        <v>1.58</v>
      </c>
      <c r="AB126" s="135">
        <f t="shared" si="34"/>
        <v>1.58</v>
      </c>
      <c r="AC126" s="135">
        <f t="shared" si="34"/>
        <v>1.58</v>
      </c>
      <c r="AD126" s="135">
        <f t="shared" si="34"/>
        <v>1.58</v>
      </c>
      <c r="AE126" s="135">
        <f t="shared" si="34"/>
        <v>1.58</v>
      </c>
      <c r="AF126" s="135">
        <f t="shared" si="34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2"/>
        <v>1.46</v>
      </c>
      <c r="C127" s="136">
        <v>1.46</v>
      </c>
      <c r="D127" s="135">
        <f t="shared" si="35"/>
        <v>1.46</v>
      </c>
      <c r="E127" s="135">
        <f t="shared" si="35"/>
        <v>1.46</v>
      </c>
      <c r="F127" s="135">
        <f t="shared" si="35"/>
        <v>1.46</v>
      </c>
      <c r="G127" s="135">
        <f t="shared" si="35"/>
        <v>1.46</v>
      </c>
      <c r="H127" s="135">
        <f t="shared" si="35"/>
        <v>1.46</v>
      </c>
      <c r="I127" s="135">
        <f t="shared" si="35"/>
        <v>1.46</v>
      </c>
      <c r="J127" s="135">
        <f t="shared" si="35"/>
        <v>1.46</v>
      </c>
      <c r="K127" s="135">
        <f t="shared" si="35"/>
        <v>1.46</v>
      </c>
      <c r="L127" s="135">
        <f t="shared" si="35"/>
        <v>1.46</v>
      </c>
      <c r="M127" s="135">
        <f t="shared" si="35"/>
        <v>1.46</v>
      </c>
      <c r="N127" s="135">
        <f t="shared" si="35"/>
        <v>1.46</v>
      </c>
      <c r="O127" s="135">
        <f t="shared" si="35"/>
        <v>1.46</v>
      </c>
      <c r="P127" s="135">
        <f t="shared" si="35"/>
        <v>1.46</v>
      </c>
      <c r="Q127" s="135">
        <f t="shared" si="35"/>
        <v>1.46</v>
      </c>
      <c r="R127" s="135">
        <f t="shared" si="35"/>
        <v>1.46</v>
      </c>
      <c r="S127" s="135">
        <f t="shared" si="35"/>
        <v>1.46</v>
      </c>
      <c r="T127" s="135">
        <f t="shared" ref="T127:AF128" si="36">S127</f>
        <v>1.46</v>
      </c>
      <c r="U127" s="135">
        <f t="shared" si="36"/>
        <v>1.46</v>
      </c>
      <c r="V127" s="135">
        <f t="shared" si="36"/>
        <v>1.46</v>
      </c>
      <c r="W127" s="135">
        <f t="shared" si="36"/>
        <v>1.46</v>
      </c>
      <c r="X127" s="135">
        <f t="shared" si="36"/>
        <v>1.46</v>
      </c>
      <c r="Y127" s="135">
        <f t="shared" si="36"/>
        <v>1.46</v>
      </c>
      <c r="Z127" s="135">
        <f t="shared" si="36"/>
        <v>1.46</v>
      </c>
      <c r="AA127" s="135">
        <f t="shared" si="36"/>
        <v>1.46</v>
      </c>
      <c r="AB127" s="135">
        <f t="shared" si="36"/>
        <v>1.46</v>
      </c>
      <c r="AC127" s="135">
        <f t="shared" si="36"/>
        <v>1.46</v>
      </c>
      <c r="AD127" s="135">
        <f t="shared" si="36"/>
        <v>1.46</v>
      </c>
      <c r="AE127" s="135">
        <f t="shared" si="36"/>
        <v>1.46</v>
      </c>
      <c r="AF127" s="135">
        <f t="shared" si="36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2"/>
        <v>1.48</v>
      </c>
      <c r="C128" s="136">
        <v>1.48</v>
      </c>
      <c r="D128" s="135">
        <f t="shared" si="35"/>
        <v>1.48</v>
      </c>
      <c r="E128" s="135">
        <f t="shared" si="35"/>
        <v>1.48</v>
      </c>
      <c r="F128" s="135">
        <f t="shared" si="35"/>
        <v>1.48</v>
      </c>
      <c r="G128" s="135">
        <f t="shared" si="35"/>
        <v>1.48</v>
      </c>
      <c r="H128" s="135">
        <f t="shared" si="35"/>
        <v>1.48</v>
      </c>
      <c r="I128" s="135">
        <f t="shared" si="35"/>
        <v>1.48</v>
      </c>
      <c r="J128" s="135">
        <f t="shared" si="35"/>
        <v>1.48</v>
      </c>
      <c r="K128" s="135">
        <f t="shared" si="35"/>
        <v>1.48</v>
      </c>
      <c r="L128" s="135">
        <f t="shared" si="35"/>
        <v>1.48</v>
      </c>
      <c r="M128" s="135">
        <f t="shared" si="35"/>
        <v>1.48</v>
      </c>
      <c r="N128" s="135">
        <f t="shared" si="35"/>
        <v>1.48</v>
      </c>
      <c r="O128" s="135">
        <f t="shared" si="35"/>
        <v>1.48</v>
      </c>
      <c r="P128" s="135">
        <f t="shared" si="35"/>
        <v>1.48</v>
      </c>
      <c r="Q128" s="135">
        <f t="shared" si="35"/>
        <v>1.48</v>
      </c>
      <c r="R128" s="135">
        <f t="shared" si="35"/>
        <v>1.48</v>
      </c>
      <c r="S128" s="135">
        <f t="shared" si="35"/>
        <v>1.48</v>
      </c>
      <c r="T128" s="135">
        <f t="shared" si="36"/>
        <v>1.48</v>
      </c>
      <c r="U128" s="135">
        <f t="shared" si="36"/>
        <v>1.48</v>
      </c>
      <c r="V128" s="135">
        <f t="shared" si="36"/>
        <v>1.48</v>
      </c>
      <c r="W128" s="135">
        <f t="shared" si="36"/>
        <v>1.48</v>
      </c>
      <c r="X128" s="135">
        <f t="shared" si="36"/>
        <v>1.48</v>
      </c>
      <c r="Y128" s="135">
        <f t="shared" si="36"/>
        <v>1.48</v>
      </c>
      <c r="Z128" s="135">
        <f t="shared" si="36"/>
        <v>1.48</v>
      </c>
      <c r="AA128" s="135">
        <f t="shared" si="36"/>
        <v>1.48</v>
      </c>
      <c r="AB128" s="135">
        <f t="shared" si="36"/>
        <v>1.48</v>
      </c>
      <c r="AC128" s="135">
        <f t="shared" si="36"/>
        <v>1.48</v>
      </c>
      <c r="AD128" s="135">
        <f t="shared" si="36"/>
        <v>1.48</v>
      </c>
      <c r="AE128" s="135">
        <f t="shared" si="36"/>
        <v>1.48</v>
      </c>
      <c r="AF128" s="135">
        <f t="shared" si="36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7">AF130</f>
        <v>2.2000000000000002</v>
      </c>
      <c r="C130" s="136">
        <v>2.2000000000000002</v>
      </c>
      <c r="D130" s="135">
        <f t="shared" ref="D130:S137" si="38">C130</f>
        <v>2.2000000000000002</v>
      </c>
      <c r="E130" s="135">
        <f t="shared" si="38"/>
        <v>2.2000000000000002</v>
      </c>
      <c r="F130" s="135">
        <f t="shared" si="38"/>
        <v>2.2000000000000002</v>
      </c>
      <c r="G130" s="135">
        <f t="shared" si="38"/>
        <v>2.2000000000000002</v>
      </c>
      <c r="H130" s="135">
        <f t="shared" si="38"/>
        <v>2.2000000000000002</v>
      </c>
      <c r="I130" s="135">
        <f t="shared" si="38"/>
        <v>2.2000000000000002</v>
      </c>
      <c r="J130" s="135">
        <f t="shared" si="38"/>
        <v>2.2000000000000002</v>
      </c>
      <c r="K130" s="135">
        <f t="shared" si="38"/>
        <v>2.2000000000000002</v>
      </c>
      <c r="L130" s="135">
        <f t="shared" si="38"/>
        <v>2.2000000000000002</v>
      </c>
      <c r="M130" s="135">
        <f t="shared" si="38"/>
        <v>2.2000000000000002</v>
      </c>
      <c r="N130" s="135">
        <f t="shared" si="38"/>
        <v>2.2000000000000002</v>
      </c>
      <c r="O130" s="135">
        <f t="shared" si="38"/>
        <v>2.2000000000000002</v>
      </c>
      <c r="P130" s="135">
        <f t="shared" si="38"/>
        <v>2.2000000000000002</v>
      </c>
      <c r="Q130" s="135">
        <f t="shared" si="38"/>
        <v>2.2000000000000002</v>
      </c>
      <c r="R130" s="135">
        <f t="shared" si="38"/>
        <v>2.2000000000000002</v>
      </c>
      <c r="S130" s="135">
        <f t="shared" si="38"/>
        <v>2.2000000000000002</v>
      </c>
      <c r="T130" s="135">
        <f t="shared" ref="T130:AF137" si="39">S130</f>
        <v>2.2000000000000002</v>
      </c>
      <c r="U130" s="135">
        <f t="shared" si="39"/>
        <v>2.2000000000000002</v>
      </c>
      <c r="V130" s="135">
        <f t="shared" si="39"/>
        <v>2.2000000000000002</v>
      </c>
      <c r="W130" s="135">
        <f t="shared" si="39"/>
        <v>2.2000000000000002</v>
      </c>
      <c r="X130" s="135">
        <f t="shared" si="39"/>
        <v>2.2000000000000002</v>
      </c>
      <c r="Y130" s="135">
        <f t="shared" si="39"/>
        <v>2.2000000000000002</v>
      </c>
      <c r="Z130" s="135">
        <f t="shared" si="39"/>
        <v>2.2000000000000002</v>
      </c>
      <c r="AA130" s="135">
        <f t="shared" si="39"/>
        <v>2.2000000000000002</v>
      </c>
      <c r="AB130" s="135">
        <f t="shared" si="39"/>
        <v>2.2000000000000002</v>
      </c>
      <c r="AC130" s="135">
        <f t="shared" si="39"/>
        <v>2.2000000000000002</v>
      </c>
      <c r="AD130" s="135">
        <f t="shared" si="39"/>
        <v>2.2000000000000002</v>
      </c>
      <c r="AE130" s="135">
        <f t="shared" si="39"/>
        <v>2.2000000000000002</v>
      </c>
      <c r="AF130" s="135">
        <f t="shared" si="39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7"/>
        <v>2</v>
      </c>
      <c r="C131" s="136">
        <v>2</v>
      </c>
      <c r="D131" s="135">
        <f t="shared" si="38"/>
        <v>2</v>
      </c>
      <c r="E131" s="135">
        <f t="shared" si="38"/>
        <v>2</v>
      </c>
      <c r="F131" s="135">
        <f t="shared" si="38"/>
        <v>2</v>
      </c>
      <c r="G131" s="135">
        <f t="shared" si="38"/>
        <v>2</v>
      </c>
      <c r="H131" s="135">
        <f t="shared" si="38"/>
        <v>2</v>
      </c>
      <c r="I131" s="135">
        <f t="shared" si="38"/>
        <v>2</v>
      </c>
      <c r="J131" s="135">
        <f t="shared" si="38"/>
        <v>2</v>
      </c>
      <c r="K131" s="135">
        <f t="shared" si="38"/>
        <v>2</v>
      </c>
      <c r="L131" s="135">
        <f t="shared" si="38"/>
        <v>2</v>
      </c>
      <c r="M131" s="135">
        <f t="shared" si="38"/>
        <v>2</v>
      </c>
      <c r="N131" s="135">
        <f t="shared" si="38"/>
        <v>2</v>
      </c>
      <c r="O131" s="135">
        <f t="shared" si="38"/>
        <v>2</v>
      </c>
      <c r="P131" s="135">
        <f t="shared" si="38"/>
        <v>2</v>
      </c>
      <c r="Q131" s="135">
        <f t="shared" si="38"/>
        <v>2</v>
      </c>
      <c r="R131" s="135">
        <f t="shared" si="38"/>
        <v>2</v>
      </c>
      <c r="S131" s="135">
        <f t="shared" si="38"/>
        <v>2</v>
      </c>
      <c r="T131" s="135">
        <f t="shared" si="39"/>
        <v>2</v>
      </c>
      <c r="U131" s="135">
        <f t="shared" si="39"/>
        <v>2</v>
      </c>
      <c r="V131" s="135">
        <f t="shared" si="39"/>
        <v>2</v>
      </c>
      <c r="W131" s="135">
        <f t="shared" si="39"/>
        <v>2</v>
      </c>
      <c r="X131" s="135">
        <f t="shared" si="39"/>
        <v>2</v>
      </c>
      <c r="Y131" s="135">
        <f t="shared" si="39"/>
        <v>2</v>
      </c>
      <c r="Z131" s="135">
        <f t="shared" si="39"/>
        <v>2</v>
      </c>
      <c r="AA131" s="135">
        <f t="shared" si="39"/>
        <v>2</v>
      </c>
      <c r="AB131" s="135">
        <f t="shared" si="39"/>
        <v>2</v>
      </c>
      <c r="AC131" s="135">
        <f t="shared" si="39"/>
        <v>2</v>
      </c>
      <c r="AD131" s="135">
        <f t="shared" si="39"/>
        <v>2</v>
      </c>
      <c r="AE131" s="135">
        <f t="shared" si="39"/>
        <v>2</v>
      </c>
      <c r="AF131" s="135">
        <f t="shared" si="39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7"/>
        <v>1.25</v>
      </c>
      <c r="C132" s="136">
        <v>1.25</v>
      </c>
      <c r="D132" s="135">
        <f t="shared" si="38"/>
        <v>1.25</v>
      </c>
      <c r="E132" s="135">
        <f t="shared" si="38"/>
        <v>1.25</v>
      </c>
      <c r="F132" s="135">
        <f t="shared" si="38"/>
        <v>1.25</v>
      </c>
      <c r="G132" s="135">
        <f t="shared" si="38"/>
        <v>1.25</v>
      </c>
      <c r="H132" s="135">
        <f t="shared" si="38"/>
        <v>1.25</v>
      </c>
      <c r="I132" s="135">
        <f t="shared" si="38"/>
        <v>1.25</v>
      </c>
      <c r="J132" s="135">
        <f t="shared" si="38"/>
        <v>1.25</v>
      </c>
      <c r="K132" s="135">
        <f t="shared" si="38"/>
        <v>1.25</v>
      </c>
      <c r="L132" s="135">
        <f t="shared" si="38"/>
        <v>1.25</v>
      </c>
      <c r="M132" s="135">
        <f t="shared" si="38"/>
        <v>1.25</v>
      </c>
      <c r="N132" s="135">
        <f t="shared" si="38"/>
        <v>1.25</v>
      </c>
      <c r="O132" s="135">
        <f t="shared" si="38"/>
        <v>1.25</v>
      </c>
      <c r="P132" s="135">
        <f t="shared" si="38"/>
        <v>1.25</v>
      </c>
      <c r="Q132" s="135">
        <f t="shared" si="38"/>
        <v>1.25</v>
      </c>
      <c r="R132" s="135">
        <f t="shared" si="38"/>
        <v>1.25</v>
      </c>
      <c r="S132" s="135">
        <f t="shared" si="38"/>
        <v>1.25</v>
      </c>
      <c r="T132" s="135">
        <f t="shared" si="39"/>
        <v>1.25</v>
      </c>
      <c r="U132" s="135">
        <f t="shared" si="39"/>
        <v>1.25</v>
      </c>
      <c r="V132" s="135">
        <f t="shared" si="39"/>
        <v>1.25</v>
      </c>
      <c r="W132" s="135">
        <f t="shared" si="39"/>
        <v>1.25</v>
      </c>
      <c r="X132" s="135">
        <f t="shared" si="39"/>
        <v>1.25</v>
      </c>
      <c r="Y132" s="135">
        <f t="shared" si="39"/>
        <v>1.25</v>
      </c>
      <c r="Z132" s="135">
        <f t="shared" si="39"/>
        <v>1.25</v>
      </c>
      <c r="AA132" s="135">
        <f t="shared" si="39"/>
        <v>1.25</v>
      </c>
      <c r="AB132" s="135">
        <f t="shared" si="39"/>
        <v>1.25</v>
      </c>
      <c r="AC132" s="135">
        <f t="shared" si="39"/>
        <v>1.25</v>
      </c>
      <c r="AD132" s="135">
        <f t="shared" si="39"/>
        <v>1.25</v>
      </c>
      <c r="AE132" s="135">
        <f t="shared" si="39"/>
        <v>1.25</v>
      </c>
      <c r="AF132" s="135">
        <f t="shared" si="39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7"/>
        <v>1.1499999999999999</v>
      </c>
      <c r="C133" s="136">
        <v>1.1499999999999999</v>
      </c>
      <c r="D133" s="135">
        <f t="shared" si="38"/>
        <v>1.1499999999999999</v>
      </c>
      <c r="E133" s="135">
        <f t="shared" si="38"/>
        <v>1.1499999999999999</v>
      </c>
      <c r="F133" s="135">
        <f t="shared" si="38"/>
        <v>1.1499999999999999</v>
      </c>
      <c r="G133" s="135">
        <f t="shared" si="38"/>
        <v>1.1499999999999999</v>
      </c>
      <c r="H133" s="135">
        <f t="shared" si="38"/>
        <v>1.1499999999999999</v>
      </c>
      <c r="I133" s="135">
        <f t="shared" si="38"/>
        <v>1.1499999999999999</v>
      </c>
      <c r="J133" s="135">
        <f t="shared" si="38"/>
        <v>1.1499999999999999</v>
      </c>
      <c r="K133" s="135">
        <f t="shared" si="38"/>
        <v>1.1499999999999999</v>
      </c>
      <c r="L133" s="135">
        <f t="shared" si="38"/>
        <v>1.1499999999999999</v>
      </c>
      <c r="M133" s="135">
        <f t="shared" si="38"/>
        <v>1.1499999999999999</v>
      </c>
      <c r="N133" s="135">
        <f t="shared" si="38"/>
        <v>1.1499999999999999</v>
      </c>
      <c r="O133" s="135">
        <f t="shared" si="38"/>
        <v>1.1499999999999999</v>
      </c>
      <c r="P133" s="135">
        <f t="shared" si="38"/>
        <v>1.1499999999999999</v>
      </c>
      <c r="Q133" s="135">
        <f t="shared" si="38"/>
        <v>1.1499999999999999</v>
      </c>
      <c r="R133" s="135">
        <f t="shared" si="38"/>
        <v>1.1499999999999999</v>
      </c>
      <c r="S133" s="135">
        <f t="shared" si="38"/>
        <v>1.1499999999999999</v>
      </c>
      <c r="T133" s="135">
        <f t="shared" si="39"/>
        <v>1.1499999999999999</v>
      </c>
      <c r="U133" s="135">
        <f t="shared" si="39"/>
        <v>1.1499999999999999</v>
      </c>
      <c r="V133" s="135">
        <f t="shared" si="39"/>
        <v>1.1499999999999999</v>
      </c>
      <c r="W133" s="135">
        <f t="shared" si="39"/>
        <v>1.1499999999999999</v>
      </c>
      <c r="X133" s="135">
        <f t="shared" si="39"/>
        <v>1.1499999999999999</v>
      </c>
      <c r="Y133" s="135">
        <f t="shared" si="39"/>
        <v>1.1499999999999999</v>
      </c>
      <c r="Z133" s="135">
        <f t="shared" si="39"/>
        <v>1.1499999999999999</v>
      </c>
      <c r="AA133" s="135">
        <f t="shared" si="39"/>
        <v>1.1499999999999999</v>
      </c>
      <c r="AB133" s="135">
        <f t="shared" si="39"/>
        <v>1.1499999999999999</v>
      </c>
      <c r="AC133" s="135">
        <f t="shared" si="39"/>
        <v>1.1499999999999999</v>
      </c>
      <c r="AD133" s="135">
        <f t="shared" si="39"/>
        <v>1.1499999999999999</v>
      </c>
      <c r="AE133" s="135">
        <f t="shared" si="39"/>
        <v>1.1499999999999999</v>
      </c>
      <c r="AF133" s="135">
        <f t="shared" si="39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7"/>
        <v>2.133</v>
      </c>
      <c r="C134" s="136">
        <v>2.133</v>
      </c>
      <c r="D134" s="135">
        <f t="shared" si="38"/>
        <v>2.133</v>
      </c>
      <c r="E134" s="135">
        <f t="shared" si="38"/>
        <v>2.133</v>
      </c>
      <c r="F134" s="135">
        <f t="shared" si="38"/>
        <v>2.133</v>
      </c>
      <c r="G134" s="135">
        <f t="shared" si="38"/>
        <v>2.133</v>
      </c>
      <c r="H134" s="135">
        <f t="shared" si="38"/>
        <v>2.133</v>
      </c>
      <c r="I134" s="135">
        <f t="shared" si="38"/>
        <v>2.133</v>
      </c>
      <c r="J134" s="135">
        <f t="shared" si="38"/>
        <v>2.133</v>
      </c>
      <c r="K134" s="135">
        <f t="shared" si="38"/>
        <v>2.133</v>
      </c>
      <c r="L134" s="135">
        <f t="shared" si="38"/>
        <v>2.133</v>
      </c>
      <c r="M134" s="135">
        <f t="shared" si="38"/>
        <v>2.133</v>
      </c>
      <c r="N134" s="135">
        <f t="shared" si="38"/>
        <v>2.133</v>
      </c>
      <c r="O134" s="135">
        <f t="shared" si="38"/>
        <v>2.133</v>
      </c>
      <c r="P134" s="135">
        <f t="shared" si="38"/>
        <v>2.133</v>
      </c>
      <c r="Q134" s="135">
        <f t="shared" si="38"/>
        <v>2.133</v>
      </c>
      <c r="R134" s="135">
        <f t="shared" si="38"/>
        <v>2.133</v>
      </c>
      <c r="S134" s="135">
        <f t="shared" si="38"/>
        <v>2.133</v>
      </c>
      <c r="T134" s="135">
        <f t="shared" si="39"/>
        <v>2.133</v>
      </c>
      <c r="U134" s="135">
        <f t="shared" si="39"/>
        <v>2.133</v>
      </c>
      <c r="V134" s="135">
        <f t="shared" si="39"/>
        <v>2.133</v>
      </c>
      <c r="W134" s="135">
        <f t="shared" si="39"/>
        <v>2.133</v>
      </c>
      <c r="X134" s="135">
        <f t="shared" si="39"/>
        <v>2.133</v>
      </c>
      <c r="Y134" s="135">
        <f t="shared" si="39"/>
        <v>2.133</v>
      </c>
      <c r="Z134" s="135">
        <f t="shared" si="39"/>
        <v>2.133</v>
      </c>
      <c r="AA134" s="135">
        <f t="shared" si="39"/>
        <v>2.133</v>
      </c>
      <c r="AB134" s="135">
        <f t="shared" si="39"/>
        <v>2.133</v>
      </c>
      <c r="AC134" s="135">
        <f t="shared" si="39"/>
        <v>2.133</v>
      </c>
      <c r="AD134" s="135">
        <f t="shared" si="39"/>
        <v>2.133</v>
      </c>
      <c r="AE134" s="135">
        <f t="shared" si="39"/>
        <v>2.133</v>
      </c>
      <c r="AF134" s="135">
        <f t="shared" si="39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7"/>
        <v>2.09</v>
      </c>
      <c r="C135" s="136">
        <v>2.09</v>
      </c>
      <c r="D135" s="135">
        <f t="shared" si="38"/>
        <v>2.09</v>
      </c>
      <c r="E135" s="135">
        <f t="shared" si="38"/>
        <v>2.09</v>
      </c>
      <c r="F135" s="135">
        <f t="shared" si="38"/>
        <v>2.09</v>
      </c>
      <c r="G135" s="135">
        <f t="shared" si="38"/>
        <v>2.09</v>
      </c>
      <c r="H135" s="135">
        <f t="shared" si="38"/>
        <v>2.09</v>
      </c>
      <c r="I135" s="135">
        <f t="shared" si="38"/>
        <v>2.09</v>
      </c>
      <c r="J135" s="135">
        <f t="shared" si="38"/>
        <v>2.09</v>
      </c>
      <c r="K135" s="135">
        <f t="shared" si="38"/>
        <v>2.09</v>
      </c>
      <c r="L135" s="135">
        <f t="shared" si="38"/>
        <v>2.09</v>
      </c>
      <c r="M135" s="135">
        <f t="shared" si="38"/>
        <v>2.09</v>
      </c>
      <c r="N135" s="135">
        <f t="shared" si="38"/>
        <v>2.09</v>
      </c>
      <c r="O135" s="135">
        <f t="shared" si="38"/>
        <v>2.09</v>
      </c>
      <c r="P135" s="135">
        <f t="shared" si="38"/>
        <v>2.09</v>
      </c>
      <c r="Q135" s="135">
        <f t="shared" si="38"/>
        <v>2.09</v>
      </c>
      <c r="R135" s="135">
        <f t="shared" si="38"/>
        <v>2.09</v>
      </c>
      <c r="S135" s="135">
        <f t="shared" si="38"/>
        <v>2.09</v>
      </c>
      <c r="T135" s="135">
        <f t="shared" si="39"/>
        <v>2.09</v>
      </c>
      <c r="U135" s="135">
        <f t="shared" si="39"/>
        <v>2.09</v>
      </c>
      <c r="V135" s="135">
        <f t="shared" si="39"/>
        <v>2.09</v>
      </c>
      <c r="W135" s="135">
        <f t="shared" si="39"/>
        <v>2.09</v>
      </c>
      <c r="X135" s="135">
        <f t="shared" si="39"/>
        <v>2.09</v>
      </c>
      <c r="Y135" s="135">
        <f t="shared" si="39"/>
        <v>2.09</v>
      </c>
      <c r="Z135" s="135">
        <f t="shared" si="39"/>
        <v>2.09</v>
      </c>
      <c r="AA135" s="135">
        <f t="shared" si="39"/>
        <v>2.09</v>
      </c>
      <c r="AB135" s="135">
        <f t="shared" si="39"/>
        <v>2.09</v>
      </c>
      <c r="AC135" s="135">
        <f t="shared" si="39"/>
        <v>2.09</v>
      </c>
      <c r="AD135" s="135">
        <f t="shared" si="39"/>
        <v>2.09</v>
      </c>
      <c r="AE135" s="135">
        <f t="shared" si="39"/>
        <v>2.09</v>
      </c>
      <c r="AF135" s="135">
        <f t="shared" si="39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7"/>
        <v>1.1399999999999999</v>
      </c>
      <c r="C136" s="136">
        <v>1.1399999999999999</v>
      </c>
      <c r="D136" s="135">
        <f t="shared" si="38"/>
        <v>1.1399999999999999</v>
      </c>
      <c r="E136" s="135">
        <f t="shared" si="38"/>
        <v>1.1399999999999999</v>
      </c>
      <c r="F136" s="135">
        <f t="shared" si="38"/>
        <v>1.1399999999999999</v>
      </c>
      <c r="G136" s="135">
        <f t="shared" si="38"/>
        <v>1.1399999999999999</v>
      </c>
      <c r="H136" s="135">
        <f t="shared" si="38"/>
        <v>1.1399999999999999</v>
      </c>
      <c r="I136" s="135">
        <f t="shared" si="38"/>
        <v>1.1399999999999999</v>
      </c>
      <c r="J136" s="135">
        <f t="shared" si="38"/>
        <v>1.1399999999999999</v>
      </c>
      <c r="K136" s="135">
        <f t="shared" si="38"/>
        <v>1.1399999999999999</v>
      </c>
      <c r="L136" s="135">
        <f t="shared" si="38"/>
        <v>1.1399999999999999</v>
      </c>
      <c r="M136" s="135">
        <f t="shared" si="38"/>
        <v>1.1399999999999999</v>
      </c>
      <c r="N136" s="135">
        <f t="shared" si="38"/>
        <v>1.1399999999999999</v>
      </c>
      <c r="O136" s="135">
        <f t="shared" si="38"/>
        <v>1.1399999999999999</v>
      </c>
      <c r="P136" s="135">
        <f t="shared" si="38"/>
        <v>1.1399999999999999</v>
      </c>
      <c r="Q136" s="135">
        <f t="shared" si="38"/>
        <v>1.1399999999999999</v>
      </c>
      <c r="R136" s="135">
        <f t="shared" si="38"/>
        <v>1.1399999999999999</v>
      </c>
      <c r="S136" s="135">
        <f t="shared" si="38"/>
        <v>1.1399999999999999</v>
      </c>
      <c r="T136" s="135">
        <f t="shared" si="39"/>
        <v>1.1399999999999999</v>
      </c>
      <c r="U136" s="135">
        <f t="shared" si="39"/>
        <v>1.1399999999999999</v>
      </c>
      <c r="V136" s="135">
        <f t="shared" si="39"/>
        <v>1.1399999999999999</v>
      </c>
      <c r="W136" s="135">
        <f t="shared" si="39"/>
        <v>1.1399999999999999</v>
      </c>
      <c r="X136" s="135">
        <f t="shared" si="39"/>
        <v>1.1399999999999999</v>
      </c>
      <c r="Y136" s="135">
        <f t="shared" si="39"/>
        <v>1.1399999999999999</v>
      </c>
      <c r="Z136" s="135">
        <f t="shared" si="39"/>
        <v>1.1399999999999999</v>
      </c>
      <c r="AA136" s="135">
        <f t="shared" si="39"/>
        <v>1.1399999999999999</v>
      </c>
      <c r="AB136" s="135">
        <f t="shared" si="39"/>
        <v>1.1399999999999999</v>
      </c>
      <c r="AC136" s="135">
        <f t="shared" si="39"/>
        <v>1.1399999999999999</v>
      </c>
      <c r="AD136" s="135">
        <f t="shared" si="39"/>
        <v>1.1399999999999999</v>
      </c>
      <c r="AE136" s="135">
        <f t="shared" si="39"/>
        <v>1.1399999999999999</v>
      </c>
      <c r="AF136" s="135">
        <f t="shared" si="39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7"/>
        <v>0.82</v>
      </c>
      <c r="C137" s="136">
        <v>0.82</v>
      </c>
      <c r="D137" s="135">
        <f t="shared" si="38"/>
        <v>0.82</v>
      </c>
      <c r="E137" s="135">
        <f t="shared" si="38"/>
        <v>0.82</v>
      </c>
      <c r="F137" s="135">
        <f t="shared" si="38"/>
        <v>0.82</v>
      </c>
      <c r="G137" s="135">
        <f t="shared" si="38"/>
        <v>0.82</v>
      </c>
      <c r="H137" s="135">
        <f t="shared" si="38"/>
        <v>0.82</v>
      </c>
      <c r="I137" s="135">
        <f t="shared" si="38"/>
        <v>0.82</v>
      </c>
      <c r="J137" s="135">
        <f t="shared" si="38"/>
        <v>0.82</v>
      </c>
      <c r="K137" s="135">
        <f t="shared" si="38"/>
        <v>0.82</v>
      </c>
      <c r="L137" s="135">
        <f t="shared" si="38"/>
        <v>0.82</v>
      </c>
      <c r="M137" s="135">
        <f t="shared" si="38"/>
        <v>0.82</v>
      </c>
      <c r="N137" s="135">
        <f t="shared" si="38"/>
        <v>0.82</v>
      </c>
      <c r="O137" s="135">
        <f t="shared" si="38"/>
        <v>0.82</v>
      </c>
      <c r="P137" s="135">
        <f t="shared" si="38"/>
        <v>0.82</v>
      </c>
      <c r="Q137" s="135">
        <f t="shared" si="38"/>
        <v>0.82</v>
      </c>
      <c r="R137" s="135">
        <f t="shared" si="38"/>
        <v>0.82</v>
      </c>
      <c r="S137" s="135">
        <f t="shared" si="38"/>
        <v>0.82</v>
      </c>
      <c r="T137" s="135">
        <f t="shared" si="39"/>
        <v>0.82</v>
      </c>
      <c r="U137" s="135">
        <f t="shared" si="39"/>
        <v>0.82</v>
      </c>
      <c r="V137" s="135">
        <f t="shared" si="39"/>
        <v>0.82</v>
      </c>
      <c r="W137" s="135">
        <f t="shared" si="39"/>
        <v>0.82</v>
      </c>
      <c r="X137" s="135">
        <f t="shared" si="39"/>
        <v>0.82</v>
      </c>
      <c r="Y137" s="135">
        <f t="shared" si="39"/>
        <v>0.82</v>
      </c>
      <c r="Z137" s="135">
        <f t="shared" si="39"/>
        <v>0.82</v>
      </c>
      <c r="AA137" s="135">
        <f t="shared" si="39"/>
        <v>0.82</v>
      </c>
      <c r="AB137" s="135">
        <f t="shared" si="39"/>
        <v>0.82</v>
      </c>
      <c r="AC137" s="135">
        <f t="shared" si="39"/>
        <v>0.82</v>
      </c>
      <c r="AD137" s="135">
        <f t="shared" si="39"/>
        <v>0.82</v>
      </c>
      <c r="AE137" s="135">
        <f t="shared" si="39"/>
        <v>0.82</v>
      </c>
      <c r="AF137" s="135">
        <f t="shared" si="39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40">AF139</f>
        <v>2</v>
      </c>
      <c r="C139" s="136">
        <v>2</v>
      </c>
      <c r="D139" s="135">
        <f t="shared" ref="D139:S145" si="41">C139</f>
        <v>2</v>
      </c>
      <c r="E139" s="135">
        <f t="shared" si="41"/>
        <v>2</v>
      </c>
      <c r="F139" s="135">
        <f t="shared" si="41"/>
        <v>2</v>
      </c>
      <c r="G139" s="135">
        <f t="shared" si="41"/>
        <v>2</v>
      </c>
      <c r="H139" s="135">
        <f t="shared" si="41"/>
        <v>2</v>
      </c>
      <c r="I139" s="135">
        <f t="shared" si="41"/>
        <v>2</v>
      </c>
      <c r="J139" s="135">
        <f t="shared" si="41"/>
        <v>2</v>
      </c>
      <c r="K139" s="135">
        <f t="shared" si="41"/>
        <v>2</v>
      </c>
      <c r="L139" s="135">
        <f t="shared" si="41"/>
        <v>2</v>
      </c>
      <c r="M139" s="135">
        <f t="shared" si="41"/>
        <v>2</v>
      </c>
      <c r="N139" s="135">
        <f t="shared" si="41"/>
        <v>2</v>
      </c>
      <c r="O139" s="135">
        <f t="shared" si="41"/>
        <v>2</v>
      </c>
      <c r="P139" s="135">
        <f t="shared" si="41"/>
        <v>2</v>
      </c>
      <c r="Q139" s="135">
        <f t="shared" si="41"/>
        <v>2</v>
      </c>
      <c r="R139" s="135">
        <f t="shared" si="41"/>
        <v>2</v>
      </c>
      <c r="S139" s="135">
        <f t="shared" si="41"/>
        <v>2</v>
      </c>
      <c r="T139" s="135">
        <f t="shared" ref="T139:AF145" si="42">S139</f>
        <v>2</v>
      </c>
      <c r="U139" s="135">
        <f t="shared" si="42"/>
        <v>2</v>
      </c>
      <c r="V139" s="135">
        <f t="shared" si="42"/>
        <v>2</v>
      </c>
      <c r="W139" s="135">
        <f t="shared" si="42"/>
        <v>2</v>
      </c>
      <c r="X139" s="135">
        <f t="shared" si="42"/>
        <v>2</v>
      </c>
      <c r="Y139" s="135">
        <f t="shared" si="42"/>
        <v>2</v>
      </c>
      <c r="Z139" s="135">
        <f t="shared" si="42"/>
        <v>2</v>
      </c>
      <c r="AA139" s="135">
        <f t="shared" si="42"/>
        <v>2</v>
      </c>
      <c r="AB139" s="135">
        <f t="shared" si="42"/>
        <v>2</v>
      </c>
      <c r="AC139" s="135">
        <f t="shared" si="42"/>
        <v>2</v>
      </c>
      <c r="AD139" s="135">
        <f t="shared" si="42"/>
        <v>2</v>
      </c>
      <c r="AE139" s="135">
        <f t="shared" si="42"/>
        <v>2</v>
      </c>
      <c r="AF139" s="135">
        <f t="shared" si="42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40"/>
        <v>5.61</v>
      </c>
      <c r="C140" s="136">
        <v>5.61</v>
      </c>
      <c r="D140" s="135">
        <f t="shared" si="41"/>
        <v>5.61</v>
      </c>
      <c r="E140" s="135">
        <f t="shared" si="41"/>
        <v>5.61</v>
      </c>
      <c r="F140" s="135">
        <f t="shared" si="41"/>
        <v>5.61</v>
      </c>
      <c r="G140" s="135">
        <f t="shared" si="41"/>
        <v>5.61</v>
      </c>
      <c r="H140" s="135">
        <f t="shared" si="41"/>
        <v>5.61</v>
      </c>
      <c r="I140" s="135">
        <f t="shared" si="41"/>
        <v>5.61</v>
      </c>
      <c r="J140" s="135">
        <f t="shared" si="41"/>
        <v>5.61</v>
      </c>
      <c r="K140" s="135">
        <f t="shared" si="41"/>
        <v>5.61</v>
      </c>
      <c r="L140" s="135">
        <f t="shared" si="41"/>
        <v>5.61</v>
      </c>
      <c r="M140" s="135">
        <f t="shared" si="41"/>
        <v>5.61</v>
      </c>
      <c r="N140" s="135">
        <f t="shared" si="41"/>
        <v>5.61</v>
      </c>
      <c r="O140" s="135">
        <f t="shared" si="41"/>
        <v>5.61</v>
      </c>
      <c r="P140" s="135">
        <f t="shared" si="41"/>
        <v>5.61</v>
      </c>
      <c r="Q140" s="135">
        <f t="shared" si="41"/>
        <v>5.61</v>
      </c>
      <c r="R140" s="135">
        <f t="shared" si="41"/>
        <v>5.61</v>
      </c>
      <c r="S140" s="135">
        <f t="shared" si="41"/>
        <v>5.61</v>
      </c>
      <c r="T140" s="135">
        <f t="shared" si="42"/>
        <v>5.61</v>
      </c>
      <c r="U140" s="135">
        <f t="shared" si="42"/>
        <v>5.61</v>
      </c>
      <c r="V140" s="135">
        <f t="shared" si="42"/>
        <v>5.61</v>
      </c>
      <c r="W140" s="135">
        <f t="shared" si="42"/>
        <v>5.61</v>
      </c>
      <c r="X140" s="135">
        <f t="shared" si="42"/>
        <v>5.61</v>
      </c>
      <c r="Y140" s="135">
        <f t="shared" si="42"/>
        <v>5.61</v>
      </c>
      <c r="Z140" s="135">
        <f t="shared" si="42"/>
        <v>5.61</v>
      </c>
      <c r="AA140" s="135">
        <f t="shared" si="42"/>
        <v>5.61</v>
      </c>
      <c r="AB140" s="135">
        <f t="shared" si="42"/>
        <v>5.61</v>
      </c>
      <c r="AC140" s="135">
        <f t="shared" si="42"/>
        <v>5.61</v>
      </c>
      <c r="AD140" s="135">
        <f t="shared" si="42"/>
        <v>5.61</v>
      </c>
      <c r="AE140" s="135">
        <f t="shared" si="42"/>
        <v>5.61</v>
      </c>
      <c r="AF140" s="135">
        <f t="shared" si="42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40"/>
        <v>1.25</v>
      </c>
      <c r="C141" s="136">
        <v>1.25</v>
      </c>
      <c r="D141" s="135">
        <f t="shared" si="41"/>
        <v>1.25</v>
      </c>
      <c r="E141" s="135">
        <f t="shared" si="41"/>
        <v>1.25</v>
      </c>
      <c r="F141" s="135">
        <f t="shared" si="41"/>
        <v>1.25</v>
      </c>
      <c r="G141" s="135">
        <f t="shared" si="41"/>
        <v>1.25</v>
      </c>
      <c r="H141" s="135">
        <f t="shared" si="41"/>
        <v>1.25</v>
      </c>
      <c r="I141" s="135">
        <f t="shared" si="41"/>
        <v>1.25</v>
      </c>
      <c r="J141" s="135">
        <f t="shared" si="41"/>
        <v>1.25</v>
      </c>
      <c r="K141" s="135">
        <f t="shared" si="41"/>
        <v>1.25</v>
      </c>
      <c r="L141" s="135">
        <f t="shared" si="41"/>
        <v>1.25</v>
      </c>
      <c r="M141" s="135">
        <f t="shared" si="41"/>
        <v>1.25</v>
      </c>
      <c r="N141" s="135">
        <f t="shared" si="41"/>
        <v>1.25</v>
      </c>
      <c r="O141" s="135">
        <f t="shared" si="41"/>
        <v>1.25</v>
      </c>
      <c r="P141" s="135">
        <f t="shared" si="41"/>
        <v>1.25</v>
      </c>
      <c r="Q141" s="135">
        <f t="shared" si="41"/>
        <v>1.25</v>
      </c>
      <c r="R141" s="135">
        <f t="shared" si="41"/>
        <v>1.25</v>
      </c>
      <c r="S141" s="135">
        <f t="shared" si="41"/>
        <v>1.25</v>
      </c>
      <c r="T141" s="135">
        <f t="shared" si="42"/>
        <v>1.25</v>
      </c>
      <c r="U141" s="135">
        <f t="shared" si="42"/>
        <v>1.25</v>
      </c>
      <c r="V141" s="135">
        <f t="shared" si="42"/>
        <v>1.25</v>
      </c>
      <c r="W141" s="135">
        <f t="shared" si="42"/>
        <v>1.25</v>
      </c>
      <c r="X141" s="135">
        <f t="shared" si="42"/>
        <v>1.25</v>
      </c>
      <c r="Y141" s="135">
        <f t="shared" si="42"/>
        <v>1.25</v>
      </c>
      <c r="Z141" s="135">
        <f t="shared" si="42"/>
        <v>1.25</v>
      </c>
      <c r="AA141" s="135">
        <f t="shared" si="42"/>
        <v>1.25</v>
      </c>
      <c r="AB141" s="135">
        <f t="shared" si="42"/>
        <v>1.25</v>
      </c>
      <c r="AC141" s="135">
        <f t="shared" si="42"/>
        <v>1.25</v>
      </c>
      <c r="AD141" s="135">
        <f t="shared" si="42"/>
        <v>1.25</v>
      </c>
      <c r="AE141" s="135">
        <f t="shared" si="42"/>
        <v>1.25</v>
      </c>
      <c r="AF141" s="135">
        <f t="shared" si="42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40"/>
        <v>1.25</v>
      </c>
      <c r="C142" s="136">
        <v>1.25</v>
      </c>
      <c r="D142" s="135">
        <f t="shared" si="41"/>
        <v>1.25</v>
      </c>
      <c r="E142" s="135">
        <f t="shared" si="41"/>
        <v>1.25</v>
      </c>
      <c r="F142" s="135">
        <f t="shared" si="41"/>
        <v>1.25</v>
      </c>
      <c r="G142" s="135">
        <f t="shared" si="41"/>
        <v>1.25</v>
      </c>
      <c r="H142" s="135">
        <f t="shared" si="41"/>
        <v>1.25</v>
      </c>
      <c r="I142" s="135">
        <f t="shared" si="41"/>
        <v>1.25</v>
      </c>
      <c r="J142" s="135">
        <f t="shared" si="41"/>
        <v>1.25</v>
      </c>
      <c r="K142" s="135">
        <f t="shared" si="41"/>
        <v>1.25</v>
      </c>
      <c r="L142" s="135">
        <f t="shared" si="41"/>
        <v>1.25</v>
      </c>
      <c r="M142" s="135">
        <f t="shared" si="41"/>
        <v>1.25</v>
      </c>
      <c r="N142" s="135">
        <f t="shared" si="41"/>
        <v>1.25</v>
      </c>
      <c r="O142" s="135">
        <f t="shared" si="41"/>
        <v>1.25</v>
      </c>
      <c r="P142" s="135">
        <f t="shared" si="41"/>
        <v>1.25</v>
      </c>
      <c r="Q142" s="135">
        <f t="shared" si="41"/>
        <v>1.25</v>
      </c>
      <c r="R142" s="135">
        <f t="shared" si="41"/>
        <v>1.25</v>
      </c>
      <c r="S142" s="135">
        <f t="shared" si="41"/>
        <v>1.25</v>
      </c>
      <c r="T142" s="135">
        <f t="shared" si="42"/>
        <v>1.25</v>
      </c>
      <c r="U142" s="135">
        <f t="shared" si="42"/>
        <v>1.25</v>
      </c>
      <c r="V142" s="135">
        <f t="shared" si="42"/>
        <v>1.25</v>
      </c>
      <c r="W142" s="135">
        <f t="shared" si="42"/>
        <v>1.25</v>
      </c>
      <c r="X142" s="135">
        <f t="shared" si="42"/>
        <v>1.25</v>
      </c>
      <c r="Y142" s="135">
        <f t="shared" si="42"/>
        <v>1.25</v>
      </c>
      <c r="Z142" s="135">
        <f t="shared" si="42"/>
        <v>1.25</v>
      </c>
      <c r="AA142" s="135">
        <f t="shared" si="42"/>
        <v>1.25</v>
      </c>
      <c r="AB142" s="135">
        <f t="shared" si="42"/>
        <v>1.25</v>
      </c>
      <c r="AC142" s="135">
        <f t="shared" si="42"/>
        <v>1.25</v>
      </c>
      <c r="AD142" s="135">
        <f t="shared" si="42"/>
        <v>1.25</v>
      </c>
      <c r="AE142" s="135">
        <f t="shared" si="42"/>
        <v>1.25</v>
      </c>
      <c r="AF142" s="135">
        <f t="shared" si="42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40"/>
        <v>1.46</v>
      </c>
      <c r="C143" s="136">
        <v>1.46</v>
      </c>
      <c r="D143" s="135">
        <f t="shared" si="41"/>
        <v>1.46</v>
      </c>
      <c r="E143" s="135">
        <f t="shared" si="41"/>
        <v>1.46</v>
      </c>
      <c r="F143" s="135">
        <f t="shared" si="41"/>
        <v>1.46</v>
      </c>
      <c r="G143" s="135">
        <f t="shared" si="41"/>
        <v>1.46</v>
      </c>
      <c r="H143" s="135">
        <f t="shared" si="41"/>
        <v>1.46</v>
      </c>
      <c r="I143" s="135">
        <f t="shared" si="41"/>
        <v>1.46</v>
      </c>
      <c r="J143" s="135">
        <f t="shared" si="41"/>
        <v>1.46</v>
      </c>
      <c r="K143" s="135">
        <f t="shared" si="41"/>
        <v>1.46</v>
      </c>
      <c r="L143" s="135">
        <f t="shared" si="41"/>
        <v>1.46</v>
      </c>
      <c r="M143" s="135">
        <f t="shared" si="41"/>
        <v>1.46</v>
      </c>
      <c r="N143" s="135">
        <f t="shared" si="41"/>
        <v>1.46</v>
      </c>
      <c r="O143" s="135">
        <f t="shared" si="41"/>
        <v>1.46</v>
      </c>
      <c r="P143" s="135">
        <f t="shared" si="41"/>
        <v>1.46</v>
      </c>
      <c r="Q143" s="135">
        <f t="shared" si="41"/>
        <v>1.46</v>
      </c>
      <c r="R143" s="135">
        <f t="shared" si="41"/>
        <v>1.46</v>
      </c>
      <c r="S143" s="135">
        <f t="shared" si="41"/>
        <v>1.46</v>
      </c>
      <c r="T143" s="135">
        <f t="shared" si="42"/>
        <v>1.46</v>
      </c>
      <c r="U143" s="135">
        <f t="shared" si="42"/>
        <v>1.46</v>
      </c>
      <c r="V143" s="135">
        <f t="shared" si="42"/>
        <v>1.46</v>
      </c>
      <c r="W143" s="135">
        <f t="shared" si="42"/>
        <v>1.46</v>
      </c>
      <c r="X143" s="135">
        <f t="shared" si="42"/>
        <v>1.46</v>
      </c>
      <c r="Y143" s="135">
        <f t="shared" si="42"/>
        <v>1.46</v>
      </c>
      <c r="Z143" s="135">
        <f t="shared" si="42"/>
        <v>1.46</v>
      </c>
      <c r="AA143" s="135">
        <f t="shared" si="42"/>
        <v>1.46</v>
      </c>
      <c r="AB143" s="135">
        <f t="shared" si="42"/>
        <v>1.46</v>
      </c>
      <c r="AC143" s="135">
        <f t="shared" si="42"/>
        <v>1.46</v>
      </c>
      <c r="AD143" s="135">
        <f t="shared" si="42"/>
        <v>1.46</v>
      </c>
      <c r="AE143" s="135">
        <f t="shared" si="42"/>
        <v>1.46</v>
      </c>
      <c r="AF143" s="135">
        <f t="shared" si="42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40"/>
        <v>3</v>
      </c>
      <c r="C144" s="136">
        <v>3</v>
      </c>
      <c r="D144" s="135">
        <f t="shared" si="41"/>
        <v>3</v>
      </c>
      <c r="E144" s="135">
        <f t="shared" si="41"/>
        <v>3</v>
      </c>
      <c r="F144" s="135">
        <f t="shared" si="41"/>
        <v>3</v>
      </c>
      <c r="G144" s="135">
        <f t="shared" si="41"/>
        <v>3</v>
      </c>
      <c r="H144" s="135">
        <f t="shared" si="41"/>
        <v>3</v>
      </c>
      <c r="I144" s="135">
        <f t="shared" si="41"/>
        <v>3</v>
      </c>
      <c r="J144" s="135">
        <f t="shared" si="41"/>
        <v>3</v>
      </c>
      <c r="K144" s="135">
        <f t="shared" si="41"/>
        <v>3</v>
      </c>
      <c r="L144" s="135">
        <f t="shared" si="41"/>
        <v>3</v>
      </c>
      <c r="M144" s="135">
        <f t="shared" si="41"/>
        <v>3</v>
      </c>
      <c r="N144" s="135">
        <f t="shared" si="41"/>
        <v>3</v>
      </c>
      <c r="O144" s="135">
        <f t="shared" si="41"/>
        <v>3</v>
      </c>
      <c r="P144" s="135">
        <f t="shared" si="41"/>
        <v>3</v>
      </c>
      <c r="Q144" s="135">
        <f t="shared" si="41"/>
        <v>3</v>
      </c>
      <c r="R144" s="135">
        <f t="shared" si="41"/>
        <v>3</v>
      </c>
      <c r="S144" s="135">
        <f t="shared" si="41"/>
        <v>3</v>
      </c>
      <c r="T144" s="135">
        <f t="shared" si="42"/>
        <v>3</v>
      </c>
      <c r="U144" s="135">
        <f t="shared" si="42"/>
        <v>3</v>
      </c>
      <c r="V144" s="135">
        <f t="shared" si="42"/>
        <v>3</v>
      </c>
      <c r="W144" s="135">
        <f t="shared" si="42"/>
        <v>3</v>
      </c>
      <c r="X144" s="135">
        <f t="shared" si="42"/>
        <v>3</v>
      </c>
      <c r="Y144" s="135">
        <f t="shared" si="42"/>
        <v>3</v>
      </c>
      <c r="Z144" s="135">
        <f t="shared" si="42"/>
        <v>3</v>
      </c>
      <c r="AA144" s="135">
        <f t="shared" si="42"/>
        <v>3</v>
      </c>
      <c r="AB144" s="135">
        <f t="shared" si="42"/>
        <v>3</v>
      </c>
      <c r="AC144" s="135">
        <f t="shared" si="42"/>
        <v>3</v>
      </c>
      <c r="AD144" s="135">
        <f t="shared" si="42"/>
        <v>3</v>
      </c>
      <c r="AE144" s="135">
        <f t="shared" si="42"/>
        <v>3</v>
      </c>
      <c r="AF144" s="135">
        <f t="shared" si="42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40"/>
        <v>3.3</v>
      </c>
      <c r="C145" s="136">
        <v>3.3</v>
      </c>
      <c r="D145" s="135">
        <f t="shared" si="41"/>
        <v>3.3</v>
      </c>
      <c r="E145" s="135">
        <f t="shared" si="41"/>
        <v>3.3</v>
      </c>
      <c r="F145" s="135">
        <f t="shared" si="41"/>
        <v>3.3</v>
      </c>
      <c r="G145" s="135">
        <f t="shared" si="41"/>
        <v>3.3</v>
      </c>
      <c r="H145" s="135">
        <f t="shared" si="41"/>
        <v>3.3</v>
      </c>
      <c r="I145" s="135">
        <f t="shared" si="41"/>
        <v>3.3</v>
      </c>
      <c r="J145" s="135">
        <f t="shared" si="41"/>
        <v>3.3</v>
      </c>
      <c r="K145" s="135">
        <f t="shared" si="41"/>
        <v>3.3</v>
      </c>
      <c r="L145" s="135">
        <f t="shared" si="41"/>
        <v>3.3</v>
      </c>
      <c r="M145" s="135">
        <f t="shared" si="41"/>
        <v>3.3</v>
      </c>
      <c r="N145" s="135">
        <f t="shared" si="41"/>
        <v>3.3</v>
      </c>
      <c r="O145" s="135">
        <f t="shared" si="41"/>
        <v>3.3</v>
      </c>
      <c r="P145" s="135">
        <f t="shared" si="41"/>
        <v>3.3</v>
      </c>
      <c r="Q145" s="135">
        <f t="shared" si="41"/>
        <v>3.3</v>
      </c>
      <c r="R145" s="135">
        <f t="shared" si="41"/>
        <v>3.3</v>
      </c>
      <c r="S145" s="135">
        <f t="shared" si="41"/>
        <v>3.3</v>
      </c>
      <c r="T145" s="135">
        <f t="shared" si="42"/>
        <v>3.3</v>
      </c>
      <c r="U145" s="135">
        <f t="shared" si="42"/>
        <v>3.3</v>
      </c>
      <c r="V145" s="135">
        <f t="shared" si="42"/>
        <v>3.3</v>
      </c>
      <c r="W145" s="135">
        <f t="shared" si="42"/>
        <v>3.3</v>
      </c>
      <c r="X145" s="135">
        <f t="shared" si="42"/>
        <v>3.3</v>
      </c>
      <c r="Y145" s="135">
        <f t="shared" si="42"/>
        <v>3.3</v>
      </c>
      <c r="Z145" s="135">
        <f t="shared" si="42"/>
        <v>3.3</v>
      </c>
      <c r="AA145" s="135">
        <f t="shared" si="42"/>
        <v>3.3</v>
      </c>
      <c r="AB145" s="135">
        <f t="shared" si="42"/>
        <v>3.3</v>
      </c>
      <c r="AC145" s="135">
        <f t="shared" si="42"/>
        <v>3.3</v>
      </c>
      <c r="AD145" s="135">
        <f t="shared" si="42"/>
        <v>3.3</v>
      </c>
      <c r="AE145" s="135">
        <f t="shared" si="42"/>
        <v>3.3</v>
      </c>
      <c r="AF145" s="135">
        <f t="shared" si="42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3">C147</f>
        <v>1.76</v>
      </c>
      <c r="E147" s="135">
        <f t="shared" si="43"/>
        <v>1.76</v>
      </c>
      <c r="F147" s="135">
        <f t="shared" si="43"/>
        <v>1.76</v>
      </c>
      <c r="G147" s="135">
        <f t="shared" si="43"/>
        <v>1.76</v>
      </c>
      <c r="H147" s="135">
        <f t="shared" si="43"/>
        <v>1.76</v>
      </c>
      <c r="I147" s="135">
        <f t="shared" si="43"/>
        <v>1.76</v>
      </c>
      <c r="J147" s="135">
        <f t="shared" si="43"/>
        <v>1.76</v>
      </c>
      <c r="K147" s="135">
        <f t="shared" si="43"/>
        <v>1.76</v>
      </c>
      <c r="L147" s="135">
        <f t="shared" si="43"/>
        <v>1.76</v>
      </c>
      <c r="M147" s="135">
        <f t="shared" si="43"/>
        <v>1.76</v>
      </c>
      <c r="N147" s="135">
        <f t="shared" si="43"/>
        <v>1.76</v>
      </c>
      <c r="O147" s="135">
        <f t="shared" si="43"/>
        <v>1.76</v>
      </c>
      <c r="P147" s="135">
        <f t="shared" si="43"/>
        <v>1.76</v>
      </c>
      <c r="Q147" s="135">
        <f t="shared" si="43"/>
        <v>1.76</v>
      </c>
      <c r="R147" s="135">
        <f t="shared" si="43"/>
        <v>1.76</v>
      </c>
      <c r="S147" s="135">
        <f t="shared" si="43"/>
        <v>1.76</v>
      </c>
      <c r="T147" s="135">
        <f t="shared" ref="T147:AF148" si="44">S147</f>
        <v>1.76</v>
      </c>
      <c r="U147" s="135">
        <f t="shared" si="44"/>
        <v>1.76</v>
      </c>
      <c r="V147" s="135">
        <f t="shared" si="44"/>
        <v>1.76</v>
      </c>
      <c r="W147" s="135">
        <f t="shared" si="44"/>
        <v>1.76</v>
      </c>
      <c r="X147" s="135">
        <f t="shared" si="44"/>
        <v>1.76</v>
      </c>
      <c r="Y147" s="135">
        <f t="shared" si="44"/>
        <v>1.76</v>
      </c>
      <c r="Z147" s="135">
        <f t="shared" si="44"/>
        <v>1.76</v>
      </c>
      <c r="AA147" s="135">
        <f t="shared" si="44"/>
        <v>1.76</v>
      </c>
      <c r="AB147" s="135">
        <f t="shared" si="44"/>
        <v>1.76</v>
      </c>
      <c r="AC147" s="135">
        <f t="shared" si="44"/>
        <v>1.76</v>
      </c>
      <c r="AD147" s="135">
        <f t="shared" si="44"/>
        <v>1.76</v>
      </c>
      <c r="AE147" s="135">
        <f t="shared" si="44"/>
        <v>1.76</v>
      </c>
      <c r="AF147" s="135">
        <f t="shared" si="44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3"/>
        <v>0</v>
      </c>
      <c r="E148" s="135">
        <f t="shared" si="43"/>
        <v>0</v>
      </c>
      <c r="F148" s="135">
        <f t="shared" si="43"/>
        <v>0</v>
      </c>
      <c r="G148" s="135">
        <f t="shared" si="43"/>
        <v>0</v>
      </c>
      <c r="H148" s="135">
        <f t="shared" si="43"/>
        <v>0</v>
      </c>
      <c r="I148" s="135">
        <f t="shared" si="43"/>
        <v>0</v>
      </c>
      <c r="J148" s="135">
        <f t="shared" si="43"/>
        <v>0</v>
      </c>
      <c r="K148" s="135">
        <f t="shared" si="43"/>
        <v>0</v>
      </c>
      <c r="L148" s="135">
        <f t="shared" si="43"/>
        <v>0</v>
      </c>
      <c r="M148" s="135">
        <f t="shared" si="43"/>
        <v>0</v>
      </c>
      <c r="N148" s="135">
        <f t="shared" si="43"/>
        <v>0</v>
      </c>
      <c r="O148" s="135">
        <f t="shared" si="43"/>
        <v>0</v>
      </c>
      <c r="P148" s="135">
        <f t="shared" si="43"/>
        <v>0</v>
      </c>
      <c r="Q148" s="135">
        <f t="shared" si="43"/>
        <v>0</v>
      </c>
      <c r="R148" s="135">
        <f t="shared" si="43"/>
        <v>0</v>
      </c>
      <c r="S148" s="135">
        <f t="shared" si="43"/>
        <v>0</v>
      </c>
      <c r="T148" s="135">
        <f t="shared" si="44"/>
        <v>0</v>
      </c>
      <c r="U148" s="135">
        <f t="shared" si="44"/>
        <v>0</v>
      </c>
      <c r="V148" s="135">
        <f t="shared" si="44"/>
        <v>0</v>
      </c>
      <c r="W148" s="135">
        <f t="shared" si="44"/>
        <v>0</v>
      </c>
      <c r="X148" s="135">
        <f t="shared" si="44"/>
        <v>0</v>
      </c>
      <c r="Y148" s="135">
        <f t="shared" si="44"/>
        <v>0</v>
      </c>
      <c r="Z148" s="135">
        <f t="shared" si="44"/>
        <v>0</v>
      </c>
      <c r="AA148" s="135">
        <f t="shared" si="44"/>
        <v>0</v>
      </c>
      <c r="AB148" s="135">
        <f t="shared" si="44"/>
        <v>0</v>
      </c>
      <c r="AC148" s="135">
        <f t="shared" si="44"/>
        <v>0</v>
      </c>
      <c r="AD148" s="135">
        <f t="shared" si="44"/>
        <v>0</v>
      </c>
      <c r="AE148" s="135">
        <f t="shared" si="44"/>
        <v>0</v>
      </c>
      <c r="AF148" s="135">
        <f t="shared" si="44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5">C150</f>
        <v>0.1</v>
      </c>
      <c r="E150" s="135">
        <f t="shared" si="45"/>
        <v>0.1</v>
      </c>
      <c r="F150" s="135">
        <f t="shared" si="45"/>
        <v>0.1</v>
      </c>
      <c r="G150" s="135">
        <f t="shared" si="45"/>
        <v>0.1</v>
      </c>
      <c r="H150" s="135">
        <f t="shared" si="45"/>
        <v>0.1</v>
      </c>
      <c r="I150" s="135">
        <f t="shared" si="45"/>
        <v>0.1</v>
      </c>
      <c r="J150" s="135">
        <f t="shared" si="45"/>
        <v>0.1</v>
      </c>
      <c r="K150" s="135">
        <f t="shared" si="45"/>
        <v>0.1</v>
      </c>
      <c r="L150" s="135">
        <f t="shared" si="45"/>
        <v>0.1</v>
      </c>
      <c r="M150" s="135">
        <f t="shared" si="45"/>
        <v>0.1</v>
      </c>
      <c r="N150" s="135">
        <f t="shared" si="45"/>
        <v>0.1</v>
      </c>
      <c r="O150" s="135">
        <f t="shared" si="45"/>
        <v>0.1</v>
      </c>
      <c r="P150" s="135">
        <f t="shared" si="45"/>
        <v>0.1</v>
      </c>
      <c r="Q150" s="135">
        <f t="shared" si="45"/>
        <v>0.1</v>
      </c>
      <c r="R150" s="135">
        <f t="shared" si="45"/>
        <v>0.1</v>
      </c>
      <c r="S150" s="135">
        <f t="shared" si="45"/>
        <v>0.1</v>
      </c>
      <c r="T150" s="135">
        <f t="shared" ref="T150:AF153" si="46">S150</f>
        <v>0.1</v>
      </c>
      <c r="U150" s="135">
        <f t="shared" si="46"/>
        <v>0.1</v>
      </c>
      <c r="V150" s="135">
        <f t="shared" si="46"/>
        <v>0.1</v>
      </c>
      <c r="W150" s="135">
        <f t="shared" si="46"/>
        <v>0.1</v>
      </c>
      <c r="X150" s="135">
        <f t="shared" si="46"/>
        <v>0.1</v>
      </c>
      <c r="Y150" s="135">
        <f t="shared" si="46"/>
        <v>0.1</v>
      </c>
      <c r="Z150" s="135">
        <f t="shared" si="46"/>
        <v>0.1</v>
      </c>
      <c r="AA150" s="135">
        <f t="shared" si="46"/>
        <v>0.1</v>
      </c>
      <c r="AB150" s="135">
        <f t="shared" si="46"/>
        <v>0.1</v>
      </c>
      <c r="AC150" s="135">
        <f t="shared" si="46"/>
        <v>0.1</v>
      </c>
      <c r="AD150" s="135">
        <f t="shared" si="46"/>
        <v>0.1</v>
      </c>
      <c r="AE150" s="135">
        <f t="shared" si="46"/>
        <v>0.1</v>
      </c>
      <c r="AF150" s="135">
        <f t="shared" si="46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5"/>
        <v>2.0499999999999998</v>
      </c>
      <c r="E151" s="135">
        <f t="shared" si="45"/>
        <v>2.0499999999999998</v>
      </c>
      <c r="F151" s="135">
        <f t="shared" si="45"/>
        <v>2.0499999999999998</v>
      </c>
      <c r="G151" s="135">
        <f t="shared" si="45"/>
        <v>2.0499999999999998</v>
      </c>
      <c r="H151" s="135">
        <f t="shared" si="45"/>
        <v>2.0499999999999998</v>
      </c>
      <c r="I151" s="135">
        <f t="shared" si="45"/>
        <v>2.0499999999999998</v>
      </c>
      <c r="J151" s="135">
        <f t="shared" si="45"/>
        <v>2.0499999999999998</v>
      </c>
      <c r="K151" s="135">
        <f t="shared" si="45"/>
        <v>2.0499999999999998</v>
      </c>
      <c r="L151" s="135">
        <f t="shared" si="45"/>
        <v>2.0499999999999998</v>
      </c>
      <c r="M151" s="135">
        <f t="shared" si="45"/>
        <v>2.0499999999999998</v>
      </c>
      <c r="N151" s="135">
        <f t="shared" si="45"/>
        <v>2.0499999999999998</v>
      </c>
      <c r="O151" s="135">
        <f t="shared" si="45"/>
        <v>2.0499999999999998</v>
      </c>
      <c r="P151" s="135">
        <f t="shared" si="45"/>
        <v>2.0499999999999998</v>
      </c>
      <c r="Q151" s="135">
        <f t="shared" si="45"/>
        <v>2.0499999999999998</v>
      </c>
      <c r="R151" s="135">
        <f t="shared" si="45"/>
        <v>2.0499999999999998</v>
      </c>
      <c r="S151" s="135">
        <f t="shared" si="45"/>
        <v>2.0499999999999998</v>
      </c>
      <c r="T151" s="135">
        <f t="shared" si="46"/>
        <v>2.0499999999999998</v>
      </c>
      <c r="U151" s="135">
        <f t="shared" si="46"/>
        <v>2.0499999999999998</v>
      </c>
      <c r="V151" s="135">
        <f t="shared" si="46"/>
        <v>2.0499999999999998</v>
      </c>
      <c r="W151" s="135">
        <f t="shared" si="46"/>
        <v>2.0499999999999998</v>
      </c>
      <c r="X151" s="135">
        <f t="shared" si="46"/>
        <v>2.0499999999999998</v>
      </c>
      <c r="Y151" s="135">
        <f t="shared" si="46"/>
        <v>2.0499999999999998</v>
      </c>
      <c r="Z151" s="135">
        <f t="shared" si="46"/>
        <v>2.0499999999999998</v>
      </c>
      <c r="AA151" s="135">
        <f t="shared" si="46"/>
        <v>2.0499999999999998</v>
      </c>
      <c r="AB151" s="135">
        <f t="shared" si="46"/>
        <v>2.0499999999999998</v>
      </c>
      <c r="AC151" s="135">
        <f t="shared" si="46"/>
        <v>2.0499999999999998</v>
      </c>
      <c r="AD151" s="135">
        <f t="shared" si="46"/>
        <v>2.0499999999999998</v>
      </c>
      <c r="AE151" s="135">
        <f t="shared" si="46"/>
        <v>2.0499999999999998</v>
      </c>
      <c r="AF151" s="135">
        <f t="shared" si="46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5"/>
        <v>2.7</v>
      </c>
      <c r="E152" s="135">
        <f t="shared" si="45"/>
        <v>2.7</v>
      </c>
      <c r="F152" s="135">
        <f t="shared" si="45"/>
        <v>2.7</v>
      </c>
      <c r="G152" s="135">
        <f t="shared" si="45"/>
        <v>2.7</v>
      </c>
      <c r="H152" s="135">
        <f t="shared" si="45"/>
        <v>2.7</v>
      </c>
      <c r="I152" s="135">
        <f t="shared" si="45"/>
        <v>2.7</v>
      </c>
      <c r="J152" s="135">
        <f t="shared" si="45"/>
        <v>2.7</v>
      </c>
      <c r="K152" s="135">
        <f t="shared" si="45"/>
        <v>2.7</v>
      </c>
      <c r="L152" s="135">
        <f t="shared" si="45"/>
        <v>2.7</v>
      </c>
      <c r="M152" s="135">
        <f t="shared" si="45"/>
        <v>2.7</v>
      </c>
      <c r="N152" s="135">
        <f t="shared" si="45"/>
        <v>2.7</v>
      </c>
      <c r="O152" s="135">
        <f t="shared" si="45"/>
        <v>2.7</v>
      </c>
      <c r="P152" s="135">
        <f t="shared" si="45"/>
        <v>2.7</v>
      </c>
      <c r="Q152" s="135">
        <f t="shared" si="45"/>
        <v>2.7</v>
      </c>
      <c r="R152" s="135">
        <f t="shared" si="45"/>
        <v>2.7</v>
      </c>
      <c r="S152" s="135">
        <f t="shared" si="45"/>
        <v>2.7</v>
      </c>
      <c r="T152" s="135">
        <f t="shared" si="46"/>
        <v>2.7</v>
      </c>
      <c r="U152" s="135">
        <f t="shared" si="46"/>
        <v>2.7</v>
      </c>
      <c r="V152" s="135">
        <f t="shared" si="46"/>
        <v>2.7</v>
      </c>
      <c r="W152" s="135">
        <f t="shared" si="46"/>
        <v>2.7</v>
      </c>
      <c r="X152" s="135">
        <f t="shared" si="46"/>
        <v>2.7</v>
      </c>
      <c r="Y152" s="135">
        <f t="shared" si="46"/>
        <v>2.7</v>
      </c>
      <c r="Z152" s="135">
        <f t="shared" si="46"/>
        <v>2.7</v>
      </c>
      <c r="AA152" s="135">
        <f t="shared" si="46"/>
        <v>2.7</v>
      </c>
      <c r="AB152" s="135">
        <f t="shared" si="46"/>
        <v>2.7</v>
      </c>
      <c r="AC152" s="135">
        <f t="shared" si="46"/>
        <v>2.7</v>
      </c>
      <c r="AD152" s="135">
        <f t="shared" si="46"/>
        <v>2.7</v>
      </c>
      <c r="AE152" s="135">
        <f t="shared" si="46"/>
        <v>2.7</v>
      </c>
      <c r="AF152" s="135">
        <f t="shared" si="46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5"/>
        <v>2.15</v>
      </c>
      <c r="E153" s="135">
        <f t="shared" si="45"/>
        <v>2.15</v>
      </c>
      <c r="F153" s="135">
        <f t="shared" si="45"/>
        <v>2.15</v>
      </c>
      <c r="G153" s="135">
        <f t="shared" si="45"/>
        <v>2.15</v>
      </c>
      <c r="H153" s="135">
        <f t="shared" si="45"/>
        <v>2.15</v>
      </c>
      <c r="I153" s="135">
        <f t="shared" si="45"/>
        <v>2.15</v>
      </c>
      <c r="J153" s="135">
        <f t="shared" si="45"/>
        <v>2.15</v>
      </c>
      <c r="K153" s="135">
        <f t="shared" si="45"/>
        <v>2.15</v>
      </c>
      <c r="L153" s="135">
        <f t="shared" si="45"/>
        <v>2.15</v>
      </c>
      <c r="M153" s="135">
        <f t="shared" si="45"/>
        <v>2.15</v>
      </c>
      <c r="N153" s="135">
        <f t="shared" si="45"/>
        <v>2.15</v>
      </c>
      <c r="O153" s="135">
        <f t="shared" si="45"/>
        <v>2.15</v>
      </c>
      <c r="P153" s="135">
        <f t="shared" si="45"/>
        <v>2.15</v>
      </c>
      <c r="Q153" s="135">
        <f t="shared" si="45"/>
        <v>2.15</v>
      </c>
      <c r="R153" s="135">
        <f t="shared" si="45"/>
        <v>2.15</v>
      </c>
      <c r="S153" s="135">
        <f t="shared" si="45"/>
        <v>2.15</v>
      </c>
      <c r="T153" s="135">
        <f t="shared" si="46"/>
        <v>2.15</v>
      </c>
      <c r="U153" s="135">
        <f t="shared" si="46"/>
        <v>2.15</v>
      </c>
      <c r="V153" s="135">
        <f t="shared" si="46"/>
        <v>2.15</v>
      </c>
      <c r="W153" s="135">
        <f t="shared" si="46"/>
        <v>2.15</v>
      </c>
      <c r="X153" s="135">
        <f t="shared" si="46"/>
        <v>2.15</v>
      </c>
      <c r="Y153" s="135">
        <f t="shared" si="46"/>
        <v>2.15</v>
      </c>
      <c r="Z153" s="135">
        <f t="shared" si="46"/>
        <v>2.15</v>
      </c>
      <c r="AA153" s="135">
        <f t="shared" si="46"/>
        <v>2.15</v>
      </c>
      <c r="AB153" s="135">
        <f t="shared" si="46"/>
        <v>2.15</v>
      </c>
      <c r="AC153" s="135">
        <f t="shared" si="46"/>
        <v>2.15</v>
      </c>
      <c r="AD153" s="135">
        <f t="shared" si="46"/>
        <v>2.15</v>
      </c>
      <c r="AE153" s="135">
        <f t="shared" si="46"/>
        <v>2.15</v>
      </c>
      <c r="AF153" s="135">
        <f t="shared" si="46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7">AF155</f>
        <v>0.9</v>
      </c>
      <c r="C155" s="136">
        <v>0.9</v>
      </c>
      <c r="D155" s="135">
        <f t="shared" ref="D155:S167" si="48">C155</f>
        <v>0.9</v>
      </c>
      <c r="E155" s="135">
        <f t="shared" si="48"/>
        <v>0.9</v>
      </c>
      <c r="F155" s="135">
        <f t="shared" si="48"/>
        <v>0.9</v>
      </c>
      <c r="G155" s="135">
        <f t="shared" si="48"/>
        <v>0.9</v>
      </c>
      <c r="H155" s="135">
        <f t="shared" si="48"/>
        <v>0.9</v>
      </c>
      <c r="I155" s="135">
        <f t="shared" si="48"/>
        <v>0.9</v>
      </c>
      <c r="J155" s="135">
        <f t="shared" si="48"/>
        <v>0.9</v>
      </c>
      <c r="K155" s="135">
        <f t="shared" si="48"/>
        <v>0.9</v>
      </c>
      <c r="L155" s="135">
        <f t="shared" si="48"/>
        <v>0.9</v>
      </c>
      <c r="M155" s="135">
        <f t="shared" si="48"/>
        <v>0.9</v>
      </c>
      <c r="N155" s="135">
        <f t="shared" si="48"/>
        <v>0.9</v>
      </c>
      <c r="O155" s="135">
        <f t="shared" si="48"/>
        <v>0.9</v>
      </c>
      <c r="P155" s="135">
        <f t="shared" si="48"/>
        <v>0.9</v>
      </c>
      <c r="Q155" s="135">
        <f t="shared" si="48"/>
        <v>0.9</v>
      </c>
      <c r="R155" s="135">
        <f t="shared" si="48"/>
        <v>0.9</v>
      </c>
      <c r="S155" s="135">
        <f t="shared" si="48"/>
        <v>0.9</v>
      </c>
      <c r="T155" s="135">
        <f t="shared" ref="S155:AF167" si="49">S155</f>
        <v>0.9</v>
      </c>
      <c r="U155" s="135">
        <f t="shared" si="49"/>
        <v>0.9</v>
      </c>
      <c r="V155" s="135">
        <f t="shared" si="49"/>
        <v>0.9</v>
      </c>
      <c r="W155" s="135">
        <f t="shared" si="49"/>
        <v>0.9</v>
      </c>
      <c r="X155" s="135">
        <f t="shared" si="49"/>
        <v>0.9</v>
      </c>
      <c r="Y155" s="135">
        <f t="shared" si="49"/>
        <v>0.9</v>
      </c>
      <c r="Z155" s="135">
        <f t="shared" si="49"/>
        <v>0.9</v>
      </c>
      <c r="AA155" s="135">
        <f t="shared" si="49"/>
        <v>0.9</v>
      </c>
      <c r="AB155" s="135">
        <f t="shared" si="49"/>
        <v>0.9</v>
      </c>
      <c r="AC155" s="135">
        <f t="shared" si="49"/>
        <v>0.9</v>
      </c>
      <c r="AD155" s="135">
        <f t="shared" si="49"/>
        <v>0.9</v>
      </c>
      <c r="AE155" s="135">
        <f t="shared" si="49"/>
        <v>0.9</v>
      </c>
      <c r="AF155" s="135">
        <f t="shared" si="49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7"/>
        <v>1.08</v>
      </c>
      <c r="C156" s="136">
        <v>1.08</v>
      </c>
      <c r="D156" s="135">
        <f t="shared" si="48"/>
        <v>1.08</v>
      </c>
      <c r="E156" s="135">
        <f t="shared" si="48"/>
        <v>1.08</v>
      </c>
      <c r="F156" s="135">
        <f t="shared" si="48"/>
        <v>1.08</v>
      </c>
      <c r="G156" s="135">
        <f t="shared" si="48"/>
        <v>1.08</v>
      </c>
      <c r="H156" s="135">
        <f t="shared" si="48"/>
        <v>1.08</v>
      </c>
      <c r="I156" s="135">
        <f t="shared" si="48"/>
        <v>1.08</v>
      </c>
      <c r="J156" s="135">
        <f t="shared" si="48"/>
        <v>1.08</v>
      </c>
      <c r="K156" s="135">
        <f t="shared" si="48"/>
        <v>1.08</v>
      </c>
      <c r="L156" s="135">
        <f t="shared" si="48"/>
        <v>1.08</v>
      </c>
      <c r="M156" s="135">
        <f t="shared" si="48"/>
        <v>1.08</v>
      </c>
      <c r="N156" s="135">
        <f t="shared" si="48"/>
        <v>1.08</v>
      </c>
      <c r="O156" s="135">
        <f t="shared" si="48"/>
        <v>1.08</v>
      </c>
      <c r="P156" s="135">
        <f t="shared" si="48"/>
        <v>1.08</v>
      </c>
      <c r="Q156" s="135">
        <f t="shared" si="48"/>
        <v>1.08</v>
      </c>
      <c r="R156" s="135">
        <f t="shared" si="48"/>
        <v>1.08</v>
      </c>
      <c r="S156" s="135">
        <f t="shared" si="48"/>
        <v>1.08</v>
      </c>
      <c r="T156" s="135">
        <f t="shared" si="49"/>
        <v>1.08</v>
      </c>
      <c r="U156" s="135">
        <f t="shared" si="49"/>
        <v>1.08</v>
      </c>
      <c r="V156" s="135">
        <f t="shared" si="49"/>
        <v>1.08</v>
      </c>
      <c r="W156" s="135">
        <f t="shared" si="49"/>
        <v>1.08</v>
      </c>
      <c r="X156" s="135">
        <f t="shared" si="49"/>
        <v>1.08</v>
      </c>
      <c r="Y156" s="135">
        <f t="shared" si="49"/>
        <v>1.08</v>
      </c>
      <c r="Z156" s="135">
        <f t="shared" si="49"/>
        <v>1.08</v>
      </c>
      <c r="AA156" s="135">
        <f t="shared" si="49"/>
        <v>1.08</v>
      </c>
      <c r="AB156" s="135">
        <f t="shared" si="49"/>
        <v>1.08</v>
      </c>
      <c r="AC156" s="135">
        <f t="shared" si="49"/>
        <v>1.08</v>
      </c>
      <c r="AD156" s="135">
        <f t="shared" si="49"/>
        <v>1.08</v>
      </c>
      <c r="AE156" s="135">
        <f t="shared" si="49"/>
        <v>1.08</v>
      </c>
      <c r="AF156" s="135">
        <f t="shared" si="49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7"/>
        <v>2.37</v>
      </c>
      <c r="C157" s="136">
        <v>2.37</v>
      </c>
      <c r="D157" s="135">
        <f t="shared" si="48"/>
        <v>2.37</v>
      </c>
      <c r="E157" s="135">
        <f t="shared" si="48"/>
        <v>2.37</v>
      </c>
      <c r="F157" s="135">
        <f t="shared" si="48"/>
        <v>2.37</v>
      </c>
      <c r="G157" s="135">
        <f t="shared" si="48"/>
        <v>2.37</v>
      </c>
      <c r="H157" s="135">
        <f t="shared" si="48"/>
        <v>2.37</v>
      </c>
      <c r="I157" s="135">
        <f t="shared" si="48"/>
        <v>2.37</v>
      </c>
      <c r="J157" s="135">
        <f t="shared" si="48"/>
        <v>2.37</v>
      </c>
      <c r="K157" s="135">
        <f t="shared" si="48"/>
        <v>2.37</v>
      </c>
      <c r="L157" s="135">
        <f t="shared" si="48"/>
        <v>2.37</v>
      </c>
      <c r="M157" s="135">
        <f t="shared" si="48"/>
        <v>2.37</v>
      </c>
      <c r="N157" s="135">
        <f t="shared" si="48"/>
        <v>2.37</v>
      </c>
      <c r="O157" s="135">
        <f t="shared" si="48"/>
        <v>2.37</v>
      </c>
      <c r="P157" s="135">
        <f t="shared" si="48"/>
        <v>2.37</v>
      </c>
      <c r="Q157" s="135">
        <f t="shared" si="48"/>
        <v>2.37</v>
      </c>
      <c r="R157" s="135">
        <f t="shared" si="48"/>
        <v>2.37</v>
      </c>
      <c r="S157" s="135">
        <f t="shared" si="48"/>
        <v>2.37</v>
      </c>
      <c r="T157" s="135">
        <f t="shared" si="49"/>
        <v>2.37</v>
      </c>
      <c r="U157" s="135">
        <f t="shared" si="49"/>
        <v>2.37</v>
      </c>
      <c r="V157" s="135">
        <f t="shared" si="49"/>
        <v>2.37</v>
      </c>
      <c r="W157" s="135">
        <f t="shared" si="49"/>
        <v>2.37</v>
      </c>
      <c r="X157" s="135">
        <f t="shared" si="49"/>
        <v>2.37</v>
      </c>
      <c r="Y157" s="135">
        <f t="shared" si="49"/>
        <v>2.37</v>
      </c>
      <c r="Z157" s="135">
        <f t="shared" si="49"/>
        <v>2.37</v>
      </c>
      <c r="AA157" s="135">
        <f t="shared" si="49"/>
        <v>2.37</v>
      </c>
      <c r="AB157" s="135">
        <f t="shared" si="49"/>
        <v>2.37</v>
      </c>
      <c r="AC157" s="135">
        <f t="shared" si="49"/>
        <v>2.37</v>
      </c>
      <c r="AD157" s="135">
        <f t="shared" si="49"/>
        <v>2.37</v>
      </c>
      <c r="AE157" s="135">
        <f t="shared" si="49"/>
        <v>2.37</v>
      </c>
      <c r="AF157" s="135">
        <f t="shared" si="49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7"/>
        <v>1.81</v>
      </c>
      <c r="C158" s="136">
        <v>1.81</v>
      </c>
      <c r="D158" s="135">
        <f t="shared" si="48"/>
        <v>1.81</v>
      </c>
      <c r="E158" s="135">
        <f t="shared" si="48"/>
        <v>1.81</v>
      </c>
      <c r="F158" s="135">
        <f t="shared" si="48"/>
        <v>1.81</v>
      </c>
      <c r="G158" s="135">
        <f t="shared" si="48"/>
        <v>1.81</v>
      </c>
      <c r="H158" s="135">
        <f t="shared" si="48"/>
        <v>1.81</v>
      </c>
      <c r="I158" s="135">
        <f t="shared" si="48"/>
        <v>1.81</v>
      </c>
      <c r="J158" s="135">
        <f t="shared" si="48"/>
        <v>1.81</v>
      </c>
      <c r="K158" s="135">
        <f t="shared" si="48"/>
        <v>1.81</v>
      </c>
      <c r="L158" s="135">
        <f t="shared" si="48"/>
        <v>1.81</v>
      </c>
      <c r="M158" s="135">
        <f t="shared" si="48"/>
        <v>1.81</v>
      </c>
      <c r="N158" s="135">
        <f t="shared" si="48"/>
        <v>1.81</v>
      </c>
      <c r="O158" s="135">
        <f t="shared" si="48"/>
        <v>1.81</v>
      </c>
      <c r="P158" s="135">
        <f t="shared" si="48"/>
        <v>1.81</v>
      </c>
      <c r="Q158" s="135">
        <f t="shared" si="48"/>
        <v>1.81</v>
      </c>
      <c r="R158" s="135">
        <f t="shared" si="48"/>
        <v>1.81</v>
      </c>
      <c r="S158" s="135">
        <f t="shared" si="48"/>
        <v>1.81</v>
      </c>
      <c r="T158" s="135">
        <f t="shared" si="49"/>
        <v>1.81</v>
      </c>
      <c r="U158" s="135">
        <f t="shared" si="49"/>
        <v>1.81</v>
      </c>
      <c r="V158" s="135">
        <f t="shared" si="49"/>
        <v>1.81</v>
      </c>
      <c r="W158" s="135">
        <f t="shared" si="49"/>
        <v>1.81</v>
      </c>
      <c r="X158" s="135">
        <f t="shared" si="49"/>
        <v>1.81</v>
      </c>
      <c r="Y158" s="135">
        <f t="shared" si="49"/>
        <v>1.81</v>
      </c>
      <c r="Z158" s="135">
        <f t="shared" si="49"/>
        <v>1.81</v>
      </c>
      <c r="AA158" s="135">
        <f t="shared" si="49"/>
        <v>1.81</v>
      </c>
      <c r="AB158" s="135">
        <f t="shared" si="49"/>
        <v>1.81</v>
      </c>
      <c r="AC158" s="135">
        <f t="shared" si="49"/>
        <v>1.81</v>
      </c>
      <c r="AD158" s="135">
        <f t="shared" si="49"/>
        <v>1.81</v>
      </c>
      <c r="AE158" s="135">
        <f t="shared" si="49"/>
        <v>1.81</v>
      </c>
      <c r="AF158" s="135">
        <f t="shared" si="49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7"/>
        <v>1.0900000000000001</v>
      </c>
      <c r="C159" s="136">
        <v>1.0900000000000001</v>
      </c>
      <c r="D159" s="135">
        <f t="shared" si="48"/>
        <v>1.0900000000000001</v>
      </c>
      <c r="E159" s="135">
        <f t="shared" si="48"/>
        <v>1.0900000000000001</v>
      </c>
      <c r="F159" s="135">
        <f t="shared" si="48"/>
        <v>1.0900000000000001</v>
      </c>
      <c r="G159" s="135">
        <f t="shared" si="48"/>
        <v>1.0900000000000001</v>
      </c>
      <c r="H159" s="135">
        <f t="shared" si="48"/>
        <v>1.0900000000000001</v>
      </c>
      <c r="I159" s="135">
        <f t="shared" si="48"/>
        <v>1.0900000000000001</v>
      </c>
      <c r="J159" s="135">
        <f t="shared" si="48"/>
        <v>1.0900000000000001</v>
      </c>
      <c r="K159" s="135">
        <f t="shared" si="48"/>
        <v>1.0900000000000001</v>
      </c>
      <c r="L159" s="135">
        <f t="shared" si="48"/>
        <v>1.0900000000000001</v>
      </c>
      <c r="M159" s="135">
        <f t="shared" si="48"/>
        <v>1.0900000000000001</v>
      </c>
      <c r="N159" s="135">
        <f t="shared" si="48"/>
        <v>1.0900000000000001</v>
      </c>
      <c r="O159" s="135">
        <f t="shared" si="48"/>
        <v>1.0900000000000001</v>
      </c>
      <c r="P159" s="135">
        <f t="shared" si="48"/>
        <v>1.0900000000000001</v>
      </c>
      <c r="Q159" s="135">
        <f t="shared" si="48"/>
        <v>1.0900000000000001</v>
      </c>
      <c r="R159" s="135">
        <f t="shared" si="48"/>
        <v>1.0900000000000001</v>
      </c>
      <c r="S159" s="135">
        <f t="shared" si="48"/>
        <v>1.0900000000000001</v>
      </c>
      <c r="T159" s="135">
        <f t="shared" si="49"/>
        <v>1.0900000000000001</v>
      </c>
      <c r="U159" s="135">
        <f t="shared" si="49"/>
        <v>1.0900000000000001</v>
      </c>
      <c r="V159" s="135">
        <f t="shared" si="49"/>
        <v>1.0900000000000001</v>
      </c>
      <c r="W159" s="135">
        <f t="shared" si="49"/>
        <v>1.0900000000000001</v>
      </c>
      <c r="X159" s="135">
        <f t="shared" si="49"/>
        <v>1.0900000000000001</v>
      </c>
      <c r="Y159" s="135">
        <f t="shared" si="49"/>
        <v>1.0900000000000001</v>
      </c>
      <c r="Z159" s="135">
        <f t="shared" si="49"/>
        <v>1.0900000000000001</v>
      </c>
      <c r="AA159" s="135">
        <f t="shared" si="49"/>
        <v>1.0900000000000001</v>
      </c>
      <c r="AB159" s="135">
        <f t="shared" si="49"/>
        <v>1.0900000000000001</v>
      </c>
      <c r="AC159" s="135">
        <f t="shared" si="49"/>
        <v>1.0900000000000001</v>
      </c>
      <c r="AD159" s="135">
        <f t="shared" si="49"/>
        <v>1.0900000000000001</v>
      </c>
      <c r="AE159" s="135">
        <f t="shared" si="49"/>
        <v>1.0900000000000001</v>
      </c>
      <c r="AF159" s="135">
        <f t="shared" si="49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7"/>
        <v>1.58</v>
      </c>
      <c r="C160" s="136">
        <v>1.58</v>
      </c>
      <c r="D160" s="135">
        <f t="shared" si="48"/>
        <v>1.58</v>
      </c>
      <c r="E160" s="135">
        <f t="shared" si="48"/>
        <v>1.58</v>
      </c>
      <c r="F160" s="135">
        <f t="shared" si="48"/>
        <v>1.58</v>
      </c>
      <c r="G160" s="135">
        <f t="shared" si="48"/>
        <v>1.58</v>
      </c>
      <c r="H160" s="135">
        <f t="shared" si="48"/>
        <v>1.58</v>
      </c>
      <c r="I160" s="135">
        <f t="shared" si="48"/>
        <v>1.58</v>
      </c>
      <c r="J160" s="135">
        <f t="shared" si="48"/>
        <v>1.58</v>
      </c>
      <c r="K160" s="135">
        <f t="shared" si="48"/>
        <v>1.58</v>
      </c>
      <c r="L160" s="135">
        <f t="shared" si="48"/>
        <v>1.58</v>
      </c>
      <c r="M160" s="135">
        <f t="shared" si="48"/>
        <v>1.58</v>
      </c>
      <c r="N160" s="135">
        <f t="shared" si="48"/>
        <v>1.58</v>
      </c>
      <c r="O160" s="135">
        <f t="shared" si="48"/>
        <v>1.58</v>
      </c>
      <c r="P160" s="135">
        <f t="shared" si="48"/>
        <v>1.58</v>
      </c>
      <c r="Q160" s="135">
        <f t="shared" si="48"/>
        <v>1.58</v>
      </c>
      <c r="R160" s="135">
        <f t="shared" si="48"/>
        <v>1.58</v>
      </c>
      <c r="S160" s="135">
        <f t="shared" si="48"/>
        <v>1.58</v>
      </c>
      <c r="T160" s="135">
        <f t="shared" si="49"/>
        <v>1.58</v>
      </c>
      <c r="U160" s="135">
        <f t="shared" si="49"/>
        <v>1.58</v>
      </c>
      <c r="V160" s="135">
        <f t="shared" si="49"/>
        <v>1.58</v>
      </c>
      <c r="W160" s="135">
        <f t="shared" si="49"/>
        <v>1.58</v>
      </c>
      <c r="X160" s="135">
        <f t="shared" si="49"/>
        <v>1.58</v>
      </c>
      <c r="Y160" s="135">
        <f t="shared" si="49"/>
        <v>1.58</v>
      </c>
      <c r="Z160" s="135">
        <f t="shared" si="49"/>
        <v>1.58</v>
      </c>
      <c r="AA160" s="135">
        <f t="shared" si="49"/>
        <v>1.58</v>
      </c>
      <c r="AB160" s="135">
        <f t="shared" si="49"/>
        <v>1.58</v>
      </c>
      <c r="AC160" s="135">
        <f t="shared" si="49"/>
        <v>1.58</v>
      </c>
      <c r="AD160" s="135">
        <f t="shared" si="49"/>
        <v>1.58</v>
      </c>
      <c r="AE160" s="135">
        <f t="shared" si="49"/>
        <v>1.58</v>
      </c>
      <c r="AF160" s="135">
        <f t="shared" si="49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7"/>
        <v>2</v>
      </c>
      <c r="C161" s="136">
        <v>2</v>
      </c>
      <c r="D161" s="135">
        <f t="shared" si="48"/>
        <v>2</v>
      </c>
      <c r="E161" s="135">
        <f t="shared" si="48"/>
        <v>2</v>
      </c>
      <c r="F161" s="135">
        <f t="shared" si="48"/>
        <v>2</v>
      </c>
      <c r="G161" s="135">
        <f t="shared" si="48"/>
        <v>2</v>
      </c>
      <c r="H161" s="135">
        <f t="shared" si="48"/>
        <v>2</v>
      </c>
      <c r="I161" s="135">
        <f t="shared" si="48"/>
        <v>2</v>
      </c>
      <c r="J161" s="135">
        <f t="shared" si="48"/>
        <v>2</v>
      </c>
      <c r="K161" s="135">
        <f t="shared" si="48"/>
        <v>2</v>
      </c>
      <c r="L161" s="135">
        <f t="shared" si="48"/>
        <v>2</v>
      </c>
      <c r="M161" s="135">
        <f t="shared" si="48"/>
        <v>2</v>
      </c>
      <c r="N161" s="135">
        <f t="shared" si="48"/>
        <v>2</v>
      </c>
      <c r="O161" s="135">
        <f t="shared" si="48"/>
        <v>2</v>
      </c>
      <c r="P161" s="135">
        <f t="shared" si="48"/>
        <v>2</v>
      </c>
      <c r="Q161" s="135">
        <f t="shared" si="48"/>
        <v>2</v>
      </c>
      <c r="R161" s="135">
        <f t="shared" si="48"/>
        <v>2</v>
      </c>
      <c r="S161" s="135">
        <f t="shared" si="48"/>
        <v>2</v>
      </c>
      <c r="T161" s="135">
        <f t="shared" si="49"/>
        <v>2</v>
      </c>
      <c r="U161" s="135">
        <f t="shared" si="49"/>
        <v>2</v>
      </c>
      <c r="V161" s="135">
        <f t="shared" si="49"/>
        <v>2</v>
      </c>
      <c r="W161" s="135">
        <f t="shared" si="49"/>
        <v>2</v>
      </c>
      <c r="X161" s="135">
        <f t="shared" si="49"/>
        <v>2</v>
      </c>
      <c r="Y161" s="135">
        <f t="shared" si="49"/>
        <v>2</v>
      </c>
      <c r="Z161" s="135">
        <f t="shared" si="49"/>
        <v>2</v>
      </c>
      <c r="AA161" s="135">
        <f t="shared" si="49"/>
        <v>2</v>
      </c>
      <c r="AB161" s="135">
        <f t="shared" si="49"/>
        <v>2</v>
      </c>
      <c r="AC161" s="135">
        <f t="shared" si="49"/>
        <v>2</v>
      </c>
      <c r="AD161" s="135">
        <f t="shared" si="49"/>
        <v>2</v>
      </c>
      <c r="AE161" s="135">
        <f t="shared" si="49"/>
        <v>2</v>
      </c>
      <c r="AF161" s="135">
        <f t="shared" si="49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7"/>
        <v>0.47</v>
      </c>
      <c r="C162" s="136">
        <v>0.47</v>
      </c>
      <c r="D162" s="135">
        <f t="shared" si="48"/>
        <v>0.47</v>
      </c>
      <c r="E162" s="135">
        <f t="shared" si="48"/>
        <v>0.47</v>
      </c>
      <c r="F162" s="135">
        <f t="shared" si="48"/>
        <v>0.47</v>
      </c>
      <c r="G162" s="135">
        <f t="shared" si="48"/>
        <v>0.47</v>
      </c>
      <c r="H162" s="135">
        <f t="shared" si="48"/>
        <v>0.47</v>
      </c>
      <c r="I162" s="135">
        <f t="shared" si="48"/>
        <v>0.47</v>
      </c>
      <c r="J162" s="135">
        <f t="shared" si="48"/>
        <v>0.47</v>
      </c>
      <c r="K162" s="135">
        <f t="shared" si="48"/>
        <v>0.47</v>
      </c>
      <c r="L162" s="135">
        <f t="shared" si="48"/>
        <v>0.47</v>
      </c>
      <c r="M162" s="135">
        <f t="shared" si="48"/>
        <v>0.47</v>
      </c>
      <c r="N162" s="135">
        <f t="shared" si="48"/>
        <v>0.47</v>
      </c>
      <c r="O162" s="135">
        <f t="shared" si="48"/>
        <v>0.47</v>
      </c>
      <c r="P162" s="135">
        <f t="shared" si="48"/>
        <v>0.47</v>
      </c>
      <c r="Q162" s="135">
        <f t="shared" si="48"/>
        <v>0.47</v>
      </c>
      <c r="R162" s="135">
        <f t="shared" si="48"/>
        <v>0.47</v>
      </c>
      <c r="S162" s="135">
        <f t="shared" si="48"/>
        <v>0.47</v>
      </c>
      <c r="T162" s="135">
        <f t="shared" si="49"/>
        <v>0.47</v>
      </c>
      <c r="U162" s="135">
        <f t="shared" si="49"/>
        <v>0.47</v>
      </c>
      <c r="V162" s="135">
        <f t="shared" si="49"/>
        <v>0.47</v>
      </c>
      <c r="W162" s="135">
        <f t="shared" si="49"/>
        <v>0.47</v>
      </c>
      <c r="X162" s="135">
        <f t="shared" si="49"/>
        <v>0.47</v>
      </c>
      <c r="Y162" s="135">
        <f t="shared" si="49"/>
        <v>0.47</v>
      </c>
      <c r="Z162" s="135">
        <f t="shared" si="49"/>
        <v>0.47</v>
      </c>
      <c r="AA162" s="135">
        <f t="shared" si="49"/>
        <v>0.47</v>
      </c>
      <c r="AB162" s="135">
        <f t="shared" si="49"/>
        <v>0.47</v>
      </c>
      <c r="AC162" s="135">
        <f t="shared" si="49"/>
        <v>0.47</v>
      </c>
      <c r="AD162" s="135">
        <f t="shared" si="49"/>
        <v>0.47</v>
      </c>
      <c r="AE162" s="135">
        <f t="shared" si="49"/>
        <v>0.47</v>
      </c>
      <c r="AF162" s="135">
        <f t="shared" si="49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7"/>
        <v>0</v>
      </c>
      <c r="C163" s="136">
        <v>0</v>
      </c>
      <c r="D163" s="135">
        <f t="shared" si="48"/>
        <v>0</v>
      </c>
      <c r="E163" s="135">
        <f t="shared" si="48"/>
        <v>0</v>
      </c>
      <c r="F163" s="135">
        <f t="shared" si="48"/>
        <v>0</v>
      </c>
      <c r="G163" s="135">
        <f t="shared" si="48"/>
        <v>0</v>
      </c>
      <c r="H163" s="135">
        <f t="shared" si="48"/>
        <v>0</v>
      </c>
      <c r="I163" s="135">
        <f t="shared" si="48"/>
        <v>0</v>
      </c>
      <c r="J163" s="135">
        <f t="shared" si="48"/>
        <v>0</v>
      </c>
      <c r="K163" s="135">
        <f t="shared" si="48"/>
        <v>0</v>
      </c>
      <c r="L163" s="135">
        <f t="shared" si="48"/>
        <v>0</v>
      </c>
      <c r="M163" s="135">
        <f t="shared" si="48"/>
        <v>0</v>
      </c>
      <c r="N163" s="135">
        <f t="shared" si="48"/>
        <v>0</v>
      </c>
      <c r="O163" s="135">
        <f t="shared" si="48"/>
        <v>0</v>
      </c>
      <c r="P163" s="135">
        <f t="shared" si="48"/>
        <v>0</v>
      </c>
      <c r="Q163" s="135">
        <f t="shared" si="48"/>
        <v>0</v>
      </c>
      <c r="R163" s="135">
        <f t="shared" si="48"/>
        <v>0</v>
      </c>
      <c r="S163" s="135">
        <f t="shared" si="48"/>
        <v>0</v>
      </c>
      <c r="T163" s="135">
        <f t="shared" si="49"/>
        <v>0</v>
      </c>
      <c r="U163" s="135">
        <f t="shared" si="49"/>
        <v>0</v>
      </c>
      <c r="V163" s="135">
        <f t="shared" si="49"/>
        <v>0</v>
      </c>
      <c r="W163" s="135">
        <f t="shared" si="49"/>
        <v>0</v>
      </c>
      <c r="X163" s="135">
        <f t="shared" si="49"/>
        <v>0</v>
      </c>
      <c r="Y163" s="135">
        <f t="shared" si="49"/>
        <v>0</v>
      </c>
      <c r="Z163" s="135">
        <f t="shared" si="49"/>
        <v>0</v>
      </c>
      <c r="AA163" s="135">
        <f t="shared" si="49"/>
        <v>0</v>
      </c>
      <c r="AB163" s="135">
        <f t="shared" si="49"/>
        <v>0</v>
      </c>
      <c r="AC163" s="135">
        <f t="shared" si="49"/>
        <v>0</v>
      </c>
      <c r="AD163" s="135">
        <f t="shared" si="49"/>
        <v>0</v>
      </c>
      <c r="AE163" s="135">
        <f t="shared" si="49"/>
        <v>0</v>
      </c>
      <c r="AF163" s="135">
        <f t="shared" si="49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7"/>
        <v>0</v>
      </c>
      <c r="C164" s="136">
        <v>0</v>
      </c>
      <c r="D164" s="135">
        <f t="shared" si="48"/>
        <v>0</v>
      </c>
      <c r="E164" s="135">
        <f t="shared" si="48"/>
        <v>0</v>
      </c>
      <c r="F164" s="135">
        <f t="shared" si="48"/>
        <v>0</v>
      </c>
      <c r="G164" s="135">
        <f t="shared" si="48"/>
        <v>0</v>
      </c>
      <c r="H164" s="135">
        <f t="shared" si="48"/>
        <v>0</v>
      </c>
      <c r="I164" s="135">
        <f t="shared" si="48"/>
        <v>0</v>
      </c>
      <c r="J164" s="135">
        <f t="shared" si="48"/>
        <v>0</v>
      </c>
      <c r="K164" s="135">
        <f t="shared" si="48"/>
        <v>0</v>
      </c>
      <c r="L164" s="135">
        <f t="shared" si="48"/>
        <v>0</v>
      </c>
      <c r="M164" s="135">
        <f t="shared" si="48"/>
        <v>0</v>
      </c>
      <c r="N164" s="135">
        <f t="shared" si="48"/>
        <v>0</v>
      </c>
      <c r="O164" s="135">
        <f t="shared" si="48"/>
        <v>0</v>
      </c>
      <c r="P164" s="135">
        <f t="shared" si="48"/>
        <v>0</v>
      </c>
      <c r="Q164" s="135">
        <f t="shared" si="48"/>
        <v>0</v>
      </c>
      <c r="R164" s="135">
        <f t="shared" si="48"/>
        <v>0</v>
      </c>
      <c r="S164" s="135">
        <f t="shared" si="49"/>
        <v>0</v>
      </c>
      <c r="T164" s="135">
        <f t="shared" si="49"/>
        <v>0</v>
      </c>
      <c r="U164" s="135">
        <f t="shared" si="49"/>
        <v>0</v>
      </c>
      <c r="V164" s="135">
        <f t="shared" si="49"/>
        <v>0</v>
      </c>
      <c r="W164" s="135">
        <f t="shared" si="49"/>
        <v>0</v>
      </c>
      <c r="X164" s="135">
        <f t="shared" si="49"/>
        <v>0</v>
      </c>
      <c r="Y164" s="135">
        <f t="shared" si="49"/>
        <v>0</v>
      </c>
      <c r="Z164" s="135">
        <f t="shared" si="49"/>
        <v>0</v>
      </c>
      <c r="AA164" s="135">
        <f t="shared" si="49"/>
        <v>0</v>
      </c>
      <c r="AB164" s="135">
        <f t="shared" si="49"/>
        <v>0</v>
      </c>
      <c r="AC164" s="135">
        <f t="shared" si="49"/>
        <v>0</v>
      </c>
      <c r="AD164" s="135">
        <f t="shared" si="49"/>
        <v>0</v>
      </c>
      <c r="AE164" s="135">
        <f t="shared" si="49"/>
        <v>0</v>
      </c>
      <c r="AF164" s="135">
        <f t="shared" si="49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7"/>
        <v>0.8</v>
      </c>
      <c r="C165" s="136">
        <v>0.8</v>
      </c>
      <c r="D165" s="135">
        <f t="shared" si="48"/>
        <v>0.8</v>
      </c>
      <c r="E165" s="135">
        <f t="shared" si="48"/>
        <v>0.8</v>
      </c>
      <c r="F165" s="135">
        <f t="shared" si="48"/>
        <v>0.8</v>
      </c>
      <c r="G165" s="135">
        <f t="shared" si="48"/>
        <v>0.8</v>
      </c>
      <c r="H165" s="135">
        <f t="shared" si="48"/>
        <v>0.8</v>
      </c>
      <c r="I165" s="135">
        <f t="shared" si="48"/>
        <v>0.8</v>
      </c>
      <c r="J165" s="135">
        <f t="shared" si="48"/>
        <v>0.8</v>
      </c>
      <c r="K165" s="135">
        <f t="shared" si="48"/>
        <v>0.8</v>
      </c>
      <c r="L165" s="135">
        <f t="shared" si="48"/>
        <v>0.8</v>
      </c>
      <c r="M165" s="135">
        <f t="shared" si="48"/>
        <v>0.8</v>
      </c>
      <c r="N165" s="135">
        <f t="shared" si="48"/>
        <v>0.8</v>
      </c>
      <c r="O165" s="135">
        <f t="shared" si="48"/>
        <v>0.8</v>
      </c>
      <c r="P165" s="135">
        <f t="shared" si="48"/>
        <v>0.8</v>
      </c>
      <c r="Q165" s="135">
        <f t="shared" si="48"/>
        <v>0.8</v>
      </c>
      <c r="R165" s="135">
        <f t="shared" si="48"/>
        <v>0.8</v>
      </c>
      <c r="S165" s="135">
        <f t="shared" si="49"/>
        <v>0.8</v>
      </c>
      <c r="T165" s="135">
        <f t="shared" si="49"/>
        <v>0.8</v>
      </c>
      <c r="U165" s="135">
        <f t="shared" si="49"/>
        <v>0.8</v>
      </c>
      <c r="V165" s="135">
        <f t="shared" si="49"/>
        <v>0.8</v>
      </c>
      <c r="W165" s="135">
        <f t="shared" si="49"/>
        <v>0.8</v>
      </c>
      <c r="X165" s="135">
        <f t="shared" si="49"/>
        <v>0.8</v>
      </c>
      <c r="Y165" s="135">
        <f t="shared" si="49"/>
        <v>0.8</v>
      </c>
      <c r="Z165" s="135">
        <f t="shared" si="49"/>
        <v>0.8</v>
      </c>
      <c r="AA165" s="135">
        <f t="shared" si="49"/>
        <v>0.8</v>
      </c>
      <c r="AB165" s="135">
        <f t="shared" si="49"/>
        <v>0.8</v>
      </c>
      <c r="AC165" s="135">
        <f t="shared" si="49"/>
        <v>0.8</v>
      </c>
      <c r="AD165" s="135">
        <f t="shared" si="49"/>
        <v>0.8</v>
      </c>
      <c r="AE165" s="135">
        <f t="shared" si="49"/>
        <v>0.8</v>
      </c>
      <c r="AF165" s="135">
        <f t="shared" si="49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7"/>
        <v>1.5</v>
      </c>
      <c r="C166" s="136">
        <v>1.5</v>
      </c>
      <c r="D166" s="135">
        <f t="shared" si="48"/>
        <v>1.5</v>
      </c>
      <c r="E166" s="135">
        <f t="shared" si="48"/>
        <v>1.5</v>
      </c>
      <c r="F166" s="135">
        <f t="shared" si="48"/>
        <v>1.5</v>
      </c>
      <c r="G166" s="135">
        <f t="shared" si="48"/>
        <v>1.5</v>
      </c>
      <c r="H166" s="135">
        <f t="shared" si="48"/>
        <v>1.5</v>
      </c>
      <c r="I166" s="135">
        <f t="shared" si="48"/>
        <v>1.5</v>
      </c>
      <c r="J166" s="135">
        <f t="shared" si="48"/>
        <v>1.5</v>
      </c>
      <c r="K166" s="135">
        <f t="shared" si="48"/>
        <v>1.5</v>
      </c>
      <c r="L166" s="135">
        <f t="shared" si="48"/>
        <v>1.5</v>
      </c>
      <c r="M166" s="135">
        <f t="shared" si="48"/>
        <v>1.5</v>
      </c>
      <c r="N166" s="135">
        <f t="shared" si="48"/>
        <v>1.5</v>
      </c>
      <c r="O166" s="135">
        <f t="shared" si="48"/>
        <v>1.5</v>
      </c>
      <c r="P166" s="135">
        <f t="shared" si="48"/>
        <v>1.5</v>
      </c>
      <c r="Q166" s="135">
        <f t="shared" si="48"/>
        <v>1.5</v>
      </c>
      <c r="R166" s="135">
        <f t="shared" si="48"/>
        <v>1.5</v>
      </c>
      <c r="S166" s="135">
        <f t="shared" si="49"/>
        <v>1.5</v>
      </c>
      <c r="T166" s="135">
        <f t="shared" si="49"/>
        <v>1.5</v>
      </c>
      <c r="U166" s="135">
        <f t="shared" si="49"/>
        <v>1.5</v>
      </c>
      <c r="V166" s="135">
        <f t="shared" si="49"/>
        <v>1.5</v>
      </c>
      <c r="W166" s="135">
        <f t="shared" si="49"/>
        <v>1.5</v>
      </c>
      <c r="X166" s="135">
        <f t="shared" si="49"/>
        <v>1.5</v>
      </c>
      <c r="Y166" s="135">
        <f t="shared" si="49"/>
        <v>1.5</v>
      </c>
      <c r="Z166" s="135">
        <f t="shared" si="49"/>
        <v>1.5</v>
      </c>
      <c r="AA166" s="135">
        <f t="shared" si="49"/>
        <v>1.5</v>
      </c>
      <c r="AB166" s="135">
        <f t="shared" si="49"/>
        <v>1.5</v>
      </c>
      <c r="AC166" s="135">
        <f t="shared" si="49"/>
        <v>1.5</v>
      </c>
      <c r="AD166" s="135">
        <f t="shared" si="49"/>
        <v>1.5</v>
      </c>
      <c r="AE166" s="135">
        <f t="shared" si="49"/>
        <v>1.5</v>
      </c>
      <c r="AF166" s="135">
        <f t="shared" si="49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7"/>
        <v>1</v>
      </c>
      <c r="C167" s="136">
        <v>1</v>
      </c>
      <c r="D167" s="135">
        <f t="shared" si="48"/>
        <v>1</v>
      </c>
      <c r="E167" s="135">
        <f t="shared" si="48"/>
        <v>1</v>
      </c>
      <c r="F167" s="135">
        <f t="shared" si="48"/>
        <v>1</v>
      </c>
      <c r="G167" s="135">
        <f t="shared" si="48"/>
        <v>1</v>
      </c>
      <c r="H167" s="135">
        <f t="shared" si="48"/>
        <v>1</v>
      </c>
      <c r="I167" s="135">
        <f t="shared" si="48"/>
        <v>1</v>
      </c>
      <c r="J167" s="135">
        <f t="shared" si="48"/>
        <v>1</v>
      </c>
      <c r="K167" s="135">
        <f t="shared" si="48"/>
        <v>1</v>
      </c>
      <c r="L167" s="135">
        <f t="shared" si="48"/>
        <v>1</v>
      </c>
      <c r="M167" s="135">
        <f t="shared" si="48"/>
        <v>1</v>
      </c>
      <c r="N167" s="135">
        <f t="shared" si="48"/>
        <v>1</v>
      </c>
      <c r="O167" s="135">
        <f t="shared" si="48"/>
        <v>1</v>
      </c>
      <c r="P167" s="135">
        <f t="shared" si="48"/>
        <v>1</v>
      </c>
      <c r="Q167" s="135">
        <f t="shared" si="48"/>
        <v>1</v>
      </c>
      <c r="R167" s="135">
        <f t="shared" si="48"/>
        <v>1</v>
      </c>
      <c r="S167" s="135">
        <f t="shared" si="49"/>
        <v>1</v>
      </c>
      <c r="T167" s="135">
        <f t="shared" si="49"/>
        <v>1</v>
      </c>
      <c r="U167" s="135">
        <f t="shared" si="49"/>
        <v>1</v>
      </c>
      <c r="V167" s="135">
        <f t="shared" si="49"/>
        <v>1</v>
      </c>
      <c r="W167" s="135">
        <f t="shared" si="49"/>
        <v>1</v>
      </c>
      <c r="X167" s="135">
        <f t="shared" si="49"/>
        <v>1</v>
      </c>
      <c r="Y167" s="135">
        <f t="shared" si="49"/>
        <v>1</v>
      </c>
      <c r="Z167" s="135">
        <f t="shared" si="49"/>
        <v>1</v>
      </c>
      <c r="AA167" s="135">
        <f t="shared" si="49"/>
        <v>1</v>
      </c>
      <c r="AB167" s="135">
        <f t="shared" si="49"/>
        <v>1</v>
      </c>
      <c r="AC167" s="135">
        <f t="shared" si="49"/>
        <v>1</v>
      </c>
      <c r="AD167" s="135">
        <f t="shared" si="49"/>
        <v>1</v>
      </c>
      <c r="AE167" s="135">
        <f t="shared" si="49"/>
        <v>1</v>
      </c>
      <c r="AF167" s="135">
        <f t="shared" si="49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50">AF169</f>
        <v>1</v>
      </c>
      <c r="C169" s="136">
        <v>1</v>
      </c>
      <c r="D169" s="135">
        <f t="shared" ref="D169:S176" si="51">C169</f>
        <v>1</v>
      </c>
      <c r="E169" s="135">
        <f t="shared" si="51"/>
        <v>1</v>
      </c>
      <c r="F169" s="135">
        <f t="shared" si="51"/>
        <v>1</v>
      </c>
      <c r="G169" s="135">
        <f t="shared" si="51"/>
        <v>1</v>
      </c>
      <c r="H169" s="135">
        <f t="shared" si="51"/>
        <v>1</v>
      </c>
      <c r="I169" s="135">
        <f t="shared" si="51"/>
        <v>1</v>
      </c>
      <c r="J169" s="135">
        <f t="shared" si="51"/>
        <v>1</v>
      </c>
      <c r="K169" s="135">
        <f t="shared" si="51"/>
        <v>1</v>
      </c>
      <c r="L169" s="135">
        <f t="shared" si="51"/>
        <v>1</v>
      </c>
      <c r="M169" s="135">
        <f t="shared" si="51"/>
        <v>1</v>
      </c>
      <c r="N169" s="135">
        <f t="shared" si="51"/>
        <v>1</v>
      </c>
      <c r="O169" s="135">
        <f t="shared" si="51"/>
        <v>1</v>
      </c>
      <c r="P169" s="135">
        <f t="shared" si="51"/>
        <v>1</v>
      </c>
      <c r="Q169" s="135">
        <f t="shared" si="51"/>
        <v>1</v>
      </c>
      <c r="R169" s="135">
        <f t="shared" si="51"/>
        <v>1</v>
      </c>
      <c r="S169" s="135">
        <f t="shared" si="51"/>
        <v>1</v>
      </c>
      <c r="T169" s="135">
        <f t="shared" ref="S169:AF176" si="52">S169</f>
        <v>1</v>
      </c>
      <c r="U169" s="135">
        <f t="shared" si="52"/>
        <v>1</v>
      </c>
      <c r="V169" s="135">
        <f t="shared" si="52"/>
        <v>1</v>
      </c>
      <c r="W169" s="135">
        <f t="shared" si="52"/>
        <v>1</v>
      </c>
      <c r="X169" s="135">
        <f t="shared" si="52"/>
        <v>1</v>
      </c>
      <c r="Y169" s="135">
        <f t="shared" si="52"/>
        <v>1</v>
      </c>
      <c r="Z169" s="135">
        <f t="shared" si="52"/>
        <v>1</v>
      </c>
      <c r="AA169" s="135">
        <f t="shared" si="52"/>
        <v>1</v>
      </c>
      <c r="AB169" s="135">
        <f t="shared" si="52"/>
        <v>1</v>
      </c>
      <c r="AC169" s="135">
        <f t="shared" si="52"/>
        <v>1</v>
      </c>
      <c r="AD169" s="135">
        <f t="shared" si="52"/>
        <v>1</v>
      </c>
      <c r="AE169" s="135">
        <f t="shared" si="52"/>
        <v>1</v>
      </c>
      <c r="AF169" s="135">
        <f t="shared" si="52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50"/>
        <v>0.42</v>
      </c>
      <c r="C170" s="136">
        <v>0.42</v>
      </c>
      <c r="D170" s="135">
        <f t="shared" si="51"/>
        <v>0.42</v>
      </c>
      <c r="E170" s="135">
        <f t="shared" si="51"/>
        <v>0.42</v>
      </c>
      <c r="F170" s="135">
        <f t="shared" si="51"/>
        <v>0.42</v>
      </c>
      <c r="G170" s="135">
        <f t="shared" si="51"/>
        <v>0.42</v>
      </c>
      <c r="H170" s="135">
        <f t="shared" si="51"/>
        <v>0.42</v>
      </c>
      <c r="I170" s="135">
        <f t="shared" si="51"/>
        <v>0.42</v>
      </c>
      <c r="J170" s="135">
        <f t="shared" si="51"/>
        <v>0.42</v>
      </c>
      <c r="K170" s="135">
        <f t="shared" si="51"/>
        <v>0.42</v>
      </c>
      <c r="L170" s="135">
        <f t="shared" si="51"/>
        <v>0.42</v>
      </c>
      <c r="M170" s="135">
        <f t="shared" si="51"/>
        <v>0.42</v>
      </c>
      <c r="N170" s="135">
        <f t="shared" si="51"/>
        <v>0.42</v>
      </c>
      <c r="O170" s="135">
        <f t="shared" si="51"/>
        <v>0.42</v>
      </c>
      <c r="P170" s="135">
        <f t="shared" si="51"/>
        <v>0.42</v>
      </c>
      <c r="Q170" s="135">
        <f t="shared" si="51"/>
        <v>0.42</v>
      </c>
      <c r="R170" s="135">
        <f t="shared" si="51"/>
        <v>0.42</v>
      </c>
      <c r="S170" s="135">
        <f t="shared" si="52"/>
        <v>0.42</v>
      </c>
      <c r="T170" s="135">
        <f t="shared" si="52"/>
        <v>0.42</v>
      </c>
      <c r="U170" s="135">
        <f t="shared" si="52"/>
        <v>0.42</v>
      </c>
      <c r="V170" s="135">
        <f t="shared" si="52"/>
        <v>0.42</v>
      </c>
      <c r="W170" s="135">
        <f t="shared" si="52"/>
        <v>0.42</v>
      </c>
      <c r="X170" s="135">
        <f t="shared" si="52"/>
        <v>0.42</v>
      </c>
      <c r="Y170" s="135">
        <f t="shared" si="52"/>
        <v>0.42</v>
      </c>
      <c r="Z170" s="135">
        <f t="shared" si="52"/>
        <v>0.42</v>
      </c>
      <c r="AA170" s="135">
        <f t="shared" si="52"/>
        <v>0.42</v>
      </c>
      <c r="AB170" s="135">
        <f t="shared" si="52"/>
        <v>0.42</v>
      </c>
      <c r="AC170" s="135">
        <f t="shared" si="52"/>
        <v>0.42</v>
      </c>
      <c r="AD170" s="135">
        <f t="shared" si="52"/>
        <v>0.42</v>
      </c>
      <c r="AE170" s="135">
        <f t="shared" si="52"/>
        <v>0.42</v>
      </c>
      <c r="AF170" s="135">
        <f t="shared" si="52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50"/>
        <v>0.46</v>
      </c>
      <c r="C171" s="136">
        <v>0.46</v>
      </c>
      <c r="D171" s="135">
        <f t="shared" si="51"/>
        <v>0.46</v>
      </c>
      <c r="E171" s="135">
        <f t="shared" si="51"/>
        <v>0.46</v>
      </c>
      <c r="F171" s="135">
        <f t="shared" si="51"/>
        <v>0.46</v>
      </c>
      <c r="G171" s="135">
        <f t="shared" si="51"/>
        <v>0.46</v>
      </c>
      <c r="H171" s="135">
        <f t="shared" si="51"/>
        <v>0.46</v>
      </c>
      <c r="I171" s="135">
        <f t="shared" si="51"/>
        <v>0.46</v>
      </c>
      <c r="J171" s="135">
        <f t="shared" si="51"/>
        <v>0.46</v>
      </c>
      <c r="K171" s="135">
        <f t="shared" si="51"/>
        <v>0.46</v>
      </c>
      <c r="L171" s="135">
        <f t="shared" si="51"/>
        <v>0.46</v>
      </c>
      <c r="M171" s="135">
        <f t="shared" si="51"/>
        <v>0.46</v>
      </c>
      <c r="N171" s="135">
        <f t="shared" si="51"/>
        <v>0.46</v>
      </c>
      <c r="O171" s="135">
        <f t="shared" si="51"/>
        <v>0.46</v>
      </c>
      <c r="P171" s="135">
        <f t="shared" si="51"/>
        <v>0.46</v>
      </c>
      <c r="Q171" s="135">
        <f t="shared" si="51"/>
        <v>0.46</v>
      </c>
      <c r="R171" s="135">
        <f t="shared" si="51"/>
        <v>0.46</v>
      </c>
      <c r="S171" s="135">
        <f t="shared" si="52"/>
        <v>0.46</v>
      </c>
      <c r="T171" s="135">
        <f t="shared" si="52"/>
        <v>0.46</v>
      </c>
      <c r="U171" s="135">
        <f t="shared" si="52"/>
        <v>0.46</v>
      </c>
      <c r="V171" s="135">
        <f t="shared" si="52"/>
        <v>0.46</v>
      </c>
      <c r="W171" s="135">
        <f t="shared" si="52"/>
        <v>0.46</v>
      </c>
      <c r="X171" s="135">
        <f t="shared" si="52"/>
        <v>0.46</v>
      </c>
      <c r="Y171" s="135">
        <f t="shared" si="52"/>
        <v>0.46</v>
      </c>
      <c r="Z171" s="135">
        <f t="shared" si="52"/>
        <v>0.46</v>
      </c>
      <c r="AA171" s="135">
        <f t="shared" si="52"/>
        <v>0.46</v>
      </c>
      <c r="AB171" s="135">
        <f t="shared" si="52"/>
        <v>0.46</v>
      </c>
      <c r="AC171" s="135">
        <f t="shared" si="52"/>
        <v>0.46</v>
      </c>
      <c r="AD171" s="135">
        <f t="shared" si="52"/>
        <v>0.46</v>
      </c>
      <c r="AE171" s="135">
        <f t="shared" si="52"/>
        <v>0.46</v>
      </c>
      <c r="AF171" s="135">
        <f t="shared" si="52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50"/>
        <v>0.85</v>
      </c>
      <c r="C172" s="136">
        <v>0.85</v>
      </c>
      <c r="D172" s="135">
        <f t="shared" si="51"/>
        <v>0.85</v>
      </c>
      <c r="E172" s="135">
        <f t="shared" si="51"/>
        <v>0.85</v>
      </c>
      <c r="F172" s="135">
        <f t="shared" si="51"/>
        <v>0.85</v>
      </c>
      <c r="G172" s="135">
        <f t="shared" si="51"/>
        <v>0.85</v>
      </c>
      <c r="H172" s="135">
        <f t="shared" si="51"/>
        <v>0.85</v>
      </c>
      <c r="I172" s="135">
        <f t="shared" si="51"/>
        <v>0.85</v>
      </c>
      <c r="J172" s="135">
        <f t="shared" si="51"/>
        <v>0.85</v>
      </c>
      <c r="K172" s="135">
        <f t="shared" si="51"/>
        <v>0.85</v>
      </c>
      <c r="L172" s="135">
        <f t="shared" si="51"/>
        <v>0.85</v>
      </c>
      <c r="M172" s="135">
        <f t="shared" si="51"/>
        <v>0.85</v>
      </c>
      <c r="N172" s="135">
        <f t="shared" si="51"/>
        <v>0.85</v>
      </c>
      <c r="O172" s="135">
        <f t="shared" si="51"/>
        <v>0.85</v>
      </c>
      <c r="P172" s="135">
        <f t="shared" si="51"/>
        <v>0.85</v>
      </c>
      <c r="Q172" s="135">
        <f t="shared" si="51"/>
        <v>0.85</v>
      </c>
      <c r="R172" s="135">
        <f t="shared" si="51"/>
        <v>0.85</v>
      </c>
      <c r="S172" s="135">
        <f t="shared" si="52"/>
        <v>0.85</v>
      </c>
      <c r="T172" s="135">
        <f t="shared" si="52"/>
        <v>0.85</v>
      </c>
      <c r="U172" s="135">
        <f t="shared" si="52"/>
        <v>0.85</v>
      </c>
      <c r="V172" s="135">
        <f t="shared" si="52"/>
        <v>0.85</v>
      </c>
      <c r="W172" s="135">
        <f t="shared" si="52"/>
        <v>0.85</v>
      </c>
      <c r="X172" s="135">
        <f t="shared" si="52"/>
        <v>0.85</v>
      </c>
      <c r="Y172" s="135">
        <f t="shared" si="52"/>
        <v>0.85</v>
      </c>
      <c r="Z172" s="135">
        <f t="shared" si="52"/>
        <v>0.85</v>
      </c>
      <c r="AA172" s="135">
        <f t="shared" si="52"/>
        <v>0.85</v>
      </c>
      <c r="AB172" s="135">
        <f t="shared" si="52"/>
        <v>0.85</v>
      </c>
      <c r="AC172" s="135">
        <f t="shared" si="52"/>
        <v>0.85</v>
      </c>
      <c r="AD172" s="135">
        <f t="shared" si="52"/>
        <v>0.85</v>
      </c>
      <c r="AE172" s="135">
        <f t="shared" si="52"/>
        <v>0.85</v>
      </c>
      <c r="AF172" s="135">
        <f t="shared" si="52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50"/>
        <v>0.9</v>
      </c>
      <c r="C173" s="136">
        <v>0.9</v>
      </c>
      <c r="D173" s="135">
        <f t="shared" si="51"/>
        <v>0.9</v>
      </c>
      <c r="E173" s="135">
        <f t="shared" si="51"/>
        <v>0.9</v>
      </c>
      <c r="F173" s="135">
        <f t="shared" si="51"/>
        <v>0.9</v>
      </c>
      <c r="G173" s="135">
        <f t="shared" si="51"/>
        <v>0.9</v>
      </c>
      <c r="H173" s="135">
        <f t="shared" si="51"/>
        <v>0.9</v>
      </c>
      <c r="I173" s="135">
        <f t="shared" si="51"/>
        <v>0.9</v>
      </c>
      <c r="J173" s="135">
        <f t="shared" si="51"/>
        <v>0.9</v>
      </c>
      <c r="K173" s="135">
        <f t="shared" si="51"/>
        <v>0.9</v>
      </c>
      <c r="L173" s="135">
        <f t="shared" si="51"/>
        <v>0.9</v>
      </c>
      <c r="M173" s="135">
        <f t="shared" si="51"/>
        <v>0.9</v>
      </c>
      <c r="N173" s="135">
        <f t="shared" si="51"/>
        <v>0.9</v>
      </c>
      <c r="O173" s="135">
        <f t="shared" si="51"/>
        <v>0.9</v>
      </c>
      <c r="P173" s="135">
        <f t="shared" si="51"/>
        <v>0.9</v>
      </c>
      <c r="Q173" s="135">
        <f t="shared" si="51"/>
        <v>0.9</v>
      </c>
      <c r="R173" s="135">
        <f t="shared" si="51"/>
        <v>0.9</v>
      </c>
      <c r="S173" s="135">
        <f t="shared" si="52"/>
        <v>0.9</v>
      </c>
      <c r="T173" s="135">
        <f t="shared" si="52"/>
        <v>0.9</v>
      </c>
      <c r="U173" s="135">
        <f t="shared" si="52"/>
        <v>0.9</v>
      </c>
      <c r="V173" s="135">
        <f t="shared" si="52"/>
        <v>0.9</v>
      </c>
      <c r="W173" s="135">
        <f t="shared" si="52"/>
        <v>0.9</v>
      </c>
      <c r="X173" s="135">
        <f t="shared" si="52"/>
        <v>0.9</v>
      </c>
      <c r="Y173" s="135">
        <f t="shared" si="52"/>
        <v>0.9</v>
      </c>
      <c r="Z173" s="135">
        <f t="shared" si="52"/>
        <v>0.9</v>
      </c>
      <c r="AA173" s="135">
        <f t="shared" si="52"/>
        <v>0.9</v>
      </c>
      <c r="AB173" s="135">
        <f t="shared" si="52"/>
        <v>0.9</v>
      </c>
      <c r="AC173" s="135">
        <f t="shared" si="52"/>
        <v>0.9</v>
      </c>
      <c r="AD173" s="135">
        <f t="shared" si="52"/>
        <v>0.9</v>
      </c>
      <c r="AE173" s="135">
        <f t="shared" si="52"/>
        <v>0.9</v>
      </c>
      <c r="AF173" s="135">
        <f t="shared" si="52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50"/>
        <v>0.44</v>
      </c>
      <c r="C174" s="136">
        <v>0.44</v>
      </c>
      <c r="D174" s="135">
        <f t="shared" si="51"/>
        <v>0.44</v>
      </c>
      <c r="E174" s="135">
        <f t="shared" si="51"/>
        <v>0.44</v>
      </c>
      <c r="F174" s="135">
        <f t="shared" si="51"/>
        <v>0.44</v>
      </c>
      <c r="G174" s="135">
        <f t="shared" si="51"/>
        <v>0.44</v>
      </c>
      <c r="H174" s="135">
        <f t="shared" si="51"/>
        <v>0.44</v>
      </c>
      <c r="I174" s="135">
        <f t="shared" si="51"/>
        <v>0.44</v>
      </c>
      <c r="J174" s="135">
        <f t="shared" si="51"/>
        <v>0.44</v>
      </c>
      <c r="K174" s="135">
        <f t="shared" si="51"/>
        <v>0.44</v>
      </c>
      <c r="L174" s="135">
        <f t="shared" si="51"/>
        <v>0.44</v>
      </c>
      <c r="M174" s="135">
        <f t="shared" si="51"/>
        <v>0.44</v>
      </c>
      <c r="N174" s="135">
        <f t="shared" si="51"/>
        <v>0.44</v>
      </c>
      <c r="O174" s="135">
        <f t="shared" si="51"/>
        <v>0.44</v>
      </c>
      <c r="P174" s="135">
        <f t="shared" si="51"/>
        <v>0.44</v>
      </c>
      <c r="Q174" s="135">
        <f t="shared" si="51"/>
        <v>0.44</v>
      </c>
      <c r="R174" s="135">
        <f t="shared" si="51"/>
        <v>0.44</v>
      </c>
      <c r="S174" s="135">
        <f t="shared" si="52"/>
        <v>0.44</v>
      </c>
      <c r="T174" s="135">
        <f t="shared" si="52"/>
        <v>0.44</v>
      </c>
      <c r="U174" s="135">
        <f t="shared" si="52"/>
        <v>0.44</v>
      </c>
      <c r="V174" s="135">
        <f t="shared" si="52"/>
        <v>0.44</v>
      </c>
      <c r="W174" s="135">
        <f t="shared" si="52"/>
        <v>0.44</v>
      </c>
      <c r="X174" s="135">
        <f t="shared" si="52"/>
        <v>0.44</v>
      </c>
      <c r="Y174" s="135">
        <f t="shared" si="52"/>
        <v>0.44</v>
      </c>
      <c r="Z174" s="135">
        <f t="shared" si="52"/>
        <v>0.44</v>
      </c>
      <c r="AA174" s="135">
        <f t="shared" si="52"/>
        <v>0.44</v>
      </c>
      <c r="AB174" s="135">
        <f t="shared" si="52"/>
        <v>0.44</v>
      </c>
      <c r="AC174" s="135">
        <f t="shared" si="52"/>
        <v>0.44</v>
      </c>
      <c r="AD174" s="135">
        <f t="shared" si="52"/>
        <v>0.44</v>
      </c>
      <c r="AE174" s="135">
        <f t="shared" si="52"/>
        <v>0.44</v>
      </c>
      <c r="AF174" s="135">
        <f t="shared" si="52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50"/>
        <v>2.1</v>
      </c>
      <c r="C175" s="136">
        <v>2.1</v>
      </c>
      <c r="D175" s="135">
        <f t="shared" si="51"/>
        <v>2.1</v>
      </c>
      <c r="E175" s="135">
        <f t="shared" si="51"/>
        <v>2.1</v>
      </c>
      <c r="F175" s="135">
        <f t="shared" si="51"/>
        <v>2.1</v>
      </c>
      <c r="G175" s="135">
        <f t="shared" si="51"/>
        <v>2.1</v>
      </c>
      <c r="H175" s="135">
        <f t="shared" si="51"/>
        <v>2.1</v>
      </c>
      <c r="I175" s="135">
        <f t="shared" si="51"/>
        <v>2.1</v>
      </c>
      <c r="J175" s="135">
        <f t="shared" si="51"/>
        <v>2.1</v>
      </c>
      <c r="K175" s="135">
        <f t="shared" si="51"/>
        <v>2.1</v>
      </c>
      <c r="L175" s="135">
        <f t="shared" si="51"/>
        <v>2.1</v>
      </c>
      <c r="M175" s="135">
        <f t="shared" si="51"/>
        <v>2.1</v>
      </c>
      <c r="N175" s="135">
        <f t="shared" si="51"/>
        <v>2.1</v>
      </c>
      <c r="O175" s="135">
        <f t="shared" si="51"/>
        <v>2.1</v>
      </c>
      <c r="P175" s="135">
        <f t="shared" si="51"/>
        <v>2.1</v>
      </c>
      <c r="Q175" s="135">
        <f t="shared" si="51"/>
        <v>2.1</v>
      </c>
      <c r="R175" s="135">
        <f t="shared" si="51"/>
        <v>2.1</v>
      </c>
      <c r="S175" s="135">
        <f t="shared" si="52"/>
        <v>2.1</v>
      </c>
      <c r="T175" s="135">
        <f t="shared" si="52"/>
        <v>2.1</v>
      </c>
      <c r="U175" s="135">
        <f t="shared" si="52"/>
        <v>2.1</v>
      </c>
      <c r="V175" s="135">
        <f t="shared" si="52"/>
        <v>2.1</v>
      </c>
      <c r="W175" s="135">
        <f t="shared" si="52"/>
        <v>2.1</v>
      </c>
      <c r="X175" s="135">
        <f t="shared" si="52"/>
        <v>2.1</v>
      </c>
      <c r="Y175" s="135">
        <f t="shared" si="52"/>
        <v>2.1</v>
      </c>
      <c r="Z175" s="135">
        <f t="shared" si="52"/>
        <v>2.1</v>
      </c>
      <c r="AA175" s="135">
        <f t="shared" si="52"/>
        <v>2.1</v>
      </c>
      <c r="AB175" s="135">
        <f t="shared" si="52"/>
        <v>2.1</v>
      </c>
      <c r="AC175" s="135">
        <f t="shared" si="52"/>
        <v>2.1</v>
      </c>
      <c r="AD175" s="135">
        <f t="shared" si="52"/>
        <v>2.1</v>
      </c>
      <c r="AE175" s="135">
        <f t="shared" si="52"/>
        <v>2.1</v>
      </c>
      <c r="AF175" s="135">
        <f t="shared" si="52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50"/>
        <v>0.9</v>
      </c>
      <c r="C176" s="136">
        <v>0.9</v>
      </c>
      <c r="D176" s="135">
        <f t="shared" si="51"/>
        <v>0.9</v>
      </c>
      <c r="E176" s="135">
        <f t="shared" si="51"/>
        <v>0.9</v>
      </c>
      <c r="F176" s="135">
        <f t="shared" si="51"/>
        <v>0.9</v>
      </c>
      <c r="G176" s="135">
        <f t="shared" si="51"/>
        <v>0.9</v>
      </c>
      <c r="H176" s="135">
        <f t="shared" si="51"/>
        <v>0.9</v>
      </c>
      <c r="I176" s="135">
        <f t="shared" si="51"/>
        <v>0.9</v>
      </c>
      <c r="J176" s="135">
        <f t="shared" si="51"/>
        <v>0.9</v>
      </c>
      <c r="K176" s="135">
        <f t="shared" si="51"/>
        <v>0.9</v>
      </c>
      <c r="L176" s="135">
        <f t="shared" si="51"/>
        <v>0.9</v>
      </c>
      <c r="M176" s="135">
        <f t="shared" si="51"/>
        <v>0.9</v>
      </c>
      <c r="N176" s="135">
        <f t="shared" si="51"/>
        <v>0.9</v>
      </c>
      <c r="O176" s="135">
        <f t="shared" si="51"/>
        <v>0.9</v>
      </c>
      <c r="P176" s="135">
        <f t="shared" si="51"/>
        <v>0.9</v>
      </c>
      <c r="Q176" s="135">
        <f t="shared" si="51"/>
        <v>0.9</v>
      </c>
      <c r="R176" s="135">
        <f t="shared" si="51"/>
        <v>0.9</v>
      </c>
      <c r="S176" s="135">
        <f t="shared" si="52"/>
        <v>0.9</v>
      </c>
      <c r="T176" s="135">
        <f t="shared" si="52"/>
        <v>0.9</v>
      </c>
      <c r="U176" s="135">
        <f t="shared" si="52"/>
        <v>0.9</v>
      </c>
      <c r="V176" s="135">
        <f t="shared" si="52"/>
        <v>0.9</v>
      </c>
      <c r="W176" s="135">
        <f t="shared" si="52"/>
        <v>0.9</v>
      </c>
      <c r="X176" s="135">
        <f t="shared" si="52"/>
        <v>0.9</v>
      </c>
      <c r="Y176" s="135">
        <f t="shared" si="52"/>
        <v>0.9</v>
      </c>
      <c r="Z176" s="135">
        <f t="shared" si="52"/>
        <v>0.9</v>
      </c>
      <c r="AA176" s="135">
        <f t="shared" si="52"/>
        <v>0.9</v>
      </c>
      <c r="AB176" s="135">
        <f t="shared" si="52"/>
        <v>0.9</v>
      </c>
      <c r="AC176" s="135">
        <f t="shared" si="52"/>
        <v>0.9</v>
      </c>
      <c r="AD176" s="135">
        <f t="shared" si="52"/>
        <v>0.9</v>
      </c>
      <c r="AE176" s="135">
        <f t="shared" si="52"/>
        <v>0.9</v>
      </c>
      <c r="AF176" s="135">
        <f t="shared" si="52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3">AF178</f>
        <v>0.57999999999999996</v>
      </c>
      <c r="C178" s="136">
        <v>0.57999999999999996</v>
      </c>
      <c r="D178" s="135">
        <f t="shared" ref="D178:S190" si="54">C178</f>
        <v>0.57999999999999996</v>
      </c>
      <c r="E178" s="135">
        <f t="shared" si="54"/>
        <v>0.57999999999999996</v>
      </c>
      <c r="F178" s="135">
        <f t="shared" si="54"/>
        <v>0.57999999999999996</v>
      </c>
      <c r="G178" s="135">
        <f t="shared" si="54"/>
        <v>0.57999999999999996</v>
      </c>
      <c r="H178" s="135">
        <f t="shared" si="54"/>
        <v>0.57999999999999996</v>
      </c>
      <c r="I178" s="135">
        <f t="shared" si="54"/>
        <v>0.57999999999999996</v>
      </c>
      <c r="J178" s="135">
        <f t="shared" si="54"/>
        <v>0.57999999999999996</v>
      </c>
      <c r="K178" s="135">
        <f t="shared" si="54"/>
        <v>0.57999999999999996</v>
      </c>
      <c r="L178" s="135">
        <f t="shared" si="54"/>
        <v>0.57999999999999996</v>
      </c>
      <c r="M178" s="135">
        <f t="shared" si="54"/>
        <v>0.57999999999999996</v>
      </c>
      <c r="N178" s="135">
        <f t="shared" si="54"/>
        <v>0.57999999999999996</v>
      </c>
      <c r="O178" s="135">
        <f t="shared" si="54"/>
        <v>0.57999999999999996</v>
      </c>
      <c r="P178" s="135">
        <f t="shared" si="54"/>
        <v>0.57999999999999996</v>
      </c>
      <c r="Q178" s="135">
        <f t="shared" si="54"/>
        <v>0.57999999999999996</v>
      </c>
      <c r="R178" s="135">
        <f t="shared" si="54"/>
        <v>0.57999999999999996</v>
      </c>
      <c r="S178" s="135">
        <f t="shared" si="54"/>
        <v>0.57999999999999996</v>
      </c>
      <c r="T178" s="135">
        <f t="shared" ref="S178:AF190" si="55">S178</f>
        <v>0.57999999999999996</v>
      </c>
      <c r="U178" s="135">
        <f t="shared" si="55"/>
        <v>0.57999999999999996</v>
      </c>
      <c r="V178" s="135">
        <f t="shared" si="55"/>
        <v>0.57999999999999996</v>
      </c>
      <c r="W178" s="135">
        <f t="shared" si="55"/>
        <v>0.57999999999999996</v>
      </c>
      <c r="X178" s="135">
        <f t="shared" si="55"/>
        <v>0.57999999999999996</v>
      </c>
      <c r="Y178" s="135">
        <f t="shared" si="55"/>
        <v>0.57999999999999996</v>
      </c>
      <c r="Z178" s="135">
        <f t="shared" si="55"/>
        <v>0.57999999999999996</v>
      </c>
      <c r="AA178" s="135">
        <f t="shared" si="55"/>
        <v>0.57999999999999996</v>
      </c>
      <c r="AB178" s="135">
        <f t="shared" si="55"/>
        <v>0.57999999999999996</v>
      </c>
      <c r="AC178" s="135">
        <f t="shared" si="55"/>
        <v>0.57999999999999996</v>
      </c>
      <c r="AD178" s="135">
        <f t="shared" si="55"/>
        <v>0.57999999999999996</v>
      </c>
      <c r="AE178" s="135">
        <f t="shared" si="55"/>
        <v>0.57999999999999996</v>
      </c>
      <c r="AF178" s="135">
        <f t="shared" si="55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3"/>
        <v>0.8</v>
      </c>
      <c r="C179" s="136">
        <v>0.8</v>
      </c>
      <c r="D179" s="135">
        <f t="shared" si="54"/>
        <v>0.8</v>
      </c>
      <c r="E179" s="135">
        <f t="shared" si="54"/>
        <v>0.8</v>
      </c>
      <c r="F179" s="135">
        <f t="shared" si="54"/>
        <v>0.8</v>
      </c>
      <c r="G179" s="135">
        <f t="shared" si="54"/>
        <v>0.8</v>
      </c>
      <c r="H179" s="135">
        <f t="shared" si="54"/>
        <v>0.8</v>
      </c>
      <c r="I179" s="135">
        <f t="shared" si="54"/>
        <v>0.8</v>
      </c>
      <c r="J179" s="135">
        <f t="shared" si="54"/>
        <v>0.8</v>
      </c>
      <c r="K179" s="135">
        <f t="shared" si="54"/>
        <v>0.8</v>
      </c>
      <c r="L179" s="135">
        <f t="shared" si="54"/>
        <v>0.8</v>
      </c>
      <c r="M179" s="135">
        <f t="shared" si="54"/>
        <v>0.8</v>
      </c>
      <c r="N179" s="135">
        <f t="shared" si="54"/>
        <v>0.8</v>
      </c>
      <c r="O179" s="135">
        <f t="shared" si="54"/>
        <v>0.8</v>
      </c>
      <c r="P179" s="135">
        <f t="shared" si="54"/>
        <v>0.8</v>
      </c>
      <c r="Q179" s="135">
        <f t="shared" si="54"/>
        <v>0.8</v>
      </c>
      <c r="R179" s="135">
        <f t="shared" si="54"/>
        <v>0.8</v>
      </c>
      <c r="S179" s="135">
        <f t="shared" si="54"/>
        <v>0.8</v>
      </c>
      <c r="T179" s="135">
        <f t="shared" si="55"/>
        <v>0.8</v>
      </c>
      <c r="U179" s="135">
        <f t="shared" si="55"/>
        <v>0.8</v>
      </c>
      <c r="V179" s="135">
        <f t="shared" si="55"/>
        <v>0.8</v>
      </c>
      <c r="W179" s="135">
        <f t="shared" si="55"/>
        <v>0.8</v>
      </c>
      <c r="X179" s="135">
        <f t="shared" si="55"/>
        <v>0.8</v>
      </c>
      <c r="Y179" s="135">
        <f t="shared" si="55"/>
        <v>0.8</v>
      </c>
      <c r="Z179" s="135">
        <f t="shared" si="55"/>
        <v>0.8</v>
      </c>
      <c r="AA179" s="135">
        <f t="shared" si="55"/>
        <v>0.8</v>
      </c>
      <c r="AB179" s="135">
        <f t="shared" si="55"/>
        <v>0.8</v>
      </c>
      <c r="AC179" s="135">
        <f t="shared" si="55"/>
        <v>0.8</v>
      </c>
      <c r="AD179" s="135">
        <f t="shared" si="55"/>
        <v>0.8</v>
      </c>
      <c r="AE179" s="135">
        <f t="shared" si="55"/>
        <v>0.8</v>
      </c>
      <c r="AF179" s="135">
        <f t="shared" si="55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3"/>
        <v>0</v>
      </c>
      <c r="C180" s="136">
        <v>0</v>
      </c>
      <c r="D180" s="135">
        <f t="shared" si="54"/>
        <v>0</v>
      </c>
      <c r="E180" s="135">
        <f t="shared" si="54"/>
        <v>0</v>
      </c>
      <c r="F180" s="135">
        <f t="shared" si="54"/>
        <v>0</v>
      </c>
      <c r="G180" s="135">
        <f t="shared" si="54"/>
        <v>0</v>
      </c>
      <c r="H180" s="135">
        <f t="shared" si="54"/>
        <v>0</v>
      </c>
      <c r="I180" s="135">
        <f t="shared" si="54"/>
        <v>0</v>
      </c>
      <c r="J180" s="135">
        <f t="shared" si="54"/>
        <v>0</v>
      </c>
      <c r="K180" s="135">
        <f t="shared" si="54"/>
        <v>0</v>
      </c>
      <c r="L180" s="135">
        <f t="shared" si="54"/>
        <v>0</v>
      </c>
      <c r="M180" s="135">
        <f t="shared" si="54"/>
        <v>0</v>
      </c>
      <c r="N180" s="135">
        <f t="shared" si="54"/>
        <v>0</v>
      </c>
      <c r="O180" s="135">
        <f t="shared" si="54"/>
        <v>0</v>
      </c>
      <c r="P180" s="135">
        <f t="shared" si="54"/>
        <v>0</v>
      </c>
      <c r="Q180" s="135">
        <f t="shared" si="54"/>
        <v>0</v>
      </c>
      <c r="R180" s="135">
        <f t="shared" si="54"/>
        <v>0</v>
      </c>
      <c r="S180" s="135">
        <f t="shared" si="54"/>
        <v>0</v>
      </c>
      <c r="T180" s="135">
        <f t="shared" si="55"/>
        <v>0</v>
      </c>
      <c r="U180" s="135">
        <f t="shared" si="55"/>
        <v>0</v>
      </c>
      <c r="V180" s="135">
        <f t="shared" si="55"/>
        <v>0</v>
      </c>
      <c r="W180" s="135">
        <f t="shared" si="55"/>
        <v>0</v>
      </c>
      <c r="X180" s="135">
        <f t="shared" si="55"/>
        <v>0</v>
      </c>
      <c r="Y180" s="135">
        <f t="shared" si="55"/>
        <v>0</v>
      </c>
      <c r="Z180" s="135">
        <f t="shared" si="55"/>
        <v>0</v>
      </c>
      <c r="AA180" s="135">
        <f t="shared" si="55"/>
        <v>0</v>
      </c>
      <c r="AB180" s="135">
        <f t="shared" si="55"/>
        <v>0</v>
      </c>
      <c r="AC180" s="135">
        <f t="shared" si="55"/>
        <v>0</v>
      </c>
      <c r="AD180" s="135">
        <f t="shared" si="55"/>
        <v>0</v>
      </c>
      <c r="AE180" s="135">
        <f t="shared" si="55"/>
        <v>0</v>
      </c>
      <c r="AF180" s="135">
        <f t="shared" si="55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3"/>
        <v>0.6</v>
      </c>
      <c r="C181" s="136">
        <v>0.6</v>
      </c>
      <c r="D181" s="135">
        <f t="shared" si="54"/>
        <v>0.6</v>
      </c>
      <c r="E181" s="135">
        <f t="shared" si="54"/>
        <v>0.6</v>
      </c>
      <c r="F181" s="135">
        <f t="shared" si="54"/>
        <v>0.6</v>
      </c>
      <c r="G181" s="135">
        <f t="shared" si="54"/>
        <v>0.6</v>
      </c>
      <c r="H181" s="135">
        <f t="shared" si="54"/>
        <v>0.6</v>
      </c>
      <c r="I181" s="135">
        <f t="shared" si="54"/>
        <v>0.6</v>
      </c>
      <c r="J181" s="135">
        <f t="shared" si="54"/>
        <v>0.6</v>
      </c>
      <c r="K181" s="135">
        <f t="shared" si="54"/>
        <v>0.6</v>
      </c>
      <c r="L181" s="135">
        <f t="shared" si="54"/>
        <v>0.6</v>
      </c>
      <c r="M181" s="135">
        <f t="shared" si="54"/>
        <v>0.6</v>
      </c>
      <c r="N181" s="135">
        <f t="shared" si="54"/>
        <v>0.6</v>
      </c>
      <c r="O181" s="135">
        <f t="shared" si="54"/>
        <v>0.6</v>
      </c>
      <c r="P181" s="135">
        <f t="shared" si="54"/>
        <v>0.6</v>
      </c>
      <c r="Q181" s="135">
        <f t="shared" si="54"/>
        <v>0.6</v>
      </c>
      <c r="R181" s="135">
        <f t="shared" si="54"/>
        <v>0.6</v>
      </c>
      <c r="S181" s="135">
        <f t="shared" si="54"/>
        <v>0.6</v>
      </c>
      <c r="T181" s="135">
        <f t="shared" si="55"/>
        <v>0.6</v>
      </c>
      <c r="U181" s="135">
        <f t="shared" si="55"/>
        <v>0.6</v>
      </c>
      <c r="V181" s="135">
        <f t="shared" si="55"/>
        <v>0.6</v>
      </c>
      <c r="W181" s="135">
        <f t="shared" si="55"/>
        <v>0.6</v>
      </c>
      <c r="X181" s="135">
        <f t="shared" si="55"/>
        <v>0.6</v>
      </c>
      <c r="Y181" s="135">
        <f t="shared" si="55"/>
        <v>0.6</v>
      </c>
      <c r="Z181" s="135">
        <f t="shared" si="55"/>
        <v>0.6</v>
      </c>
      <c r="AA181" s="135">
        <f t="shared" si="55"/>
        <v>0.6</v>
      </c>
      <c r="AB181" s="135">
        <f t="shared" si="55"/>
        <v>0.6</v>
      </c>
      <c r="AC181" s="135">
        <f t="shared" si="55"/>
        <v>0.6</v>
      </c>
      <c r="AD181" s="135">
        <f t="shared" si="55"/>
        <v>0.6</v>
      </c>
      <c r="AE181" s="135">
        <f t="shared" si="55"/>
        <v>0.6</v>
      </c>
      <c r="AF181" s="135">
        <f t="shared" si="55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3"/>
        <v>0.6</v>
      </c>
      <c r="C182" s="136">
        <v>0.6</v>
      </c>
      <c r="D182" s="135">
        <f t="shared" si="54"/>
        <v>0.6</v>
      </c>
      <c r="E182" s="135">
        <f t="shared" si="54"/>
        <v>0.6</v>
      </c>
      <c r="F182" s="135">
        <f t="shared" si="54"/>
        <v>0.6</v>
      </c>
      <c r="G182" s="135">
        <f t="shared" si="54"/>
        <v>0.6</v>
      </c>
      <c r="H182" s="135">
        <f t="shared" si="54"/>
        <v>0.6</v>
      </c>
      <c r="I182" s="135">
        <f t="shared" si="54"/>
        <v>0.6</v>
      </c>
      <c r="J182" s="135">
        <f t="shared" si="54"/>
        <v>0.6</v>
      </c>
      <c r="K182" s="135">
        <f t="shared" si="54"/>
        <v>0.6</v>
      </c>
      <c r="L182" s="135">
        <f t="shared" si="54"/>
        <v>0.6</v>
      </c>
      <c r="M182" s="135">
        <f t="shared" si="54"/>
        <v>0.6</v>
      </c>
      <c r="N182" s="135">
        <f t="shared" si="54"/>
        <v>0.6</v>
      </c>
      <c r="O182" s="135">
        <f t="shared" si="54"/>
        <v>0.6</v>
      </c>
      <c r="P182" s="135">
        <f t="shared" si="54"/>
        <v>0.6</v>
      </c>
      <c r="Q182" s="135">
        <f t="shared" si="54"/>
        <v>0.6</v>
      </c>
      <c r="R182" s="135">
        <f t="shared" si="54"/>
        <v>0.6</v>
      </c>
      <c r="S182" s="135">
        <f t="shared" si="54"/>
        <v>0.6</v>
      </c>
      <c r="T182" s="135">
        <f t="shared" si="55"/>
        <v>0.6</v>
      </c>
      <c r="U182" s="135">
        <f t="shared" si="55"/>
        <v>0.6</v>
      </c>
      <c r="V182" s="135">
        <f t="shared" si="55"/>
        <v>0.6</v>
      </c>
      <c r="W182" s="135">
        <f t="shared" si="55"/>
        <v>0.6</v>
      </c>
      <c r="X182" s="135">
        <f t="shared" si="55"/>
        <v>0.6</v>
      </c>
      <c r="Y182" s="135">
        <f t="shared" si="55"/>
        <v>0.6</v>
      </c>
      <c r="Z182" s="135">
        <f t="shared" si="55"/>
        <v>0.6</v>
      </c>
      <c r="AA182" s="135">
        <f t="shared" si="55"/>
        <v>0.6</v>
      </c>
      <c r="AB182" s="135">
        <f t="shared" si="55"/>
        <v>0.6</v>
      </c>
      <c r="AC182" s="135">
        <f t="shared" si="55"/>
        <v>0.6</v>
      </c>
      <c r="AD182" s="135">
        <f t="shared" si="55"/>
        <v>0.6</v>
      </c>
      <c r="AE182" s="135">
        <f t="shared" si="55"/>
        <v>0.6</v>
      </c>
      <c r="AF182" s="135">
        <f t="shared" si="55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3"/>
        <v>0.35</v>
      </c>
      <c r="C183" s="136">
        <v>0.35</v>
      </c>
      <c r="D183" s="135">
        <f t="shared" si="54"/>
        <v>0.35</v>
      </c>
      <c r="E183" s="135">
        <f t="shared" si="54"/>
        <v>0.35</v>
      </c>
      <c r="F183" s="135">
        <f t="shared" si="54"/>
        <v>0.35</v>
      </c>
      <c r="G183" s="135">
        <f t="shared" si="54"/>
        <v>0.35</v>
      </c>
      <c r="H183" s="135">
        <f t="shared" si="54"/>
        <v>0.35</v>
      </c>
      <c r="I183" s="135">
        <f t="shared" si="54"/>
        <v>0.35</v>
      </c>
      <c r="J183" s="135">
        <f t="shared" si="54"/>
        <v>0.35</v>
      </c>
      <c r="K183" s="135">
        <f t="shared" si="54"/>
        <v>0.35</v>
      </c>
      <c r="L183" s="135">
        <f t="shared" si="54"/>
        <v>0.35</v>
      </c>
      <c r="M183" s="135">
        <f t="shared" si="54"/>
        <v>0.35</v>
      </c>
      <c r="N183" s="135">
        <f t="shared" si="54"/>
        <v>0.35</v>
      </c>
      <c r="O183" s="135">
        <f t="shared" si="54"/>
        <v>0.35</v>
      </c>
      <c r="P183" s="135">
        <f t="shared" si="54"/>
        <v>0.35</v>
      </c>
      <c r="Q183" s="135">
        <f t="shared" si="54"/>
        <v>0.35</v>
      </c>
      <c r="R183" s="135">
        <f t="shared" si="54"/>
        <v>0.35</v>
      </c>
      <c r="S183" s="135">
        <f t="shared" si="54"/>
        <v>0.35</v>
      </c>
      <c r="T183" s="135">
        <f t="shared" si="55"/>
        <v>0.35</v>
      </c>
      <c r="U183" s="135">
        <f t="shared" si="55"/>
        <v>0.35</v>
      </c>
      <c r="V183" s="135">
        <f t="shared" si="55"/>
        <v>0.35</v>
      </c>
      <c r="W183" s="135">
        <f t="shared" si="55"/>
        <v>0.35</v>
      </c>
      <c r="X183" s="135">
        <f t="shared" si="55"/>
        <v>0.35</v>
      </c>
      <c r="Y183" s="135">
        <f t="shared" si="55"/>
        <v>0.35</v>
      </c>
      <c r="Z183" s="135">
        <f t="shared" si="55"/>
        <v>0.35</v>
      </c>
      <c r="AA183" s="135">
        <f t="shared" si="55"/>
        <v>0.35</v>
      </c>
      <c r="AB183" s="135">
        <f t="shared" si="55"/>
        <v>0.35</v>
      </c>
      <c r="AC183" s="135">
        <f t="shared" si="55"/>
        <v>0.35</v>
      </c>
      <c r="AD183" s="135">
        <f t="shared" si="55"/>
        <v>0.35</v>
      </c>
      <c r="AE183" s="135">
        <f t="shared" si="55"/>
        <v>0.35</v>
      </c>
      <c r="AF183" s="135">
        <f t="shared" si="55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3"/>
        <v>0.28999999999999998</v>
      </c>
      <c r="C184" s="136">
        <v>0.28999999999999998</v>
      </c>
      <c r="D184" s="135">
        <f t="shared" si="54"/>
        <v>0.28999999999999998</v>
      </c>
      <c r="E184" s="135">
        <f t="shared" si="54"/>
        <v>0.28999999999999998</v>
      </c>
      <c r="F184" s="135">
        <f t="shared" si="54"/>
        <v>0.28999999999999998</v>
      </c>
      <c r="G184" s="135">
        <f t="shared" si="54"/>
        <v>0.28999999999999998</v>
      </c>
      <c r="H184" s="135">
        <f t="shared" si="54"/>
        <v>0.28999999999999998</v>
      </c>
      <c r="I184" s="135">
        <f t="shared" si="54"/>
        <v>0.28999999999999998</v>
      </c>
      <c r="J184" s="135">
        <f t="shared" si="54"/>
        <v>0.28999999999999998</v>
      </c>
      <c r="K184" s="135">
        <f t="shared" si="54"/>
        <v>0.28999999999999998</v>
      </c>
      <c r="L184" s="135">
        <f t="shared" si="54"/>
        <v>0.28999999999999998</v>
      </c>
      <c r="M184" s="135">
        <f t="shared" si="54"/>
        <v>0.28999999999999998</v>
      </c>
      <c r="N184" s="135">
        <f t="shared" si="54"/>
        <v>0.28999999999999998</v>
      </c>
      <c r="O184" s="135">
        <f t="shared" si="54"/>
        <v>0.28999999999999998</v>
      </c>
      <c r="P184" s="135">
        <f t="shared" si="54"/>
        <v>0.28999999999999998</v>
      </c>
      <c r="Q184" s="135">
        <f t="shared" si="54"/>
        <v>0.28999999999999998</v>
      </c>
      <c r="R184" s="135">
        <f t="shared" si="54"/>
        <v>0.28999999999999998</v>
      </c>
      <c r="S184" s="135">
        <f t="shared" si="54"/>
        <v>0.28999999999999998</v>
      </c>
      <c r="T184" s="135">
        <f t="shared" si="55"/>
        <v>0.28999999999999998</v>
      </c>
      <c r="U184" s="135">
        <f t="shared" si="55"/>
        <v>0.28999999999999998</v>
      </c>
      <c r="V184" s="135">
        <f t="shared" si="55"/>
        <v>0.28999999999999998</v>
      </c>
      <c r="W184" s="135">
        <f t="shared" si="55"/>
        <v>0.28999999999999998</v>
      </c>
      <c r="X184" s="135">
        <f t="shared" si="55"/>
        <v>0.28999999999999998</v>
      </c>
      <c r="Y184" s="135">
        <f t="shared" si="55"/>
        <v>0.28999999999999998</v>
      </c>
      <c r="Z184" s="135">
        <f t="shared" si="55"/>
        <v>0.28999999999999998</v>
      </c>
      <c r="AA184" s="135">
        <f t="shared" si="55"/>
        <v>0.28999999999999998</v>
      </c>
      <c r="AB184" s="135">
        <f t="shared" si="55"/>
        <v>0.28999999999999998</v>
      </c>
      <c r="AC184" s="135">
        <f t="shared" si="55"/>
        <v>0.28999999999999998</v>
      </c>
      <c r="AD184" s="135">
        <f t="shared" si="55"/>
        <v>0.28999999999999998</v>
      </c>
      <c r="AE184" s="135">
        <f t="shared" si="55"/>
        <v>0.28999999999999998</v>
      </c>
      <c r="AF184" s="135">
        <f t="shared" si="55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3"/>
        <v>0.06</v>
      </c>
      <c r="C185" s="136">
        <v>0.06</v>
      </c>
      <c r="D185" s="135">
        <f t="shared" si="54"/>
        <v>0.06</v>
      </c>
      <c r="E185" s="135">
        <f t="shared" si="54"/>
        <v>0.06</v>
      </c>
      <c r="F185" s="135">
        <f t="shared" si="54"/>
        <v>0.06</v>
      </c>
      <c r="G185" s="135">
        <f t="shared" si="54"/>
        <v>0.06</v>
      </c>
      <c r="H185" s="135">
        <f t="shared" si="54"/>
        <v>0.06</v>
      </c>
      <c r="I185" s="135">
        <f t="shared" si="54"/>
        <v>0.06</v>
      </c>
      <c r="J185" s="135">
        <f t="shared" si="54"/>
        <v>0.06</v>
      </c>
      <c r="K185" s="135">
        <f t="shared" si="54"/>
        <v>0.06</v>
      </c>
      <c r="L185" s="135">
        <f t="shared" si="54"/>
        <v>0.06</v>
      </c>
      <c r="M185" s="135">
        <f t="shared" si="54"/>
        <v>0.06</v>
      </c>
      <c r="N185" s="135">
        <f t="shared" si="54"/>
        <v>0.06</v>
      </c>
      <c r="O185" s="135">
        <f t="shared" si="54"/>
        <v>0.06</v>
      </c>
      <c r="P185" s="135">
        <f t="shared" si="54"/>
        <v>0.06</v>
      </c>
      <c r="Q185" s="135">
        <f t="shared" si="54"/>
        <v>0.06</v>
      </c>
      <c r="R185" s="135">
        <f t="shared" si="54"/>
        <v>0.06</v>
      </c>
      <c r="S185" s="135">
        <f t="shared" si="54"/>
        <v>0.06</v>
      </c>
      <c r="T185" s="135">
        <f t="shared" si="55"/>
        <v>0.06</v>
      </c>
      <c r="U185" s="135">
        <f t="shared" si="55"/>
        <v>0.06</v>
      </c>
      <c r="V185" s="135">
        <f t="shared" si="55"/>
        <v>0.06</v>
      </c>
      <c r="W185" s="135">
        <f t="shared" si="55"/>
        <v>0.06</v>
      </c>
      <c r="X185" s="135">
        <f t="shared" si="55"/>
        <v>0.06</v>
      </c>
      <c r="Y185" s="135">
        <f t="shared" si="55"/>
        <v>0.06</v>
      </c>
      <c r="Z185" s="135">
        <f t="shared" si="55"/>
        <v>0.06</v>
      </c>
      <c r="AA185" s="135">
        <f t="shared" si="55"/>
        <v>0.06</v>
      </c>
      <c r="AB185" s="135">
        <f t="shared" si="55"/>
        <v>0.06</v>
      </c>
      <c r="AC185" s="135">
        <f t="shared" si="55"/>
        <v>0.06</v>
      </c>
      <c r="AD185" s="135">
        <f t="shared" si="55"/>
        <v>0.06</v>
      </c>
      <c r="AE185" s="135">
        <f t="shared" si="55"/>
        <v>0.06</v>
      </c>
      <c r="AF185" s="135">
        <f t="shared" si="55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3"/>
        <v>0.11</v>
      </c>
      <c r="C186" s="136">
        <v>0.11</v>
      </c>
      <c r="D186" s="135">
        <f t="shared" si="54"/>
        <v>0.11</v>
      </c>
      <c r="E186" s="135">
        <f t="shared" si="54"/>
        <v>0.11</v>
      </c>
      <c r="F186" s="135">
        <f t="shared" si="54"/>
        <v>0.11</v>
      </c>
      <c r="G186" s="135">
        <f t="shared" si="54"/>
        <v>0.11</v>
      </c>
      <c r="H186" s="135">
        <f t="shared" si="54"/>
        <v>0.11</v>
      </c>
      <c r="I186" s="135">
        <f t="shared" si="54"/>
        <v>0.11</v>
      </c>
      <c r="J186" s="135">
        <f t="shared" si="54"/>
        <v>0.11</v>
      </c>
      <c r="K186" s="135">
        <f t="shared" si="54"/>
        <v>0.11</v>
      </c>
      <c r="L186" s="135">
        <f t="shared" si="54"/>
        <v>0.11</v>
      </c>
      <c r="M186" s="135">
        <f t="shared" si="54"/>
        <v>0.11</v>
      </c>
      <c r="N186" s="135">
        <f t="shared" si="54"/>
        <v>0.11</v>
      </c>
      <c r="O186" s="135">
        <f t="shared" si="54"/>
        <v>0.11</v>
      </c>
      <c r="P186" s="135">
        <f t="shared" si="54"/>
        <v>0.11</v>
      </c>
      <c r="Q186" s="135">
        <f t="shared" si="54"/>
        <v>0.11</v>
      </c>
      <c r="R186" s="135">
        <f t="shared" si="54"/>
        <v>0.11</v>
      </c>
      <c r="S186" s="135">
        <f t="shared" si="54"/>
        <v>0.11</v>
      </c>
      <c r="T186" s="135">
        <f t="shared" si="55"/>
        <v>0.11</v>
      </c>
      <c r="U186" s="135">
        <f t="shared" si="55"/>
        <v>0.11</v>
      </c>
      <c r="V186" s="135">
        <f t="shared" si="55"/>
        <v>0.11</v>
      </c>
      <c r="W186" s="135">
        <f t="shared" si="55"/>
        <v>0.11</v>
      </c>
      <c r="X186" s="135">
        <f t="shared" si="55"/>
        <v>0.11</v>
      </c>
      <c r="Y186" s="135">
        <f t="shared" si="55"/>
        <v>0.11</v>
      </c>
      <c r="Z186" s="135">
        <f t="shared" si="55"/>
        <v>0.11</v>
      </c>
      <c r="AA186" s="135">
        <f t="shared" si="55"/>
        <v>0.11</v>
      </c>
      <c r="AB186" s="135">
        <f t="shared" si="55"/>
        <v>0.11</v>
      </c>
      <c r="AC186" s="135">
        <f t="shared" si="55"/>
        <v>0.11</v>
      </c>
      <c r="AD186" s="135">
        <f t="shared" si="55"/>
        <v>0.11</v>
      </c>
      <c r="AE186" s="135">
        <f t="shared" si="55"/>
        <v>0.11</v>
      </c>
      <c r="AF186" s="135">
        <f t="shared" si="55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3"/>
        <v>0.1</v>
      </c>
      <c r="C187" s="136">
        <v>0.1</v>
      </c>
      <c r="D187" s="135">
        <f t="shared" si="54"/>
        <v>0.1</v>
      </c>
      <c r="E187" s="135">
        <f t="shared" si="54"/>
        <v>0.1</v>
      </c>
      <c r="F187" s="135">
        <f t="shared" si="54"/>
        <v>0.1</v>
      </c>
      <c r="G187" s="135">
        <f t="shared" si="54"/>
        <v>0.1</v>
      </c>
      <c r="H187" s="135">
        <f t="shared" si="54"/>
        <v>0.1</v>
      </c>
      <c r="I187" s="135">
        <f t="shared" si="54"/>
        <v>0.1</v>
      </c>
      <c r="J187" s="135">
        <f t="shared" si="54"/>
        <v>0.1</v>
      </c>
      <c r="K187" s="135">
        <f t="shared" si="54"/>
        <v>0.1</v>
      </c>
      <c r="L187" s="135">
        <f t="shared" si="54"/>
        <v>0.1</v>
      </c>
      <c r="M187" s="135">
        <f t="shared" si="54"/>
        <v>0.1</v>
      </c>
      <c r="N187" s="135">
        <f t="shared" si="54"/>
        <v>0.1</v>
      </c>
      <c r="O187" s="135">
        <f t="shared" si="54"/>
        <v>0.1</v>
      </c>
      <c r="P187" s="135">
        <f t="shared" si="54"/>
        <v>0.1</v>
      </c>
      <c r="Q187" s="135">
        <f t="shared" si="54"/>
        <v>0.1</v>
      </c>
      <c r="R187" s="135">
        <f t="shared" si="54"/>
        <v>0.1</v>
      </c>
      <c r="S187" s="135">
        <f t="shared" si="55"/>
        <v>0.1</v>
      </c>
      <c r="T187" s="135">
        <f t="shared" si="55"/>
        <v>0.1</v>
      </c>
      <c r="U187" s="135">
        <f t="shared" si="55"/>
        <v>0.1</v>
      </c>
      <c r="V187" s="135">
        <f t="shared" si="55"/>
        <v>0.1</v>
      </c>
      <c r="W187" s="135">
        <f t="shared" si="55"/>
        <v>0.1</v>
      </c>
      <c r="X187" s="135">
        <f t="shared" si="55"/>
        <v>0.1</v>
      </c>
      <c r="Y187" s="135">
        <f t="shared" si="55"/>
        <v>0.1</v>
      </c>
      <c r="Z187" s="135">
        <f t="shared" si="55"/>
        <v>0.1</v>
      </c>
      <c r="AA187" s="135">
        <f t="shared" si="55"/>
        <v>0.1</v>
      </c>
      <c r="AB187" s="135">
        <f t="shared" si="55"/>
        <v>0.1</v>
      </c>
      <c r="AC187" s="135">
        <f t="shared" si="55"/>
        <v>0.1</v>
      </c>
      <c r="AD187" s="135">
        <f t="shared" si="55"/>
        <v>0.1</v>
      </c>
      <c r="AE187" s="135">
        <f t="shared" si="55"/>
        <v>0.1</v>
      </c>
      <c r="AF187" s="135">
        <f t="shared" si="55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3"/>
        <v>0.09</v>
      </c>
      <c r="C188" s="136">
        <v>0.09</v>
      </c>
      <c r="D188" s="135">
        <f t="shared" si="54"/>
        <v>0.09</v>
      </c>
      <c r="E188" s="135">
        <f t="shared" si="54"/>
        <v>0.09</v>
      </c>
      <c r="F188" s="135">
        <f t="shared" si="54"/>
        <v>0.09</v>
      </c>
      <c r="G188" s="135">
        <f t="shared" si="54"/>
        <v>0.09</v>
      </c>
      <c r="H188" s="135">
        <f t="shared" si="54"/>
        <v>0.09</v>
      </c>
      <c r="I188" s="135">
        <f t="shared" si="54"/>
        <v>0.09</v>
      </c>
      <c r="J188" s="135">
        <f t="shared" si="54"/>
        <v>0.09</v>
      </c>
      <c r="K188" s="135">
        <f t="shared" si="54"/>
        <v>0.09</v>
      </c>
      <c r="L188" s="135">
        <f t="shared" si="54"/>
        <v>0.09</v>
      </c>
      <c r="M188" s="135">
        <f t="shared" si="54"/>
        <v>0.09</v>
      </c>
      <c r="N188" s="135">
        <f t="shared" si="54"/>
        <v>0.09</v>
      </c>
      <c r="O188" s="135">
        <f t="shared" si="54"/>
        <v>0.09</v>
      </c>
      <c r="P188" s="135">
        <f t="shared" si="54"/>
        <v>0.09</v>
      </c>
      <c r="Q188" s="135">
        <f t="shared" si="54"/>
        <v>0.09</v>
      </c>
      <c r="R188" s="135">
        <f t="shared" si="54"/>
        <v>0.09</v>
      </c>
      <c r="S188" s="135">
        <f t="shared" si="55"/>
        <v>0.09</v>
      </c>
      <c r="T188" s="135">
        <f t="shared" si="55"/>
        <v>0.09</v>
      </c>
      <c r="U188" s="135">
        <f t="shared" si="55"/>
        <v>0.09</v>
      </c>
      <c r="V188" s="135">
        <f t="shared" si="55"/>
        <v>0.09</v>
      </c>
      <c r="W188" s="135">
        <f t="shared" si="55"/>
        <v>0.09</v>
      </c>
      <c r="X188" s="135">
        <f t="shared" si="55"/>
        <v>0.09</v>
      </c>
      <c r="Y188" s="135">
        <f t="shared" si="55"/>
        <v>0.09</v>
      </c>
      <c r="Z188" s="135">
        <f t="shared" si="55"/>
        <v>0.09</v>
      </c>
      <c r="AA188" s="135">
        <f t="shared" si="55"/>
        <v>0.09</v>
      </c>
      <c r="AB188" s="135">
        <f t="shared" si="55"/>
        <v>0.09</v>
      </c>
      <c r="AC188" s="135">
        <f t="shared" si="55"/>
        <v>0.09</v>
      </c>
      <c r="AD188" s="135">
        <f t="shared" si="55"/>
        <v>0.09</v>
      </c>
      <c r="AE188" s="135">
        <f t="shared" si="55"/>
        <v>0.09</v>
      </c>
      <c r="AF188" s="135">
        <f t="shared" si="55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3"/>
        <v>0.04</v>
      </c>
      <c r="C189" s="52">
        <v>0.04</v>
      </c>
      <c r="D189" s="135">
        <f t="shared" si="54"/>
        <v>0.04</v>
      </c>
      <c r="E189" s="135">
        <f t="shared" si="54"/>
        <v>0.04</v>
      </c>
      <c r="F189" s="135">
        <f t="shared" si="54"/>
        <v>0.04</v>
      </c>
      <c r="G189" s="135">
        <f t="shared" si="54"/>
        <v>0.04</v>
      </c>
      <c r="H189" s="135">
        <f t="shared" si="54"/>
        <v>0.04</v>
      </c>
      <c r="I189" s="135">
        <f t="shared" si="54"/>
        <v>0.04</v>
      </c>
      <c r="J189" s="135">
        <f t="shared" si="54"/>
        <v>0.04</v>
      </c>
      <c r="K189" s="135">
        <f t="shared" si="54"/>
        <v>0.04</v>
      </c>
      <c r="L189" s="135">
        <f t="shared" si="54"/>
        <v>0.04</v>
      </c>
      <c r="M189" s="135">
        <f t="shared" si="54"/>
        <v>0.04</v>
      </c>
      <c r="N189" s="135">
        <f t="shared" si="54"/>
        <v>0.04</v>
      </c>
      <c r="O189" s="135">
        <f t="shared" si="54"/>
        <v>0.04</v>
      </c>
      <c r="P189" s="135">
        <f t="shared" si="54"/>
        <v>0.04</v>
      </c>
      <c r="Q189" s="135">
        <f t="shared" si="54"/>
        <v>0.04</v>
      </c>
      <c r="R189" s="135">
        <f t="shared" si="54"/>
        <v>0.04</v>
      </c>
      <c r="S189" s="135">
        <f t="shared" si="55"/>
        <v>0.04</v>
      </c>
      <c r="T189" s="135">
        <f t="shared" si="55"/>
        <v>0.04</v>
      </c>
      <c r="U189" s="135">
        <f t="shared" si="55"/>
        <v>0.04</v>
      </c>
      <c r="V189" s="135">
        <f t="shared" si="55"/>
        <v>0.04</v>
      </c>
      <c r="W189" s="135">
        <f t="shared" si="55"/>
        <v>0.04</v>
      </c>
      <c r="X189" s="135">
        <f t="shared" si="55"/>
        <v>0.04</v>
      </c>
      <c r="Y189" s="135">
        <f t="shared" si="55"/>
        <v>0.04</v>
      </c>
      <c r="Z189" s="135">
        <f t="shared" si="55"/>
        <v>0.04</v>
      </c>
      <c r="AA189" s="135">
        <f t="shared" si="55"/>
        <v>0.04</v>
      </c>
      <c r="AB189" s="135">
        <f t="shared" si="55"/>
        <v>0.04</v>
      </c>
      <c r="AC189" s="135">
        <f t="shared" si="55"/>
        <v>0.04</v>
      </c>
      <c r="AD189" s="135">
        <f t="shared" si="55"/>
        <v>0.04</v>
      </c>
      <c r="AE189" s="135">
        <f t="shared" si="55"/>
        <v>0.04</v>
      </c>
      <c r="AF189" s="135">
        <f t="shared" si="55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3"/>
        <v>2.3E-2</v>
      </c>
      <c r="C190" s="52">
        <v>2.3E-2</v>
      </c>
      <c r="D190" s="135">
        <f>C190</f>
        <v>2.3E-2</v>
      </c>
      <c r="E190" s="135">
        <f t="shared" si="54"/>
        <v>2.3E-2</v>
      </c>
      <c r="F190" s="135">
        <f t="shared" si="54"/>
        <v>2.3E-2</v>
      </c>
      <c r="G190" s="135">
        <f t="shared" si="54"/>
        <v>2.3E-2</v>
      </c>
      <c r="H190" s="135">
        <f t="shared" si="54"/>
        <v>2.3E-2</v>
      </c>
      <c r="I190" s="135">
        <f t="shared" si="54"/>
        <v>2.3E-2</v>
      </c>
      <c r="J190" s="135">
        <f t="shared" si="54"/>
        <v>2.3E-2</v>
      </c>
      <c r="K190" s="135">
        <f t="shared" si="54"/>
        <v>2.3E-2</v>
      </c>
      <c r="L190" s="135">
        <f t="shared" si="54"/>
        <v>2.3E-2</v>
      </c>
      <c r="M190" s="135">
        <f t="shared" si="54"/>
        <v>2.3E-2</v>
      </c>
      <c r="N190" s="135">
        <f t="shared" si="54"/>
        <v>2.3E-2</v>
      </c>
      <c r="O190" s="135">
        <f t="shared" si="54"/>
        <v>2.3E-2</v>
      </c>
      <c r="P190" s="135">
        <f t="shared" si="54"/>
        <v>2.3E-2</v>
      </c>
      <c r="Q190" s="135">
        <f t="shared" si="54"/>
        <v>2.3E-2</v>
      </c>
      <c r="R190" s="135">
        <f t="shared" si="54"/>
        <v>2.3E-2</v>
      </c>
      <c r="S190" s="135">
        <f t="shared" si="55"/>
        <v>2.3E-2</v>
      </c>
      <c r="T190" s="135">
        <f t="shared" si="55"/>
        <v>2.3E-2</v>
      </c>
      <c r="U190" s="135">
        <f t="shared" si="55"/>
        <v>2.3E-2</v>
      </c>
      <c r="V190" s="135">
        <f t="shared" si="55"/>
        <v>2.3E-2</v>
      </c>
      <c r="W190" s="135">
        <f t="shared" si="55"/>
        <v>2.3E-2</v>
      </c>
      <c r="X190" s="135">
        <f t="shared" si="55"/>
        <v>2.3E-2</v>
      </c>
      <c r="Y190" s="135">
        <f t="shared" si="55"/>
        <v>2.3E-2</v>
      </c>
      <c r="Z190" s="135">
        <f t="shared" si="55"/>
        <v>2.3E-2</v>
      </c>
      <c r="AA190" s="135">
        <f t="shared" si="55"/>
        <v>2.3E-2</v>
      </c>
      <c r="AB190" s="135">
        <f t="shared" si="55"/>
        <v>2.3E-2</v>
      </c>
      <c r="AC190" s="135">
        <f t="shared" si="55"/>
        <v>2.3E-2</v>
      </c>
      <c r="AD190" s="135">
        <f t="shared" si="55"/>
        <v>2.3E-2</v>
      </c>
      <c r="AE190" s="135">
        <f t="shared" si="55"/>
        <v>2.3E-2</v>
      </c>
      <c r="AF190" s="135">
        <f t="shared" si="55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6">SUM(C101:C190)</f>
        <v>194.70600000000002</v>
      </c>
      <c r="D191" s="140">
        <f t="shared" si="56"/>
        <v>194.70600000000002</v>
      </c>
      <c r="E191" s="140">
        <f t="shared" si="56"/>
        <v>194.70600000000002</v>
      </c>
      <c r="F191" s="140">
        <f t="shared" si="56"/>
        <v>194.70600000000002</v>
      </c>
      <c r="G191" s="140">
        <f t="shared" si="56"/>
        <v>194.70600000000002</v>
      </c>
      <c r="H191" s="140">
        <f t="shared" si="56"/>
        <v>194.70600000000002</v>
      </c>
      <c r="I191" s="140">
        <f t="shared" si="56"/>
        <v>194.70600000000002</v>
      </c>
      <c r="J191" s="140">
        <f t="shared" si="56"/>
        <v>192.10600000000005</v>
      </c>
      <c r="K191" s="140">
        <f t="shared" si="56"/>
        <v>192.10600000000005</v>
      </c>
      <c r="L191" s="140">
        <f t="shared" si="56"/>
        <v>192.10600000000005</v>
      </c>
      <c r="M191" s="140">
        <f t="shared" si="56"/>
        <v>192.10600000000005</v>
      </c>
      <c r="N191" s="140">
        <f t="shared" si="56"/>
        <v>192.10600000000005</v>
      </c>
      <c r="O191" s="140">
        <f t="shared" si="56"/>
        <v>192.10600000000005</v>
      </c>
      <c r="P191" s="140">
        <f t="shared" si="56"/>
        <v>192.10600000000005</v>
      </c>
      <c r="Q191" s="140">
        <f t="shared" si="56"/>
        <v>192.10600000000005</v>
      </c>
      <c r="R191" s="140">
        <f t="shared" si="56"/>
        <v>192.10600000000005</v>
      </c>
      <c r="S191" s="140">
        <f t="shared" si="56"/>
        <v>192.10600000000005</v>
      </c>
      <c r="T191" s="140">
        <f t="shared" si="56"/>
        <v>192.10600000000005</v>
      </c>
      <c r="U191" s="140">
        <f t="shared" si="56"/>
        <v>192.10600000000005</v>
      </c>
      <c r="V191" s="140">
        <f t="shared" si="56"/>
        <v>192.10600000000005</v>
      </c>
      <c r="W191" s="140">
        <f t="shared" si="56"/>
        <v>192.10600000000005</v>
      </c>
      <c r="X191" s="140">
        <f t="shared" si="56"/>
        <v>192.10600000000005</v>
      </c>
      <c r="Y191" s="140">
        <f t="shared" si="56"/>
        <v>192.10600000000005</v>
      </c>
      <c r="Z191" s="140">
        <f t="shared" si="56"/>
        <v>192.10600000000005</v>
      </c>
      <c r="AA191" s="140">
        <f t="shared" si="56"/>
        <v>192.10600000000005</v>
      </c>
      <c r="AB191" s="140">
        <f t="shared" si="56"/>
        <v>192.10600000000005</v>
      </c>
      <c r="AC191" s="140">
        <f t="shared" si="56"/>
        <v>192.10600000000005</v>
      </c>
      <c r="AD191" s="140">
        <f t="shared" si="56"/>
        <v>192.10600000000005</v>
      </c>
      <c r="AE191" s="140">
        <f t="shared" si="56"/>
        <v>192.10600000000005</v>
      </c>
      <c r="AF191" s="140">
        <f t="shared" si="56"/>
        <v>192.10600000000005</v>
      </c>
      <c r="AG191" s="141">
        <f t="shared" si="56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7">AF193</f>
        <v>0.3</v>
      </c>
      <c r="C193" s="142">
        <v>0.3</v>
      </c>
      <c r="D193" s="142">
        <f t="shared" ref="D193:S198" si="58">C193</f>
        <v>0.3</v>
      </c>
      <c r="E193" s="142">
        <f t="shared" si="58"/>
        <v>0.3</v>
      </c>
      <c r="F193" s="142">
        <f t="shared" si="58"/>
        <v>0.3</v>
      </c>
      <c r="G193" s="142">
        <f t="shared" si="58"/>
        <v>0.3</v>
      </c>
      <c r="H193" s="142">
        <f t="shared" si="58"/>
        <v>0.3</v>
      </c>
      <c r="I193" s="142">
        <f t="shared" si="58"/>
        <v>0.3</v>
      </c>
      <c r="J193" s="142">
        <f t="shared" si="58"/>
        <v>0.3</v>
      </c>
      <c r="K193" s="142">
        <f t="shared" si="58"/>
        <v>0.3</v>
      </c>
      <c r="L193" s="142">
        <f t="shared" si="58"/>
        <v>0.3</v>
      </c>
      <c r="M193" s="142">
        <f t="shared" si="58"/>
        <v>0.3</v>
      </c>
      <c r="N193" s="142">
        <f t="shared" si="58"/>
        <v>0.3</v>
      </c>
      <c r="O193" s="142">
        <f t="shared" si="58"/>
        <v>0.3</v>
      </c>
      <c r="P193" s="142">
        <f t="shared" si="58"/>
        <v>0.3</v>
      </c>
      <c r="Q193" s="142">
        <f t="shared" si="58"/>
        <v>0.3</v>
      </c>
      <c r="R193" s="142">
        <f t="shared" si="58"/>
        <v>0.3</v>
      </c>
      <c r="S193" s="142">
        <f t="shared" si="58"/>
        <v>0.3</v>
      </c>
      <c r="T193" s="142">
        <f t="shared" ref="T193:AF198" si="59">S193</f>
        <v>0.3</v>
      </c>
      <c r="U193" s="142">
        <f t="shared" si="59"/>
        <v>0.3</v>
      </c>
      <c r="V193" s="142">
        <f t="shared" si="59"/>
        <v>0.3</v>
      </c>
      <c r="W193" s="142">
        <f t="shared" si="59"/>
        <v>0.3</v>
      </c>
      <c r="X193" s="142">
        <f t="shared" si="59"/>
        <v>0.3</v>
      </c>
      <c r="Y193" s="142">
        <f t="shared" si="59"/>
        <v>0.3</v>
      </c>
      <c r="Z193" s="142">
        <f t="shared" si="59"/>
        <v>0.3</v>
      </c>
      <c r="AA193" s="142">
        <f t="shared" si="59"/>
        <v>0.3</v>
      </c>
      <c r="AB193" s="142">
        <f t="shared" si="59"/>
        <v>0.3</v>
      </c>
      <c r="AC193" s="142">
        <f t="shared" si="59"/>
        <v>0.3</v>
      </c>
      <c r="AD193" s="142">
        <f t="shared" si="59"/>
        <v>0.3</v>
      </c>
      <c r="AE193" s="142">
        <f t="shared" si="59"/>
        <v>0.3</v>
      </c>
      <c r="AF193" s="142">
        <f t="shared" si="59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7"/>
        <v>0.4</v>
      </c>
      <c r="C194" s="135">
        <v>0.4</v>
      </c>
      <c r="D194" s="135">
        <f t="shared" si="58"/>
        <v>0.4</v>
      </c>
      <c r="E194" s="135">
        <f t="shared" si="58"/>
        <v>0.4</v>
      </c>
      <c r="F194" s="135">
        <f t="shared" si="58"/>
        <v>0.4</v>
      </c>
      <c r="G194" s="135">
        <f t="shared" si="58"/>
        <v>0.4</v>
      </c>
      <c r="H194" s="135">
        <f t="shared" si="58"/>
        <v>0.4</v>
      </c>
      <c r="I194" s="135">
        <f t="shared" si="58"/>
        <v>0.4</v>
      </c>
      <c r="J194" s="135">
        <f t="shared" si="58"/>
        <v>0.4</v>
      </c>
      <c r="K194" s="135">
        <f t="shared" si="58"/>
        <v>0.4</v>
      </c>
      <c r="L194" s="135">
        <f t="shared" si="58"/>
        <v>0.4</v>
      </c>
      <c r="M194" s="135">
        <f t="shared" si="58"/>
        <v>0.4</v>
      </c>
      <c r="N194" s="135">
        <f t="shared" si="58"/>
        <v>0.4</v>
      </c>
      <c r="O194" s="135">
        <f t="shared" si="58"/>
        <v>0.4</v>
      </c>
      <c r="P194" s="135">
        <f t="shared" si="58"/>
        <v>0.4</v>
      </c>
      <c r="Q194" s="135">
        <f t="shared" si="58"/>
        <v>0.4</v>
      </c>
      <c r="R194" s="135">
        <f t="shared" si="58"/>
        <v>0.4</v>
      </c>
      <c r="S194" s="135">
        <f t="shared" si="58"/>
        <v>0.4</v>
      </c>
      <c r="T194" s="135">
        <f t="shared" si="59"/>
        <v>0.4</v>
      </c>
      <c r="U194" s="135">
        <f t="shared" si="59"/>
        <v>0.4</v>
      </c>
      <c r="V194" s="135">
        <f t="shared" si="59"/>
        <v>0.4</v>
      </c>
      <c r="W194" s="135">
        <f>V194</f>
        <v>0.4</v>
      </c>
      <c r="X194" s="135">
        <f>W194</f>
        <v>0.4</v>
      </c>
      <c r="Y194" s="135">
        <f t="shared" si="59"/>
        <v>0.4</v>
      </c>
      <c r="Z194" s="135">
        <f t="shared" si="59"/>
        <v>0.4</v>
      </c>
      <c r="AA194" s="135">
        <f t="shared" si="59"/>
        <v>0.4</v>
      </c>
      <c r="AB194" s="135">
        <f t="shared" si="59"/>
        <v>0.4</v>
      </c>
      <c r="AC194" s="135">
        <f t="shared" si="59"/>
        <v>0.4</v>
      </c>
      <c r="AD194" s="135">
        <f t="shared" si="59"/>
        <v>0.4</v>
      </c>
      <c r="AE194" s="135">
        <f t="shared" si="59"/>
        <v>0.4</v>
      </c>
      <c r="AF194" s="135">
        <f t="shared" si="59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7"/>
        <v>1.5</v>
      </c>
      <c r="C195" s="135">
        <v>1.5</v>
      </c>
      <c r="D195" s="135">
        <f t="shared" si="58"/>
        <v>1.5</v>
      </c>
      <c r="E195" s="135">
        <f t="shared" si="58"/>
        <v>1.5</v>
      </c>
      <c r="F195" s="135">
        <f t="shared" si="58"/>
        <v>1.5</v>
      </c>
      <c r="G195" s="135">
        <f t="shared" si="58"/>
        <v>1.5</v>
      </c>
      <c r="H195" s="135">
        <f t="shared" si="58"/>
        <v>1.5</v>
      </c>
      <c r="I195" s="135">
        <f t="shared" si="58"/>
        <v>1.5</v>
      </c>
      <c r="J195" s="135">
        <f t="shared" si="58"/>
        <v>1.5</v>
      </c>
      <c r="K195" s="135">
        <f t="shared" si="58"/>
        <v>1.5</v>
      </c>
      <c r="L195" s="135">
        <f t="shared" si="58"/>
        <v>1.5</v>
      </c>
      <c r="M195" s="135">
        <f t="shared" si="58"/>
        <v>1.5</v>
      </c>
      <c r="N195" s="135">
        <f t="shared" si="58"/>
        <v>1.5</v>
      </c>
      <c r="O195" s="135">
        <f t="shared" si="58"/>
        <v>1.5</v>
      </c>
      <c r="P195" s="135">
        <f t="shared" si="58"/>
        <v>1.5</v>
      </c>
      <c r="Q195" s="135">
        <f t="shared" si="58"/>
        <v>1.5</v>
      </c>
      <c r="R195" s="135">
        <f t="shared" si="58"/>
        <v>1.5</v>
      </c>
      <c r="S195" s="135">
        <f t="shared" si="58"/>
        <v>1.5</v>
      </c>
      <c r="T195" s="135">
        <f t="shared" si="59"/>
        <v>1.5</v>
      </c>
      <c r="U195" s="135">
        <f t="shared" si="59"/>
        <v>1.5</v>
      </c>
      <c r="V195" s="135">
        <f t="shared" si="59"/>
        <v>1.5</v>
      </c>
      <c r="W195" s="135">
        <f t="shared" si="59"/>
        <v>1.5</v>
      </c>
      <c r="X195" s="135">
        <f t="shared" si="59"/>
        <v>1.5</v>
      </c>
      <c r="Y195" s="135">
        <f t="shared" si="59"/>
        <v>1.5</v>
      </c>
      <c r="Z195" s="135">
        <f t="shared" si="59"/>
        <v>1.5</v>
      </c>
      <c r="AA195" s="135">
        <f t="shared" si="59"/>
        <v>1.5</v>
      </c>
      <c r="AB195" s="135">
        <f t="shared" si="59"/>
        <v>1.5</v>
      </c>
      <c r="AC195" s="135">
        <f t="shared" si="59"/>
        <v>1.5</v>
      </c>
      <c r="AD195" s="135">
        <f t="shared" si="59"/>
        <v>1.5</v>
      </c>
      <c r="AE195" s="135">
        <f t="shared" si="59"/>
        <v>1.5</v>
      </c>
      <c r="AF195" s="135">
        <f t="shared" si="59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7"/>
        <v>0.3</v>
      </c>
      <c r="C196" s="135">
        <v>0.3</v>
      </c>
      <c r="D196" s="135">
        <f t="shared" si="58"/>
        <v>0.3</v>
      </c>
      <c r="E196" s="135">
        <f t="shared" si="58"/>
        <v>0.3</v>
      </c>
      <c r="F196" s="135">
        <f t="shared" si="58"/>
        <v>0.3</v>
      </c>
      <c r="G196" s="135">
        <f t="shared" si="58"/>
        <v>0.3</v>
      </c>
      <c r="H196" s="135">
        <f t="shared" si="58"/>
        <v>0.3</v>
      </c>
      <c r="I196" s="135">
        <f t="shared" si="58"/>
        <v>0.3</v>
      </c>
      <c r="J196" s="135">
        <f t="shared" si="58"/>
        <v>0.3</v>
      </c>
      <c r="K196" s="135">
        <f t="shared" si="58"/>
        <v>0.3</v>
      </c>
      <c r="L196" s="135">
        <f t="shared" si="58"/>
        <v>0.3</v>
      </c>
      <c r="M196" s="135">
        <f t="shared" si="58"/>
        <v>0.3</v>
      </c>
      <c r="N196" s="135">
        <f t="shared" si="58"/>
        <v>0.3</v>
      </c>
      <c r="O196" s="135">
        <f t="shared" si="58"/>
        <v>0.3</v>
      </c>
      <c r="P196" s="135">
        <f t="shared" si="58"/>
        <v>0.3</v>
      </c>
      <c r="Q196" s="135">
        <f t="shared" si="58"/>
        <v>0.3</v>
      </c>
      <c r="R196" s="135">
        <f t="shared" si="58"/>
        <v>0.3</v>
      </c>
      <c r="S196" s="135">
        <f t="shared" si="58"/>
        <v>0.3</v>
      </c>
      <c r="T196" s="135">
        <f t="shared" si="59"/>
        <v>0.3</v>
      </c>
      <c r="U196" s="135">
        <f t="shared" si="59"/>
        <v>0.3</v>
      </c>
      <c r="V196" s="135">
        <f t="shared" si="59"/>
        <v>0.3</v>
      </c>
      <c r="W196" s="135">
        <f t="shared" si="59"/>
        <v>0.3</v>
      </c>
      <c r="X196" s="135">
        <f t="shared" si="59"/>
        <v>0.3</v>
      </c>
      <c r="Y196" s="135">
        <f t="shared" si="59"/>
        <v>0.3</v>
      </c>
      <c r="Z196" s="135">
        <f t="shared" si="59"/>
        <v>0.3</v>
      </c>
      <c r="AA196" s="135">
        <f t="shared" si="59"/>
        <v>0.3</v>
      </c>
      <c r="AB196" s="135">
        <f t="shared" si="59"/>
        <v>0.3</v>
      </c>
      <c r="AC196" s="135">
        <f t="shared" si="59"/>
        <v>0.3</v>
      </c>
      <c r="AD196" s="135">
        <f t="shared" si="59"/>
        <v>0.3</v>
      </c>
      <c r="AE196" s="135">
        <f t="shared" si="59"/>
        <v>0.3</v>
      </c>
      <c r="AF196" s="135">
        <f t="shared" si="59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7"/>
        <v>0.4</v>
      </c>
      <c r="C197" s="135">
        <v>0.4</v>
      </c>
      <c r="D197" s="135">
        <f t="shared" si="58"/>
        <v>0.4</v>
      </c>
      <c r="E197" s="135">
        <f t="shared" si="58"/>
        <v>0.4</v>
      </c>
      <c r="F197" s="135">
        <f t="shared" si="58"/>
        <v>0.4</v>
      </c>
      <c r="G197" s="135">
        <f t="shared" si="58"/>
        <v>0.4</v>
      </c>
      <c r="H197" s="135">
        <f t="shared" si="58"/>
        <v>0.4</v>
      </c>
      <c r="I197" s="135">
        <f t="shared" si="58"/>
        <v>0.4</v>
      </c>
      <c r="J197" s="135">
        <f t="shared" si="58"/>
        <v>0.4</v>
      </c>
      <c r="K197" s="135">
        <f t="shared" si="58"/>
        <v>0.4</v>
      </c>
      <c r="L197" s="135">
        <f t="shared" si="58"/>
        <v>0.4</v>
      </c>
      <c r="M197" s="135">
        <f t="shared" si="58"/>
        <v>0.4</v>
      </c>
      <c r="N197" s="135">
        <f t="shared" si="58"/>
        <v>0.4</v>
      </c>
      <c r="O197" s="135">
        <f t="shared" si="58"/>
        <v>0.4</v>
      </c>
      <c r="P197" s="135">
        <f t="shared" si="58"/>
        <v>0.4</v>
      </c>
      <c r="Q197" s="135">
        <f t="shared" si="58"/>
        <v>0.4</v>
      </c>
      <c r="R197" s="135">
        <f t="shared" si="58"/>
        <v>0.4</v>
      </c>
      <c r="S197" s="135">
        <f t="shared" si="58"/>
        <v>0.4</v>
      </c>
      <c r="T197" s="135">
        <f t="shared" si="59"/>
        <v>0.4</v>
      </c>
      <c r="U197" s="135">
        <f t="shared" si="59"/>
        <v>0.4</v>
      </c>
      <c r="V197" s="135">
        <f t="shared" si="59"/>
        <v>0.4</v>
      </c>
      <c r="W197" s="135">
        <f t="shared" si="59"/>
        <v>0.4</v>
      </c>
      <c r="X197" s="135">
        <f t="shared" si="59"/>
        <v>0.4</v>
      </c>
      <c r="Y197" s="135">
        <f t="shared" si="59"/>
        <v>0.4</v>
      </c>
      <c r="Z197" s="135">
        <f t="shared" si="59"/>
        <v>0.4</v>
      </c>
      <c r="AA197" s="135">
        <f t="shared" si="59"/>
        <v>0.4</v>
      </c>
      <c r="AB197" s="135">
        <f t="shared" si="59"/>
        <v>0.4</v>
      </c>
      <c r="AC197" s="135">
        <f t="shared" si="59"/>
        <v>0.4</v>
      </c>
      <c r="AD197" s="135">
        <f t="shared" si="59"/>
        <v>0.4</v>
      </c>
      <c r="AE197" s="135">
        <f t="shared" si="59"/>
        <v>0.4</v>
      </c>
      <c r="AF197" s="135">
        <f t="shared" si="59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7"/>
        <v>0.64</v>
      </c>
      <c r="C198" s="145">
        <v>0.64</v>
      </c>
      <c r="D198" s="145">
        <f t="shared" si="58"/>
        <v>0.64</v>
      </c>
      <c r="E198" s="145">
        <f t="shared" si="58"/>
        <v>0.64</v>
      </c>
      <c r="F198" s="145">
        <f t="shared" si="58"/>
        <v>0.64</v>
      </c>
      <c r="G198" s="145">
        <f t="shared" si="58"/>
        <v>0.64</v>
      </c>
      <c r="H198" s="145">
        <f t="shared" si="58"/>
        <v>0.64</v>
      </c>
      <c r="I198" s="145">
        <f t="shared" si="58"/>
        <v>0.64</v>
      </c>
      <c r="J198" s="145">
        <f t="shared" si="58"/>
        <v>0.64</v>
      </c>
      <c r="K198" s="145">
        <f t="shared" si="58"/>
        <v>0.64</v>
      </c>
      <c r="L198" s="145">
        <f t="shared" si="58"/>
        <v>0.64</v>
      </c>
      <c r="M198" s="145">
        <f t="shared" si="58"/>
        <v>0.64</v>
      </c>
      <c r="N198" s="145">
        <f t="shared" si="58"/>
        <v>0.64</v>
      </c>
      <c r="O198" s="145">
        <f t="shared" si="58"/>
        <v>0.64</v>
      </c>
      <c r="P198" s="145">
        <f t="shared" si="58"/>
        <v>0.64</v>
      </c>
      <c r="Q198" s="145">
        <f t="shared" si="58"/>
        <v>0.64</v>
      </c>
      <c r="R198" s="145">
        <f t="shared" si="58"/>
        <v>0.64</v>
      </c>
      <c r="S198" s="145">
        <f t="shared" si="58"/>
        <v>0.64</v>
      </c>
      <c r="T198" s="145">
        <f t="shared" si="59"/>
        <v>0.64</v>
      </c>
      <c r="U198" s="145">
        <f t="shared" si="59"/>
        <v>0.64</v>
      </c>
      <c r="V198" s="145">
        <f t="shared" si="59"/>
        <v>0.64</v>
      </c>
      <c r="W198" s="145">
        <f t="shared" si="59"/>
        <v>0.64</v>
      </c>
      <c r="X198" s="145">
        <f t="shared" si="59"/>
        <v>0.64</v>
      </c>
      <c r="Y198" s="145">
        <f t="shared" si="59"/>
        <v>0.64</v>
      </c>
      <c r="Z198" s="145">
        <f t="shared" si="59"/>
        <v>0.64</v>
      </c>
      <c r="AA198" s="145">
        <f t="shared" si="59"/>
        <v>0.64</v>
      </c>
      <c r="AB198" s="145">
        <f t="shared" si="59"/>
        <v>0.64</v>
      </c>
      <c r="AC198" s="145">
        <f t="shared" si="59"/>
        <v>0.64</v>
      </c>
      <c r="AD198" s="145">
        <f t="shared" si="59"/>
        <v>0.64</v>
      </c>
      <c r="AE198" s="145">
        <f t="shared" si="59"/>
        <v>0.64</v>
      </c>
      <c r="AF198" s="145">
        <f t="shared" si="59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60">SUM(D193:D198)</f>
        <v>3.54</v>
      </c>
      <c r="E199" s="148">
        <f t="shared" si="60"/>
        <v>3.54</v>
      </c>
      <c r="F199" s="148">
        <f t="shared" si="60"/>
        <v>3.54</v>
      </c>
      <c r="G199" s="148">
        <f t="shared" si="60"/>
        <v>3.54</v>
      </c>
      <c r="H199" s="148">
        <f t="shared" si="60"/>
        <v>3.54</v>
      </c>
      <c r="I199" s="148">
        <f t="shared" si="60"/>
        <v>3.54</v>
      </c>
      <c r="J199" s="148">
        <f t="shared" si="60"/>
        <v>3.54</v>
      </c>
      <c r="K199" s="148">
        <f t="shared" si="60"/>
        <v>3.54</v>
      </c>
      <c r="L199" s="148">
        <f t="shared" si="60"/>
        <v>3.54</v>
      </c>
      <c r="M199" s="148">
        <f>SUM(M193:M198)</f>
        <v>3.54</v>
      </c>
      <c r="N199" s="148">
        <f t="shared" ref="N199:S199" si="61">SUM(N193:N198)</f>
        <v>3.54</v>
      </c>
      <c r="O199" s="148">
        <f t="shared" si="61"/>
        <v>3.54</v>
      </c>
      <c r="P199" s="148">
        <f t="shared" si="61"/>
        <v>3.54</v>
      </c>
      <c r="Q199" s="148">
        <f t="shared" si="61"/>
        <v>3.54</v>
      </c>
      <c r="R199" s="148">
        <f t="shared" si="61"/>
        <v>3.54</v>
      </c>
      <c r="S199" s="148">
        <f t="shared" si="61"/>
        <v>3.54</v>
      </c>
      <c r="T199" s="148">
        <f>SUM(T193:T198)</f>
        <v>3.54</v>
      </c>
      <c r="U199" s="148">
        <f t="shared" ref="U199:AG199" si="62">SUM(U193:U198)</f>
        <v>3.54</v>
      </c>
      <c r="V199" s="148">
        <f t="shared" si="62"/>
        <v>3.54</v>
      </c>
      <c r="W199" s="148">
        <f t="shared" si="62"/>
        <v>3.54</v>
      </c>
      <c r="X199" s="148">
        <f t="shared" si="62"/>
        <v>3.54</v>
      </c>
      <c r="Y199" s="148">
        <f t="shared" si="62"/>
        <v>3.54</v>
      </c>
      <c r="Z199" s="148">
        <f t="shared" si="62"/>
        <v>3.54</v>
      </c>
      <c r="AA199" s="148">
        <f t="shared" si="62"/>
        <v>3.54</v>
      </c>
      <c r="AB199" s="148">
        <f t="shared" si="62"/>
        <v>3.54</v>
      </c>
      <c r="AC199" s="148">
        <f t="shared" si="62"/>
        <v>3.54</v>
      </c>
      <c r="AD199" s="148">
        <f t="shared" si="62"/>
        <v>3.54</v>
      </c>
      <c r="AE199" s="148">
        <f t="shared" si="62"/>
        <v>3.54</v>
      </c>
      <c r="AF199" s="148">
        <f t="shared" si="62"/>
        <v>3.54</v>
      </c>
      <c r="AG199" s="149">
        <f t="shared" si="62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1397.54</v>
      </c>
      <c r="C208" s="163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2078/10/22)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3">B75</f>
        <v>940.14</v>
      </c>
      <c r="U213" s="173">
        <f t="shared" si="63"/>
        <v>893.14</v>
      </c>
      <c r="V213" s="173">
        <f t="shared" si="63"/>
        <v>881.14</v>
      </c>
      <c r="W213" s="173">
        <f t="shared" si="63"/>
        <v>863.14</v>
      </c>
      <c r="X213" s="173">
        <f t="shared" si="63"/>
        <v>828.13999999999987</v>
      </c>
      <c r="Y213" s="173">
        <f t="shared" si="63"/>
        <v>902.14</v>
      </c>
      <c r="Z213" s="173">
        <f t="shared" si="63"/>
        <v>892.74</v>
      </c>
      <c r="AA213" s="173">
        <f t="shared" si="63"/>
        <v>950.04</v>
      </c>
      <c r="AB213" s="173">
        <f t="shared" si="63"/>
        <v>1012.9399999999998</v>
      </c>
      <c r="AC213" s="173">
        <f t="shared" si="63"/>
        <v>1096.1399999999999</v>
      </c>
      <c r="AD213" s="173">
        <f t="shared" si="63"/>
        <v>1253.6400000000001</v>
      </c>
      <c r="AE213" s="173">
        <f t="shared" si="63"/>
        <v>1336.1399999999999</v>
      </c>
      <c r="AF213" s="173">
        <f t="shared" si="63"/>
        <v>1397.54</v>
      </c>
      <c r="AG213" s="173">
        <f t="shared" si="63"/>
        <v>1371.8400000000001</v>
      </c>
      <c r="AH213" s="173">
        <f t="shared" si="63"/>
        <v>1256.7399999999998</v>
      </c>
      <c r="AI213" s="173">
        <f t="shared" si="63"/>
        <v>1217.24</v>
      </c>
      <c r="AJ213" s="173">
        <f t="shared" si="63"/>
        <v>1176.54</v>
      </c>
      <c r="AK213" s="173">
        <f t="shared" si="63"/>
        <v>1179.8399999999997</v>
      </c>
      <c r="AL213" s="173">
        <f t="shared" si="63"/>
        <v>1165.54</v>
      </c>
      <c r="AM213" s="173">
        <f t="shared" si="63"/>
        <v>1149.24</v>
      </c>
      <c r="AN213" s="173">
        <f t="shared" si="63"/>
        <v>1174.3400000000001</v>
      </c>
      <c r="AO213" s="173">
        <f t="shared" si="63"/>
        <v>1264.94</v>
      </c>
      <c r="AP213" s="173">
        <f t="shared" si="63"/>
        <v>1495.3400000000001</v>
      </c>
      <c r="AQ213" s="173">
        <f t="shared" si="63"/>
        <v>1576.3400000000001</v>
      </c>
      <c r="AR213" s="173">
        <f t="shared" si="63"/>
        <v>1594.14</v>
      </c>
      <c r="AS213" s="173">
        <f t="shared" si="63"/>
        <v>1540.24</v>
      </c>
      <c r="AT213" s="173">
        <f t="shared" si="63"/>
        <v>1472.8400000000001</v>
      </c>
      <c r="AU213" s="173">
        <f t="shared" si="63"/>
        <v>1397.54</v>
      </c>
      <c r="AV213" s="173">
        <f t="shared" si="63"/>
        <v>1379.34</v>
      </c>
      <c r="AW213" s="173">
        <f t="shared" si="63"/>
        <v>1176.8399999999999</v>
      </c>
      <c r="AX213" s="173">
        <f t="shared" si="63"/>
        <v>1024.3399999999999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4">C198</f>
        <v>0.64</v>
      </c>
      <c r="C234" s="176">
        <f t="shared" si="64"/>
        <v>0.64</v>
      </c>
      <c r="D234" s="176">
        <f t="shared" si="64"/>
        <v>0.64</v>
      </c>
      <c r="E234" s="176">
        <f t="shared" si="64"/>
        <v>0.64</v>
      </c>
      <c r="F234" s="176">
        <f t="shared" si="64"/>
        <v>0.64</v>
      </c>
      <c r="G234" s="176">
        <f t="shared" si="64"/>
        <v>0.64</v>
      </c>
      <c r="H234" s="176">
        <f t="shared" si="64"/>
        <v>0.64</v>
      </c>
      <c r="I234" s="176">
        <f t="shared" si="64"/>
        <v>0.64</v>
      </c>
      <c r="J234" s="176">
        <f t="shared" si="64"/>
        <v>0.64</v>
      </c>
      <c r="K234" s="176">
        <f t="shared" si="64"/>
        <v>0.64</v>
      </c>
      <c r="L234" s="176">
        <f t="shared" si="64"/>
        <v>0.64</v>
      </c>
      <c r="M234" s="176">
        <f t="shared" si="64"/>
        <v>0.64</v>
      </c>
      <c r="N234" s="176">
        <f t="shared" si="64"/>
        <v>0.64</v>
      </c>
      <c r="O234" s="176">
        <f t="shared" si="64"/>
        <v>0.64</v>
      </c>
      <c r="P234" s="176">
        <f t="shared" si="64"/>
        <v>0.64</v>
      </c>
      <c r="Q234" s="176">
        <f t="shared" si="64"/>
        <v>0.64</v>
      </c>
      <c r="R234" s="176">
        <f t="shared" si="64"/>
        <v>0.64</v>
      </c>
      <c r="S234" s="176">
        <f t="shared" si="64"/>
        <v>0.64</v>
      </c>
      <c r="T234" s="176">
        <f t="shared" si="64"/>
        <v>0.64</v>
      </c>
      <c r="U234" s="176">
        <f t="shared" si="64"/>
        <v>0.64</v>
      </c>
      <c r="V234" s="176">
        <f t="shared" si="64"/>
        <v>0.64</v>
      </c>
      <c r="W234" s="176">
        <f t="shared" si="64"/>
        <v>0.64</v>
      </c>
      <c r="X234" s="176">
        <f t="shared" si="64"/>
        <v>0.64</v>
      </c>
      <c r="Y234" s="176">
        <f t="shared" si="64"/>
        <v>0.64</v>
      </c>
      <c r="Z234" s="176">
        <f t="shared" si="64"/>
        <v>0.64</v>
      </c>
      <c r="AA234" s="176">
        <f t="shared" si="64"/>
        <v>0.64</v>
      </c>
      <c r="AB234" s="176">
        <f t="shared" si="64"/>
        <v>0.64</v>
      </c>
      <c r="AC234" s="176">
        <f t="shared" si="64"/>
        <v>0.64</v>
      </c>
      <c r="AD234" s="176">
        <f t="shared" si="64"/>
        <v>0.64</v>
      </c>
      <c r="AE234" s="176">
        <f t="shared" si="64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5">IF(C202&lt;100,"",C202-520)</f>
        <v/>
      </c>
      <c r="D235" s="119" t="str">
        <f t="shared" si="65"/>
        <v/>
      </c>
      <c r="E235" s="119" t="str">
        <f t="shared" si="65"/>
        <v/>
      </c>
      <c r="F235" s="119" t="str">
        <f t="shared" si="65"/>
        <v/>
      </c>
      <c r="G235" s="119" t="str">
        <f t="shared" si="65"/>
        <v/>
      </c>
      <c r="H235" s="119" t="str">
        <f t="shared" si="65"/>
        <v/>
      </c>
      <c r="I235" s="119" t="str">
        <f t="shared" si="65"/>
        <v/>
      </c>
      <c r="J235" s="119" t="str">
        <f t="shared" si="65"/>
        <v/>
      </c>
      <c r="K235" s="119" t="str">
        <f t="shared" si="65"/>
        <v/>
      </c>
      <c r="L235" s="119" t="str">
        <f t="shared" si="65"/>
        <v/>
      </c>
      <c r="M235" s="119" t="str">
        <f t="shared" si="65"/>
        <v/>
      </c>
      <c r="N235" s="119" t="str">
        <f t="shared" si="65"/>
        <v/>
      </c>
      <c r="O235" s="119" t="str">
        <f t="shared" si="65"/>
        <v/>
      </c>
      <c r="P235" s="119" t="str">
        <f t="shared" si="65"/>
        <v/>
      </c>
      <c r="Q235" s="119" t="str">
        <f t="shared" si="65"/>
        <v/>
      </c>
      <c r="R235" s="119" t="str">
        <f t="shared" si="65"/>
        <v/>
      </c>
      <c r="S235" s="119" t="str">
        <f t="shared" si="65"/>
        <v/>
      </c>
      <c r="T235" s="119" t="str">
        <f t="shared" si="65"/>
        <v/>
      </c>
      <c r="U235" s="119" t="str">
        <f t="shared" si="65"/>
        <v/>
      </c>
      <c r="V235" s="119" t="str">
        <f t="shared" si="65"/>
        <v/>
      </c>
      <c r="W235" s="119" t="str">
        <f t="shared" si="65"/>
        <v/>
      </c>
      <c r="X235" s="119" t="str">
        <f t="shared" si="65"/>
        <v/>
      </c>
      <c r="Y235" s="119" t="str">
        <f t="shared" si="65"/>
        <v/>
      </c>
      <c r="Z235" s="119" t="str">
        <f t="shared" si="65"/>
        <v/>
      </c>
      <c r="AA235" s="119" t="str">
        <f t="shared" si="65"/>
        <v/>
      </c>
      <c r="AB235" s="119" t="str">
        <f t="shared" si="65"/>
        <v/>
      </c>
      <c r="AC235" s="119" t="str">
        <f t="shared" si="65"/>
        <v/>
      </c>
      <c r="AD235" s="119" t="str">
        <f t="shared" si="65"/>
        <v/>
      </c>
      <c r="AE235" s="119" t="str">
        <f t="shared" si="65"/>
        <v/>
      </c>
      <c r="AF235" s="119" t="str">
        <f t="shared" si="65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6">IF(B203&lt;100,"",B203-620)</f>
        <v/>
      </c>
      <c r="C236" s="119" t="str">
        <f t="shared" si="66"/>
        <v/>
      </c>
      <c r="D236" s="119" t="str">
        <f t="shared" si="66"/>
        <v/>
      </c>
      <c r="E236" s="119" t="str">
        <f t="shared" si="66"/>
        <v/>
      </c>
      <c r="F236" s="119" t="str">
        <f t="shared" si="66"/>
        <v/>
      </c>
      <c r="G236" s="119" t="str">
        <f t="shared" si="66"/>
        <v/>
      </c>
      <c r="H236" s="119" t="str">
        <f t="shared" si="66"/>
        <v/>
      </c>
      <c r="I236" s="119" t="str">
        <f t="shared" si="66"/>
        <v/>
      </c>
      <c r="J236" s="119" t="str">
        <f t="shared" si="66"/>
        <v/>
      </c>
      <c r="K236" s="119" t="str">
        <f t="shared" si="66"/>
        <v/>
      </c>
      <c r="L236" s="119" t="str">
        <f t="shared" si="66"/>
        <v/>
      </c>
      <c r="M236" s="119" t="str">
        <f t="shared" si="66"/>
        <v/>
      </c>
      <c r="N236" s="119" t="str">
        <f t="shared" si="66"/>
        <v/>
      </c>
      <c r="O236" s="119" t="str">
        <f t="shared" si="66"/>
        <v/>
      </c>
      <c r="P236" s="119" t="str">
        <f t="shared" si="66"/>
        <v/>
      </c>
      <c r="Q236" s="119" t="str">
        <f t="shared" si="66"/>
        <v/>
      </c>
      <c r="R236" s="119" t="str">
        <f t="shared" si="66"/>
        <v/>
      </c>
      <c r="S236" s="119" t="str">
        <f t="shared" si="66"/>
        <v/>
      </c>
      <c r="T236" s="119" t="str">
        <f t="shared" si="66"/>
        <v/>
      </c>
      <c r="U236" s="119" t="str">
        <f t="shared" si="66"/>
        <v/>
      </c>
      <c r="V236" s="119" t="str">
        <f t="shared" si="66"/>
        <v/>
      </c>
      <c r="W236" s="119" t="str">
        <f t="shared" si="66"/>
        <v/>
      </c>
      <c r="X236" s="119" t="str">
        <f t="shared" si="66"/>
        <v/>
      </c>
      <c r="Y236" s="119" t="str">
        <f t="shared" si="66"/>
        <v/>
      </c>
      <c r="Z236" s="119" t="str">
        <f t="shared" si="66"/>
        <v/>
      </c>
      <c r="AA236" s="119" t="str">
        <f t="shared" si="66"/>
        <v/>
      </c>
      <c r="AB236" s="119" t="str">
        <f t="shared" si="66"/>
        <v/>
      </c>
      <c r="AC236" s="119" t="str">
        <f t="shared" si="66"/>
        <v/>
      </c>
      <c r="AD236" s="119" t="str">
        <f t="shared" si="66"/>
        <v/>
      </c>
      <c r="AE236" s="119" t="str">
        <f t="shared" si="66"/>
        <v/>
      </c>
      <c r="AF236" s="119" t="str">
        <f t="shared" si="66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7">IF(B204&lt;100,"",B204-330)</f>
        <v/>
      </c>
      <c r="C237" s="119" t="str">
        <f t="shared" si="67"/>
        <v/>
      </c>
      <c r="D237" s="119" t="str">
        <f t="shared" si="67"/>
        <v/>
      </c>
      <c r="E237" s="119" t="str">
        <f t="shared" si="67"/>
        <v/>
      </c>
      <c r="F237" s="119" t="str">
        <f t="shared" si="67"/>
        <v/>
      </c>
      <c r="G237" s="119" t="str">
        <f t="shared" si="67"/>
        <v/>
      </c>
      <c r="H237" s="119" t="str">
        <f t="shared" si="67"/>
        <v/>
      </c>
      <c r="I237" s="119" t="str">
        <f t="shared" si="67"/>
        <v/>
      </c>
      <c r="J237" s="119" t="str">
        <f t="shared" si="67"/>
        <v/>
      </c>
      <c r="K237" s="119" t="str">
        <f t="shared" si="67"/>
        <v/>
      </c>
      <c r="L237" s="119" t="str">
        <f t="shared" si="67"/>
        <v/>
      </c>
      <c r="M237" s="119" t="str">
        <f t="shared" si="67"/>
        <v/>
      </c>
      <c r="N237" s="119" t="str">
        <f t="shared" si="67"/>
        <v/>
      </c>
      <c r="O237" s="119" t="str">
        <f t="shared" si="67"/>
        <v/>
      </c>
      <c r="P237" s="119" t="str">
        <f t="shared" si="67"/>
        <v/>
      </c>
      <c r="Q237" s="119" t="str">
        <f t="shared" si="67"/>
        <v/>
      </c>
      <c r="R237" s="119" t="str">
        <f t="shared" si="67"/>
        <v/>
      </c>
      <c r="S237" s="119" t="str">
        <f t="shared" si="67"/>
        <v/>
      </c>
      <c r="T237" s="119" t="str">
        <f t="shared" si="67"/>
        <v/>
      </c>
      <c r="U237" s="119" t="str">
        <f t="shared" si="67"/>
        <v/>
      </c>
      <c r="V237" s="119" t="str">
        <f t="shared" si="67"/>
        <v/>
      </c>
      <c r="W237" s="119" t="str">
        <f t="shared" si="67"/>
        <v/>
      </c>
      <c r="X237" s="119" t="str">
        <f t="shared" si="67"/>
        <v/>
      </c>
      <c r="Y237" s="119" t="str">
        <f t="shared" si="67"/>
        <v/>
      </c>
      <c r="Z237" s="119" t="str">
        <f t="shared" si="67"/>
        <v/>
      </c>
      <c r="AA237" s="119" t="str">
        <f t="shared" si="67"/>
        <v/>
      </c>
      <c r="AB237" s="119" t="str">
        <f t="shared" si="67"/>
        <v/>
      </c>
      <c r="AC237" s="119" t="str">
        <f t="shared" si="67"/>
        <v/>
      </c>
      <c r="AD237" s="119" t="str">
        <f t="shared" si="67"/>
        <v/>
      </c>
      <c r="AE237" s="119" t="str">
        <f t="shared" si="67"/>
        <v/>
      </c>
      <c r="AF237" s="119" t="str">
        <f t="shared" si="67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8">IF(C205&lt;100,"",C205-1500)</f>
        <v/>
      </c>
      <c r="D238" s="119" t="str">
        <f t="shared" si="68"/>
        <v/>
      </c>
      <c r="E238" s="119" t="str">
        <f t="shared" si="68"/>
        <v/>
      </c>
      <c r="F238" s="119" t="str">
        <f t="shared" si="68"/>
        <v/>
      </c>
      <c r="G238" s="119" t="str">
        <f t="shared" si="68"/>
        <v/>
      </c>
      <c r="H238" s="119" t="str">
        <f t="shared" si="68"/>
        <v/>
      </c>
      <c r="I238" s="119" t="str">
        <f t="shared" si="68"/>
        <v/>
      </c>
      <c r="J238" s="119" t="str">
        <f t="shared" si="68"/>
        <v/>
      </c>
      <c r="K238" s="119" t="str">
        <f t="shared" si="68"/>
        <v/>
      </c>
      <c r="L238" s="119" t="str">
        <f t="shared" si="68"/>
        <v/>
      </c>
      <c r="M238" s="119" t="str">
        <f t="shared" si="68"/>
        <v/>
      </c>
      <c r="N238" s="119" t="str">
        <f t="shared" si="68"/>
        <v/>
      </c>
      <c r="O238" s="119" t="str">
        <f t="shared" si="68"/>
        <v/>
      </c>
      <c r="P238" s="119" t="str">
        <f t="shared" si="68"/>
        <v/>
      </c>
      <c r="Q238" s="119" t="str">
        <f t="shared" si="68"/>
        <v/>
      </c>
      <c r="R238" s="119" t="str">
        <f t="shared" si="68"/>
        <v/>
      </c>
      <c r="S238" s="119" t="str">
        <f t="shared" si="68"/>
        <v/>
      </c>
      <c r="T238" s="119" t="str">
        <f t="shared" si="68"/>
        <v/>
      </c>
      <c r="U238" s="119" t="str">
        <f t="shared" si="68"/>
        <v/>
      </c>
      <c r="V238" s="119" t="str">
        <f t="shared" si="68"/>
        <v/>
      </c>
      <c r="W238" s="119" t="str">
        <f t="shared" si="68"/>
        <v/>
      </c>
      <c r="X238" s="119" t="str">
        <f t="shared" si="68"/>
        <v/>
      </c>
      <c r="Y238" s="119" t="str">
        <f t="shared" si="68"/>
        <v/>
      </c>
      <c r="Z238" s="119" t="str">
        <f t="shared" si="68"/>
        <v/>
      </c>
      <c r="AA238" s="119" t="str">
        <f t="shared" si="68"/>
        <v/>
      </c>
      <c r="AB238" s="119" t="str">
        <f t="shared" si="68"/>
        <v/>
      </c>
      <c r="AC238" s="119" t="str">
        <f t="shared" si="68"/>
        <v/>
      </c>
      <c r="AD238" s="119" t="str">
        <f t="shared" si="68"/>
        <v/>
      </c>
      <c r="AE238" s="119" t="str">
        <f t="shared" si="68"/>
        <v/>
      </c>
      <c r="AF238" s="119" t="str">
        <f t="shared" si="68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2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E57:L59 E60:M61 M58:M59 U40:Y42 AB81:AF81 B81:R81 C56:AF56 B82:AF83 D193:AF199 B193:B199 C68:AF72 AB84:AF91 B84:B91 B73:AF80 B9:AF10 B191:AF191 AF57:AF59 B53:B72 AG73 AB94:AF99 B94:B99 U212:AF212 C53:C55 C85:C91 M40:T41 M39:R39 M42:R42 N11:R11 Z12 AF41:AF43 C57:D67 B36:L36 N12 Q12:R12 Y11:Z11 M37:X37 S11:X12 S39:X42 N45:X48 N58:X67 M53:AF55 Y85:AA91 AA11:AE12 Z40:AE43 AF12 Y18:AF30 Y36:AF36">
    <cfRule type="expression" dxfId="3877" priority="421">
      <formula>B$9&gt;=20/24</formula>
    </cfRule>
    <cfRule type="expression" dxfId="3876" priority="422">
      <formula>AND(B$9&gt;=14/24,B$9&lt;20/24)</formula>
    </cfRule>
    <cfRule type="expression" dxfId="3875" priority="423">
      <formula>AND(B$9&gt;=8/24,B$9&lt;14/24)</formula>
    </cfRule>
    <cfRule type="expression" dxfId="3874" priority="424">
      <formula>B$9&lt;8/24</formula>
    </cfRule>
  </conditionalFormatting>
  <conditionalFormatting sqref="AL4:AL6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M57:X57">
    <cfRule type="expression" dxfId="3873" priority="416">
      <formula>M$9&gt;=20/24</formula>
    </cfRule>
    <cfRule type="expression" dxfId="3872" priority="417">
      <formula>AND(M$9&gt;=14/24,M$9&lt;20/24)</formula>
    </cfRule>
    <cfRule type="expression" dxfId="3871" priority="418">
      <formula>AND(M$9&gt;=8/24,M$9&lt;14/24)</formula>
    </cfRule>
    <cfRule type="expression" dxfId="3870" priority="419">
      <formula>M$9&lt;8/24</formula>
    </cfRule>
  </conditionalFormatting>
  <conditionalFormatting sqref="M43:X43">
    <cfRule type="expression" dxfId="3869" priority="412">
      <formula>M$9&gt;=20/24</formula>
    </cfRule>
    <cfRule type="expression" dxfId="3868" priority="413">
      <formula>AND(M$9&gt;=14/24,M$9&lt;20/24)</formula>
    </cfRule>
    <cfRule type="expression" dxfId="3867" priority="414">
      <formula>AND(M$9&gt;=8/24,M$9&lt;14/24)</formula>
    </cfRule>
    <cfRule type="expression" dxfId="3866" priority="415">
      <formula>M$9&lt;8/24</formula>
    </cfRule>
  </conditionalFormatting>
  <conditionalFormatting sqref="S39:AE39">
    <cfRule type="expression" dxfId="3865" priority="404">
      <formula>S$9&gt;=20/24</formula>
    </cfRule>
    <cfRule type="expression" dxfId="3864" priority="405">
      <formula>AND(S$9&gt;=14/24,S$9&lt;20/24)</formula>
    </cfRule>
    <cfRule type="expression" dxfId="3863" priority="406">
      <formula>AND(S$9&gt;=8/24,S$9&lt;14/24)</formula>
    </cfRule>
    <cfRule type="expression" dxfId="3862" priority="407">
      <formula>S$9&lt;8/24</formula>
    </cfRule>
  </conditionalFormatting>
  <conditionalFormatting sqref="Y57:AE57">
    <cfRule type="expression" dxfId="3861" priority="400">
      <formula>Y$9&gt;=20/24</formula>
    </cfRule>
    <cfRule type="expression" dxfId="3860" priority="401">
      <formula>AND(Y$9&gt;=14/24,Y$9&lt;20/24)</formula>
    </cfRule>
    <cfRule type="expression" dxfId="3859" priority="402">
      <formula>AND(Y$9&gt;=8/24,Y$9&lt;14/24)</formula>
    </cfRule>
    <cfRule type="expression" dxfId="3858" priority="403">
      <formula>Y$9&lt;8/24</formula>
    </cfRule>
  </conditionalFormatting>
  <conditionalFormatting sqref="S81:AA81">
    <cfRule type="expression" dxfId="3857" priority="396">
      <formula>S$9&gt;=20/24</formula>
    </cfRule>
    <cfRule type="expression" dxfId="3856" priority="397">
      <formula>AND(S$9&gt;=14/24,S$9&lt;20/24)</formula>
    </cfRule>
    <cfRule type="expression" dxfId="3855" priority="398">
      <formula>AND(S$9&gt;=8/24,S$9&lt;14/24)</formula>
    </cfRule>
    <cfRule type="expression" dxfId="3854" priority="399">
      <formula>S$9&lt;8/24</formula>
    </cfRule>
  </conditionalFormatting>
  <conditionalFormatting sqref="V84:AA84">
    <cfRule type="expression" dxfId="3853" priority="392">
      <formula>V$9&gt;=20/24</formula>
    </cfRule>
    <cfRule type="expression" dxfId="3852" priority="393">
      <formula>AND(V$9&gt;=14/24,V$9&lt;20/24)</formula>
    </cfRule>
    <cfRule type="expression" dxfId="3851" priority="394">
      <formula>AND(V$9&gt;=8/24,V$9&lt;14/24)</formula>
    </cfRule>
    <cfRule type="expression" dxfId="3850" priority="395">
      <formula>V$9&lt;8/24</formula>
    </cfRule>
  </conditionalFormatting>
  <conditionalFormatting sqref="M49:X49">
    <cfRule type="expression" dxfId="3849" priority="388">
      <formula>M$9&gt;=20/24</formula>
    </cfRule>
    <cfRule type="expression" dxfId="3848" priority="389">
      <formula>AND(M$9&gt;=14/24,M$9&lt;20/24)</formula>
    </cfRule>
    <cfRule type="expression" dxfId="3847" priority="390">
      <formula>AND(M$9&gt;=8/24,M$9&lt;14/24)</formula>
    </cfRule>
    <cfRule type="expression" dxfId="3846" priority="391">
      <formula>M$9&lt;8/24</formula>
    </cfRule>
  </conditionalFormatting>
  <conditionalFormatting sqref="M50:X50">
    <cfRule type="expression" dxfId="3845" priority="384">
      <formula>M$9&gt;=20/24</formula>
    </cfRule>
    <cfRule type="expression" dxfId="3844" priority="385">
      <formula>AND(M$9&gt;=14/24,M$9&lt;20/24)</formula>
    </cfRule>
    <cfRule type="expression" dxfId="3843" priority="386">
      <formula>AND(M$9&gt;=8/24,M$9&lt;14/24)</formula>
    </cfRule>
    <cfRule type="expression" dxfId="3842" priority="387">
      <formula>M$9&lt;8/24</formula>
    </cfRule>
  </conditionalFormatting>
  <conditionalFormatting sqref="M45:X48">
    <cfRule type="expression" dxfId="3841" priority="380">
      <formula>M$9&gt;=20/24</formula>
    </cfRule>
    <cfRule type="expression" dxfId="3840" priority="381">
      <formula>AND(M$9&gt;=14/24,M$9&lt;20/24)</formula>
    </cfRule>
    <cfRule type="expression" dxfId="3839" priority="382">
      <formula>AND(M$9&gt;=8/24,M$9&lt;14/24)</formula>
    </cfRule>
    <cfRule type="expression" dxfId="3838" priority="383">
      <formula>M$9&lt;8/24</formula>
    </cfRule>
  </conditionalFormatting>
  <conditionalFormatting sqref="Y37:AE37">
    <cfRule type="expression" dxfId="3837" priority="376">
      <formula>Y$9&gt;=20/24</formula>
    </cfRule>
    <cfRule type="expression" dxfId="3836" priority="377">
      <formula>AND(Y$9&gt;=14/24,Y$9&lt;20/24)</formula>
    </cfRule>
    <cfRule type="expression" dxfId="3835" priority="378">
      <formula>AND(Y$9&gt;=8/24,Y$9&lt;14/24)</formula>
    </cfRule>
    <cfRule type="expression" dxfId="3834" priority="379">
      <formula>Y$9&lt;8/24</formula>
    </cfRule>
  </conditionalFormatting>
  <conditionalFormatting sqref="Y31:AF32 Y35:AF35">
    <cfRule type="expression" dxfId="3833" priority="372">
      <formula>Y$9&gt;=20/24</formula>
    </cfRule>
    <cfRule type="expression" dxfId="3832" priority="373">
      <formula>AND(Y$9&gt;=14/24,Y$9&lt;20/24)</formula>
    </cfRule>
    <cfRule type="expression" dxfId="3831" priority="374">
      <formula>AND(Y$9&gt;=8/24,Y$9&lt;14/24)</formula>
    </cfRule>
    <cfRule type="expression" dxfId="3830" priority="375">
      <formula>Y$9&lt;8/24</formula>
    </cfRule>
  </conditionalFormatting>
  <conditionalFormatting sqref="S42:X43 U43:AD43 S45:AF48">
    <cfRule type="expression" dxfId="3829" priority="368">
      <formula>S$9&gt;=20/24</formula>
    </cfRule>
    <cfRule type="expression" dxfId="3828" priority="369">
      <formula>AND(S$9&gt;=14/24,S$9&lt;20/24)</formula>
    </cfRule>
    <cfRule type="expression" dxfId="3827" priority="370">
      <formula>AND(S$9&gt;=8/24,S$9&lt;14/24)</formula>
    </cfRule>
    <cfRule type="expression" dxfId="3826" priority="371">
      <formula>S$9&lt;8/24</formula>
    </cfRule>
  </conditionalFormatting>
  <conditionalFormatting sqref="S49:AF49">
    <cfRule type="expression" dxfId="3825" priority="364">
      <formula>S$9&gt;=20/24</formula>
    </cfRule>
    <cfRule type="expression" dxfId="3824" priority="365">
      <formula>AND(S$9&gt;=14/24,S$9&lt;20/24)</formula>
    </cfRule>
    <cfRule type="expression" dxfId="3823" priority="366">
      <formula>AND(S$9&gt;=8/24,S$9&lt;14/24)</formula>
    </cfRule>
    <cfRule type="expression" dxfId="3822" priority="367">
      <formula>S$9&lt;8/24</formula>
    </cfRule>
  </conditionalFormatting>
  <conditionalFormatting sqref="S50:AF50">
    <cfRule type="expression" dxfId="3821" priority="360">
      <formula>S$9&gt;=20/24</formula>
    </cfRule>
    <cfRule type="expression" dxfId="3820" priority="361">
      <formula>AND(S$9&gt;=14/24,S$9&lt;20/24)</formula>
    </cfRule>
    <cfRule type="expression" dxfId="3819" priority="362">
      <formula>AND(S$9&gt;=8/24,S$9&lt;14/24)</formula>
    </cfRule>
    <cfRule type="expression" dxfId="3818" priority="363">
      <formula>S$9&lt;8/24</formula>
    </cfRule>
  </conditionalFormatting>
  <conditionalFormatting sqref="Y60:AF67">
    <cfRule type="expression" dxfId="3817" priority="356">
      <formula>Y$9&gt;=20/24</formula>
    </cfRule>
    <cfRule type="expression" dxfId="3816" priority="357">
      <formula>AND(Y$9&gt;=14/24,Y$9&lt;20/24)</formula>
    </cfRule>
    <cfRule type="expression" dxfId="3815" priority="358">
      <formula>AND(Y$9&gt;=8/24,Y$9&lt;14/24)</formula>
    </cfRule>
    <cfRule type="expression" dxfId="3814" priority="359">
      <formula>Y$9&lt;8/24</formula>
    </cfRule>
  </conditionalFormatting>
  <conditionalFormatting sqref="E62:I62 I63:I67 J62:L67">
    <cfRule type="expression" dxfId="3813" priority="352">
      <formula>E$9&gt;=20/24</formula>
    </cfRule>
    <cfRule type="expression" dxfId="3812" priority="353">
      <formula>AND(E$9&gt;=14/24,E$9&lt;20/24)</formula>
    </cfRule>
    <cfRule type="expression" dxfId="3811" priority="354">
      <formula>AND(E$9&gt;=8/24,E$9&lt;14/24)</formula>
    </cfRule>
    <cfRule type="expression" dxfId="3810" priority="355">
      <formula>E$9&lt;8/24</formula>
    </cfRule>
  </conditionalFormatting>
  <conditionalFormatting sqref="V94:AA97">
    <cfRule type="expression" dxfId="3809" priority="348">
      <formula>V$9&gt;=20/24</formula>
    </cfRule>
    <cfRule type="expression" dxfId="3808" priority="349">
      <formula>AND(V$9&gt;=14/24,V$9&lt;20/24)</formula>
    </cfRule>
    <cfRule type="expression" dxfId="3807" priority="350">
      <formula>AND(V$9&gt;=8/24,V$9&lt;14/24)</formula>
    </cfRule>
    <cfRule type="expression" dxfId="3806" priority="351">
      <formula>V$9&lt;8/24</formula>
    </cfRule>
  </conditionalFormatting>
  <conditionalFormatting sqref="AG51 Z12 B11:D32 E11:L14 B34:L37 E16:L32 N11:R11 N12 Q12:R12 Y11:Z11 S11:X12 M37:AF37 AA11:AF12 Y18:AF32 Y34:AF36 B38:AF56">
    <cfRule type="expression" dxfId="3805" priority="347">
      <formula>B11&gt;$AG11</formula>
    </cfRule>
  </conditionalFormatting>
  <conditionalFormatting sqref="A100:A156 A84:A97 A11:A14 A16:A32 A45:A72 A80:A82 A74:A78 A35:A43 A169:A199">
    <cfRule type="expression" dxfId="3804" priority="346">
      <formula>$AH11=0</formula>
    </cfRule>
  </conditionalFormatting>
  <conditionalFormatting sqref="V98:AA98">
    <cfRule type="expression" dxfId="3803" priority="342">
      <formula>V$9&gt;=20/24</formula>
    </cfRule>
    <cfRule type="expression" dxfId="3802" priority="343">
      <formula>AND(V$9&gt;=14/24,V$9&lt;20/24)</formula>
    </cfRule>
    <cfRule type="expression" dxfId="3801" priority="344">
      <formula>AND(V$9&gt;=8/24,V$9&lt;14/24)</formula>
    </cfRule>
    <cfRule type="expression" dxfId="3800" priority="345">
      <formula>V$9&lt;8/24</formula>
    </cfRule>
  </conditionalFormatting>
  <conditionalFormatting sqref="A98">
    <cfRule type="expression" dxfId="3799" priority="341">
      <formula>$AH98=0</formula>
    </cfRule>
  </conditionalFormatting>
  <conditionalFormatting sqref="E63:H67">
    <cfRule type="expression" dxfId="3798" priority="337">
      <formula>E$9&gt;=20/24</formula>
    </cfRule>
    <cfRule type="expression" dxfId="3797" priority="338">
      <formula>AND(E$9&gt;=14/24,E$9&lt;20/24)</formula>
    </cfRule>
    <cfRule type="expression" dxfId="3796" priority="339">
      <formula>AND(E$9&gt;=8/24,E$9&lt;14/24)</formula>
    </cfRule>
    <cfRule type="expression" dxfId="3795" priority="340">
      <formula>E$9&lt;8/24</formula>
    </cfRule>
  </conditionalFormatting>
  <conditionalFormatting sqref="M62:M67">
    <cfRule type="expression" dxfId="3794" priority="333">
      <formula>M$9&gt;=20/24</formula>
    </cfRule>
    <cfRule type="expression" dxfId="3793" priority="334">
      <formula>AND(M$9&gt;=14/24,M$9&lt;20/24)</formula>
    </cfRule>
    <cfRule type="expression" dxfId="3792" priority="335">
      <formula>AND(M$9&gt;=8/24,M$9&lt;14/24)</formula>
    </cfRule>
    <cfRule type="expression" dxfId="3791" priority="336">
      <formula>M$9&lt;8/24</formula>
    </cfRule>
  </conditionalFormatting>
  <conditionalFormatting sqref="AL32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Y34:AF34">
    <cfRule type="expression" dxfId="3790" priority="324">
      <formula>Y$9&gt;=20/24</formula>
    </cfRule>
    <cfRule type="expression" dxfId="3789" priority="325">
      <formula>AND(Y$9&gt;=14/24,Y$9&lt;20/24)</formula>
    </cfRule>
    <cfRule type="expression" dxfId="3788" priority="326">
      <formula>AND(Y$9&gt;=8/24,Y$9&lt;14/24)</formula>
    </cfRule>
    <cfRule type="expression" dxfId="3787" priority="327">
      <formula>Y$9&lt;8/24</formula>
    </cfRule>
  </conditionalFormatting>
  <conditionalFormatting sqref="A34">
    <cfRule type="expression" dxfId="3786" priority="323">
      <formula>$AH34=0</formula>
    </cfRule>
  </conditionalFormatting>
  <conditionalFormatting sqref="A83">
    <cfRule type="expression" dxfId="3785" priority="322">
      <formula>$AH83=0</formula>
    </cfRule>
  </conditionalFormatting>
  <conditionalFormatting sqref="E15:L15">
    <cfRule type="expression" dxfId="3784" priority="317">
      <formula>E15&gt;$AG15</formula>
    </cfRule>
  </conditionalFormatting>
  <conditionalFormatting sqref="A15">
    <cfRule type="expression" dxfId="3783" priority="316">
      <formula>$AH15=0</formula>
    </cfRule>
  </conditionalFormatting>
  <conditionalFormatting sqref="A163:A168">
    <cfRule type="expression" dxfId="3782" priority="315">
      <formula>$AH163=0</formula>
    </cfRule>
  </conditionalFormatting>
  <conditionalFormatting sqref="A157:A162">
    <cfRule type="expression" dxfId="3781" priority="314">
      <formula>$AH157=0</formula>
    </cfRule>
  </conditionalFormatting>
  <conditionalFormatting sqref="Z44:AF44">
    <cfRule type="expression" dxfId="3780" priority="310">
      <formula>Z$9&gt;=20/24</formula>
    </cfRule>
    <cfRule type="expression" dxfId="3779" priority="311">
      <formula>AND(Z$9&gt;=14/24,Z$9&lt;20/24)</formula>
    </cfRule>
    <cfRule type="expression" dxfId="3778" priority="312">
      <formula>AND(Z$9&gt;=8/24,Z$9&lt;14/24)</formula>
    </cfRule>
    <cfRule type="expression" dxfId="3777" priority="313">
      <formula>Z$9&lt;8/24</formula>
    </cfRule>
  </conditionalFormatting>
  <conditionalFormatting sqref="M44:X44">
    <cfRule type="expression" dxfId="3776" priority="306">
      <formula>M$9&gt;=20/24</formula>
    </cfRule>
    <cfRule type="expression" dxfId="3775" priority="307">
      <formula>AND(M$9&gt;=14/24,M$9&lt;20/24)</formula>
    </cfRule>
    <cfRule type="expression" dxfId="3774" priority="308">
      <formula>AND(M$9&gt;=8/24,M$9&lt;14/24)</formula>
    </cfRule>
    <cfRule type="expression" dxfId="3773" priority="309">
      <formula>M$9&lt;8/24</formula>
    </cfRule>
  </conditionalFormatting>
  <conditionalFormatting sqref="S44:AF44">
    <cfRule type="expression" dxfId="3772" priority="302">
      <formula>S$9&gt;=20/24</formula>
    </cfRule>
    <cfRule type="expression" dxfId="3771" priority="303">
      <formula>AND(S$9&gt;=14/24,S$9&lt;20/24)</formula>
    </cfRule>
    <cfRule type="expression" dxfId="3770" priority="304">
      <formula>AND(S$9&gt;=8/24,S$9&lt;14/24)</formula>
    </cfRule>
    <cfRule type="expression" dxfId="3769" priority="305">
      <formula>S$9&lt;8/24</formula>
    </cfRule>
  </conditionalFormatting>
  <conditionalFormatting sqref="A44">
    <cfRule type="expression" dxfId="3768" priority="301">
      <formula>$AH44=0</formula>
    </cfRule>
  </conditionalFormatting>
  <conditionalFormatting sqref="A79">
    <cfRule type="expression" dxfId="3767" priority="300">
      <formula>$AH79=0</formula>
    </cfRule>
  </conditionalFormatting>
  <conditionalFormatting sqref="A73">
    <cfRule type="expression" dxfId="3766" priority="299">
      <formula>$AH73=0</formula>
    </cfRule>
  </conditionalFormatting>
  <conditionalFormatting sqref="AL34:AL35 AL7:AL31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V85:X91">
    <cfRule type="expression" dxfId="3765" priority="291">
      <formula>V$9&gt;=20/24</formula>
    </cfRule>
    <cfRule type="expression" dxfId="3764" priority="292">
      <formula>AND(V$9&gt;=14/24,V$9&lt;20/24)</formula>
    </cfRule>
    <cfRule type="expression" dxfId="3763" priority="293">
      <formula>AND(V$9&gt;=8/24,V$9&lt;14/24)</formula>
    </cfRule>
    <cfRule type="expression" dxfId="3762" priority="294">
      <formula>V$9&lt;8/24</formula>
    </cfRule>
  </conditionalFormatting>
  <conditionalFormatting sqref="C84:I84 D85:I91 J84:U91">
    <cfRule type="expression" dxfId="3761" priority="287">
      <formula>C$9&gt;=20/24</formula>
    </cfRule>
    <cfRule type="expression" dxfId="3760" priority="288">
      <formula>AND(C$9&gt;=14/24,C$9&lt;20/24)</formula>
    </cfRule>
    <cfRule type="expression" dxfId="3759" priority="289">
      <formula>AND(C$9&gt;=8/24,C$9&lt;14/24)</formula>
    </cfRule>
    <cfRule type="expression" dxfId="3758" priority="290">
      <formula>C$9&lt;8/24</formula>
    </cfRule>
  </conditionalFormatting>
  <conditionalFormatting sqref="C94:F94 C95:N97">
    <cfRule type="expression" dxfId="3757" priority="279">
      <formula>C$9&gt;=20/24</formula>
    </cfRule>
    <cfRule type="expression" dxfId="3756" priority="280">
      <formula>AND(C$9&gt;=14/24,C$9&lt;20/24)</formula>
    </cfRule>
    <cfRule type="expression" dxfId="3755" priority="281">
      <formula>AND(C$9&gt;=8/24,C$9&lt;14/24)</formula>
    </cfRule>
    <cfRule type="expression" dxfId="3754" priority="282">
      <formula>C$9&lt;8/24</formula>
    </cfRule>
  </conditionalFormatting>
  <conditionalFormatting sqref="O94:U97">
    <cfRule type="expression" dxfId="3753" priority="275">
      <formula>O$9&gt;=20/24</formula>
    </cfRule>
    <cfRule type="expression" dxfId="3752" priority="276">
      <formula>AND(O$9&gt;=14/24,O$9&lt;20/24)</formula>
    </cfRule>
    <cfRule type="expression" dxfId="3751" priority="277">
      <formula>AND(O$9&gt;=8/24,O$9&lt;14/24)</formula>
    </cfRule>
    <cfRule type="expression" dxfId="3750" priority="278">
      <formula>O$9&lt;8/24</formula>
    </cfRule>
  </conditionalFormatting>
  <conditionalFormatting sqref="C98:N98">
    <cfRule type="expression" dxfId="3749" priority="267">
      <formula>C$9&gt;=20/24</formula>
    </cfRule>
    <cfRule type="expression" dxfId="3748" priority="268">
      <formula>AND(C$9&gt;=14/24,C$9&lt;20/24)</formula>
    </cfRule>
    <cfRule type="expression" dxfId="3747" priority="269">
      <formula>AND(C$9&gt;=8/24,C$9&lt;14/24)</formula>
    </cfRule>
    <cfRule type="expression" dxfId="3746" priority="270">
      <formula>C$9&lt;8/24</formula>
    </cfRule>
  </conditionalFormatting>
  <conditionalFormatting sqref="O98:U98">
    <cfRule type="expression" dxfId="3745" priority="263">
      <formula>O$9&gt;=20/24</formula>
    </cfRule>
    <cfRule type="expression" dxfId="3744" priority="264">
      <formula>AND(O$9&gt;=14/24,O$9&lt;20/24)</formula>
    </cfRule>
    <cfRule type="expression" dxfId="3743" priority="265">
      <formula>AND(O$9&gt;=8/24,O$9&lt;14/24)</formula>
    </cfRule>
    <cfRule type="expression" dxfId="3742" priority="266">
      <formula>O$9&lt;8/24</formula>
    </cfRule>
  </conditionalFormatting>
  <conditionalFormatting sqref="M94:N94">
    <cfRule type="expression" dxfId="3741" priority="255">
      <formula>M$9&gt;=20/24</formula>
    </cfRule>
    <cfRule type="expression" dxfId="3740" priority="256">
      <formula>AND(M$9&gt;=14/24,M$9&lt;20/24)</formula>
    </cfRule>
    <cfRule type="expression" dxfId="3739" priority="257">
      <formula>AND(M$9&gt;=8/24,M$9&lt;14/24)</formula>
    </cfRule>
    <cfRule type="expression" dxfId="3738" priority="258">
      <formula>M$9&lt;8/24</formula>
    </cfRule>
  </conditionalFormatting>
  <conditionalFormatting sqref="G94:L94">
    <cfRule type="expression" dxfId="3737" priority="251">
      <formula>G$9&gt;=20/24</formula>
    </cfRule>
    <cfRule type="expression" dxfId="3736" priority="252">
      <formula>AND(G$9&gt;=14/24,G$9&lt;20/24)</formula>
    </cfRule>
    <cfRule type="expression" dxfId="3735" priority="253">
      <formula>AND(G$9&gt;=8/24,G$9&lt;14/24)</formula>
    </cfRule>
    <cfRule type="expression" dxfId="3734" priority="254">
      <formula>G$9&lt;8/24</formula>
    </cfRule>
  </conditionalFormatting>
  <conditionalFormatting sqref="V94:X94">
    <cfRule type="expression" dxfId="3733" priority="247">
      <formula>V$9&gt;=20/24</formula>
    </cfRule>
    <cfRule type="expression" dxfId="3732" priority="248">
      <formula>AND(V$9&gt;=14/24,V$9&lt;20/24)</formula>
    </cfRule>
    <cfRule type="expression" dxfId="3731" priority="249">
      <formula>AND(V$9&gt;=8/24,V$9&lt;14/24)</formula>
    </cfRule>
    <cfRule type="expression" dxfId="3730" priority="250">
      <formula>V$9&lt;8/24</formula>
    </cfRule>
  </conditionalFormatting>
  <conditionalFormatting sqref="O94:U94">
    <cfRule type="expression" dxfId="3729" priority="243">
      <formula>O$9&gt;=20/24</formula>
    </cfRule>
    <cfRule type="expression" dxfId="3728" priority="244">
      <formula>AND(O$9&gt;=14/24,O$9&lt;20/24)</formula>
    </cfRule>
    <cfRule type="expression" dxfId="3727" priority="245">
      <formula>AND(O$9&gt;=8/24,O$9&lt;14/24)</formula>
    </cfRule>
    <cfRule type="expression" dxfId="3726" priority="246">
      <formula>O$9&lt;8/24</formula>
    </cfRule>
  </conditionalFormatting>
  <conditionalFormatting sqref="V99:AA99">
    <cfRule type="expression" dxfId="3725" priority="239">
      <formula>V$9&gt;=20/24</formula>
    </cfRule>
    <cfRule type="expression" dxfId="3724" priority="240">
      <formula>AND(V$9&gt;=14/24,V$9&lt;20/24)</formula>
    </cfRule>
    <cfRule type="expression" dxfId="3723" priority="241">
      <formula>AND(V$9&gt;=8/24,V$9&lt;14/24)</formula>
    </cfRule>
    <cfRule type="expression" dxfId="3722" priority="242">
      <formula>V$9&lt;8/24</formula>
    </cfRule>
  </conditionalFormatting>
  <conditionalFormatting sqref="C99:N99">
    <cfRule type="expression" dxfId="3721" priority="235">
      <formula>C$9&gt;=20/24</formula>
    </cfRule>
    <cfRule type="expression" dxfId="3720" priority="236">
      <formula>AND(C$9&gt;=14/24,C$9&lt;20/24)</formula>
    </cfRule>
    <cfRule type="expression" dxfId="3719" priority="237">
      <formula>AND(C$9&gt;=8/24,C$9&lt;14/24)</formula>
    </cfRule>
    <cfRule type="expression" dxfId="3718" priority="238">
      <formula>C$9&lt;8/24</formula>
    </cfRule>
  </conditionalFormatting>
  <conditionalFormatting sqref="O99:U99">
    <cfRule type="expression" dxfId="3717" priority="231">
      <formula>O$9&gt;=20/24</formula>
    </cfRule>
    <cfRule type="expression" dxfId="3716" priority="232">
      <formula>AND(O$9&gt;=14/24,O$9&lt;20/24)</formula>
    </cfRule>
    <cfRule type="expression" dxfId="3715" priority="233">
      <formula>AND(O$9&gt;=8/24,O$9&lt;14/24)</formula>
    </cfRule>
    <cfRule type="expression" dxfId="3714" priority="234">
      <formula>O$9&lt;8/24</formula>
    </cfRule>
  </conditionalFormatting>
  <conditionalFormatting sqref="Y12:Y16 Z13:AF16">
    <cfRule type="expression" dxfId="3713" priority="223">
      <formula>Y$9&gt;=20/24</formula>
    </cfRule>
    <cfRule type="expression" dxfId="3712" priority="224">
      <formula>AND(Y$9&gt;=14/24,Y$9&lt;20/24)</formula>
    </cfRule>
    <cfRule type="expression" dxfId="3711" priority="225">
      <formula>AND(Y$9&gt;=8/24,Y$9&lt;14/24)</formula>
    </cfRule>
    <cfRule type="expression" dxfId="3710" priority="226">
      <formula>Y$9&lt;8/24</formula>
    </cfRule>
  </conditionalFormatting>
  <conditionalFormatting sqref="Y17:AF17">
    <cfRule type="expression" dxfId="3709" priority="219">
      <formula>Y$9&gt;=20/24</formula>
    </cfRule>
    <cfRule type="expression" dxfId="3708" priority="220">
      <formula>AND(Y$9&gt;=14/24,Y$9&lt;20/24)</formula>
    </cfRule>
    <cfRule type="expression" dxfId="3707" priority="221">
      <formula>AND(Y$9&gt;=8/24,Y$9&lt;14/24)</formula>
    </cfRule>
    <cfRule type="expression" dxfId="3706" priority="222">
      <formula>Y$9&lt;8/24</formula>
    </cfRule>
  </conditionalFormatting>
  <conditionalFormatting sqref="Y12:Y13 Z13:AF13">
    <cfRule type="expression" dxfId="3705" priority="215">
      <formula>Y$9&gt;=20/24</formula>
    </cfRule>
    <cfRule type="expression" dxfId="3704" priority="216">
      <formula>AND(Y$9&gt;=14/24,Y$9&lt;20/24)</formula>
    </cfRule>
    <cfRule type="expression" dxfId="3703" priority="217">
      <formula>AND(Y$9&gt;=8/24,Y$9&lt;14/24)</formula>
    </cfRule>
    <cfRule type="expression" dxfId="3702" priority="218">
      <formula>Y$9&lt;8/24</formula>
    </cfRule>
  </conditionalFormatting>
  <conditionalFormatting sqref="AC58:AE59">
    <cfRule type="expression" dxfId="3701" priority="211">
      <formula>AC$9&gt;=20/24</formula>
    </cfRule>
    <cfRule type="expression" dxfId="3700" priority="212">
      <formula>AND(AC$9&gt;=14/24,AC$9&lt;20/24)</formula>
    </cfRule>
    <cfRule type="expression" dxfId="3699" priority="213">
      <formula>AND(AC$9&gt;=8/24,AC$9&lt;14/24)</formula>
    </cfRule>
    <cfRule type="expression" dxfId="3698" priority="214">
      <formula>AC$9&lt;8/24</formula>
    </cfRule>
  </conditionalFormatting>
  <conditionalFormatting sqref="AL33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97" priority="428">
      <formula>C$9&gt;=20/24</formula>
    </cfRule>
    <cfRule type="expression" dxfId="3696" priority="429">
      <formula>AND(C$9&gt;=14/24,C$9&lt;20/24)</formula>
    </cfRule>
    <cfRule type="expression" dxfId="3695" priority="430">
      <formula>AND(C$9&gt;=8/24,C$9&lt;14/24)</formula>
    </cfRule>
    <cfRule type="expression" dxfId="3694" priority="431">
      <formula>C$9&lt;8/24</formula>
    </cfRule>
  </conditionalFormatting>
  <conditionalFormatting sqref="A200">
    <cfRule type="expression" dxfId="3693" priority="432">
      <formula>$AH200=0</formula>
    </cfRule>
  </conditionalFormatting>
  <conditionalFormatting sqref="AG212">
    <cfRule type="expression" dxfId="3692" priority="433">
      <formula>B$9&gt;=20/24</formula>
    </cfRule>
    <cfRule type="expression" dxfId="3691" priority="434">
      <formula>AND(B$9&gt;=14/24,B$9&lt;20/24)</formula>
    </cfRule>
    <cfRule type="expression" dxfId="3690" priority="435">
      <formula>AND(B$9&gt;=8/24,B$9&lt;14/24)</formula>
    </cfRule>
    <cfRule type="expression" dxfId="3689" priority="436">
      <formula>B$9&lt;8/24</formula>
    </cfRule>
  </conditionalFormatting>
  <conditionalFormatting sqref="S8">
    <cfRule type="expression" dxfId="3688" priority="205">
      <formula>U$9&gt;=20/24</formula>
    </cfRule>
    <cfRule type="expression" dxfId="3687" priority="206">
      <formula>AND(U$9&gt;=14/24,U$9&lt;20/24)</formula>
    </cfRule>
    <cfRule type="expression" dxfId="3686" priority="207">
      <formula>AND(U$9&gt;=8/24,U$9&lt;14/24)</formula>
    </cfRule>
    <cfRule type="expression" dxfId="3685" priority="208">
      <formula>U$9&lt;8/24</formula>
    </cfRule>
  </conditionalFormatting>
  <conditionalFormatting sqref="AB8">
    <cfRule type="expression" dxfId="3684" priority="201">
      <formula>AD$9&gt;=20/24</formula>
    </cfRule>
    <cfRule type="expression" dxfId="3683" priority="202">
      <formula>AND(AD$9&gt;=14/24,AD$9&lt;20/24)</formula>
    </cfRule>
    <cfRule type="expression" dxfId="3682" priority="203">
      <formula>AND(AD$9&gt;=8/24,AD$9&lt;14/24)</formula>
    </cfRule>
    <cfRule type="expression" dxfId="3681" priority="204">
      <formula>AD$9&lt;8/24</formula>
    </cfRule>
  </conditionalFormatting>
  <conditionalFormatting sqref="AH212:AX212">
    <cfRule type="expression" dxfId="3680" priority="437">
      <formula>AG$9&gt;=20/24</formula>
    </cfRule>
    <cfRule type="expression" dxfId="3679" priority="438">
      <formula>AND(AG$9&gt;=14/24,AG$9&lt;20/24)</formula>
    </cfRule>
    <cfRule type="expression" dxfId="3678" priority="439">
      <formula>AND(AG$9&gt;=8/24,AG$9&lt;14/24)</formula>
    </cfRule>
    <cfRule type="expression" dxfId="3677" priority="440">
      <formula>AG$9&lt;8/24</formula>
    </cfRule>
  </conditionalFormatting>
  <conditionalFormatting sqref="T212">
    <cfRule type="expression" dxfId="3676" priority="441">
      <formula>AX$9&gt;=20/24</formula>
    </cfRule>
    <cfRule type="expression" dxfId="3675" priority="442">
      <formula>AND(AX$9&gt;=14/24,AX$9&lt;20/24)</formula>
    </cfRule>
    <cfRule type="expression" dxfId="3674" priority="443">
      <formula>AND(AX$9&gt;=8/24,AX$9&lt;14/24)</formula>
    </cfRule>
    <cfRule type="expression" dxfId="3673" priority="444">
      <formula>AX$9&lt;8/24</formula>
    </cfRule>
  </conditionalFormatting>
  <conditionalFormatting sqref="A99">
    <cfRule type="expression" dxfId="3672" priority="200">
      <formula>$AH99=0</formula>
    </cfRule>
  </conditionalFormatting>
  <conditionalFormatting sqref="Y33:AF33">
    <cfRule type="expression" dxfId="3671" priority="192">
      <formula>Y$9&gt;=20/24</formula>
    </cfRule>
    <cfRule type="expression" dxfId="3670" priority="193">
      <formula>AND(Y$9&gt;=14/24,Y$9&lt;20/24)</formula>
    </cfRule>
    <cfRule type="expression" dxfId="3669" priority="194">
      <formula>AND(Y$9&gt;=8/24,Y$9&lt;14/24)</formula>
    </cfRule>
    <cfRule type="expression" dxfId="3668" priority="195">
      <formula>Y$9&lt;8/24</formula>
    </cfRule>
  </conditionalFormatting>
  <conditionalFormatting sqref="B33:L33 Y33:AF33">
    <cfRule type="expression" dxfId="3667" priority="191">
      <formula>B33&gt;$AG33</formula>
    </cfRule>
  </conditionalFormatting>
  <conditionalFormatting sqref="N13:N14 O36 Q13:X14">
    <cfRule type="expression" dxfId="3666" priority="187">
      <formula>N$9&gt;=20/24</formula>
    </cfRule>
    <cfRule type="expression" dxfId="3665" priority="188">
      <formula>AND(N$9&gt;=14/24,N$9&lt;20/24)</formula>
    </cfRule>
    <cfRule type="expression" dxfId="3664" priority="189">
      <formula>AND(N$9&gt;=8/24,N$9&lt;14/24)</formula>
    </cfRule>
    <cfRule type="expression" dxfId="3663" priority="190">
      <formula>N$9&lt;8/24</formula>
    </cfRule>
  </conditionalFormatting>
  <conditionalFormatting sqref="N13:N14 O36 Q13:X14">
    <cfRule type="expression" dxfId="3662" priority="182">
      <formula>N13&gt;$AG13</formula>
    </cfRule>
  </conditionalFormatting>
  <conditionalFormatting sqref="N15 Q15:X15">
    <cfRule type="expression" dxfId="3661" priority="174">
      <formula>N$9&gt;=20/24</formula>
    </cfRule>
    <cfRule type="expression" dxfId="3660" priority="175">
      <formula>AND(N$9&gt;=14/24,N$9&lt;20/24)</formula>
    </cfRule>
    <cfRule type="expression" dxfId="3659" priority="176">
      <formula>AND(N$9&gt;=8/24,N$9&lt;14/24)</formula>
    </cfRule>
    <cfRule type="expression" dxfId="3658" priority="177">
      <formula>N$9&lt;8/24</formula>
    </cfRule>
  </conditionalFormatting>
  <conditionalFormatting sqref="N15 Q15:X15">
    <cfRule type="expression" dxfId="3657" priority="173">
      <formula>N15&gt;$AG15</formula>
    </cfRule>
  </conditionalFormatting>
  <conditionalFormatting sqref="AB58:AB59">
    <cfRule type="expression" dxfId="3656" priority="164">
      <formula>AB$9&gt;=20/24</formula>
    </cfRule>
    <cfRule type="expression" dxfId="3655" priority="165">
      <formula>AND(AB$9&gt;=14/24,AB$9&lt;20/24)</formula>
    </cfRule>
    <cfRule type="expression" dxfId="3654" priority="166">
      <formula>AND(AB$9&gt;=8/24,AB$9&lt;14/24)</formula>
    </cfRule>
    <cfRule type="expression" dxfId="3653" priority="167">
      <formula>AB$9&lt;8/24</formula>
    </cfRule>
  </conditionalFormatting>
  <conditionalFormatting sqref="M11:M12">
    <cfRule type="expression" dxfId="3652" priority="160">
      <formula>M$9&gt;=20/24</formula>
    </cfRule>
    <cfRule type="expression" dxfId="3651" priority="161">
      <formula>AND(M$9&gt;=14/24,M$9&lt;20/24)</formula>
    </cfRule>
    <cfRule type="expression" dxfId="3650" priority="162">
      <formula>AND(M$9&gt;=8/24,M$9&lt;14/24)</formula>
    </cfRule>
    <cfRule type="expression" dxfId="3649" priority="163">
      <formula>M$9&lt;8/24</formula>
    </cfRule>
  </conditionalFormatting>
  <conditionalFormatting sqref="M11:M12">
    <cfRule type="expression" dxfId="3648" priority="159">
      <formula>M11&gt;$AG11</formula>
    </cfRule>
  </conditionalFormatting>
  <conditionalFormatting sqref="M16:M32 M13:M14 M36">
    <cfRule type="expression" dxfId="3647" priority="155">
      <formula>M$9&gt;=20/24</formula>
    </cfRule>
    <cfRule type="expression" dxfId="3646" priority="156">
      <formula>AND(M$9&gt;=14/24,M$9&lt;20/24)</formula>
    </cfRule>
    <cfRule type="expression" dxfId="3645" priority="157">
      <formula>AND(M$9&gt;=8/24,M$9&lt;14/24)</formula>
    </cfRule>
    <cfRule type="expression" dxfId="3644" priority="158">
      <formula>M$9&lt;8/24</formula>
    </cfRule>
  </conditionalFormatting>
  <conditionalFormatting sqref="M35">
    <cfRule type="expression" dxfId="3643" priority="151">
      <formula>M$9&gt;=20/24</formula>
    </cfRule>
    <cfRule type="expression" dxfId="3642" priority="152">
      <formula>AND(M$9&gt;=14/24,M$9&lt;20/24)</formula>
    </cfRule>
    <cfRule type="expression" dxfId="3641" priority="153">
      <formula>AND(M$9&gt;=8/24,M$9&lt;14/24)</formula>
    </cfRule>
    <cfRule type="expression" dxfId="3640" priority="154">
      <formula>M$9&lt;8/24</formula>
    </cfRule>
  </conditionalFormatting>
  <conditionalFormatting sqref="M16:M32 M13:M14 M34:M36">
    <cfRule type="expression" dxfId="3639" priority="150">
      <formula>M13&gt;$AG13</formula>
    </cfRule>
  </conditionalFormatting>
  <conditionalFormatting sqref="M34">
    <cfRule type="expression" dxfId="3638" priority="146">
      <formula>M$9&gt;=20/24</formula>
    </cfRule>
    <cfRule type="expression" dxfId="3637" priority="147">
      <formula>AND(M$9&gt;=14/24,M$9&lt;20/24)</formula>
    </cfRule>
    <cfRule type="expression" dxfId="3636" priority="148">
      <formula>AND(M$9&gt;=8/24,M$9&lt;14/24)</formula>
    </cfRule>
    <cfRule type="expression" dxfId="3635" priority="149">
      <formula>M$9&lt;8/24</formula>
    </cfRule>
  </conditionalFormatting>
  <conditionalFormatting sqref="M15">
    <cfRule type="expression" dxfId="3634" priority="142">
      <formula>M$9&gt;=20/24</formula>
    </cfRule>
    <cfRule type="expression" dxfId="3633" priority="143">
      <formula>AND(M$9&gt;=14/24,M$9&lt;20/24)</formula>
    </cfRule>
    <cfRule type="expression" dxfId="3632" priority="144">
      <formula>AND(M$9&gt;=8/24,M$9&lt;14/24)</formula>
    </cfRule>
    <cfRule type="expression" dxfId="3631" priority="145">
      <formula>M$9&lt;8/24</formula>
    </cfRule>
  </conditionalFormatting>
  <conditionalFormatting sqref="M15">
    <cfRule type="expression" dxfId="3630" priority="141">
      <formula>M15&gt;$AG15</formula>
    </cfRule>
  </conditionalFormatting>
  <conditionalFormatting sqref="M33">
    <cfRule type="expression" dxfId="3629" priority="137">
      <formula>M$9&gt;=20/24</formula>
    </cfRule>
    <cfRule type="expression" dxfId="3628" priority="138">
      <formula>AND(M$9&gt;=14/24,M$9&lt;20/24)</formula>
    </cfRule>
    <cfRule type="expression" dxfId="3627" priority="139">
      <formula>AND(M$9&gt;=8/24,M$9&lt;14/24)</formula>
    </cfRule>
    <cfRule type="expression" dxfId="3626" priority="140">
      <formula>M$9&lt;8/24</formula>
    </cfRule>
  </conditionalFormatting>
  <conditionalFormatting sqref="M33">
    <cfRule type="expression" dxfId="3625" priority="136">
      <formula>M33&gt;$AG33</formula>
    </cfRule>
  </conditionalFormatting>
  <conditionalFormatting sqref="N16:N32 N36">
    <cfRule type="expression" dxfId="3624" priority="132">
      <formula>N$9&gt;=20/24</formula>
    </cfRule>
    <cfRule type="expression" dxfId="3623" priority="133">
      <formula>AND(N$9&gt;=14/24,N$9&lt;20/24)</formula>
    </cfRule>
    <cfRule type="expression" dxfId="3622" priority="134">
      <formula>AND(N$9&gt;=8/24,N$9&lt;14/24)</formula>
    </cfRule>
    <cfRule type="expression" dxfId="3621" priority="135">
      <formula>N$9&lt;8/24</formula>
    </cfRule>
  </conditionalFormatting>
  <conditionalFormatting sqref="N35">
    <cfRule type="expression" dxfId="3620" priority="128">
      <formula>N$9&gt;=20/24</formula>
    </cfRule>
    <cfRule type="expression" dxfId="3619" priority="129">
      <formula>AND(N$9&gt;=14/24,N$9&lt;20/24)</formula>
    </cfRule>
    <cfRule type="expression" dxfId="3618" priority="130">
      <formula>AND(N$9&gt;=8/24,N$9&lt;14/24)</formula>
    </cfRule>
    <cfRule type="expression" dxfId="3617" priority="131">
      <formula>N$9&lt;8/24</formula>
    </cfRule>
  </conditionalFormatting>
  <conditionalFormatting sqref="N16:N32 N34:N36">
    <cfRule type="expression" dxfId="3616" priority="127">
      <formula>N16&gt;$AG16</formula>
    </cfRule>
  </conditionalFormatting>
  <conditionalFormatting sqref="N34">
    <cfRule type="expression" dxfId="3615" priority="123">
      <formula>N$9&gt;=20/24</formula>
    </cfRule>
    <cfRule type="expression" dxfId="3614" priority="124">
      <formula>AND(N$9&gt;=14/24,N$9&lt;20/24)</formula>
    </cfRule>
    <cfRule type="expression" dxfId="3613" priority="125">
      <formula>AND(N$9&gt;=8/24,N$9&lt;14/24)</formula>
    </cfRule>
    <cfRule type="expression" dxfId="3612" priority="126">
      <formula>N$9&lt;8/24</formula>
    </cfRule>
  </conditionalFormatting>
  <conditionalFormatting sqref="N33">
    <cfRule type="expression" dxfId="3611" priority="119">
      <formula>N$9&gt;=20/24</formula>
    </cfRule>
    <cfRule type="expression" dxfId="3610" priority="120">
      <formula>AND(N$9&gt;=14/24,N$9&lt;20/24)</formula>
    </cfRule>
    <cfRule type="expression" dxfId="3609" priority="121">
      <formula>AND(N$9&gt;=8/24,N$9&lt;14/24)</formula>
    </cfRule>
    <cfRule type="expression" dxfId="3608" priority="122">
      <formula>N$9&lt;8/24</formula>
    </cfRule>
  </conditionalFormatting>
  <conditionalFormatting sqref="N33">
    <cfRule type="expression" dxfId="3607" priority="118">
      <formula>N33&gt;$AG33</formula>
    </cfRule>
  </conditionalFormatting>
  <conditionalFormatting sqref="O12">
    <cfRule type="expression" dxfId="3606" priority="114">
      <formula>O$9&gt;=20/24</formula>
    </cfRule>
    <cfRule type="expression" dxfId="3605" priority="115">
      <formula>AND(O$9&gt;=14/24,O$9&lt;20/24)</formula>
    </cfRule>
    <cfRule type="expression" dxfId="3604" priority="116">
      <formula>AND(O$9&gt;=8/24,O$9&lt;14/24)</formula>
    </cfRule>
    <cfRule type="expression" dxfId="3603" priority="117">
      <formula>O$9&lt;8/24</formula>
    </cfRule>
  </conditionalFormatting>
  <conditionalFormatting sqref="O12">
    <cfRule type="expression" dxfId="3602" priority="113">
      <formula>O12&gt;$AG12</formula>
    </cfRule>
  </conditionalFormatting>
  <conditionalFormatting sqref="O13:O14">
    <cfRule type="expression" dxfId="3601" priority="109">
      <formula>O$9&gt;=20/24</formula>
    </cfRule>
    <cfRule type="expression" dxfId="3600" priority="110">
      <formula>AND(O$9&gt;=14/24,O$9&lt;20/24)</formula>
    </cfRule>
    <cfRule type="expression" dxfId="3599" priority="111">
      <formula>AND(O$9&gt;=8/24,O$9&lt;14/24)</formula>
    </cfRule>
    <cfRule type="expression" dxfId="3598" priority="112">
      <formula>O$9&lt;8/24</formula>
    </cfRule>
  </conditionalFormatting>
  <conditionalFormatting sqref="O13:O14">
    <cfRule type="expression" dxfId="3597" priority="108">
      <formula>O13&gt;$AG13</formula>
    </cfRule>
  </conditionalFormatting>
  <conditionalFormatting sqref="O15">
    <cfRule type="expression" dxfId="3596" priority="104">
      <formula>O$9&gt;=20/24</formula>
    </cfRule>
    <cfRule type="expression" dxfId="3595" priority="105">
      <formula>AND(O$9&gt;=14/24,O$9&lt;20/24)</formula>
    </cfRule>
    <cfRule type="expression" dxfId="3594" priority="106">
      <formula>AND(O$9&gt;=8/24,O$9&lt;14/24)</formula>
    </cfRule>
    <cfRule type="expression" dxfId="3593" priority="107">
      <formula>O$9&lt;8/24</formula>
    </cfRule>
  </conditionalFormatting>
  <conditionalFormatting sqref="O15">
    <cfRule type="expression" dxfId="3592" priority="103">
      <formula>O15&gt;$AG15</formula>
    </cfRule>
  </conditionalFormatting>
  <conditionalFormatting sqref="O16:O32">
    <cfRule type="expression" dxfId="3591" priority="99">
      <formula>O$9&gt;=20/24</formula>
    </cfRule>
    <cfRule type="expression" dxfId="3590" priority="100">
      <formula>AND(O$9&gt;=14/24,O$9&lt;20/24)</formula>
    </cfRule>
    <cfRule type="expression" dxfId="3589" priority="101">
      <formula>AND(O$9&gt;=8/24,O$9&lt;14/24)</formula>
    </cfRule>
    <cfRule type="expression" dxfId="3588" priority="102">
      <formula>O$9&lt;8/24</formula>
    </cfRule>
  </conditionalFormatting>
  <conditionalFormatting sqref="O35">
    <cfRule type="expression" dxfId="3587" priority="95">
      <formula>O$9&gt;=20/24</formula>
    </cfRule>
    <cfRule type="expression" dxfId="3586" priority="96">
      <formula>AND(O$9&gt;=14/24,O$9&lt;20/24)</formula>
    </cfRule>
    <cfRule type="expression" dxfId="3585" priority="97">
      <formula>AND(O$9&gt;=8/24,O$9&lt;14/24)</formula>
    </cfRule>
    <cfRule type="expression" dxfId="3584" priority="98">
      <formula>O$9&lt;8/24</formula>
    </cfRule>
  </conditionalFormatting>
  <conditionalFormatting sqref="O16:O32 O34:O35">
    <cfRule type="expression" dxfId="3583" priority="94">
      <formula>O16&gt;$AG16</formula>
    </cfRule>
  </conditionalFormatting>
  <conditionalFormatting sqref="O34">
    <cfRule type="expression" dxfId="3582" priority="90">
      <formula>O$9&gt;=20/24</formula>
    </cfRule>
    <cfRule type="expression" dxfId="3581" priority="91">
      <formula>AND(O$9&gt;=14/24,O$9&lt;20/24)</formula>
    </cfRule>
    <cfRule type="expression" dxfId="3580" priority="92">
      <formula>AND(O$9&gt;=8/24,O$9&lt;14/24)</formula>
    </cfRule>
    <cfRule type="expression" dxfId="3579" priority="93">
      <formula>O$9&lt;8/24</formula>
    </cfRule>
  </conditionalFormatting>
  <conditionalFormatting sqref="O33">
    <cfRule type="expression" dxfId="3578" priority="86">
      <formula>O$9&gt;=20/24</formula>
    </cfRule>
    <cfRule type="expression" dxfId="3577" priority="87">
      <formula>AND(O$9&gt;=14/24,O$9&lt;20/24)</formula>
    </cfRule>
    <cfRule type="expression" dxfId="3576" priority="88">
      <formula>AND(O$9&gt;=8/24,O$9&lt;14/24)</formula>
    </cfRule>
    <cfRule type="expression" dxfId="3575" priority="89">
      <formula>O$9&lt;8/24</formula>
    </cfRule>
  </conditionalFormatting>
  <conditionalFormatting sqref="O33">
    <cfRule type="expression" dxfId="3574" priority="85">
      <formula>O33&gt;$AG33</formula>
    </cfRule>
  </conditionalFormatting>
  <conditionalFormatting sqref="P36">
    <cfRule type="expression" dxfId="3573" priority="81">
      <formula>P$9&gt;=20/24</formula>
    </cfRule>
    <cfRule type="expression" dxfId="3572" priority="82">
      <formula>AND(P$9&gt;=14/24,P$9&lt;20/24)</formula>
    </cfRule>
    <cfRule type="expression" dxfId="3571" priority="83">
      <formula>AND(P$9&gt;=8/24,P$9&lt;14/24)</formula>
    </cfRule>
    <cfRule type="expression" dxfId="3570" priority="84">
      <formula>P$9&lt;8/24</formula>
    </cfRule>
  </conditionalFormatting>
  <conditionalFormatting sqref="P36">
    <cfRule type="expression" dxfId="3569" priority="80">
      <formula>P36&gt;$AG36</formula>
    </cfRule>
  </conditionalFormatting>
  <conditionalFormatting sqref="P12">
    <cfRule type="expression" dxfId="3568" priority="76">
      <formula>P$9&gt;=20/24</formula>
    </cfRule>
    <cfRule type="expression" dxfId="3567" priority="77">
      <formula>AND(P$9&gt;=14/24,P$9&lt;20/24)</formula>
    </cfRule>
    <cfRule type="expression" dxfId="3566" priority="78">
      <formula>AND(P$9&gt;=8/24,P$9&lt;14/24)</formula>
    </cfRule>
    <cfRule type="expression" dxfId="3565" priority="79">
      <formula>P$9&lt;8/24</formula>
    </cfRule>
  </conditionalFormatting>
  <conditionalFormatting sqref="P12">
    <cfRule type="expression" dxfId="3564" priority="75">
      <formula>P12&gt;$AG12</formula>
    </cfRule>
  </conditionalFormatting>
  <conditionalFormatting sqref="P13:P14">
    <cfRule type="expression" dxfId="3563" priority="71">
      <formula>P$9&gt;=20/24</formula>
    </cfRule>
    <cfRule type="expression" dxfId="3562" priority="72">
      <formula>AND(P$9&gt;=14/24,P$9&lt;20/24)</formula>
    </cfRule>
    <cfRule type="expression" dxfId="3561" priority="73">
      <formula>AND(P$9&gt;=8/24,P$9&lt;14/24)</formula>
    </cfRule>
    <cfRule type="expression" dxfId="3560" priority="74">
      <formula>P$9&lt;8/24</formula>
    </cfRule>
  </conditionalFormatting>
  <conditionalFormatting sqref="P13:P14">
    <cfRule type="expression" dxfId="3559" priority="70">
      <formula>P13&gt;$AG13</formula>
    </cfRule>
  </conditionalFormatting>
  <conditionalFormatting sqref="P15">
    <cfRule type="expression" dxfId="3558" priority="66">
      <formula>P$9&gt;=20/24</formula>
    </cfRule>
    <cfRule type="expression" dxfId="3557" priority="67">
      <formula>AND(P$9&gt;=14/24,P$9&lt;20/24)</formula>
    </cfRule>
    <cfRule type="expression" dxfId="3556" priority="68">
      <formula>AND(P$9&gt;=8/24,P$9&lt;14/24)</formula>
    </cfRule>
    <cfRule type="expression" dxfId="3555" priority="69">
      <formula>P$9&lt;8/24</formula>
    </cfRule>
  </conditionalFormatting>
  <conditionalFormatting sqref="P15">
    <cfRule type="expression" dxfId="3554" priority="65">
      <formula>P15&gt;$AG15</formula>
    </cfRule>
  </conditionalFormatting>
  <conditionalFormatting sqref="P16:P32">
    <cfRule type="expression" dxfId="3553" priority="61">
      <formula>P$9&gt;=20/24</formula>
    </cfRule>
    <cfRule type="expression" dxfId="3552" priority="62">
      <formula>AND(P$9&gt;=14/24,P$9&lt;20/24)</formula>
    </cfRule>
    <cfRule type="expression" dxfId="3551" priority="63">
      <formula>AND(P$9&gt;=8/24,P$9&lt;14/24)</formula>
    </cfRule>
    <cfRule type="expression" dxfId="3550" priority="64">
      <formula>P$9&lt;8/24</formula>
    </cfRule>
  </conditionalFormatting>
  <conditionalFormatting sqref="P35">
    <cfRule type="expression" dxfId="3549" priority="57">
      <formula>P$9&gt;=20/24</formula>
    </cfRule>
    <cfRule type="expression" dxfId="3548" priority="58">
      <formula>AND(P$9&gt;=14/24,P$9&lt;20/24)</formula>
    </cfRule>
    <cfRule type="expression" dxfId="3547" priority="59">
      <formula>AND(P$9&gt;=8/24,P$9&lt;14/24)</formula>
    </cfRule>
    <cfRule type="expression" dxfId="3546" priority="60">
      <formula>P$9&lt;8/24</formula>
    </cfRule>
  </conditionalFormatting>
  <conditionalFormatting sqref="P16:P32 P34:P35">
    <cfRule type="expression" dxfId="3545" priority="56">
      <formula>P16&gt;$AG16</formula>
    </cfRule>
  </conditionalFormatting>
  <conditionalFormatting sqref="P34">
    <cfRule type="expression" dxfId="3544" priority="52">
      <formula>P$9&gt;=20/24</formula>
    </cfRule>
    <cfRule type="expression" dxfId="3543" priority="53">
      <formula>AND(P$9&gt;=14/24,P$9&lt;20/24)</formula>
    </cfRule>
    <cfRule type="expression" dxfId="3542" priority="54">
      <formula>AND(P$9&gt;=8/24,P$9&lt;14/24)</formula>
    </cfRule>
    <cfRule type="expression" dxfId="3541" priority="55">
      <formula>P$9&lt;8/24</formula>
    </cfRule>
  </conditionalFormatting>
  <conditionalFormatting sqref="P33">
    <cfRule type="expression" dxfId="3540" priority="48">
      <formula>P$9&gt;=20/24</formula>
    </cfRule>
    <cfRule type="expression" dxfId="3539" priority="49">
      <formula>AND(P$9&gt;=14/24,P$9&lt;20/24)</formula>
    </cfRule>
    <cfRule type="expression" dxfId="3538" priority="50">
      <formula>AND(P$9&gt;=8/24,P$9&lt;14/24)</formula>
    </cfRule>
    <cfRule type="expression" dxfId="3537" priority="51">
      <formula>P$9&lt;8/24</formula>
    </cfRule>
  </conditionalFormatting>
  <conditionalFormatting sqref="P33">
    <cfRule type="expression" dxfId="3536" priority="47">
      <formula>P33&gt;$AG33</formula>
    </cfRule>
  </conditionalFormatting>
  <conditionalFormatting sqref="Q36">
    <cfRule type="expression" dxfId="3535" priority="43">
      <formula>Q$9&gt;=20/24</formula>
    </cfRule>
    <cfRule type="expression" dxfId="3534" priority="44">
      <formula>AND(Q$9&gt;=14/24,Q$9&lt;20/24)</formula>
    </cfRule>
    <cfRule type="expression" dxfId="3533" priority="45">
      <formula>AND(Q$9&gt;=8/24,Q$9&lt;14/24)</formula>
    </cfRule>
    <cfRule type="expression" dxfId="3532" priority="46">
      <formula>Q$9&lt;8/24</formula>
    </cfRule>
  </conditionalFormatting>
  <conditionalFormatting sqref="Q36">
    <cfRule type="expression" dxfId="3531" priority="42">
      <formula>Q36&gt;$AG36</formula>
    </cfRule>
  </conditionalFormatting>
  <conditionalFormatting sqref="Q16:Q32">
    <cfRule type="expression" dxfId="3530" priority="38">
      <formula>Q$9&gt;=20/24</formula>
    </cfRule>
    <cfRule type="expression" dxfId="3529" priority="39">
      <formula>AND(Q$9&gt;=14/24,Q$9&lt;20/24)</formula>
    </cfRule>
    <cfRule type="expression" dxfId="3528" priority="40">
      <formula>AND(Q$9&gt;=8/24,Q$9&lt;14/24)</formula>
    </cfRule>
    <cfRule type="expression" dxfId="3527" priority="41">
      <formula>Q$9&lt;8/24</formula>
    </cfRule>
  </conditionalFormatting>
  <conditionalFormatting sqref="Q35">
    <cfRule type="expression" dxfId="3526" priority="34">
      <formula>Q$9&gt;=20/24</formula>
    </cfRule>
    <cfRule type="expression" dxfId="3525" priority="35">
      <formula>AND(Q$9&gt;=14/24,Q$9&lt;20/24)</formula>
    </cfRule>
    <cfRule type="expression" dxfId="3524" priority="36">
      <formula>AND(Q$9&gt;=8/24,Q$9&lt;14/24)</formula>
    </cfRule>
    <cfRule type="expression" dxfId="3523" priority="37">
      <formula>Q$9&lt;8/24</formula>
    </cfRule>
  </conditionalFormatting>
  <conditionalFormatting sqref="Q16:Q32 Q34:Q35">
    <cfRule type="expression" dxfId="3522" priority="33">
      <formula>Q16&gt;$AG16</formula>
    </cfRule>
  </conditionalFormatting>
  <conditionalFormatting sqref="Q34">
    <cfRule type="expression" dxfId="3521" priority="29">
      <formula>Q$9&gt;=20/24</formula>
    </cfRule>
    <cfRule type="expression" dxfId="3520" priority="30">
      <formula>AND(Q$9&gt;=14/24,Q$9&lt;20/24)</formula>
    </cfRule>
    <cfRule type="expression" dxfId="3519" priority="31">
      <formula>AND(Q$9&gt;=8/24,Q$9&lt;14/24)</formula>
    </cfRule>
    <cfRule type="expression" dxfId="3518" priority="32">
      <formula>Q$9&lt;8/24</formula>
    </cfRule>
  </conditionalFormatting>
  <conditionalFormatting sqref="Q33">
    <cfRule type="expression" dxfId="3517" priority="25">
      <formula>Q$9&gt;=20/24</formula>
    </cfRule>
    <cfRule type="expression" dxfId="3516" priority="26">
      <formula>AND(Q$9&gt;=14/24,Q$9&lt;20/24)</formula>
    </cfRule>
    <cfRule type="expression" dxfId="3515" priority="27">
      <formula>AND(Q$9&gt;=8/24,Q$9&lt;14/24)</formula>
    </cfRule>
    <cfRule type="expression" dxfId="3514" priority="28">
      <formula>Q$9&lt;8/24</formula>
    </cfRule>
  </conditionalFormatting>
  <conditionalFormatting sqref="Q33">
    <cfRule type="expression" dxfId="3513" priority="24">
      <formula>Q33&gt;$AG33</formula>
    </cfRule>
  </conditionalFormatting>
  <conditionalFormatting sqref="R36:X36">
    <cfRule type="expression" dxfId="3512" priority="20">
      <formula>R$9&gt;=20/24</formula>
    </cfRule>
    <cfRule type="expression" dxfId="3511" priority="21">
      <formula>AND(R$9&gt;=14/24,R$9&lt;20/24)</formula>
    </cfRule>
    <cfRule type="expression" dxfId="3510" priority="22">
      <formula>AND(R$9&gt;=8/24,R$9&lt;14/24)</formula>
    </cfRule>
    <cfRule type="expression" dxfId="3509" priority="23">
      <formula>R$9&lt;8/24</formula>
    </cfRule>
  </conditionalFormatting>
  <conditionalFormatting sqref="R36:X36">
    <cfRule type="expression" dxfId="3508" priority="19">
      <formula>R36&gt;$AG36</formula>
    </cfRule>
  </conditionalFormatting>
  <conditionalFormatting sqref="R16:X32">
    <cfRule type="expression" dxfId="3507" priority="15">
      <formula>R$9&gt;=20/24</formula>
    </cfRule>
    <cfRule type="expression" dxfId="3506" priority="16">
      <formula>AND(R$9&gt;=14/24,R$9&lt;20/24)</formula>
    </cfRule>
    <cfRule type="expression" dxfId="3505" priority="17">
      <formula>AND(R$9&gt;=8/24,R$9&lt;14/24)</formula>
    </cfRule>
    <cfRule type="expression" dxfId="3504" priority="18">
      <formula>R$9&lt;8/24</formula>
    </cfRule>
  </conditionalFormatting>
  <conditionalFormatting sqref="R35:X35">
    <cfRule type="expression" dxfId="3503" priority="11">
      <formula>R$9&gt;=20/24</formula>
    </cfRule>
    <cfRule type="expression" dxfId="3502" priority="12">
      <formula>AND(R$9&gt;=14/24,R$9&lt;20/24)</formula>
    </cfRule>
    <cfRule type="expression" dxfId="3501" priority="13">
      <formula>AND(R$9&gt;=8/24,R$9&lt;14/24)</formula>
    </cfRule>
    <cfRule type="expression" dxfId="3500" priority="14">
      <formula>R$9&lt;8/24</formula>
    </cfRule>
  </conditionalFormatting>
  <conditionalFormatting sqref="R16:X32 R34:X35">
    <cfRule type="expression" dxfId="3499" priority="10">
      <formula>R16&gt;$AG16</formula>
    </cfRule>
  </conditionalFormatting>
  <conditionalFormatting sqref="R34:X34">
    <cfRule type="expression" dxfId="3498" priority="6">
      <formula>R$9&gt;=20/24</formula>
    </cfRule>
    <cfRule type="expression" dxfId="3497" priority="7">
      <formula>AND(R$9&gt;=14/24,R$9&lt;20/24)</formula>
    </cfRule>
    <cfRule type="expression" dxfId="3496" priority="8">
      <formula>AND(R$9&gt;=8/24,R$9&lt;14/24)</formula>
    </cfRule>
    <cfRule type="expression" dxfId="3495" priority="9">
      <formula>R$9&lt;8/24</formula>
    </cfRule>
  </conditionalFormatting>
  <conditionalFormatting sqref="R33:X33">
    <cfRule type="expression" dxfId="3494" priority="2">
      <formula>R$9&gt;=20/24</formula>
    </cfRule>
    <cfRule type="expression" dxfId="3493" priority="3">
      <formula>AND(R$9&gt;=14/24,R$9&lt;20/24)</formula>
    </cfRule>
    <cfRule type="expression" dxfId="3492" priority="4">
      <formula>AND(R$9&gt;=8/24,R$9&lt;14/24)</formula>
    </cfRule>
    <cfRule type="expression" dxfId="3491" priority="5">
      <formula>R$9&lt;8/24</formula>
    </cfRule>
  </conditionalFormatting>
  <conditionalFormatting sqref="R33:X33">
    <cfRule type="expression" dxfId="3490" priority="1">
      <formula>R33&gt;$AG33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0" id="{4647D5CE-A668-4B0D-8ADF-13CA6DB168F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F84" sqref="AF84:AF9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2078/10/23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306.8</v>
      </c>
      <c r="C5" s="32">
        <f t="shared" si="0"/>
        <v>304.39999999999998</v>
      </c>
      <c r="D5" s="32">
        <f t="shared" si="0"/>
        <v>296.89999999999998</v>
      </c>
      <c r="E5" s="32">
        <f t="shared" si="0"/>
        <v>301.3</v>
      </c>
      <c r="F5" s="32">
        <f t="shared" si="0"/>
        <v>338.8</v>
      </c>
      <c r="G5" s="32">
        <f t="shared" si="0"/>
        <v>373.1</v>
      </c>
      <c r="H5" s="32">
        <f t="shared" si="0"/>
        <v>433.5</v>
      </c>
      <c r="I5" s="32">
        <f t="shared" si="0"/>
        <v>528.4</v>
      </c>
      <c r="J5" s="32">
        <f t="shared" si="0"/>
        <v>548.4</v>
      </c>
      <c r="K5" s="32">
        <f t="shared" si="0"/>
        <v>540.29999999999995</v>
      </c>
      <c r="L5" s="32">
        <f t="shared" si="0"/>
        <v>547.29999999999995</v>
      </c>
      <c r="M5" s="32">
        <f t="shared" si="0"/>
        <v>427.9</v>
      </c>
      <c r="N5" s="32">
        <f t="shared" si="0"/>
        <v>547.5</v>
      </c>
      <c r="O5" s="32">
        <f t="shared" si="0"/>
        <v>541</v>
      </c>
      <c r="P5" s="32">
        <f t="shared" si="0"/>
        <v>549.9</v>
      </c>
      <c r="Q5" s="32">
        <f t="shared" si="0"/>
        <v>539.59999999999991</v>
      </c>
      <c r="R5" s="32">
        <f t="shared" si="0"/>
        <v>516.69999999999993</v>
      </c>
      <c r="S5" s="32">
        <f t="shared" si="0"/>
        <v>526.70000000000005</v>
      </c>
      <c r="T5" s="32">
        <f t="shared" si="0"/>
        <v>544.1</v>
      </c>
      <c r="U5" s="32">
        <f t="shared" si="0"/>
        <v>343.9</v>
      </c>
      <c r="V5" s="32">
        <f t="shared" si="0"/>
        <v>374.30000000000007</v>
      </c>
      <c r="W5" s="32">
        <f t="shared" si="0"/>
        <v>415.6</v>
      </c>
      <c r="X5" s="32">
        <f t="shared" si="0"/>
        <v>384.00000000000006</v>
      </c>
      <c r="Y5" s="32">
        <f t="shared" si="0"/>
        <v>476.49999999999994</v>
      </c>
      <c r="Z5" s="32">
        <f t="shared" si="0"/>
        <v>472.9</v>
      </c>
      <c r="AA5" s="32">
        <f t="shared" si="0"/>
        <v>532.4</v>
      </c>
      <c r="AB5" s="32">
        <f t="shared" si="0"/>
        <v>471.2</v>
      </c>
      <c r="AC5" s="32">
        <f t="shared" si="0"/>
        <v>527.79999999999995</v>
      </c>
      <c r="AD5" s="32">
        <f t="shared" si="0"/>
        <v>454.6</v>
      </c>
      <c r="AE5" s="32">
        <f t="shared" si="0"/>
        <v>389.9</v>
      </c>
      <c r="AF5" s="32">
        <f>B68</f>
        <v>310.3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1595MW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Load=881</v>
      </c>
      <c r="B7" s="37">
        <f>B75</f>
        <v>976.04</v>
      </c>
      <c r="C7" s="37">
        <f t="shared" ref="C7:AF7" si="1">C75</f>
        <v>948.04</v>
      </c>
      <c r="D7" s="37">
        <f t="shared" si="1"/>
        <v>908.83999999999992</v>
      </c>
      <c r="E7" s="37">
        <f t="shared" si="1"/>
        <v>881.04</v>
      </c>
      <c r="F7" s="37">
        <f t="shared" si="1"/>
        <v>905.33999999999992</v>
      </c>
      <c r="G7" s="37">
        <f t="shared" si="1"/>
        <v>958.14</v>
      </c>
      <c r="H7" s="37">
        <f t="shared" si="1"/>
        <v>1048.24</v>
      </c>
      <c r="I7" s="37">
        <f t="shared" si="1"/>
        <v>1120.04</v>
      </c>
      <c r="J7" s="37">
        <f t="shared" si="1"/>
        <v>1239.94</v>
      </c>
      <c r="K7" s="37">
        <f t="shared" si="1"/>
        <v>1442.94</v>
      </c>
      <c r="L7" s="37">
        <f t="shared" si="1"/>
        <v>1529.54</v>
      </c>
      <c r="M7" s="37">
        <f t="shared" si="1"/>
        <v>1594.6399999999999</v>
      </c>
      <c r="N7" s="37">
        <f t="shared" si="1"/>
        <v>1575.94</v>
      </c>
      <c r="O7" s="37">
        <f t="shared" si="1"/>
        <v>1516.2399999999998</v>
      </c>
      <c r="P7" s="37">
        <f t="shared" si="1"/>
        <v>1424.6399999999999</v>
      </c>
      <c r="Q7" s="37">
        <f t="shared" si="1"/>
        <v>1353.84</v>
      </c>
      <c r="R7" s="37">
        <f t="shared" si="1"/>
        <v>1315.4399999999998</v>
      </c>
      <c r="S7" s="37">
        <f t="shared" si="1"/>
        <v>1251.6400000000001</v>
      </c>
      <c r="T7" s="37">
        <f t="shared" si="1"/>
        <v>1272.04</v>
      </c>
      <c r="U7" s="37">
        <f t="shared" si="1"/>
        <v>1298.94</v>
      </c>
      <c r="V7" s="37">
        <f t="shared" si="1"/>
        <v>1275.94</v>
      </c>
      <c r="W7" s="37">
        <f t="shared" si="1"/>
        <v>1379.6399999999999</v>
      </c>
      <c r="X7" s="37">
        <f t="shared" si="1"/>
        <v>1566.14</v>
      </c>
      <c r="Y7" s="37">
        <f t="shared" si="1"/>
        <v>1616.0400000000002</v>
      </c>
      <c r="Z7" s="37">
        <f t="shared" si="1"/>
        <v>1589.94</v>
      </c>
      <c r="AA7" s="37">
        <f t="shared" si="1"/>
        <v>1580.6399999999999</v>
      </c>
      <c r="AB7" s="37">
        <f t="shared" si="1"/>
        <v>1508.1399999999999</v>
      </c>
      <c r="AC7" s="37">
        <f t="shared" si="1"/>
        <v>1433.6399999999999</v>
      </c>
      <c r="AD7" s="37">
        <f t="shared" si="1"/>
        <v>1374.1399999999999</v>
      </c>
      <c r="AE7" s="37">
        <f t="shared" si="1"/>
        <v>1146.04</v>
      </c>
      <c r="AF7" s="37">
        <f t="shared" si="1"/>
        <v>1051.9399999999998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70</v>
      </c>
      <c r="D11" s="49">
        <v>50</v>
      </c>
      <c r="E11" s="49">
        <v>30</v>
      </c>
      <c r="F11" s="49">
        <v>50</v>
      </c>
      <c r="G11" s="49">
        <v>50</v>
      </c>
      <c r="H11" s="49">
        <v>70</v>
      </c>
      <c r="I11" s="49">
        <v>30</v>
      </c>
      <c r="J11" s="49">
        <v>30</v>
      </c>
      <c r="K11" s="49">
        <v>40</v>
      </c>
      <c r="L11" s="49">
        <v>80</v>
      </c>
      <c r="M11" s="50">
        <v>120</v>
      </c>
      <c r="N11" s="50">
        <v>250</v>
      </c>
      <c r="O11" s="50">
        <v>100</v>
      </c>
      <c r="P11" s="50">
        <v>50</v>
      </c>
      <c r="Q11" s="50">
        <v>40</v>
      </c>
      <c r="R11" s="177">
        <v>50</v>
      </c>
      <c r="S11" s="50">
        <v>30</v>
      </c>
      <c r="T11" s="50">
        <v>40</v>
      </c>
      <c r="U11" s="50">
        <v>40</v>
      </c>
      <c r="V11" s="50">
        <v>230</v>
      </c>
      <c r="W11" s="50">
        <v>220</v>
      </c>
      <c r="X11" s="50">
        <v>300</v>
      </c>
      <c r="Y11" s="50">
        <v>320</v>
      </c>
      <c r="Z11" s="51">
        <v>210</v>
      </c>
      <c r="AA11" s="50">
        <v>210</v>
      </c>
      <c r="AB11" s="50">
        <v>78</v>
      </c>
      <c r="AC11" s="50">
        <v>110</v>
      </c>
      <c r="AD11" s="50">
        <v>38.5</v>
      </c>
      <c r="AE11" s="50">
        <v>15</v>
      </c>
      <c r="AF11" s="50">
        <v>15</v>
      </c>
      <c r="AG11" s="52">
        <v>456</v>
      </c>
      <c r="AH11" s="53">
        <f>MAX(B11:AF11)</f>
        <v>320</v>
      </c>
      <c r="AI11" s="54">
        <f>MIN(B11:AF11)</f>
        <v>15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0">
        <v>36</v>
      </c>
      <c r="C12" s="50">
        <v>36</v>
      </c>
      <c r="D12" s="50">
        <v>36</v>
      </c>
      <c r="E12" s="50">
        <v>36</v>
      </c>
      <c r="F12" s="50">
        <v>36</v>
      </c>
      <c r="G12" s="50">
        <v>36</v>
      </c>
      <c r="H12" s="50">
        <v>36</v>
      </c>
      <c r="I12" s="50">
        <v>36</v>
      </c>
      <c r="J12" s="50">
        <v>36</v>
      </c>
      <c r="K12" s="50">
        <v>36</v>
      </c>
      <c r="L12" s="50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7">
        <v>36</v>
      </c>
      <c r="AB12" s="57">
        <v>36</v>
      </c>
      <c r="AC12" s="57">
        <v>36</v>
      </c>
      <c r="AD12" s="57">
        <v>36</v>
      </c>
      <c r="AE12" s="57">
        <v>36</v>
      </c>
      <c r="AF12" s="57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22</v>
      </c>
      <c r="C13" s="57">
        <v>22</v>
      </c>
      <c r="D13" s="57">
        <v>22</v>
      </c>
      <c r="E13" s="57">
        <v>22</v>
      </c>
      <c r="F13" s="57">
        <v>22</v>
      </c>
      <c r="G13" s="57">
        <v>22</v>
      </c>
      <c r="H13" s="57">
        <v>22</v>
      </c>
      <c r="I13" s="57">
        <v>22</v>
      </c>
      <c r="J13" s="57">
        <v>22</v>
      </c>
      <c r="K13" s="57">
        <v>22</v>
      </c>
      <c r="L13" s="57">
        <v>22</v>
      </c>
      <c r="M13" s="49">
        <v>20.7</v>
      </c>
      <c r="N13" s="49">
        <v>20.5</v>
      </c>
      <c r="O13" s="49">
        <v>19.7</v>
      </c>
      <c r="P13" s="49">
        <v>19.7</v>
      </c>
      <c r="Q13" s="49">
        <v>19.899999999999999</v>
      </c>
      <c r="R13" s="49">
        <v>19.7</v>
      </c>
      <c r="S13" s="57">
        <v>20.9</v>
      </c>
      <c r="T13" s="57">
        <v>20.9</v>
      </c>
      <c r="U13" s="57">
        <v>19.600000000000001</v>
      </c>
      <c r="V13" s="57">
        <v>19.600000000000001</v>
      </c>
      <c r="W13" s="57">
        <v>19.600000000000001</v>
      </c>
      <c r="X13" s="57">
        <v>19.600000000000001</v>
      </c>
      <c r="Y13" s="57">
        <v>19.600000000000001</v>
      </c>
      <c r="Z13" s="57">
        <v>18.8</v>
      </c>
      <c r="AA13" s="57">
        <v>20.100000000000001</v>
      </c>
      <c r="AB13" s="57">
        <v>20.100000000000001</v>
      </c>
      <c r="AC13" s="57">
        <v>20.100000000000001</v>
      </c>
      <c r="AD13" s="57">
        <v>21.7</v>
      </c>
      <c r="AE13" s="57">
        <v>21.7</v>
      </c>
      <c r="AF13" s="57">
        <v>21.7</v>
      </c>
      <c r="AG13" s="58">
        <v>52.4</v>
      </c>
      <c r="AH13" s="53">
        <f t="shared" si="2"/>
        <v>22</v>
      </c>
      <c r="AI13" s="54">
        <f t="shared" si="3"/>
        <v>18.8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49</v>
      </c>
      <c r="C14" s="59">
        <v>49</v>
      </c>
      <c r="D14" s="59">
        <v>49</v>
      </c>
      <c r="E14" s="59">
        <v>49</v>
      </c>
      <c r="F14" s="59">
        <v>49</v>
      </c>
      <c r="G14" s="59">
        <v>49</v>
      </c>
      <c r="H14" s="59">
        <v>49</v>
      </c>
      <c r="I14" s="59">
        <v>49</v>
      </c>
      <c r="J14" s="59">
        <v>49</v>
      </c>
      <c r="K14" s="59">
        <v>49</v>
      </c>
      <c r="L14" s="59">
        <v>49</v>
      </c>
      <c r="M14" s="50">
        <v>37.6</v>
      </c>
      <c r="N14" s="50">
        <v>37.6</v>
      </c>
      <c r="O14" s="50">
        <v>37.6</v>
      </c>
      <c r="P14" s="50">
        <v>37.6</v>
      </c>
      <c r="Q14" s="50">
        <v>36.1</v>
      </c>
      <c r="R14" s="50">
        <v>36.299999999999997</v>
      </c>
      <c r="S14" s="59">
        <v>36</v>
      </c>
      <c r="T14" s="59">
        <v>36</v>
      </c>
      <c r="U14" s="59">
        <v>36.299999999999997</v>
      </c>
      <c r="V14" s="59">
        <v>36.299999999999997</v>
      </c>
      <c r="W14" s="59">
        <v>36.4</v>
      </c>
      <c r="X14" s="59">
        <v>36.4</v>
      </c>
      <c r="Y14" s="59">
        <v>36.700000000000003</v>
      </c>
      <c r="Z14" s="59">
        <v>36.200000000000003</v>
      </c>
      <c r="AA14" s="59">
        <v>36.700000000000003</v>
      </c>
      <c r="AB14" s="59">
        <v>36.700000000000003</v>
      </c>
      <c r="AC14" s="59">
        <v>36.700000000000003</v>
      </c>
      <c r="AD14" s="59">
        <v>35.5</v>
      </c>
      <c r="AE14" s="59">
        <v>35.5</v>
      </c>
      <c r="AF14" s="59">
        <v>35.5</v>
      </c>
      <c r="AG14" s="58">
        <v>50</v>
      </c>
      <c r="AH14" s="53">
        <f t="shared" si="2"/>
        <v>49</v>
      </c>
      <c r="AI14" s="54">
        <f t="shared" si="3"/>
        <v>35.5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23.3</v>
      </c>
      <c r="C15" s="59">
        <v>23.3</v>
      </c>
      <c r="D15" s="59">
        <v>23.3</v>
      </c>
      <c r="E15" s="59">
        <v>23.3</v>
      </c>
      <c r="F15" s="59">
        <v>23.3</v>
      </c>
      <c r="G15" s="59">
        <v>22</v>
      </c>
      <c r="H15" s="59">
        <v>22</v>
      </c>
      <c r="I15" s="59">
        <v>22</v>
      </c>
      <c r="J15" s="59">
        <v>22</v>
      </c>
      <c r="K15" s="59">
        <v>22</v>
      </c>
      <c r="L15" s="59">
        <v>22</v>
      </c>
      <c r="M15" s="50">
        <v>21.3</v>
      </c>
      <c r="N15" s="50">
        <v>21.8</v>
      </c>
      <c r="O15" s="50">
        <v>20.399999999999999</v>
      </c>
      <c r="P15" s="50">
        <v>20.399999999999999</v>
      </c>
      <c r="Q15" s="50">
        <v>21.3</v>
      </c>
      <c r="R15" s="50">
        <v>21.4</v>
      </c>
      <c r="S15" s="59">
        <v>22</v>
      </c>
      <c r="T15" s="59">
        <v>22</v>
      </c>
      <c r="U15" s="59">
        <v>23.2</v>
      </c>
      <c r="V15" s="59">
        <v>23.2</v>
      </c>
      <c r="W15" s="59">
        <v>23.2</v>
      </c>
      <c r="X15" s="59">
        <v>23.2</v>
      </c>
      <c r="Y15" s="59">
        <v>23.1</v>
      </c>
      <c r="Z15" s="59">
        <v>23.2</v>
      </c>
      <c r="AA15" s="59">
        <v>23.2</v>
      </c>
      <c r="AB15" s="59">
        <v>23.2</v>
      </c>
      <c r="AC15" s="59">
        <v>23.2</v>
      </c>
      <c r="AD15" s="59">
        <v>23.2</v>
      </c>
      <c r="AE15" s="59">
        <v>23.2</v>
      </c>
      <c r="AF15" s="59">
        <v>23.2</v>
      </c>
      <c r="AG15" s="61">
        <v>45</v>
      </c>
      <c r="AH15" s="53">
        <f t="shared" si="2"/>
        <v>23.3</v>
      </c>
      <c r="AI15" s="54">
        <f t="shared" si="3"/>
        <v>20.399999999999999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62">
        <v>10</v>
      </c>
      <c r="N16" s="62">
        <v>10</v>
      </c>
      <c r="O16" s="62">
        <v>10</v>
      </c>
      <c r="P16" s="62">
        <v>10</v>
      </c>
      <c r="Q16" s="62">
        <v>10</v>
      </c>
      <c r="R16" s="62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59">
        <v>9</v>
      </c>
      <c r="D17" s="59">
        <v>9</v>
      </c>
      <c r="E17" s="59">
        <v>9</v>
      </c>
      <c r="F17" s="59">
        <v>9</v>
      </c>
      <c r="G17" s="59">
        <v>9</v>
      </c>
      <c r="H17" s="59">
        <v>9</v>
      </c>
      <c r="I17" s="59">
        <v>9</v>
      </c>
      <c r="J17" s="59">
        <v>9</v>
      </c>
      <c r="K17" s="59">
        <v>9</v>
      </c>
      <c r="L17" s="59">
        <v>9</v>
      </c>
      <c r="M17" s="59">
        <v>9</v>
      </c>
      <c r="N17" s="59">
        <v>9</v>
      </c>
      <c r="O17" s="59">
        <v>9</v>
      </c>
      <c r="P17" s="59">
        <v>9</v>
      </c>
      <c r="Q17" s="59">
        <v>9</v>
      </c>
      <c r="R17" s="5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8.1</v>
      </c>
      <c r="T18" s="50">
        <v>8.1</v>
      </c>
      <c r="U18" s="50">
        <v>8.1</v>
      </c>
      <c r="V18" s="50">
        <v>8.1</v>
      </c>
      <c r="W18" s="50">
        <v>8.1</v>
      </c>
      <c r="X18" s="50">
        <v>8.1</v>
      </c>
      <c r="Y18" s="50">
        <v>8.1</v>
      </c>
      <c r="Z18" s="50">
        <v>8.1</v>
      </c>
      <c r="AA18" s="50">
        <v>8.1</v>
      </c>
      <c r="AB18" s="50">
        <v>8.1</v>
      </c>
      <c r="AC18" s="50">
        <v>8.1</v>
      </c>
      <c r="AD18" s="50">
        <v>8.1</v>
      </c>
      <c r="AE18" s="50">
        <v>8.1</v>
      </c>
      <c r="AF18" s="50">
        <v>8.1</v>
      </c>
      <c r="AG18" s="58">
        <v>36</v>
      </c>
      <c r="AH18" s="53">
        <f t="shared" si="2"/>
        <v>8.1</v>
      </c>
      <c r="AI18" s="54">
        <f t="shared" si="3"/>
        <v>8.1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9.1</v>
      </c>
      <c r="C19" s="50">
        <v>9.1</v>
      </c>
      <c r="D19" s="50">
        <v>9.1</v>
      </c>
      <c r="E19" s="50">
        <v>9.1</v>
      </c>
      <c r="F19" s="50">
        <v>9.1</v>
      </c>
      <c r="G19" s="50">
        <v>9.6999999999999993</v>
      </c>
      <c r="H19" s="50">
        <v>9.6999999999999993</v>
      </c>
      <c r="I19" s="50">
        <v>9.6999999999999993</v>
      </c>
      <c r="J19" s="50">
        <v>9.6999999999999993</v>
      </c>
      <c r="K19" s="50">
        <v>9.6999999999999993</v>
      </c>
      <c r="L19" s="50">
        <v>9.6999999999999993</v>
      </c>
      <c r="M19" s="50">
        <v>9.6999999999999993</v>
      </c>
      <c r="N19" s="50">
        <v>9.6999999999999993</v>
      </c>
      <c r="O19" s="50">
        <v>9.6999999999999993</v>
      </c>
      <c r="P19" s="50">
        <v>9.6999999999999993</v>
      </c>
      <c r="Q19" s="50">
        <v>9.6999999999999993</v>
      </c>
      <c r="R19" s="50">
        <v>9.6999999999999993</v>
      </c>
      <c r="S19" s="50">
        <v>9.6999999999999993</v>
      </c>
      <c r="T19" s="50">
        <v>9.6999999999999993</v>
      </c>
      <c r="U19" s="50">
        <v>9.8000000000000007</v>
      </c>
      <c r="V19" s="50">
        <v>9.8000000000000007</v>
      </c>
      <c r="W19" s="50">
        <v>9.8000000000000007</v>
      </c>
      <c r="X19" s="50">
        <v>9.8000000000000007</v>
      </c>
      <c r="Y19" s="50">
        <v>10.5</v>
      </c>
      <c r="Z19" s="50">
        <v>10.5</v>
      </c>
      <c r="AA19" s="50">
        <v>10.5</v>
      </c>
      <c r="AB19" s="50">
        <v>10.5</v>
      </c>
      <c r="AC19" s="50">
        <v>10.5</v>
      </c>
      <c r="AD19" s="50">
        <v>10.5</v>
      </c>
      <c r="AE19" s="50">
        <v>10.5</v>
      </c>
      <c r="AF19" s="50">
        <v>10.5</v>
      </c>
      <c r="AG19" s="58">
        <v>30</v>
      </c>
      <c r="AH19" s="53">
        <f t="shared" si="2"/>
        <v>10.5</v>
      </c>
      <c r="AI19" s="54">
        <f t="shared" si="3"/>
        <v>9.1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0">
        <v>21</v>
      </c>
      <c r="M22" s="50">
        <v>11.8</v>
      </c>
      <c r="N22" s="50">
        <v>12.1</v>
      </c>
      <c r="O22" s="50">
        <v>12.1</v>
      </c>
      <c r="P22" s="50">
        <v>12.1</v>
      </c>
      <c r="Q22" s="50">
        <v>12.1</v>
      </c>
      <c r="R22" s="50">
        <v>12.1</v>
      </c>
      <c r="S22" s="50">
        <v>9.9</v>
      </c>
      <c r="T22" s="50">
        <v>9.9</v>
      </c>
      <c r="U22" s="50">
        <v>9.9</v>
      </c>
      <c r="V22" s="50">
        <v>9.9</v>
      </c>
      <c r="W22" s="50">
        <v>9.9</v>
      </c>
      <c r="X22" s="50">
        <v>18.899999999999999</v>
      </c>
      <c r="Y22" s="50">
        <v>19.5</v>
      </c>
      <c r="Z22" s="50">
        <v>18.899999999999999</v>
      </c>
      <c r="AA22" s="50">
        <v>18.899999999999999</v>
      </c>
      <c r="AB22" s="50">
        <v>18.899999999999999</v>
      </c>
      <c r="AC22" s="50">
        <v>18.899999999999999</v>
      </c>
      <c r="AD22" s="50">
        <v>18.899999999999999</v>
      </c>
      <c r="AE22" s="50">
        <v>18.899999999999999</v>
      </c>
      <c r="AF22" s="50">
        <v>18.899999999999999</v>
      </c>
      <c r="AG22" s="58">
        <v>25</v>
      </c>
      <c r="AH22" s="53">
        <f t="shared" si="2"/>
        <v>21</v>
      </c>
      <c r="AI22" s="54">
        <f t="shared" si="3"/>
        <v>9.9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14.9</v>
      </c>
      <c r="C24" s="50">
        <v>14.9</v>
      </c>
      <c r="D24" s="50">
        <v>14.9</v>
      </c>
      <c r="E24" s="50">
        <v>14.9</v>
      </c>
      <c r="F24" s="50">
        <v>15</v>
      </c>
      <c r="G24" s="50">
        <v>14.9</v>
      </c>
      <c r="H24" s="50">
        <v>14.9</v>
      </c>
      <c r="I24" s="50">
        <v>14.9</v>
      </c>
      <c r="J24" s="50">
        <v>14.9</v>
      </c>
      <c r="K24" s="50">
        <v>14.9</v>
      </c>
      <c r="L24" s="50">
        <v>14.9</v>
      </c>
      <c r="M24" s="50">
        <v>14.9</v>
      </c>
      <c r="N24" s="50">
        <v>14.9</v>
      </c>
      <c r="O24" s="50">
        <v>14.9</v>
      </c>
      <c r="P24" s="50">
        <v>14.9</v>
      </c>
      <c r="Q24" s="50">
        <v>14.9</v>
      </c>
      <c r="R24" s="50">
        <v>14.9</v>
      </c>
      <c r="S24" s="50">
        <v>11</v>
      </c>
      <c r="T24" s="50">
        <v>11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15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56.5</v>
      </c>
      <c r="C37" s="60">
        <v>55.5</v>
      </c>
      <c r="D37" s="60">
        <v>56.2</v>
      </c>
      <c r="E37" s="60">
        <f>20+37</f>
        <v>57</v>
      </c>
      <c r="F37" s="60">
        <f>19.8+36.7</f>
        <v>56.5</v>
      </c>
      <c r="G37" s="60">
        <f>17.3+34.2</f>
        <v>51.5</v>
      </c>
      <c r="H37" s="60">
        <f>18.6+35</f>
        <v>53.6</v>
      </c>
      <c r="I37" s="60">
        <f>18.6+34.8</f>
        <v>53.4</v>
      </c>
      <c r="J37" s="60">
        <f>18.4+34.3</f>
        <v>52.699999999999996</v>
      </c>
      <c r="K37" s="60">
        <f>18+33</f>
        <v>51</v>
      </c>
      <c r="L37" s="60">
        <f>18+33.3</f>
        <v>51.3</v>
      </c>
      <c r="M37" s="69">
        <f>32.6+17.5</f>
        <v>50.1</v>
      </c>
      <c r="N37" s="69">
        <f>32.3+17.1</f>
        <v>49.4</v>
      </c>
      <c r="O37" s="69">
        <f>30.6+14.1</f>
        <v>44.7</v>
      </c>
      <c r="P37" s="69">
        <f>34+18.2</f>
        <v>52.2</v>
      </c>
      <c r="Q37" s="69">
        <f>34.5+17.9</f>
        <v>52.4</v>
      </c>
      <c r="R37" s="69">
        <f>33.5+17.9</f>
        <v>51.4</v>
      </c>
      <c r="S37" s="69">
        <f>17.7+33.5</f>
        <v>51.2</v>
      </c>
      <c r="T37" s="69">
        <f>16.8+32.3</f>
        <v>49.099999999999994</v>
      </c>
      <c r="U37" s="69">
        <f>16.6+32.3</f>
        <v>48.9</v>
      </c>
      <c r="V37" s="69">
        <f>16.6+31.6</f>
        <v>48.2</v>
      </c>
      <c r="W37" s="69">
        <f>16.2+31</f>
        <v>47.2</v>
      </c>
      <c r="X37" s="69">
        <f>15.4+29.4</f>
        <v>44.8</v>
      </c>
      <c r="Y37" s="69">
        <v>44.1</v>
      </c>
      <c r="Z37" s="69">
        <f>15.1+28.5</f>
        <v>43.6</v>
      </c>
      <c r="AA37" s="69">
        <f>15.4+29.3</f>
        <v>44.7</v>
      </c>
      <c r="AB37" s="69">
        <f>15.4+29.3</f>
        <v>44.7</v>
      </c>
      <c r="AC37" s="69">
        <f>15.4+29.3</f>
        <v>44.7</v>
      </c>
      <c r="AD37" s="69">
        <f>15.4+29.3</f>
        <v>44.7</v>
      </c>
      <c r="AE37" s="69">
        <f>16.9+32.5</f>
        <v>49.4</v>
      </c>
      <c r="AF37" s="69">
        <f>16.9+32.5</f>
        <v>49.4</v>
      </c>
      <c r="AG37" s="66">
        <v>240</v>
      </c>
      <c r="AH37" s="53">
        <f t="shared" si="2"/>
        <v>57</v>
      </c>
      <c r="AI37" s="54">
        <f t="shared" si="3"/>
        <v>43.6</v>
      </c>
      <c r="AK37" s="55"/>
    </row>
    <row r="38" spans="1:88" ht="15.75" thickBot="1" x14ac:dyDescent="0.3">
      <c r="A38" s="70" t="s">
        <v>46</v>
      </c>
      <c r="B38" s="71">
        <f>SUM(B11:B36)</f>
        <v>460</v>
      </c>
      <c r="C38" s="71">
        <f t="shared" ref="C38:AF38" si="4">SUM(C11:C36)</f>
        <v>499.99999999999994</v>
      </c>
      <c r="D38" s="71">
        <f t="shared" si="4"/>
        <v>479.99999999999994</v>
      </c>
      <c r="E38" s="71">
        <f t="shared" si="4"/>
        <v>460</v>
      </c>
      <c r="F38" s="71">
        <f t="shared" si="4"/>
        <v>480.09999999999997</v>
      </c>
      <c r="G38" s="71">
        <f t="shared" si="4"/>
        <v>479.29999999999995</v>
      </c>
      <c r="H38" s="71">
        <f t="shared" si="4"/>
        <v>499.29999999999995</v>
      </c>
      <c r="I38" s="71">
        <f t="shared" si="4"/>
        <v>459.29999999999995</v>
      </c>
      <c r="J38" s="71">
        <f t="shared" si="4"/>
        <v>459.29999999999995</v>
      </c>
      <c r="K38" s="71">
        <f t="shared" si="4"/>
        <v>469.29999999999995</v>
      </c>
      <c r="L38" s="71">
        <f t="shared" si="4"/>
        <v>509.29999999999995</v>
      </c>
      <c r="M38" s="71">
        <f t="shared" si="4"/>
        <v>526.69999999999993</v>
      </c>
      <c r="N38" s="71">
        <f t="shared" si="4"/>
        <v>657.3</v>
      </c>
      <c r="O38" s="71">
        <f t="shared" si="4"/>
        <v>505.09999999999997</v>
      </c>
      <c r="P38" s="71">
        <f t="shared" si="4"/>
        <v>455.09999999999997</v>
      </c>
      <c r="Q38" s="71">
        <f t="shared" si="4"/>
        <v>444.7</v>
      </c>
      <c r="R38" s="71">
        <f t="shared" si="4"/>
        <v>454.79999999999995</v>
      </c>
      <c r="S38" s="71">
        <f t="shared" si="4"/>
        <v>430.2</v>
      </c>
      <c r="T38" s="71">
        <f t="shared" si="4"/>
        <v>440.2</v>
      </c>
      <c r="U38" s="71">
        <f t="shared" si="4"/>
        <v>440.49999999999994</v>
      </c>
      <c r="V38" s="71">
        <f t="shared" si="4"/>
        <v>630.5</v>
      </c>
      <c r="W38" s="71">
        <f t="shared" si="4"/>
        <v>620.59999999999991</v>
      </c>
      <c r="X38" s="71">
        <f t="shared" si="4"/>
        <v>709.60000000000014</v>
      </c>
      <c r="Y38" s="71">
        <f t="shared" si="4"/>
        <v>731.10000000000014</v>
      </c>
      <c r="Z38" s="71">
        <f t="shared" si="4"/>
        <v>619.29999999999995</v>
      </c>
      <c r="AA38" s="71">
        <f t="shared" si="4"/>
        <v>621.09999999999991</v>
      </c>
      <c r="AB38" s="71">
        <f t="shared" si="4"/>
        <v>489.09999999999997</v>
      </c>
      <c r="AC38" s="71">
        <f t="shared" si="4"/>
        <v>521.09999999999991</v>
      </c>
      <c r="AD38" s="71">
        <f t="shared" si="4"/>
        <v>449.99999999999994</v>
      </c>
      <c r="AE38" s="71">
        <f t="shared" si="4"/>
        <v>426.49999999999994</v>
      </c>
      <c r="AF38" s="71">
        <f t="shared" si="4"/>
        <v>426.49999999999994</v>
      </c>
      <c r="AG38" s="66">
        <f>SUM(AG11:AG37)</f>
        <v>1492.8299999999997</v>
      </c>
      <c r="AH38" s="53">
        <f t="shared" si="2"/>
        <v>731.10000000000014</v>
      </c>
      <c r="AI38" s="54">
        <f t="shared" si="3"/>
        <v>426.49999999999994</v>
      </c>
      <c r="AK38" s="55"/>
    </row>
    <row r="39" spans="1:88" x14ac:dyDescent="0.25">
      <c r="A39" s="56" t="s">
        <v>47</v>
      </c>
      <c r="B39" s="49">
        <v>36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37</v>
      </c>
      <c r="I39" s="60">
        <v>65.400000000000006</v>
      </c>
      <c r="J39" s="60">
        <v>91</v>
      </c>
      <c r="K39" s="60">
        <v>111.2</v>
      </c>
      <c r="L39" s="60">
        <v>144.9</v>
      </c>
      <c r="M39" s="50">
        <v>145.69999999999999</v>
      </c>
      <c r="N39" s="50">
        <v>136.6</v>
      </c>
      <c r="O39" s="50">
        <v>136.69999999999999</v>
      </c>
      <c r="P39" s="50">
        <v>121.7</v>
      </c>
      <c r="Q39" s="50">
        <v>97</v>
      </c>
      <c r="R39" s="50">
        <v>86</v>
      </c>
      <c r="S39" s="50">
        <v>86.2</v>
      </c>
      <c r="T39" s="50">
        <v>86.2</v>
      </c>
      <c r="U39" s="50">
        <v>86.2</v>
      </c>
      <c r="V39" s="50">
        <v>86.1</v>
      </c>
      <c r="W39" s="50">
        <v>119.2</v>
      </c>
      <c r="X39" s="50">
        <v>131.9</v>
      </c>
      <c r="Y39" s="50">
        <v>145.5</v>
      </c>
      <c r="Z39" s="50">
        <v>145.5</v>
      </c>
      <c r="AA39" s="50">
        <v>145.1</v>
      </c>
      <c r="AB39" s="50">
        <v>145.1</v>
      </c>
      <c r="AC39" s="50">
        <v>145.5</v>
      </c>
      <c r="AD39" s="50">
        <v>139.19999999999999</v>
      </c>
      <c r="AE39" s="50">
        <v>96</v>
      </c>
      <c r="AF39" s="50">
        <v>60.4</v>
      </c>
      <c r="AG39" s="61">
        <v>144</v>
      </c>
      <c r="AH39" s="53">
        <f t="shared" si="2"/>
        <v>145.69999999999999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22.8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22.9</v>
      </c>
      <c r="J40" s="60">
        <v>21.8</v>
      </c>
      <c r="K40" s="60">
        <v>45.8</v>
      </c>
      <c r="L40" s="60">
        <v>66.099999999999994</v>
      </c>
      <c r="M40" s="72">
        <v>69.8</v>
      </c>
      <c r="N40" s="72">
        <v>60</v>
      </c>
      <c r="O40" s="72">
        <v>54.9</v>
      </c>
      <c r="P40" s="72">
        <v>49.9</v>
      </c>
      <c r="Q40" s="72">
        <v>50.5</v>
      </c>
      <c r="R40" s="72">
        <v>43.2</v>
      </c>
      <c r="S40" s="72">
        <v>43.2</v>
      </c>
      <c r="T40" s="72">
        <v>43.5</v>
      </c>
      <c r="U40" s="72">
        <v>34.799999999999997</v>
      </c>
      <c r="V40" s="72">
        <v>34.799999999999997</v>
      </c>
      <c r="W40" s="72">
        <v>34.9</v>
      </c>
      <c r="X40" s="72">
        <v>49.1</v>
      </c>
      <c r="Y40" s="72">
        <v>68</v>
      </c>
      <c r="Z40" s="72">
        <v>69.5</v>
      </c>
      <c r="AA40" s="72">
        <v>69.900000000000006</v>
      </c>
      <c r="AB40" s="72">
        <v>69.900000000000006</v>
      </c>
      <c r="AC40" s="72">
        <v>51</v>
      </c>
      <c r="AD40" s="72">
        <v>35.6</v>
      </c>
      <c r="AE40" s="72">
        <v>24.6</v>
      </c>
      <c r="AF40" s="72">
        <v>35</v>
      </c>
      <c r="AG40" s="66">
        <v>70</v>
      </c>
      <c r="AH40" s="53">
        <f t="shared" si="2"/>
        <v>69.900000000000006</v>
      </c>
      <c r="AI40" s="54">
        <f t="shared" si="3"/>
        <v>0</v>
      </c>
      <c r="AK40" s="55"/>
    </row>
    <row r="41" spans="1:88" x14ac:dyDescent="0.25">
      <c r="A41" s="65" t="s">
        <v>49</v>
      </c>
      <c r="B41" s="72">
        <v>38.6</v>
      </c>
      <c r="C41" s="60">
        <v>32.9</v>
      </c>
      <c r="D41" s="60">
        <v>17.8</v>
      </c>
      <c r="E41" s="60">
        <v>17.5</v>
      </c>
      <c r="F41" s="60">
        <v>17.3</v>
      </c>
      <c r="G41" s="60">
        <v>23.9</v>
      </c>
      <c r="H41" s="60">
        <v>22.7</v>
      </c>
      <c r="I41" s="60">
        <v>22.8</v>
      </c>
      <c r="J41" s="60">
        <v>19.8</v>
      </c>
      <c r="K41" s="60">
        <v>46.4</v>
      </c>
      <c r="L41" s="60">
        <v>65.900000000000006</v>
      </c>
      <c r="M41" s="72">
        <v>67.5</v>
      </c>
      <c r="N41" s="72">
        <v>61.1</v>
      </c>
      <c r="O41" s="72">
        <v>60.8</v>
      </c>
      <c r="P41" s="72">
        <v>50.5</v>
      </c>
      <c r="Q41" s="72">
        <v>44.9</v>
      </c>
      <c r="R41" s="72">
        <v>36.4</v>
      </c>
      <c r="S41" s="72">
        <v>22.1</v>
      </c>
      <c r="T41" s="72">
        <v>22.3</v>
      </c>
      <c r="U41" s="72">
        <v>22.4</v>
      </c>
      <c r="V41" s="72">
        <v>22.5</v>
      </c>
      <c r="W41" s="72">
        <v>55.3</v>
      </c>
      <c r="X41" s="72">
        <v>55.1</v>
      </c>
      <c r="Y41" s="72">
        <v>67.400000000000006</v>
      </c>
      <c r="Z41" s="72">
        <v>67.3</v>
      </c>
      <c r="AA41" s="72">
        <v>67.5</v>
      </c>
      <c r="AB41" s="72">
        <v>67.5</v>
      </c>
      <c r="AC41" s="72">
        <v>67.7</v>
      </c>
      <c r="AD41" s="72">
        <v>63.6</v>
      </c>
      <c r="AE41" s="72">
        <v>46.5</v>
      </c>
      <c r="AF41" s="72">
        <v>45.8</v>
      </c>
      <c r="AG41" s="66">
        <v>69</v>
      </c>
      <c r="AH41" s="53">
        <f t="shared" si="2"/>
        <v>67.7</v>
      </c>
      <c r="AI41" s="54">
        <f t="shared" si="3"/>
        <v>17.3</v>
      </c>
      <c r="AK41" s="55"/>
    </row>
    <row r="42" spans="1:88" x14ac:dyDescent="0.25">
      <c r="A42" s="65" t="s">
        <v>50</v>
      </c>
      <c r="B42" s="72">
        <v>54.9</v>
      </c>
      <c r="C42" s="60">
        <v>54.9</v>
      </c>
      <c r="D42" s="60">
        <v>53.2</v>
      </c>
      <c r="E42" s="60">
        <v>53.2</v>
      </c>
      <c r="F42" s="60">
        <v>53.2</v>
      </c>
      <c r="G42" s="60">
        <v>52.7</v>
      </c>
      <c r="H42" s="60">
        <v>52.7</v>
      </c>
      <c r="I42" s="60">
        <v>52.7</v>
      </c>
      <c r="J42" s="60">
        <v>51.1</v>
      </c>
      <c r="K42" s="60">
        <v>51.4</v>
      </c>
      <c r="L42" s="60">
        <v>51.1</v>
      </c>
      <c r="M42" s="72">
        <v>51.1</v>
      </c>
      <c r="N42" s="72">
        <v>51.1</v>
      </c>
      <c r="O42" s="72">
        <v>51.4</v>
      </c>
      <c r="P42" s="72">
        <v>51.1</v>
      </c>
      <c r="Q42" s="72">
        <v>51.4</v>
      </c>
      <c r="R42" s="72">
        <v>51.1</v>
      </c>
      <c r="S42" s="72">
        <v>51.1</v>
      </c>
      <c r="T42" s="72">
        <v>50.9</v>
      </c>
      <c r="U42" s="72">
        <v>50.9</v>
      </c>
      <c r="V42" s="72">
        <v>48.1</v>
      </c>
      <c r="W42" s="72">
        <v>48.3</v>
      </c>
      <c r="X42" s="72">
        <v>48.6</v>
      </c>
      <c r="Y42" s="72">
        <v>48.6</v>
      </c>
      <c r="Z42" s="72">
        <v>48.6</v>
      </c>
      <c r="AA42" s="72">
        <v>48.6</v>
      </c>
      <c r="AB42" s="72">
        <v>48.6</v>
      </c>
      <c r="AC42" s="72">
        <v>53.2</v>
      </c>
      <c r="AD42" s="72">
        <v>57.4</v>
      </c>
      <c r="AE42" s="72">
        <v>57.4</v>
      </c>
      <c r="AF42" s="72">
        <v>53.9</v>
      </c>
      <c r="AG42" s="66">
        <v>60</v>
      </c>
      <c r="AH42" s="53">
        <f t="shared" si="2"/>
        <v>57.4</v>
      </c>
      <c r="AI42" s="54">
        <f t="shared" si="3"/>
        <v>48.1</v>
      </c>
      <c r="AK42" s="55"/>
    </row>
    <row r="43" spans="1:88" x14ac:dyDescent="0.25">
      <c r="A43" s="65" t="s">
        <v>51</v>
      </c>
      <c r="B43" s="72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10</v>
      </c>
      <c r="H43" s="60">
        <v>10</v>
      </c>
      <c r="I43" s="60">
        <v>10</v>
      </c>
      <c r="J43" s="60">
        <v>15.1</v>
      </c>
      <c r="K43" s="60">
        <v>23</v>
      </c>
      <c r="L43" s="60">
        <v>30</v>
      </c>
      <c r="M43" s="50">
        <v>30</v>
      </c>
      <c r="N43" s="50">
        <v>30</v>
      </c>
      <c r="O43" s="50">
        <v>15</v>
      </c>
      <c r="P43" s="5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10.3</v>
      </c>
      <c r="X43" s="50">
        <v>21.9</v>
      </c>
      <c r="Y43" s="50">
        <v>29</v>
      </c>
      <c r="Z43" s="50">
        <v>27.8</v>
      </c>
      <c r="AA43" s="50">
        <v>27.5</v>
      </c>
      <c r="AB43" s="50">
        <v>27.5</v>
      </c>
      <c r="AC43" s="50">
        <v>9.4</v>
      </c>
      <c r="AD43" s="50">
        <v>9.6999999999999993</v>
      </c>
      <c r="AE43" s="50">
        <v>0</v>
      </c>
      <c r="AF43" s="5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5</v>
      </c>
      <c r="C46" s="50">
        <v>5</v>
      </c>
      <c r="D46" s="50">
        <v>5</v>
      </c>
      <c r="E46" s="50">
        <v>5</v>
      </c>
      <c r="F46" s="50">
        <v>5</v>
      </c>
      <c r="G46" s="50">
        <v>5</v>
      </c>
      <c r="H46" s="50">
        <v>5</v>
      </c>
      <c r="I46" s="50">
        <v>5</v>
      </c>
      <c r="J46" s="50">
        <v>5</v>
      </c>
      <c r="K46" s="50">
        <v>5</v>
      </c>
      <c r="L46" s="50">
        <v>5</v>
      </c>
      <c r="M46" s="5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13</v>
      </c>
      <c r="C47" s="50">
        <v>13</v>
      </c>
      <c r="D47" s="50">
        <v>13</v>
      </c>
      <c r="E47" s="50">
        <v>13</v>
      </c>
      <c r="F47" s="50">
        <v>13</v>
      </c>
      <c r="G47" s="50">
        <v>13</v>
      </c>
      <c r="H47" s="50">
        <v>13</v>
      </c>
      <c r="I47" s="50">
        <v>13</v>
      </c>
      <c r="J47" s="50">
        <v>13</v>
      </c>
      <c r="K47" s="50">
        <v>13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0</v>
      </c>
      <c r="AB47" s="50">
        <v>0</v>
      </c>
      <c r="AC47" s="50">
        <v>0</v>
      </c>
      <c r="AD47" s="50">
        <v>0</v>
      </c>
      <c r="AE47" s="50">
        <v>0</v>
      </c>
      <c r="AF47" s="50">
        <v>0</v>
      </c>
      <c r="AG47" s="66">
        <v>14.1</v>
      </c>
      <c r="AH47" s="53">
        <f t="shared" si="2"/>
        <v>13</v>
      </c>
      <c r="AI47" s="54">
        <f t="shared" si="3"/>
        <v>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5.9</v>
      </c>
      <c r="C48" s="50">
        <v>5.9</v>
      </c>
      <c r="D48" s="50">
        <v>5.9</v>
      </c>
      <c r="E48" s="50">
        <v>5.9</v>
      </c>
      <c r="F48" s="50">
        <v>5.9</v>
      </c>
      <c r="G48" s="50">
        <v>5.9</v>
      </c>
      <c r="H48" s="50">
        <v>5.9</v>
      </c>
      <c r="I48" s="50">
        <v>5.9</v>
      </c>
      <c r="J48" s="50">
        <v>5.9</v>
      </c>
      <c r="K48" s="50">
        <v>5.9</v>
      </c>
      <c r="L48" s="50">
        <v>5.9</v>
      </c>
      <c r="M48" s="50">
        <v>5.9</v>
      </c>
      <c r="N48" s="50">
        <v>5.9</v>
      </c>
      <c r="O48" s="50">
        <v>5.9</v>
      </c>
      <c r="P48" s="50">
        <v>5.9</v>
      </c>
      <c r="Q48" s="50">
        <v>5.9</v>
      </c>
      <c r="R48" s="50">
        <v>5.9</v>
      </c>
      <c r="S48" s="50">
        <v>5.9</v>
      </c>
      <c r="T48" s="50">
        <v>5.9</v>
      </c>
      <c r="U48" s="50">
        <v>5.9</v>
      </c>
      <c r="V48" s="50">
        <v>5.9</v>
      </c>
      <c r="W48" s="50">
        <v>5.9</v>
      </c>
      <c r="X48" s="5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50">
        <v>6</v>
      </c>
      <c r="F49" s="50">
        <v>6</v>
      </c>
      <c r="G49" s="50">
        <v>6</v>
      </c>
      <c r="H49" s="50">
        <v>6</v>
      </c>
      <c r="I49" s="50">
        <v>6</v>
      </c>
      <c r="J49" s="50">
        <v>6</v>
      </c>
      <c r="K49" s="50">
        <v>6</v>
      </c>
      <c r="L49" s="5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5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205.74</v>
      </c>
      <c r="C52" s="71">
        <f t="shared" ref="C52:AF52" si="7">SUM(C39:C51)</f>
        <v>141.23999999999998</v>
      </c>
      <c r="D52" s="71">
        <f t="shared" si="7"/>
        <v>124.44000000000001</v>
      </c>
      <c r="E52" s="71">
        <f t="shared" si="7"/>
        <v>124.14000000000001</v>
      </c>
      <c r="F52" s="71">
        <f t="shared" si="7"/>
        <v>123.94000000000001</v>
      </c>
      <c r="G52" s="71">
        <f t="shared" si="7"/>
        <v>140.04</v>
      </c>
      <c r="H52" s="71">
        <f t="shared" si="7"/>
        <v>175.84</v>
      </c>
      <c r="I52" s="71">
        <f t="shared" si="7"/>
        <v>227.24</v>
      </c>
      <c r="J52" s="71">
        <f t="shared" si="7"/>
        <v>252.23999999999998</v>
      </c>
      <c r="K52" s="71">
        <f t="shared" si="7"/>
        <v>331.24</v>
      </c>
      <c r="L52" s="71">
        <f t="shared" si="7"/>
        <v>411.44</v>
      </c>
      <c r="M52" s="71">
        <f t="shared" si="7"/>
        <v>417.54</v>
      </c>
      <c r="N52" s="71">
        <f t="shared" si="7"/>
        <v>392.24</v>
      </c>
      <c r="O52" s="71">
        <f t="shared" si="7"/>
        <v>372.23999999999995</v>
      </c>
      <c r="P52" s="71">
        <f t="shared" si="7"/>
        <v>336.64</v>
      </c>
      <c r="Q52" s="71">
        <f t="shared" si="7"/>
        <v>297.24</v>
      </c>
      <c r="R52" s="71">
        <f t="shared" si="7"/>
        <v>270.14</v>
      </c>
      <c r="S52" s="71">
        <f t="shared" si="7"/>
        <v>256.04000000000002</v>
      </c>
      <c r="T52" s="71">
        <f t="shared" si="7"/>
        <v>256.34000000000003</v>
      </c>
      <c r="U52" s="71">
        <f t="shared" si="7"/>
        <v>247.74</v>
      </c>
      <c r="V52" s="71">
        <f t="shared" si="7"/>
        <v>244.93999999999997</v>
      </c>
      <c r="W52" s="71">
        <f t="shared" si="7"/>
        <v>321.44</v>
      </c>
      <c r="X52" s="71">
        <f t="shared" si="7"/>
        <v>360.03999999999996</v>
      </c>
      <c r="Y52" s="71">
        <f t="shared" si="7"/>
        <v>411.94</v>
      </c>
      <c r="Z52" s="71">
        <f t="shared" si="7"/>
        <v>412.14000000000004</v>
      </c>
      <c r="AA52" s="71">
        <f t="shared" si="7"/>
        <v>399.04</v>
      </c>
      <c r="AB52" s="71">
        <f t="shared" si="7"/>
        <v>399.04</v>
      </c>
      <c r="AC52" s="71">
        <f t="shared" si="7"/>
        <v>367.23999999999995</v>
      </c>
      <c r="AD52" s="71">
        <f t="shared" si="7"/>
        <v>345.93999999999994</v>
      </c>
      <c r="AE52" s="71">
        <f t="shared" si="7"/>
        <v>264.94</v>
      </c>
      <c r="AF52" s="71">
        <f t="shared" si="7"/>
        <v>235.54</v>
      </c>
      <c r="AG52" s="76">
        <f>SUM(AG39:AG51)</f>
        <v>489.91</v>
      </c>
      <c r="AH52" s="53">
        <f t="shared" si="2"/>
        <v>417.54</v>
      </c>
      <c r="AI52" s="54">
        <f t="shared" si="3"/>
        <v>123.94000000000001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60</v>
      </c>
      <c r="L53" s="60">
        <v>38.6</v>
      </c>
      <c r="M53" s="77">
        <v>60.5</v>
      </c>
      <c r="N53" s="77">
        <v>59.6</v>
      </c>
      <c r="O53" s="77">
        <v>54.8</v>
      </c>
      <c r="P53" s="77">
        <v>55.8</v>
      </c>
      <c r="Q53" s="50">
        <v>39.1</v>
      </c>
      <c r="R53" s="50">
        <v>29.5</v>
      </c>
      <c r="S53" s="50">
        <v>20.3</v>
      </c>
      <c r="T53" s="50">
        <v>20.5</v>
      </c>
      <c r="U53" s="50">
        <v>30.1</v>
      </c>
      <c r="V53" s="50">
        <v>35.700000000000003</v>
      </c>
      <c r="W53" s="50">
        <v>39.700000000000003</v>
      </c>
      <c r="X53" s="50">
        <v>50.2</v>
      </c>
      <c r="Y53" s="50">
        <v>50.1</v>
      </c>
      <c r="Z53" s="50">
        <v>50.1</v>
      </c>
      <c r="AA53" s="50">
        <v>54</v>
      </c>
      <c r="AB53" s="50">
        <v>54</v>
      </c>
      <c r="AC53" s="50">
        <v>45.7</v>
      </c>
      <c r="AD53" s="50">
        <v>29.7</v>
      </c>
      <c r="AE53" s="50">
        <v>0</v>
      </c>
      <c r="AF53" s="50">
        <v>0</v>
      </c>
      <c r="AG53" s="61">
        <v>60</v>
      </c>
      <c r="AH53" s="53">
        <f t="shared" si="2"/>
        <v>60.5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24.8</v>
      </c>
      <c r="L54" s="60">
        <v>21.9</v>
      </c>
      <c r="M54" s="77">
        <v>31.2</v>
      </c>
      <c r="N54" s="77">
        <v>28.5</v>
      </c>
      <c r="O54" s="77">
        <v>26.8</v>
      </c>
      <c r="P54" s="77">
        <v>26.4</v>
      </c>
      <c r="Q54" s="72">
        <v>16.8</v>
      </c>
      <c r="R54" s="72">
        <v>15.7</v>
      </c>
      <c r="S54" s="50">
        <v>8.3000000000000007</v>
      </c>
      <c r="T54" s="50">
        <v>8.3000000000000007</v>
      </c>
      <c r="U54" s="50">
        <v>14.3</v>
      </c>
      <c r="V54" s="72">
        <v>15.3</v>
      </c>
      <c r="W54" s="72">
        <v>17.3</v>
      </c>
      <c r="X54" s="72">
        <v>22.5</v>
      </c>
      <c r="Y54" s="72">
        <v>24.1</v>
      </c>
      <c r="Z54" s="72">
        <v>23.4</v>
      </c>
      <c r="AA54" s="72">
        <v>24.6</v>
      </c>
      <c r="AB54" s="72">
        <v>24.6</v>
      </c>
      <c r="AC54" s="72">
        <v>20.9</v>
      </c>
      <c r="AD54" s="72">
        <v>15.2</v>
      </c>
      <c r="AE54" s="72">
        <v>0</v>
      </c>
      <c r="AF54" s="72">
        <v>0</v>
      </c>
      <c r="AG54" s="66">
        <v>32</v>
      </c>
      <c r="AH54" s="53">
        <f t="shared" si="2"/>
        <v>31.2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9.1999999999999993</v>
      </c>
      <c r="L55" s="79">
        <v>8</v>
      </c>
      <c r="M55" s="80">
        <v>11.4</v>
      </c>
      <c r="N55" s="80">
        <v>10.4</v>
      </c>
      <c r="O55" s="80">
        <v>9.8000000000000007</v>
      </c>
      <c r="P55" s="80">
        <v>9.6999999999999993</v>
      </c>
      <c r="Q55" s="78">
        <v>6.1</v>
      </c>
      <c r="R55" s="78">
        <v>5.7</v>
      </c>
      <c r="S55" s="50">
        <v>3.1</v>
      </c>
      <c r="T55" s="50">
        <v>3</v>
      </c>
      <c r="U55" s="50">
        <v>5.2</v>
      </c>
      <c r="V55" s="78">
        <v>5.6</v>
      </c>
      <c r="W55" s="78">
        <v>6.3</v>
      </c>
      <c r="X55" s="78">
        <v>8.1999999999999993</v>
      </c>
      <c r="Y55" s="78">
        <v>8.8000000000000007</v>
      </c>
      <c r="Z55" s="78">
        <v>8.5</v>
      </c>
      <c r="AA55" s="78">
        <v>9</v>
      </c>
      <c r="AB55" s="78">
        <v>9</v>
      </c>
      <c r="AC55" s="78">
        <v>7.5</v>
      </c>
      <c r="AD55" s="78">
        <v>5.5</v>
      </c>
      <c r="AE55" s="78">
        <v>0</v>
      </c>
      <c r="AF55" s="78">
        <v>0</v>
      </c>
      <c r="AG55" s="81">
        <v>14</v>
      </c>
      <c r="AH55" s="53">
        <f t="shared" si="2"/>
        <v>11.4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94</v>
      </c>
      <c r="L56" s="71">
        <f t="shared" si="8"/>
        <v>68.5</v>
      </c>
      <c r="M56" s="71">
        <f t="shared" si="8"/>
        <v>103.10000000000001</v>
      </c>
      <c r="N56" s="71">
        <f t="shared" si="8"/>
        <v>98.5</v>
      </c>
      <c r="O56" s="71">
        <f t="shared" si="8"/>
        <v>91.399999999999991</v>
      </c>
      <c r="P56" s="71">
        <f t="shared" si="8"/>
        <v>91.899999999999991</v>
      </c>
      <c r="Q56" s="71">
        <f t="shared" si="8"/>
        <v>62.000000000000007</v>
      </c>
      <c r="R56" s="71">
        <f t="shared" si="8"/>
        <v>50.900000000000006</v>
      </c>
      <c r="S56" s="71">
        <f t="shared" si="8"/>
        <v>31.700000000000003</v>
      </c>
      <c r="T56" s="71">
        <f t="shared" si="8"/>
        <v>31.8</v>
      </c>
      <c r="U56" s="71">
        <f t="shared" si="8"/>
        <v>49.600000000000009</v>
      </c>
      <c r="V56" s="71">
        <f t="shared" si="8"/>
        <v>56.6</v>
      </c>
      <c r="W56" s="71">
        <f t="shared" si="8"/>
        <v>63.3</v>
      </c>
      <c r="X56" s="71">
        <f t="shared" si="8"/>
        <v>80.900000000000006</v>
      </c>
      <c r="Y56" s="71">
        <f t="shared" si="8"/>
        <v>83</v>
      </c>
      <c r="Z56" s="71">
        <f t="shared" si="8"/>
        <v>82</v>
      </c>
      <c r="AA56" s="71">
        <f t="shared" si="8"/>
        <v>87.6</v>
      </c>
      <c r="AB56" s="71">
        <f t="shared" si="8"/>
        <v>87.6</v>
      </c>
      <c r="AC56" s="71">
        <f t="shared" si="8"/>
        <v>74.099999999999994</v>
      </c>
      <c r="AD56" s="71">
        <f t="shared" si="8"/>
        <v>50.4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103.10000000000001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71.3</v>
      </c>
      <c r="C57" s="50">
        <v>68</v>
      </c>
      <c r="D57" s="50">
        <v>72.2</v>
      </c>
      <c r="E57" s="50">
        <v>71.5</v>
      </c>
      <c r="F57" s="50">
        <v>72.7</v>
      </c>
      <c r="G57" s="50">
        <v>68.099999999999994</v>
      </c>
      <c r="H57" s="50">
        <v>75</v>
      </c>
      <c r="I57" s="50">
        <v>68.5</v>
      </c>
      <c r="J57" s="50">
        <v>76.900000000000006</v>
      </c>
      <c r="K57" s="50">
        <v>73.7</v>
      </c>
      <c r="L57" s="50">
        <v>76.400000000000006</v>
      </c>
      <c r="M57" s="50">
        <v>80.900000000000006</v>
      </c>
      <c r="N57" s="50">
        <v>76.8</v>
      </c>
      <c r="O57" s="50">
        <v>79</v>
      </c>
      <c r="P57" s="50">
        <v>76.8</v>
      </c>
      <c r="Q57" s="50">
        <v>79</v>
      </c>
      <c r="R57" s="50">
        <v>74.900000000000006</v>
      </c>
      <c r="S57" s="50">
        <v>74.7</v>
      </c>
      <c r="T57" s="50">
        <v>74.099999999999994</v>
      </c>
      <c r="U57" s="50">
        <v>71.7</v>
      </c>
      <c r="V57" s="50">
        <v>72</v>
      </c>
      <c r="W57" s="50">
        <v>70.900000000000006</v>
      </c>
      <c r="X57" s="50">
        <v>66.7</v>
      </c>
      <c r="Y57" s="50">
        <v>75.400000000000006</v>
      </c>
      <c r="Z57" s="50">
        <v>78.099999999999994</v>
      </c>
      <c r="AA57" s="50">
        <v>75.8</v>
      </c>
      <c r="AB57" s="50">
        <v>69</v>
      </c>
      <c r="AC57" s="50">
        <v>79.8</v>
      </c>
      <c r="AD57" s="50">
        <v>76.2</v>
      </c>
      <c r="AE57" s="50">
        <v>69</v>
      </c>
      <c r="AF57" s="50">
        <v>63.9</v>
      </c>
      <c r="AG57" s="61"/>
      <c r="AH57" s="53">
        <f t="shared" si="2"/>
        <v>80.900000000000006</v>
      </c>
      <c r="AI57" s="54">
        <f t="shared" si="3"/>
        <v>63.9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108.6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f>99.4+66</f>
        <v>165.4</v>
      </c>
      <c r="Y58" s="82">
        <v>110</v>
      </c>
      <c r="Z58" s="82">
        <v>105</v>
      </c>
      <c r="AA58" s="82">
        <v>98.9</v>
      </c>
      <c r="AB58" s="82">
        <v>84</v>
      </c>
      <c r="AC58" s="8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165.4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194</v>
      </c>
      <c r="C59" s="72">
        <v>190.2</v>
      </c>
      <c r="D59" s="72">
        <v>194</v>
      </c>
      <c r="E59" s="72">
        <v>178.6</v>
      </c>
      <c r="F59" s="72">
        <v>182</v>
      </c>
      <c r="G59" s="72">
        <v>223</v>
      </c>
      <c r="H59" s="50">
        <v>248</v>
      </c>
      <c r="I59" s="50">
        <v>315</v>
      </c>
      <c r="J59" s="50">
        <v>342</v>
      </c>
      <c r="K59" s="50">
        <v>345.4</v>
      </c>
      <c r="L59" s="50">
        <v>328.4</v>
      </c>
      <c r="M59" s="72">
        <v>335</v>
      </c>
      <c r="N59" s="72">
        <v>109.2</v>
      </c>
      <c r="O59" s="72">
        <v>330.8</v>
      </c>
      <c r="P59" s="72">
        <v>341.4</v>
      </c>
      <c r="Q59" s="72">
        <v>335.5</v>
      </c>
      <c r="R59" s="72">
        <v>326.89999999999998</v>
      </c>
      <c r="S59" s="72">
        <v>325.7</v>
      </c>
      <c r="T59" s="72">
        <v>337.9</v>
      </c>
      <c r="U59" s="72">
        <v>346.2</v>
      </c>
      <c r="V59" s="72">
        <v>146.80000000000001</v>
      </c>
      <c r="W59" s="72">
        <v>177.8</v>
      </c>
      <c r="X59" s="83">
        <v>55.6</v>
      </c>
      <c r="Y59" s="83">
        <v>58.7</v>
      </c>
      <c r="Z59" s="83">
        <v>150.19999999999999</v>
      </c>
      <c r="AA59" s="83">
        <v>146.80000000000001</v>
      </c>
      <c r="AB59" s="83">
        <v>244</v>
      </c>
      <c r="AC59" s="83">
        <v>248</v>
      </c>
      <c r="AD59" s="72">
        <v>315.2</v>
      </c>
      <c r="AE59" s="72">
        <v>310</v>
      </c>
      <c r="AF59" s="72">
        <v>326</v>
      </c>
      <c r="AG59" s="84"/>
      <c r="AH59" s="53">
        <f t="shared" si="2"/>
        <v>346.2</v>
      </c>
      <c r="AI59" s="54">
        <f t="shared" si="3"/>
        <v>55.6</v>
      </c>
      <c r="AK59" s="55"/>
    </row>
    <row r="60" spans="1:37" x14ac:dyDescent="0.25">
      <c r="A60" s="65" t="s">
        <v>68</v>
      </c>
      <c r="B60" s="57">
        <v>45</v>
      </c>
      <c r="C60" s="57">
        <v>48.6</v>
      </c>
      <c r="D60" s="57">
        <v>38.200000000000003</v>
      </c>
      <c r="E60" s="57">
        <v>46.8</v>
      </c>
      <c r="F60" s="57">
        <v>46.6</v>
      </c>
      <c r="G60" s="57">
        <v>47.7</v>
      </c>
      <c r="H60" s="57">
        <v>50.1</v>
      </c>
      <c r="I60" s="57">
        <v>50</v>
      </c>
      <c r="J60" s="57">
        <v>48.8</v>
      </c>
      <c r="K60" s="57">
        <v>59.4</v>
      </c>
      <c r="L60" s="57">
        <v>63.1</v>
      </c>
      <c r="M60" s="72">
        <v>57.4</v>
      </c>
      <c r="N60" s="72">
        <v>57.1</v>
      </c>
      <c r="O60" s="72">
        <v>58.2</v>
      </c>
      <c r="P60" s="72">
        <v>43.3</v>
      </c>
      <c r="Q60" s="72">
        <v>58.2</v>
      </c>
      <c r="R60" s="72">
        <v>58.8</v>
      </c>
      <c r="S60" s="72">
        <v>60.9</v>
      </c>
      <c r="T60" s="72">
        <v>59.1</v>
      </c>
      <c r="U60" s="72">
        <v>61.6</v>
      </c>
      <c r="V60" s="72">
        <v>58.2</v>
      </c>
      <c r="W60" s="72">
        <v>55</v>
      </c>
      <c r="X60" s="72">
        <v>56.9</v>
      </c>
      <c r="Y60" s="72">
        <v>58.6</v>
      </c>
      <c r="Z60" s="72">
        <v>61.7</v>
      </c>
      <c r="AA60" s="72">
        <v>62</v>
      </c>
      <c r="AB60" s="72">
        <v>57</v>
      </c>
      <c r="AC60" s="72">
        <v>59.4</v>
      </c>
      <c r="AD60" s="72">
        <v>58.6</v>
      </c>
      <c r="AE60" s="72">
        <v>0</v>
      </c>
      <c r="AF60" s="72">
        <v>0</v>
      </c>
      <c r="AG60" s="84"/>
      <c r="AH60" s="53">
        <f t="shared" si="2"/>
        <v>63.1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60.7</v>
      </c>
      <c r="K61" s="57">
        <v>69.900000000000006</v>
      </c>
      <c r="L61" s="57">
        <v>72.400000000000006</v>
      </c>
      <c r="M61" s="50">
        <v>74</v>
      </c>
      <c r="N61" s="50">
        <v>76.2</v>
      </c>
      <c r="O61" s="50">
        <v>79.5</v>
      </c>
      <c r="P61" s="50">
        <v>73</v>
      </c>
      <c r="Q61" s="50">
        <v>70.7</v>
      </c>
      <c r="R61" s="50">
        <v>79</v>
      </c>
      <c r="S61" s="50">
        <v>55.4</v>
      </c>
      <c r="T61" s="50">
        <v>55.6</v>
      </c>
      <c r="U61" s="50">
        <v>64.599999999999994</v>
      </c>
      <c r="V61" s="50">
        <v>66.900000000000006</v>
      </c>
      <c r="W61" s="50">
        <v>70.599999999999994</v>
      </c>
      <c r="X61" s="50">
        <v>71</v>
      </c>
      <c r="Y61" s="50">
        <v>75.3</v>
      </c>
      <c r="Z61" s="50">
        <v>75.5</v>
      </c>
      <c r="AA61" s="50">
        <v>83.4</v>
      </c>
      <c r="AB61" s="50">
        <v>78.400000000000006</v>
      </c>
      <c r="AC61" s="50">
        <v>84</v>
      </c>
      <c r="AD61" s="50">
        <v>77.8</v>
      </c>
      <c r="AE61" s="50">
        <v>75.599999999999994</v>
      </c>
      <c r="AF61" s="50">
        <v>0</v>
      </c>
      <c r="AG61" s="84"/>
      <c r="AH61" s="53">
        <f t="shared" si="2"/>
        <v>84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59">
        <v>0</v>
      </c>
      <c r="O62" s="59">
        <v>0</v>
      </c>
      <c r="P62" s="59">
        <v>6.5</v>
      </c>
      <c r="Q62" s="59">
        <v>6.5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6</v>
      </c>
      <c r="Z62" s="59">
        <v>6</v>
      </c>
      <c r="AA62" s="59">
        <v>6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6.5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72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72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72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72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310.3</v>
      </c>
      <c r="C68" s="71">
        <f>SUM(C57:C67)</f>
        <v>306.8</v>
      </c>
      <c r="D68" s="71">
        <f t="shared" ref="D68:AF68" si="9">SUM(D57:D67)</f>
        <v>304.39999999999998</v>
      </c>
      <c r="E68" s="71">
        <f t="shared" si="9"/>
        <v>296.89999999999998</v>
      </c>
      <c r="F68" s="71">
        <f t="shared" si="9"/>
        <v>301.3</v>
      </c>
      <c r="G68" s="71">
        <f t="shared" si="9"/>
        <v>338.8</v>
      </c>
      <c r="H68" s="71">
        <f t="shared" si="9"/>
        <v>373.1</v>
      </c>
      <c r="I68" s="71">
        <f t="shared" si="9"/>
        <v>433.5</v>
      </c>
      <c r="J68" s="71">
        <f t="shared" si="9"/>
        <v>528.4</v>
      </c>
      <c r="K68" s="71">
        <f t="shared" si="9"/>
        <v>548.4</v>
      </c>
      <c r="L68" s="71">
        <f t="shared" si="9"/>
        <v>540.29999999999995</v>
      </c>
      <c r="M68" s="71">
        <f t="shared" si="9"/>
        <v>547.29999999999995</v>
      </c>
      <c r="N68" s="71">
        <f t="shared" si="9"/>
        <v>427.9</v>
      </c>
      <c r="O68" s="71">
        <f t="shared" si="9"/>
        <v>547.5</v>
      </c>
      <c r="P68" s="71">
        <f t="shared" si="9"/>
        <v>541</v>
      </c>
      <c r="Q68" s="71">
        <f t="shared" si="9"/>
        <v>549.9</v>
      </c>
      <c r="R68" s="71">
        <f t="shared" si="9"/>
        <v>539.59999999999991</v>
      </c>
      <c r="S68" s="71">
        <f t="shared" si="9"/>
        <v>516.69999999999993</v>
      </c>
      <c r="T68" s="71">
        <f t="shared" si="9"/>
        <v>526.70000000000005</v>
      </c>
      <c r="U68" s="71">
        <f t="shared" si="9"/>
        <v>544.1</v>
      </c>
      <c r="V68" s="71">
        <f t="shared" si="9"/>
        <v>343.9</v>
      </c>
      <c r="W68" s="71">
        <f t="shared" si="9"/>
        <v>374.30000000000007</v>
      </c>
      <c r="X68" s="71">
        <f t="shared" si="9"/>
        <v>415.6</v>
      </c>
      <c r="Y68" s="71">
        <f t="shared" si="9"/>
        <v>384.00000000000006</v>
      </c>
      <c r="Z68" s="71">
        <f t="shared" si="9"/>
        <v>476.49999999999994</v>
      </c>
      <c r="AA68" s="71">
        <f t="shared" si="9"/>
        <v>472.9</v>
      </c>
      <c r="AB68" s="71">
        <f t="shared" si="9"/>
        <v>532.4</v>
      </c>
      <c r="AC68" s="71">
        <f t="shared" si="9"/>
        <v>471.2</v>
      </c>
      <c r="AD68" s="71">
        <f t="shared" si="9"/>
        <v>527.79999999999995</v>
      </c>
      <c r="AE68" s="71">
        <f t="shared" si="9"/>
        <v>454.6</v>
      </c>
      <c r="AF68" s="71">
        <f t="shared" si="9"/>
        <v>389.9</v>
      </c>
      <c r="AG68" s="76">
        <f>SUM(AG57:AG67)</f>
        <v>0</v>
      </c>
      <c r="AH68" s="53">
        <f t="shared" si="2"/>
        <v>549.9</v>
      </c>
      <c r="AI68" s="54">
        <f t="shared" si="3"/>
        <v>296.89999999999998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976.04</v>
      </c>
      <c r="C73" s="88">
        <f>C68+C56+C52+C38+C72</f>
        <v>948.04</v>
      </c>
      <c r="D73" s="88">
        <f t="shared" ref="D73:AG73" si="11">D68+D56+D52+D38+D72</f>
        <v>908.83999999999992</v>
      </c>
      <c r="E73" s="88">
        <f t="shared" si="11"/>
        <v>881.04</v>
      </c>
      <c r="F73" s="88">
        <f t="shared" si="11"/>
        <v>905.33999999999992</v>
      </c>
      <c r="G73" s="88">
        <f t="shared" si="11"/>
        <v>958.14</v>
      </c>
      <c r="H73" s="88">
        <f t="shared" si="11"/>
        <v>1048.24</v>
      </c>
      <c r="I73" s="88">
        <f t="shared" si="11"/>
        <v>1120.04</v>
      </c>
      <c r="J73" s="88">
        <f t="shared" si="11"/>
        <v>1239.94</v>
      </c>
      <c r="K73" s="88">
        <f t="shared" si="11"/>
        <v>1442.94</v>
      </c>
      <c r="L73" s="88">
        <f t="shared" si="11"/>
        <v>1529.54</v>
      </c>
      <c r="M73" s="88">
        <f t="shared" si="11"/>
        <v>1594.6399999999999</v>
      </c>
      <c r="N73" s="88">
        <f t="shared" si="11"/>
        <v>1575.94</v>
      </c>
      <c r="O73" s="88">
        <f t="shared" si="11"/>
        <v>1516.2399999999998</v>
      </c>
      <c r="P73" s="88">
        <f t="shared" si="11"/>
        <v>1424.6399999999999</v>
      </c>
      <c r="Q73" s="88">
        <f t="shared" si="11"/>
        <v>1353.84</v>
      </c>
      <c r="R73" s="88">
        <f t="shared" si="11"/>
        <v>1315.4399999999998</v>
      </c>
      <c r="S73" s="88">
        <f t="shared" si="11"/>
        <v>1234.6400000000001</v>
      </c>
      <c r="T73" s="88">
        <f t="shared" si="11"/>
        <v>1255.04</v>
      </c>
      <c r="U73" s="88">
        <f t="shared" si="11"/>
        <v>1281.94</v>
      </c>
      <c r="V73" s="88">
        <f t="shared" si="11"/>
        <v>1275.94</v>
      </c>
      <c r="W73" s="88">
        <f t="shared" si="11"/>
        <v>1379.6399999999999</v>
      </c>
      <c r="X73" s="88">
        <f t="shared" si="11"/>
        <v>1566.14</v>
      </c>
      <c r="Y73" s="88">
        <f t="shared" si="11"/>
        <v>1610.0400000000002</v>
      </c>
      <c r="Z73" s="88">
        <f t="shared" si="11"/>
        <v>1589.94</v>
      </c>
      <c r="AA73" s="88">
        <f t="shared" si="11"/>
        <v>1580.6399999999999</v>
      </c>
      <c r="AB73" s="88">
        <f t="shared" si="11"/>
        <v>1508.1399999999999</v>
      </c>
      <c r="AC73" s="88">
        <f t="shared" si="11"/>
        <v>1433.6399999999999</v>
      </c>
      <c r="AD73" s="88">
        <f t="shared" si="11"/>
        <v>1374.1399999999999</v>
      </c>
      <c r="AE73" s="88">
        <f t="shared" si="11"/>
        <v>1146.04</v>
      </c>
      <c r="AF73" s="88">
        <f t="shared" si="11"/>
        <v>1051.9399999999998</v>
      </c>
      <c r="AG73" s="88">
        <f t="shared" si="11"/>
        <v>2144.14</v>
      </c>
      <c r="AH73" s="53">
        <f t="shared" si="2"/>
        <v>1610.0400000000002</v>
      </c>
      <c r="AI73" s="54">
        <f t="shared" si="3"/>
        <v>881.04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>
        <v>17</v>
      </c>
      <c r="T74" s="90">
        <v>17</v>
      </c>
      <c r="U74" s="90">
        <v>17</v>
      </c>
      <c r="V74" s="90"/>
      <c r="W74" s="90"/>
      <c r="X74" s="90"/>
      <c r="Y74" s="90">
        <v>6</v>
      </c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17</v>
      </c>
      <c r="AI74" s="54">
        <f t="shared" si="3"/>
        <v>6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976.04</v>
      </c>
      <c r="C75" s="88">
        <f>C73+C74</f>
        <v>948.04</v>
      </c>
      <c r="D75" s="88">
        <f t="shared" ref="D75:AF75" si="12">D72+D68+D56+D52+D38+D74</f>
        <v>908.83999999999992</v>
      </c>
      <c r="E75" s="88">
        <f t="shared" si="12"/>
        <v>881.04</v>
      </c>
      <c r="F75" s="88">
        <f t="shared" si="12"/>
        <v>905.33999999999992</v>
      </c>
      <c r="G75" s="88">
        <f t="shared" si="12"/>
        <v>958.14</v>
      </c>
      <c r="H75" s="88">
        <f t="shared" si="12"/>
        <v>1048.24</v>
      </c>
      <c r="I75" s="88">
        <f t="shared" si="12"/>
        <v>1120.04</v>
      </c>
      <c r="J75" s="88">
        <f t="shared" si="12"/>
        <v>1239.94</v>
      </c>
      <c r="K75" s="88">
        <f t="shared" si="12"/>
        <v>1442.94</v>
      </c>
      <c r="L75" s="88">
        <f t="shared" si="12"/>
        <v>1529.54</v>
      </c>
      <c r="M75" s="88">
        <f t="shared" si="12"/>
        <v>1594.6399999999999</v>
      </c>
      <c r="N75" s="88">
        <f t="shared" si="12"/>
        <v>1575.94</v>
      </c>
      <c r="O75" s="88">
        <f t="shared" si="12"/>
        <v>1516.2399999999998</v>
      </c>
      <c r="P75" s="88">
        <f t="shared" si="12"/>
        <v>1424.6399999999999</v>
      </c>
      <c r="Q75" s="88">
        <f t="shared" si="12"/>
        <v>1353.84</v>
      </c>
      <c r="R75" s="88">
        <f t="shared" si="12"/>
        <v>1315.4399999999998</v>
      </c>
      <c r="S75" s="88">
        <f t="shared" si="12"/>
        <v>1251.6400000000001</v>
      </c>
      <c r="T75" s="88">
        <f t="shared" si="12"/>
        <v>1272.04</v>
      </c>
      <c r="U75" s="88">
        <f t="shared" si="12"/>
        <v>1298.94</v>
      </c>
      <c r="V75" s="88">
        <f t="shared" si="12"/>
        <v>1275.94</v>
      </c>
      <c r="W75" s="88">
        <f t="shared" si="12"/>
        <v>1379.6399999999999</v>
      </c>
      <c r="X75" s="88">
        <f t="shared" si="12"/>
        <v>1566.14</v>
      </c>
      <c r="Y75" s="88">
        <f t="shared" si="12"/>
        <v>1616.0400000000002</v>
      </c>
      <c r="Z75" s="88">
        <f t="shared" si="12"/>
        <v>1589.94</v>
      </c>
      <c r="AA75" s="88">
        <f t="shared" si="12"/>
        <v>1580.6399999999999</v>
      </c>
      <c r="AB75" s="88">
        <f t="shared" si="12"/>
        <v>1508.1399999999999</v>
      </c>
      <c r="AC75" s="88">
        <f t="shared" si="12"/>
        <v>1433.6399999999999</v>
      </c>
      <c r="AD75" s="88">
        <f t="shared" si="12"/>
        <v>1374.1399999999999</v>
      </c>
      <c r="AE75" s="88">
        <f t="shared" si="12"/>
        <v>1146.04</v>
      </c>
      <c r="AF75" s="88">
        <f t="shared" si="12"/>
        <v>1051.9399999999998</v>
      </c>
      <c r="AG75" s="76">
        <f>AG72+AG68+AG56+AG52+AG38+AG74</f>
        <v>2144.14</v>
      </c>
      <c r="AH75" s="53">
        <f t="shared" si="2"/>
        <v>1616.0400000000002</v>
      </c>
      <c r="AI75" s="54">
        <f t="shared" si="3"/>
        <v>881.04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1952.08</v>
      </c>
      <c r="C83" s="71">
        <f t="shared" ref="C83:AG83" si="21">SUM(C70:C82)</f>
        <v>1896.08</v>
      </c>
      <c r="D83" s="71">
        <f t="shared" si="21"/>
        <v>1817.6799999999998</v>
      </c>
      <c r="E83" s="71">
        <f t="shared" si="21"/>
        <v>1762.08</v>
      </c>
      <c r="F83" s="71">
        <f t="shared" si="21"/>
        <v>1810.6799999999998</v>
      </c>
      <c r="G83" s="71">
        <f t="shared" si="21"/>
        <v>1916.28</v>
      </c>
      <c r="H83" s="71">
        <f t="shared" si="21"/>
        <v>2096.48</v>
      </c>
      <c r="I83" s="71">
        <f t="shared" si="21"/>
        <v>2240.08</v>
      </c>
      <c r="J83" s="71">
        <f t="shared" si="21"/>
        <v>2479.88</v>
      </c>
      <c r="K83" s="71">
        <f t="shared" si="21"/>
        <v>2885.88</v>
      </c>
      <c r="L83" s="71">
        <f t="shared" si="21"/>
        <v>3059.08</v>
      </c>
      <c r="M83" s="71">
        <f t="shared" si="21"/>
        <v>3189.2799999999997</v>
      </c>
      <c r="N83" s="71">
        <f t="shared" si="21"/>
        <v>3151.88</v>
      </c>
      <c r="O83" s="71">
        <f t="shared" si="21"/>
        <v>3032.4799999999996</v>
      </c>
      <c r="P83" s="71">
        <f t="shared" si="21"/>
        <v>2849.2799999999997</v>
      </c>
      <c r="Q83" s="71">
        <f t="shared" si="21"/>
        <v>2707.68</v>
      </c>
      <c r="R83" s="71">
        <f t="shared" si="21"/>
        <v>2630.8799999999997</v>
      </c>
      <c r="S83" s="71">
        <f t="shared" si="21"/>
        <v>2503.2800000000002</v>
      </c>
      <c r="T83" s="71">
        <f t="shared" si="21"/>
        <v>2544.08</v>
      </c>
      <c r="U83" s="71">
        <f t="shared" si="21"/>
        <v>2597.88</v>
      </c>
      <c r="V83" s="71">
        <f t="shared" si="21"/>
        <v>2551.88</v>
      </c>
      <c r="W83" s="71">
        <f t="shared" si="21"/>
        <v>2759.2799999999997</v>
      </c>
      <c r="X83" s="71">
        <f t="shared" si="21"/>
        <v>3132.28</v>
      </c>
      <c r="Y83" s="71">
        <f t="shared" si="21"/>
        <v>3232.0800000000004</v>
      </c>
      <c r="Z83" s="71">
        <f t="shared" si="21"/>
        <v>3179.88</v>
      </c>
      <c r="AA83" s="71">
        <f t="shared" si="21"/>
        <v>3161.2799999999997</v>
      </c>
      <c r="AB83" s="71">
        <f t="shared" si="21"/>
        <v>3016.2799999999997</v>
      </c>
      <c r="AC83" s="71">
        <f t="shared" si="21"/>
        <v>2867.2799999999997</v>
      </c>
      <c r="AD83" s="71">
        <f t="shared" si="21"/>
        <v>2748.2799999999997</v>
      </c>
      <c r="AE83" s="71">
        <f t="shared" si="21"/>
        <v>2292.08</v>
      </c>
      <c r="AF83" s="71">
        <f t="shared" si="21"/>
        <v>2103.8799999999997</v>
      </c>
      <c r="AG83" s="76">
        <f t="shared" si="21"/>
        <v>4360.08</v>
      </c>
      <c r="AH83" s="53">
        <f t="shared" si="14"/>
        <v>3232.0800000000004</v>
      </c>
      <c r="AI83" s="54">
        <f t="shared" si="15"/>
        <v>1762.08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50.057000000000002</v>
      </c>
      <c r="C84" s="95">
        <v>49.996000000000002</v>
      </c>
      <c r="D84" s="95">
        <v>50.012999999999998</v>
      </c>
      <c r="E84" s="95">
        <v>50.042000000000002</v>
      </c>
      <c r="F84" s="95">
        <v>50.027999999999999</v>
      </c>
      <c r="G84" s="95">
        <v>50</v>
      </c>
      <c r="H84" s="95">
        <v>49.905000000000001</v>
      </c>
      <c r="I84" s="95">
        <v>49.927</v>
      </c>
      <c r="J84" s="95">
        <v>50.048000000000002</v>
      </c>
      <c r="K84" s="95">
        <v>50.048000000000002</v>
      </c>
      <c r="L84" s="95">
        <v>50.048000000000002</v>
      </c>
      <c r="M84" s="95">
        <v>50.033999999999999</v>
      </c>
      <c r="N84" s="95">
        <v>49.987000000000002</v>
      </c>
      <c r="O84" s="95">
        <v>50.026000000000003</v>
      </c>
      <c r="P84" s="95">
        <v>50.02</v>
      </c>
      <c r="Q84" s="95">
        <v>49.926000000000002</v>
      </c>
      <c r="R84" s="95">
        <v>50.064</v>
      </c>
      <c r="S84" s="95">
        <v>50.075000000000003</v>
      </c>
      <c r="T84" s="95">
        <v>50.021999999999998</v>
      </c>
      <c r="U84" s="95">
        <v>50.026000000000003</v>
      </c>
      <c r="V84" s="95">
        <v>50.037999999999997</v>
      </c>
      <c r="W84" s="95">
        <v>50.045000000000002</v>
      </c>
      <c r="X84" s="95">
        <v>50.043999999999997</v>
      </c>
      <c r="Y84" s="95">
        <v>50.04</v>
      </c>
      <c r="Z84" s="95">
        <v>50.024000000000001</v>
      </c>
      <c r="AA84" s="95">
        <v>50.040999999999997</v>
      </c>
      <c r="AB84" s="95">
        <v>50.040999999999997</v>
      </c>
      <c r="AC84" s="95">
        <v>49.96</v>
      </c>
      <c r="AD84" s="95">
        <v>50.01</v>
      </c>
      <c r="AE84" s="95">
        <v>50</v>
      </c>
      <c r="AF84" s="95">
        <v>50.04</v>
      </c>
      <c r="AG84" s="96"/>
      <c r="AH84" s="53">
        <f t="shared" si="14"/>
        <v>50.075000000000003</v>
      </c>
      <c r="AI84" s="54">
        <f t="shared" si="15"/>
        <v>49.905000000000001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129</v>
      </c>
      <c r="C85" s="72">
        <v>127.3</v>
      </c>
      <c r="D85" s="72">
        <v>129.4</v>
      </c>
      <c r="E85" s="72">
        <v>128.30000000000001</v>
      </c>
      <c r="F85" s="72">
        <v>127</v>
      </c>
      <c r="G85" s="72">
        <v>127.3</v>
      </c>
      <c r="H85" s="72">
        <v>124.9</v>
      </c>
      <c r="I85" s="72">
        <v>124.3</v>
      </c>
      <c r="J85" s="72">
        <v>123.9</v>
      </c>
      <c r="K85" s="72">
        <v>123.9</v>
      </c>
      <c r="L85" s="72">
        <v>123.9</v>
      </c>
      <c r="M85" s="72">
        <v>123.3</v>
      </c>
      <c r="N85" s="72">
        <v>123.6</v>
      </c>
      <c r="O85" s="72">
        <v>124.4</v>
      </c>
      <c r="P85" s="72">
        <v>125.1</v>
      </c>
      <c r="Q85" s="72">
        <v>125.6</v>
      </c>
      <c r="R85" s="72">
        <v>125.3</v>
      </c>
      <c r="S85" s="72">
        <v>125.5</v>
      </c>
      <c r="T85" s="72">
        <v>124.1</v>
      </c>
      <c r="U85" s="99">
        <v>124.6</v>
      </c>
      <c r="V85" s="99">
        <v>126.7</v>
      </c>
      <c r="W85" s="99">
        <v>124.2</v>
      </c>
      <c r="X85" s="99">
        <v>125.1</v>
      </c>
      <c r="Y85" s="99">
        <v>122.7</v>
      </c>
      <c r="Z85" s="99">
        <v>122.7</v>
      </c>
      <c r="AA85" s="99">
        <v>124.2</v>
      </c>
      <c r="AB85" s="99">
        <v>124.2</v>
      </c>
      <c r="AC85" s="99">
        <v>126.9</v>
      </c>
      <c r="AD85" s="72">
        <v>126.1</v>
      </c>
      <c r="AE85" s="72">
        <v>126.2</v>
      </c>
      <c r="AF85" s="72">
        <v>124.4</v>
      </c>
      <c r="AG85" s="100"/>
      <c r="AH85" s="53">
        <f t="shared" si="14"/>
        <v>129.4</v>
      </c>
      <c r="AI85" s="54">
        <f t="shared" si="15"/>
        <v>122.7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131.6</v>
      </c>
      <c r="C86" s="72">
        <v>130.9</v>
      </c>
      <c r="D86" s="72">
        <v>132</v>
      </c>
      <c r="E86" s="72">
        <v>131.4</v>
      </c>
      <c r="F86" s="72">
        <v>130.5</v>
      </c>
      <c r="G86" s="72">
        <v>130.69999999999999</v>
      </c>
      <c r="H86" s="72">
        <v>128.30000000000001</v>
      </c>
      <c r="I86" s="72">
        <v>127.4</v>
      </c>
      <c r="J86" s="72">
        <v>126.9</v>
      </c>
      <c r="K86" s="72">
        <v>126.9</v>
      </c>
      <c r="L86" s="72">
        <v>126.9</v>
      </c>
      <c r="M86" s="72">
        <v>125.1</v>
      </c>
      <c r="N86" s="72">
        <v>124.9</v>
      </c>
      <c r="O86" s="72">
        <v>125.8</v>
      </c>
      <c r="P86" s="72">
        <v>126.5</v>
      </c>
      <c r="Q86" s="72">
        <v>127.9</v>
      </c>
      <c r="R86" s="72">
        <v>127.3</v>
      </c>
      <c r="S86" s="72">
        <v>127.9</v>
      </c>
      <c r="T86" s="72">
        <v>126.3</v>
      </c>
      <c r="U86" s="99">
        <v>126.6</v>
      </c>
      <c r="V86" s="99">
        <v>129.1</v>
      </c>
      <c r="W86" s="99">
        <v>126.3</v>
      </c>
      <c r="X86" s="99">
        <v>126.9</v>
      </c>
      <c r="Y86" s="99">
        <v>124.6</v>
      </c>
      <c r="Z86" s="99">
        <v>124.6</v>
      </c>
      <c r="AA86" s="99">
        <v>125.8</v>
      </c>
      <c r="AB86" s="99">
        <v>125.8</v>
      </c>
      <c r="AC86" s="99">
        <v>128.19999999999999</v>
      </c>
      <c r="AD86" s="72">
        <v>127.8</v>
      </c>
      <c r="AE86" s="72">
        <v>129.1</v>
      </c>
      <c r="AF86" s="72">
        <v>128.4</v>
      </c>
      <c r="AG86" s="100"/>
      <c r="AH86" s="53">
        <f t="shared" si="14"/>
        <v>132</v>
      </c>
      <c r="AI86" s="54">
        <f t="shared" si="15"/>
        <v>124.6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131.9</v>
      </c>
      <c r="C87" s="72">
        <v>132.9</v>
      </c>
      <c r="D87" s="72">
        <v>130.69999999999999</v>
      </c>
      <c r="E87" s="72">
        <v>132.80000000000001</v>
      </c>
      <c r="F87" s="72">
        <v>130.69999999999999</v>
      </c>
      <c r="G87" s="72">
        <v>130.30000000000001</v>
      </c>
      <c r="H87" s="72">
        <v>130.1</v>
      </c>
      <c r="I87" s="72">
        <v>128</v>
      </c>
      <c r="J87" s="72">
        <v>125.2</v>
      </c>
      <c r="K87" s="72">
        <v>125.2</v>
      </c>
      <c r="L87" s="72">
        <v>125.2</v>
      </c>
      <c r="M87" s="72">
        <v>128.69999999999999</v>
      </c>
      <c r="N87" s="72">
        <v>129.19999999999999</v>
      </c>
      <c r="O87" s="72">
        <v>125.4</v>
      </c>
      <c r="P87" s="72">
        <v>129.1</v>
      </c>
      <c r="Q87" s="72">
        <v>130.5</v>
      </c>
      <c r="R87" s="72">
        <v>130.9</v>
      </c>
      <c r="S87" s="72">
        <v>130.1</v>
      </c>
      <c r="T87" s="72">
        <v>129.4</v>
      </c>
      <c r="U87" s="72">
        <v>130.6</v>
      </c>
      <c r="V87" s="72">
        <v>129.69999999999999</v>
      </c>
      <c r="W87" s="72">
        <v>127.5</v>
      </c>
      <c r="X87" s="99">
        <v>131.4</v>
      </c>
      <c r="Y87" s="99">
        <v>130.19999999999999</v>
      </c>
      <c r="Z87" s="99">
        <v>130.19999999999999</v>
      </c>
      <c r="AA87" s="99">
        <v>131</v>
      </c>
      <c r="AB87" s="99">
        <v>131</v>
      </c>
      <c r="AC87" s="99">
        <v>129.9</v>
      </c>
      <c r="AD87" s="72">
        <v>130.9</v>
      </c>
      <c r="AE87" s="72">
        <v>130.80000000000001</v>
      </c>
      <c r="AF87" s="72">
        <v>131.69999999999999</v>
      </c>
      <c r="AG87" s="100"/>
      <c r="AH87" s="53">
        <f t="shared" si="14"/>
        <v>132.9</v>
      </c>
      <c r="AI87" s="54">
        <f t="shared" si="15"/>
        <v>125.2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135.30000000000001</v>
      </c>
      <c r="C88" s="72">
        <v>136.1</v>
      </c>
      <c r="D88" s="72">
        <v>133.30000000000001</v>
      </c>
      <c r="E88" s="72">
        <v>134.9</v>
      </c>
      <c r="F88" s="72">
        <v>133.30000000000001</v>
      </c>
      <c r="G88" s="72">
        <v>132.9</v>
      </c>
      <c r="H88" s="72">
        <v>132.30000000000001</v>
      </c>
      <c r="I88" s="72">
        <v>130</v>
      </c>
      <c r="J88" s="72">
        <v>127.9</v>
      </c>
      <c r="K88" s="72">
        <v>127.9</v>
      </c>
      <c r="L88" s="72">
        <v>127.9</v>
      </c>
      <c r="M88" s="72">
        <v>132.6</v>
      </c>
      <c r="N88" s="72">
        <v>132.9</v>
      </c>
      <c r="O88" s="72">
        <v>129.6</v>
      </c>
      <c r="P88" s="72">
        <v>131.30000000000001</v>
      </c>
      <c r="Q88" s="72">
        <v>133.30000000000001</v>
      </c>
      <c r="R88" s="72">
        <v>134.19999999999999</v>
      </c>
      <c r="S88" s="72">
        <v>133.6</v>
      </c>
      <c r="T88" s="72">
        <v>132.80000000000001</v>
      </c>
      <c r="U88" s="72">
        <v>133.30000000000001</v>
      </c>
      <c r="V88" s="72">
        <v>132.80000000000001</v>
      </c>
      <c r="W88" s="72">
        <v>130.30000000000001</v>
      </c>
      <c r="X88" s="99">
        <v>135.19999999999999</v>
      </c>
      <c r="Y88" s="99">
        <v>134.4</v>
      </c>
      <c r="Z88" s="99">
        <v>134.4</v>
      </c>
      <c r="AA88" s="99">
        <v>134.5</v>
      </c>
      <c r="AB88" s="99">
        <v>134.5</v>
      </c>
      <c r="AC88" s="99">
        <v>132.30000000000001</v>
      </c>
      <c r="AD88" s="72">
        <v>133.19999999999999</v>
      </c>
      <c r="AE88" s="72">
        <v>133.30000000000001</v>
      </c>
      <c r="AF88" s="72">
        <v>134.30000000000001</v>
      </c>
      <c r="AG88" s="100"/>
      <c r="AH88" s="53">
        <f t="shared" si="14"/>
        <v>136.1</v>
      </c>
      <c r="AI88" s="54">
        <f t="shared" si="15"/>
        <v>127.9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132.4</v>
      </c>
      <c r="C89" s="103">
        <v>128.5</v>
      </c>
      <c r="D89" s="103">
        <v>135.4</v>
      </c>
      <c r="E89" s="103">
        <v>133.80000000000001</v>
      </c>
      <c r="F89" s="103">
        <v>131.69999999999999</v>
      </c>
      <c r="G89" s="103">
        <v>131.4</v>
      </c>
      <c r="H89" s="103">
        <v>132.9</v>
      </c>
      <c r="I89" s="103">
        <v>135.5</v>
      </c>
      <c r="J89" s="103">
        <v>134</v>
      </c>
      <c r="K89" s="103">
        <v>134</v>
      </c>
      <c r="L89" s="103">
        <v>134</v>
      </c>
      <c r="M89" s="103">
        <v>135.19999999999999</v>
      </c>
      <c r="N89" s="103">
        <v>133.69999999999999</v>
      </c>
      <c r="O89" s="103">
        <v>135.30000000000001</v>
      </c>
      <c r="P89" s="103">
        <v>134.9</v>
      </c>
      <c r="Q89" s="103">
        <v>133.80000000000001</v>
      </c>
      <c r="R89" s="103">
        <v>133.9</v>
      </c>
      <c r="S89" s="103">
        <v>132.80000000000001</v>
      </c>
      <c r="T89" s="103">
        <v>132.19999999999999</v>
      </c>
      <c r="U89" s="103">
        <v>132.19999999999999</v>
      </c>
      <c r="V89" s="103">
        <v>134.1</v>
      </c>
      <c r="W89" s="103">
        <v>135.9</v>
      </c>
      <c r="X89" s="99">
        <v>136.5</v>
      </c>
      <c r="Y89" s="99">
        <v>134.5</v>
      </c>
      <c r="Z89" s="99">
        <v>134.5</v>
      </c>
      <c r="AA89" s="99">
        <v>134</v>
      </c>
      <c r="AB89" s="99">
        <v>134</v>
      </c>
      <c r="AC89" s="99">
        <v>132.80000000000001</v>
      </c>
      <c r="AD89" s="103">
        <v>137.1</v>
      </c>
      <c r="AE89" s="103">
        <v>131.30000000000001</v>
      </c>
      <c r="AF89" s="103">
        <v>130.6</v>
      </c>
      <c r="AG89" s="104"/>
      <c r="AH89" s="53">
        <f t="shared" si="14"/>
        <v>137.1</v>
      </c>
      <c r="AI89" s="54">
        <f t="shared" si="15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137.19999999999999</v>
      </c>
      <c r="C90" s="72">
        <v>138.1</v>
      </c>
      <c r="D90" s="72">
        <v>137.5</v>
      </c>
      <c r="E90" s="72">
        <v>138.19999999999999</v>
      </c>
      <c r="F90" s="72">
        <v>135.69999999999999</v>
      </c>
      <c r="G90" s="72">
        <v>134.80000000000001</v>
      </c>
      <c r="H90" s="72">
        <v>133.69999999999999</v>
      </c>
      <c r="I90" s="72">
        <v>132.19999999999999</v>
      </c>
      <c r="J90" s="72">
        <v>127.3</v>
      </c>
      <c r="K90" s="72">
        <v>127.3</v>
      </c>
      <c r="L90" s="72">
        <v>127.3</v>
      </c>
      <c r="M90" s="72">
        <v>131.1</v>
      </c>
      <c r="N90" s="72">
        <v>128.6</v>
      </c>
      <c r="O90" s="72">
        <v>130.4</v>
      </c>
      <c r="P90" s="72">
        <v>132.9</v>
      </c>
      <c r="Q90" s="72">
        <v>135.1</v>
      </c>
      <c r="R90" s="72">
        <v>129.5</v>
      </c>
      <c r="S90" s="72">
        <v>131.9</v>
      </c>
      <c r="T90" s="72">
        <v>132.1</v>
      </c>
      <c r="U90" s="72">
        <v>134.80000000000001</v>
      </c>
      <c r="V90" s="72">
        <v>133.5</v>
      </c>
      <c r="W90" s="72">
        <v>131.30000000000001</v>
      </c>
      <c r="X90" s="99">
        <v>127.9</v>
      </c>
      <c r="Y90" s="99">
        <v>131.80000000000001</v>
      </c>
      <c r="Z90" s="99">
        <v>131.80000000000001</v>
      </c>
      <c r="AA90" s="99">
        <v>133.19999999999999</v>
      </c>
      <c r="AB90" s="99">
        <v>133.19999999999999</v>
      </c>
      <c r="AC90" s="99">
        <v>131.5</v>
      </c>
      <c r="AD90" s="72">
        <v>133.6</v>
      </c>
      <c r="AE90" s="72">
        <v>133.5</v>
      </c>
      <c r="AF90" s="72">
        <v>135</v>
      </c>
      <c r="AG90" s="100"/>
      <c r="AH90" s="53">
        <f t="shared" si="14"/>
        <v>138.19999999999999</v>
      </c>
      <c r="AI90" s="54">
        <f t="shared" si="15"/>
        <v>127.3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66</v>
      </c>
      <c r="C91" s="106">
        <v>65.7</v>
      </c>
      <c r="D91" s="106">
        <v>66.2</v>
      </c>
      <c r="E91" s="106">
        <v>66.8</v>
      </c>
      <c r="F91" s="106">
        <v>66.400000000000006</v>
      </c>
      <c r="G91" s="106">
        <v>66.3</v>
      </c>
      <c r="H91" s="106">
        <v>65</v>
      </c>
      <c r="I91" s="106">
        <v>64.7</v>
      </c>
      <c r="J91" s="106">
        <v>64.3</v>
      </c>
      <c r="K91" s="106">
        <v>64.3</v>
      </c>
      <c r="L91" s="106">
        <v>64.3</v>
      </c>
      <c r="M91" s="106">
        <v>63.2</v>
      </c>
      <c r="N91" s="106">
        <v>63.3</v>
      </c>
      <c r="O91" s="106">
        <v>63.3</v>
      </c>
      <c r="P91" s="106">
        <v>63.7</v>
      </c>
      <c r="Q91" s="106">
        <v>64.7</v>
      </c>
      <c r="R91" s="106">
        <v>64.400000000000006</v>
      </c>
      <c r="S91" s="106">
        <v>64.7</v>
      </c>
      <c r="T91" s="106">
        <v>63.9</v>
      </c>
      <c r="U91" s="106">
        <v>64.3</v>
      </c>
      <c r="V91" s="106">
        <v>65.400000000000006</v>
      </c>
      <c r="W91" s="106">
        <v>64</v>
      </c>
      <c r="X91" s="106">
        <v>64.099999999999994</v>
      </c>
      <c r="Y91" s="106">
        <v>62.9</v>
      </c>
      <c r="Z91" s="106">
        <v>63.5</v>
      </c>
      <c r="AA91" s="106">
        <v>63.7</v>
      </c>
      <c r="AB91" s="106">
        <v>63.7</v>
      </c>
      <c r="AC91" s="106">
        <v>64.900000000000006</v>
      </c>
      <c r="AD91" s="106">
        <v>64.599999999999994</v>
      </c>
      <c r="AE91" s="106">
        <v>64.900000000000006</v>
      </c>
      <c r="AF91" s="106">
        <v>65</v>
      </c>
      <c r="AG91" s="107"/>
      <c r="AH91" s="53">
        <f t="shared" si="14"/>
        <v>66.8</v>
      </c>
      <c r="AI91" s="54">
        <f t="shared" si="15"/>
        <v>62.9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226.73999999999998</v>
      </c>
      <c r="C93" s="113">
        <f>SUM(C15,C18,C21:C22,C42,C44:C45,C47,C49,C94:C97,C102,C108,C114,C123,C125,C137,C144,C147:C148,C155,C157,C159,C163:C165,C167:C169,C174,C180:C181,C183:C185,C193,C198)</f>
        <v>206.83999999999997</v>
      </c>
      <c r="D93" s="113">
        <f t="shared" ref="D93:AF93" si="22">SUM(D15,D18,D21:D22,D42,D44:D45,D47,D49,D94:D97,D102,D108,D114,D123,D125,D137,D144,D147:D148,D155,D157,D159,D163:D165,D167:D169,D174,D180:D181,D183:D185,D193,D198)</f>
        <v>200.43999999999997</v>
      </c>
      <c r="E93" s="113">
        <f t="shared" si="22"/>
        <v>197.83999999999997</v>
      </c>
      <c r="F93" s="113">
        <f t="shared" si="22"/>
        <v>200.93999999999994</v>
      </c>
      <c r="G93" s="112">
        <f t="shared" si="22"/>
        <v>220.04000000000002</v>
      </c>
      <c r="H93" s="112">
        <f t="shared" si="22"/>
        <v>258.6400000000001</v>
      </c>
      <c r="I93" s="112">
        <f t="shared" si="22"/>
        <v>285.34000000000003</v>
      </c>
      <c r="J93" s="112">
        <f t="shared" si="22"/>
        <v>282.04000000000002</v>
      </c>
      <c r="K93" s="112">
        <f t="shared" si="22"/>
        <v>399.64000000000004</v>
      </c>
      <c r="L93" s="112">
        <f t="shared" si="22"/>
        <v>399.34000000000003</v>
      </c>
      <c r="M93" s="112">
        <f t="shared" si="22"/>
        <v>471.54000000000008</v>
      </c>
      <c r="N93" s="112">
        <f t="shared" si="22"/>
        <v>465.24</v>
      </c>
      <c r="O93" s="112">
        <f t="shared" si="22"/>
        <v>453.34000000000003</v>
      </c>
      <c r="P93" s="112">
        <f t="shared" si="22"/>
        <v>436.84000000000003</v>
      </c>
      <c r="Q93" s="112">
        <f t="shared" si="22"/>
        <v>409.94</v>
      </c>
      <c r="R93" s="112">
        <f t="shared" si="22"/>
        <v>391.94</v>
      </c>
      <c r="S93" s="112">
        <f t="shared" si="22"/>
        <v>379.64</v>
      </c>
      <c r="T93" s="112">
        <f t="shared" si="22"/>
        <v>377.34000000000003</v>
      </c>
      <c r="U93" s="112">
        <f t="shared" si="22"/>
        <v>382.04</v>
      </c>
      <c r="V93" s="112">
        <f t="shared" si="22"/>
        <v>389.94000000000005</v>
      </c>
      <c r="W93" s="112">
        <f t="shared" si="22"/>
        <v>412.54</v>
      </c>
      <c r="X93" s="112">
        <f t="shared" si="22"/>
        <v>467.74</v>
      </c>
      <c r="Y93" s="112">
        <f t="shared" si="22"/>
        <v>508.44000000000005</v>
      </c>
      <c r="Z93" s="112">
        <f t="shared" si="22"/>
        <v>515.33999999999992</v>
      </c>
      <c r="AA93" s="112">
        <f t="shared" si="22"/>
        <v>496.03999999999996</v>
      </c>
      <c r="AB93" s="112">
        <f t="shared" si="22"/>
        <v>449.6400000000001</v>
      </c>
      <c r="AC93" s="112">
        <f t="shared" si="22"/>
        <v>452.04000000000008</v>
      </c>
      <c r="AD93" s="112">
        <f t="shared" si="22"/>
        <v>416.53999999999996</v>
      </c>
      <c r="AE93" s="112">
        <f t="shared" si="22"/>
        <v>312.34000000000003</v>
      </c>
      <c r="AF93" s="112">
        <f t="shared" si="22"/>
        <v>246.73999999999995</v>
      </c>
      <c r="AG93" s="114"/>
      <c r="AH93" s="53">
        <f>MAX(C93:AF93)</f>
        <v>515.33999999999992</v>
      </c>
      <c r="AI93" s="54">
        <f>MIN(C93:AF93)</f>
        <v>197.83999999999997</v>
      </c>
    </row>
    <row r="94" spans="1:88" x14ac:dyDescent="0.25">
      <c r="A94" s="115" t="s">
        <v>98</v>
      </c>
      <c r="B94" s="116">
        <v>16.5</v>
      </c>
      <c r="C94" s="57">
        <v>-8.8000000000000007</v>
      </c>
      <c r="D94" s="57">
        <v>-13.3</v>
      </c>
      <c r="E94" s="57">
        <v>-1.6</v>
      </c>
      <c r="F94" s="57">
        <v>-4.3</v>
      </c>
      <c r="G94" s="117">
        <v>-4.7</v>
      </c>
      <c r="H94" s="117">
        <v>2.2000000000000002</v>
      </c>
      <c r="I94" s="117">
        <v>13.9</v>
      </c>
      <c r="J94" s="117">
        <v>12.2</v>
      </c>
      <c r="K94" s="117">
        <v>27.9</v>
      </c>
      <c r="L94" s="117">
        <v>27.9</v>
      </c>
      <c r="M94" s="118">
        <v>51.5</v>
      </c>
      <c r="N94" s="117">
        <v>40</v>
      </c>
      <c r="O94" s="117">
        <v>42.2</v>
      </c>
      <c r="P94" s="117">
        <v>44.8</v>
      </c>
      <c r="Q94" s="117">
        <v>38.299999999999997</v>
      </c>
      <c r="R94" s="117">
        <v>29.7</v>
      </c>
      <c r="S94" s="117">
        <v>27.2</v>
      </c>
      <c r="T94" s="117">
        <v>29.3</v>
      </c>
      <c r="U94" s="118">
        <v>23.6</v>
      </c>
      <c r="V94" s="118">
        <v>23</v>
      </c>
      <c r="W94" s="118">
        <v>46.1</v>
      </c>
      <c r="X94" s="117">
        <v>45.1</v>
      </c>
      <c r="Y94" s="117">
        <v>59.8</v>
      </c>
      <c r="Z94" s="117">
        <v>63.9</v>
      </c>
      <c r="AA94" s="117">
        <v>70.5</v>
      </c>
      <c r="AB94" s="117">
        <v>68.3</v>
      </c>
      <c r="AC94" s="117">
        <v>71.400000000000006</v>
      </c>
      <c r="AD94" s="118">
        <v>64.3</v>
      </c>
      <c r="AE94" s="118">
        <v>25.9</v>
      </c>
      <c r="AF94" s="118">
        <v>12.5</v>
      </c>
      <c r="AG94" s="119">
        <v>75</v>
      </c>
      <c r="AH94" s="53">
        <f t="shared" ref="AH94:AH99" si="23">IF(ABS(MAX(C94:AF94))&gt;ABS(MIN(C94:AF94)),MAX(C94:AF94),MIN(C94:AF94))</f>
        <v>71.400000000000006</v>
      </c>
      <c r="AI94" s="120">
        <f t="shared" ref="AI94:AI99" si="24">INDEX($C$9:$AF$9,1,MATCH(AH94,C94:AF94,0))</f>
        <v>0.85416666666666663</v>
      </c>
    </row>
    <row r="95" spans="1:88" x14ac:dyDescent="0.25">
      <c r="A95" s="121" t="s">
        <v>99</v>
      </c>
      <c r="B95" s="122">
        <v>-48.3</v>
      </c>
      <c r="C95" s="59">
        <v>-57</v>
      </c>
      <c r="D95" s="59">
        <v>-53</v>
      </c>
      <c r="E95" s="59">
        <v>-39</v>
      </c>
      <c r="F95" s="59">
        <v>-39</v>
      </c>
      <c r="G95" s="59">
        <v>-32</v>
      </c>
      <c r="H95" s="59">
        <v>-17</v>
      </c>
      <c r="I95" s="59">
        <v>-9.6999999999999993</v>
      </c>
      <c r="J95" s="59">
        <v>-9.6999999999999993</v>
      </c>
      <c r="K95" s="59">
        <v>44</v>
      </c>
      <c r="L95" s="59">
        <v>44</v>
      </c>
      <c r="M95" s="59">
        <v>69.900000000000006</v>
      </c>
      <c r="N95" s="59">
        <v>66.3</v>
      </c>
      <c r="O95" s="59">
        <v>69.8</v>
      </c>
      <c r="P95" s="59">
        <v>63.4</v>
      </c>
      <c r="Q95" s="59">
        <v>43.9</v>
      </c>
      <c r="R95" s="59">
        <v>50.1</v>
      </c>
      <c r="S95" s="59">
        <v>47</v>
      </c>
      <c r="T95" s="59">
        <v>47.9</v>
      </c>
      <c r="U95" s="59">
        <v>55.3</v>
      </c>
      <c r="V95" s="59">
        <v>52.3</v>
      </c>
      <c r="W95" s="59">
        <v>84</v>
      </c>
      <c r="X95" s="59">
        <v>93</v>
      </c>
      <c r="Y95" s="59">
        <v>102.9</v>
      </c>
      <c r="Z95" s="59">
        <v>106.3</v>
      </c>
      <c r="AA95" s="59">
        <v>93.6</v>
      </c>
      <c r="AB95" s="59">
        <f>33.6+30.9</f>
        <v>64.5</v>
      </c>
      <c r="AC95" s="59">
        <f>31.9+39.5</f>
        <v>71.400000000000006</v>
      </c>
      <c r="AD95" s="72">
        <f>26.2+24.4</f>
        <v>50.599999999999994</v>
      </c>
      <c r="AE95" s="72">
        <f>9+9.8</f>
        <v>18.8</v>
      </c>
      <c r="AF95" s="72">
        <f>-9.8-11.2</f>
        <v>-21</v>
      </c>
      <c r="AG95" s="119">
        <v>240</v>
      </c>
      <c r="AH95" s="53">
        <f t="shared" si="23"/>
        <v>106.3</v>
      </c>
      <c r="AI95" s="120">
        <f t="shared" si="24"/>
        <v>0.79166666666666663</v>
      </c>
    </row>
    <row r="96" spans="1:88" x14ac:dyDescent="0.25">
      <c r="A96" s="121" t="s">
        <v>100</v>
      </c>
      <c r="B96" s="122">
        <v>14</v>
      </c>
      <c r="C96" s="59">
        <v>14</v>
      </c>
      <c r="D96" s="59">
        <v>13.9</v>
      </c>
      <c r="E96" s="59">
        <v>-4.8</v>
      </c>
      <c r="F96" s="59">
        <v>-6.4</v>
      </c>
      <c r="G96" s="59">
        <v>-2.2999999999999998</v>
      </c>
      <c r="H96" s="59">
        <v>-2.7</v>
      </c>
      <c r="I96" s="59">
        <v>3</v>
      </c>
      <c r="J96" s="59">
        <v>3</v>
      </c>
      <c r="K96" s="59">
        <v>46.9</v>
      </c>
      <c r="L96" s="59">
        <v>46.9</v>
      </c>
      <c r="M96" s="59">
        <v>57.2</v>
      </c>
      <c r="N96" s="59">
        <v>63.5</v>
      </c>
      <c r="O96" s="59">
        <v>57</v>
      </c>
      <c r="P96" s="59">
        <v>56.6</v>
      </c>
      <c r="Q96" s="59">
        <v>38.799999999999997</v>
      </c>
      <c r="R96" s="59">
        <v>31.9</v>
      </c>
      <c r="S96" s="59">
        <v>33.6</v>
      </c>
      <c r="T96" s="59">
        <v>31.8</v>
      </c>
      <c r="U96" s="59">
        <v>32.4</v>
      </c>
      <c r="V96" s="59">
        <v>41</v>
      </c>
      <c r="W96" s="59">
        <v>46.9</v>
      </c>
      <c r="X96" s="59">
        <v>59.3</v>
      </c>
      <c r="Y96" s="59">
        <v>61</v>
      </c>
      <c r="Z96" s="59">
        <v>61.1</v>
      </c>
      <c r="AA96" s="59">
        <v>64.900000000000006</v>
      </c>
      <c r="AB96" s="59">
        <v>51.1</v>
      </c>
      <c r="AC96" s="59">
        <v>41.5</v>
      </c>
      <c r="AD96" s="72">
        <v>33.1</v>
      </c>
      <c r="AE96" s="72">
        <v>6.6</v>
      </c>
      <c r="AF96" s="72">
        <v>-2.2000000000000002</v>
      </c>
      <c r="AG96" s="119">
        <v>60</v>
      </c>
      <c r="AH96" s="53">
        <f t="shared" si="23"/>
        <v>64.900000000000006</v>
      </c>
      <c r="AI96" s="120">
        <f t="shared" si="24"/>
        <v>0.8125</v>
      </c>
    </row>
    <row r="97" spans="1:37" x14ac:dyDescent="0.25">
      <c r="A97" s="123" t="s">
        <v>101</v>
      </c>
      <c r="B97" s="124">
        <v>58.9</v>
      </c>
      <c r="C97" s="62">
        <v>73</v>
      </c>
      <c r="D97" s="62">
        <v>68.900000000000006</v>
      </c>
      <c r="E97" s="62">
        <v>59.3</v>
      </c>
      <c r="F97" s="62">
        <v>66.7</v>
      </c>
      <c r="G97" s="62">
        <v>76.900000000000006</v>
      </c>
      <c r="H97" s="62">
        <v>94</v>
      </c>
      <c r="I97" s="62">
        <v>96</v>
      </c>
      <c r="J97" s="62">
        <v>96</v>
      </c>
      <c r="K97" s="62">
        <v>100</v>
      </c>
      <c r="L97" s="62">
        <v>100</v>
      </c>
      <c r="M97" s="62">
        <v>122.3</v>
      </c>
      <c r="N97" s="62">
        <v>124</v>
      </c>
      <c r="O97" s="62">
        <v>114</v>
      </c>
      <c r="P97" s="62">
        <v>102</v>
      </c>
      <c r="Q97" s="62">
        <v>117.7</v>
      </c>
      <c r="R97" s="62">
        <v>109.2</v>
      </c>
      <c r="S97" s="62">
        <v>102.4</v>
      </c>
      <c r="T97" s="62">
        <v>99.1</v>
      </c>
      <c r="U97" s="62">
        <v>100.3</v>
      </c>
      <c r="V97" s="62">
        <v>106</v>
      </c>
      <c r="W97" s="62">
        <v>67.7</v>
      </c>
      <c r="X97" s="62">
        <v>93.2</v>
      </c>
      <c r="Y97" s="62">
        <v>107.1</v>
      </c>
      <c r="Z97" s="62">
        <v>106.9</v>
      </c>
      <c r="AA97" s="62">
        <v>102.9</v>
      </c>
      <c r="AB97" s="62">
        <v>101.6</v>
      </c>
      <c r="AC97" s="62">
        <v>99</v>
      </c>
      <c r="AD97" s="125">
        <v>95.6</v>
      </c>
      <c r="AE97" s="125">
        <v>88.1</v>
      </c>
      <c r="AF97" s="125">
        <v>88</v>
      </c>
      <c r="AG97" s="126">
        <v>120</v>
      </c>
      <c r="AH97" s="53">
        <f t="shared" si="23"/>
        <v>124</v>
      </c>
      <c r="AI97" s="120">
        <f t="shared" si="24"/>
        <v>0.375</v>
      </c>
    </row>
    <row r="98" spans="1:37" x14ac:dyDescent="0.25">
      <c r="A98" s="123" t="s">
        <v>102</v>
      </c>
      <c r="B98" s="124">
        <v>60</v>
      </c>
      <c r="C98" s="62">
        <v>76</v>
      </c>
      <c r="D98" s="62">
        <v>69.8</v>
      </c>
      <c r="E98" s="62">
        <v>61.5</v>
      </c>
      <c r="F98" s="62">
        <v>66.7</v>
      </c>
      <c r="G98" s="62">
        <v>72.8</v>
      </c>
      <c r="H98" s="62">
        <v>89.9</v>
      </c>
      <c r="I98" s="62">
        <v>92.2</v>
      </c>
      <c r="J98" s="62">
        <v>92.2</v>
      </c>
      <c r="K98" s="62">
        <v>72.5</v>
      </c>
      <c r="L98" s="62">
        <v>72.5</v>
      </c>
      <c r="M98" s="62">
        <v>92.3</v>
      </c>
      <c r="N98" s="62">
        <v>85.7</v>
      </c>
      <c r="O98" s="62">
        <v>91.7</v>
      </c>
      <c r="P98" s="62">
        <v>84.7</v>
      </c>
      <c r="Q98" s="62">
        <v>79.2</v>
      </c>
      <c r="R98" s="62">
        <v>89.4</v>
      </c>
      <c r="S98" s="62">
        <v>85.8</v>
      </c>
      <c r="T98" s="62">
        <v>99.8</v>
      </c>
      <c r="U98" s="62">
        <v>92.2</v>
      </c>
      <c r="V98" s="62">
        <v>76.8</v>
      </c>
      <c r="W98" s="62">
        <v>100.9</v>
      </c>
      <c r="X98" s="62">
        <v>99.6</v>
      </c>
      <c r="Y98" s="62">
        <v>105.1</v>
      </c>
      <c r="Z98" s="62">
        <v>104.7</v>
      </c>
      <c r="AA98" s="62">
        <v>96</v>
      </c>
      <c r="AB98" s="62">
        <v>65</v>
      </c>
      <c r="AC98" s="62">
        <v>61.6</v>
      </c>
      <c r="AD98" s="125">
        <v>64.900000000000006</v>
      </c>
      <c r="AE98" s="125">
        <v>68.2</v>
      </c>
      <c r="AF98" s="125">
        <v>84.7</v>
      </c>
      <c r="AG98" s="126"/>
      <c r="AH98" s="53">
        <f t="shared" si="23"/>
        <v>105.1</v>
      </c>
      <c r="AI98" s="120">
        <f t="shared" si="24"/>
        <v>0.77083333333333337</v>
      </c>
    </row>
    <row r="99" spans="1:37" ht="15.75" thickBot="1" x14ac:dyDescent="0.3">
      <c r="A99" s="123" t="s">
        <v>103</v>
      </c>
      <c r="B99" s="124">
        <v>40</v>
      </c>
      <c r="C99" s="62">
        <v>50</v>
      </c>
      <c r="D99" s="62">
        <v>46.1</v>
      </c>
      <c r="E99" s="62">
        <v>35.9</v>
      </c>
      <c r="F99" s="62">
        <v>39.200000000000003</v>
      </c>
      <c r="G99" s="62">
        <v>43.4</v>
      </c>
      <c r="H99" s="62">
        <v>32.5</v>
      </c>
      <c r="I99" s="62">
        <v>27.2</v>
      </c>
      <c r="J99" s="62">
        <v>27.2</v>
      </c>
      <c r="K99" s="62">
        <v>32.799999999999997</v>
      </c>
      <c r="L99" s="62">
        <v>32.799999999999997</v>
      </c>
      <c r="M99" s="62">
        <v>30.9</v>
      </c>
      <c r="N99" s="62">
        <v>34.6</v>
      </c>
      <c r="O99" s="62">
        <v>30.9</v>
      </c>
      <c r="P99" s="62">
        <v>29.4</v>
      </c>
      <c r="Q99" s="62">
        <v>32.1</v>
      </c>
      <c r="R99" s="62">
        <v>35.299999999999997</v>
      </c>
      <c r="S99" s="62">
        <v>32.9</v>
      </c>
      <c r="T99" s="62">
        <v>29.9</v>
      </c>
      <c r="U99" s="62">
        <v>33.6</v>
      </c>
      <c r="V99" s="62">
        <v>31.5</v>
      </c>
      <c r="W99" s="62">
        <v>17.7</v>
      </c>
      <c r="X99" s="62">
        <v>20.8</v>
      </c>
      <c r="Y99" s="62">
        <v>17.7</v>
      </c>
      <c r="Z99" s="62">
        <v>19.399999999999999</v>
      </c>
      <c r="AA99" s="62">
        <v>12.8</v>
      </c>
      <c r="AB99" s="62">
        <v>7.8</v>
      </c>
      <c r="AC99" s="62">
        <v>5.5</v>
      </c>
      <c r="AD99" s="125">
        <v>5.7</v>
      </c>
      <c r="AE99" s="125">
        <v>43.1</v>
      </c>
      <c r="AF99" s="125">
        <v>65.099999999999994</v>
      </c>
      <c r="AG99" s="127"/>
      <c r="AH99" s="53">
        <f t="shared" si="23"/>
        <v>65.099999999999994</v>
      </c>
      <c r="AI99" s="120">
        <f t="shared" si="24"/>
        <v>0.95833333333333304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1594.6399999999999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2078/10/23)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976.04</v>
      </c>
      <c r="U213" s="173">
        <f t="shared" si="61"/>
        <v>948.04</v>
      </c>
      <c r="V213" s="173">
        <f t="shared" si="61"/>
        <v>908.83999999999992</v>
      </c>
      <c r="W213" s="173">
        <f t="shared" si="61"/>
        <v>881.04</v>
      </c>
      <c r="X213" s="173">
        <f t="shared" si="61"/>
        <v>905.33999999999992</v>
      </c>
      <c r="Y213" s="173">
        <f t="shared" si="61"/>
        <v>958.14</v>
      </c>
      <c r="Z213" s="173">
        <f t="shared" si="61"/>
        <v>1048.24</v>
      </c>
      <c r="AA213" s="173">
        <f t="shared" si="61"/>
        <v>1120.04</v>
      </c>
      <c r="AB213" s="173">
        <f t="shared" si="61"/>
        <v>1239.94</v>
      </c>
      <c r="AC213" s="173">
        <f t="shared" si="61"/>
        <v>1442.94</v>
      </c>
      <c r="AD213" s="173">
        <f t="shared" si="61"/>
        <v>1529.54</v>
      </c>
      <c r="AE213" s="173">
        <f t="shared" si="61"/>
        <v>1594.6399999999999</v>
      </c>
      <c r="AF213" s="173">
        <f t="shared" si="61"/>
        <v>1575.94</v>
      </c>
      <c r="AG213" s="173">
        <f t="shared" si="61"/>
        <v>1516.2399999999998</v>
      </c>
      <c r="AH213" s="173">
        <f t="shared" si="61"/>
        <v>1424.6399999999999</v>
      </c>
      <c r="AI213" s="173">
        <f t="shared" si="61"/>
        <v>1353.84</v>
      </c>
      <c r="AJ213" s="173">
        <f t="shared" si="61"/>
        <v>1315.4399999999998</v>
      </c>
      <c r="AK213" s="173">
        <f t="shared" si="61"/>
        <v>1251.6400000000001</v>
      </c>
      <c r="AL213" s="173">
        <f t="shared" si="61"/>
        <v>1272.04</v>
      </c>
      <c r="AM213" s="173">
        <f t="shared" si="61"/>
        <v>1298.94</v>
      </c>
      <c r="AN213" s="173">
        <f t="shared" si="61"/>
        <v>1275.94</v>
      </c>
      <c r="AO213" s="173">
        <f t="shared" si="61"/>
        <v>1379.6399999999999</v>
      </c>
      <c r="AP213" s="173">
        <f t="shared" si="61"/>
        <v>1566.14</v>
      </c>
      <c r="AQ213" s="173">
        <f t="shared" si="61"/>
        <v>1616.0400000000002</v>
      </c>
      <c r="AR213" s="173">
        <f t="shared" si="61"/>
        <v>1589.94</v>
      </c>
      <c r="AS213" s="173">
        <f t="shared" si="61"/>
        <v>1580.6399999999999</v>
      </c>
      <c r="AT213" s="173">
        <f t="shared" si="61"/>
        <v>1508.1399999999999</v>
      </c>
      <c r="AU213" s="173">
        <f t="shared" si="61"/>
        <v>1433.6399999999999</v>
      </c>
      <c r="AV213" s="173">
        <f t="shared" si="61"/>
        <v>1374.1399999999999</v>
      </c>
      <c r="AW213" s="173">
        <f t="shared" si="61"/>
        <v>1146.04</v>
      </c>
      <c r="AX213" s="173">
        <f t="shared" si="61"/>
        <v>1051.9399999999998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45">
      <iconSet iconSet="3TrafficLights2" reverse="1">
        <cfvo type="percent" val="0"/>
        <cfvo type="num" val="1"/>
        <cfvo type="num" val="1"/>
      </iconSet>
    </cfRule>
  </conditionalFormatting>
  <conditionalFormatting sqref="M37:R37 C57:L59 C60:O60 P39:R39 M39:O42 P40:Q42 R42 N45 M12:O14 R40:T41 M58:W59 AB81:AF81 B81:R81 C56:AF56 B82:AF83 D193:AF199 B193:B199 C68:AF72 B84:B91 B9:AF10 B191:AF191 B53:B72 AG73 B94:B99 U212:AF212 C61:N61 C63:L67 N62:N67 O61:O67 Q12:R14 P60:R67 B73:AF80 P45:U48 M53:AF55 U40:AC42 X85:AC91 AD94:AF99 M11:AF11 S18:AF30 S36:AF36 AC40:AF43 AD84:AF91">
    <cfRule type="expression" dxfId="3488" priority="541">
      <formula>B$9&gt;=20/24</formula>
    </cfRule>
    <cfRule type="expression" dxfId="3487" priority="542">
      <formula>AND(B$9&gt;=14/24,B$9&lt;20/24)</formula>
    </cfRule>
    <cfRule type="expression" dxfId="3486" priority="543">
      <formula>AND(B$9&gt;=8/24,B$9&lt;14/24)</formula>
    </cfRule>
    <cfRule type="expression" dxfId="3485" priority="544">
      <formula>B$9&lt;8/24</formula>
    </cfRule>
  </conditionalFormatting>
  <conditionalFormatting sqref="AL4:AL6">
    <cfRule type="iconSet" priority="54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484" priority="536">
      <formula>M$9&gt;=20/24</formula>
    </cfRule>
    <cfRule type="expression" dxfId="3483" priority="537">
      <formula>AND(M$9&gt;=14/24,M$9&lt;20/24)</formula>
    </cfRule>
    <cfRule type="expression" dxfId="3482" priority="538">
      <formula>AND(M$9&gt;=8/24,M$9&lt;14/24)</formula>
    </cfRule>
    <cfRule type="expression" dxfId="3481" priority="539">
      <formula>M$9&lt;8/24</formula>
    </cfRule>
  </conditionalFormatting>
  <conditionalFormatting sqref="M43:R43">
    <cfRule type="expression" dxfId="3480" priority="532">
      <formula>M$9&gt;=20/24</formula>
    </cfRule>
    <cfRule type="expression" dxfId="3479" priority="533">
      <formula>AND(M$9&gt;=14/24,M$9&lt;20/24)</formula>
    </cfRule>
    <cfRule type="expression" dxfId="3478" priority="534">
      <formula>AND(M$9&gt;=8/24,M$9&lt;14/24)</formula>
    </cfRule>
    <cfRule type="expression" dxfId="3477" priority="535">
      <formula>M$9&lt;8/24</formula>
    </cfRule>
  </conditionalFormatting>
  <conditionalFormatting sqref="S39:AF39">
    <cfRule type="expression" dxfId="3476" priority="524">
      <formula>S$9&gt;=20/24</formula>
    </cfRule>
    <cfRule type="expression" dxfId="3475" priority="525">
      <formula>AND(S$9&gt;=14/24,S$9&lt;20/24)</formula>
    </cfRule>
    <cfRule type="expression" dxfId="3474" priority="526">
      <formula>AND(S$9&gt;=8/24,S$9&lt;14/24)</formula>
    </cfRule>
    <cfRule type="expression" dxfId="3473" priority="527">
      <formula>S$9&lt;8/24</formula>
    </cfRule>
  </conditionalFormatting>
  <conditionalFormatting sqref="S57:AF57">
    <cfRule type="expression" dxfId="3472" priority="520">
      <formula>S$9&gt;=20/24</formula>
    </cfRule>
    <cfRule type="expression" dxfId="3471" priority="521">
      <formula>AND(S$9&gt;=14/24,S$9&lt;20/24)</formula>
    </cfRule>
    <cfRule type="expression" dxfId="3470" priority="522">
      <formula>AND(S$9&gt;=8/24,S$9&lt;14/24)</formula>
    </cfRule>
    <cfRule type="expression" dxfId="3469" priority="523">
      <formula>S$9&lt;8/24</formula>
    </cfRule>
  </conditionalFormatting>
  <conditionalFormatting sqref="S81:AA81">
    <cfRule type="expression" dxfId="3468" priority="516">
      <formula>S$9&gt;=20/24</formula>
    </cfRule>
    <cfRule type="expression" dxfId="3467" priority="517">
      <formula>AND(S$9&gt;=14/24,S$9&lt;20/24)</formula>
    </cfRule>
    <cfRule type="expression" dxfId="3466" priority="518">
      <formula>AND(S$9&gt;=8/24,S$9&lt;14/24)</formula>
    </cfRule>
    <cfRule type="expression" dxfId="3465" priority="519">
      <formula>S$9&lt;8/24</formula>
    </cfRule>
  </conditionalFormatting>
  <conditionalFormatting sqref="U84:AC84">
    <cfRule type="expression" dxfId="3464" priority="512">
      <formula>U$9&gt;=20/24</formula>
    </cfRule>
    <cfRule type="expression" dxfId="3463" priority="513">
      <formula>AND(U$9&gt;=14/24,U$9&lt;20/24)</formula>
    </cfRule>
    <cfRule type="expression" dxfId="3462" priority="514">
      <formula>AND(U$9&gt;=8/24,U$9&lt;14/24)</formula>
    </cfRule>
    <cfRule type="expression" dxfId="3461" priority="515">
      <formula>U$9&lt;8/24</formula>
    </cfRule>
  </conditionalFormatting>
  <conditionalFormatting sqref="P49:U49">
    <cfRule type="expression" dxfId="3460" priority="504">
      <formula>P$9&gt;=20/24</formula>
    </cfRule>
    <cfRule type="expression" dxfId="3459" priority="505">
      <formula>AND(P$9&gt;=14/24,P$9&lt;20/24)</formula>
    </cfRule>
    <cfRule type="expression" dxfId="3458" priority="506">
      <formula>AND(P$9&gt;=8/24,P$9&lt;14/24)</formula>
    </cfRule>
    <cfRule type="expression" dxfId="3457" priority="507">
      <formula>P$9&lt;8/24</formula>
    </cfRule>
  </conditionalFormatting>
  <conditionalFormatting sqref="P50:U50">
    <cfRule type="expression" dxfId="3456" priority="500">
      <formula>P$9&gt;=20/24</formula>
    </cfRule>
    <cfRule type="expression" dxfId="3455" priority="501">
      <formula>AND(P$9&gt;=14/24,P$9&lt;20/24)</formula>
    </cfRule>
    <cfRule type="expression" dxfId="3454" priority="502">
      <formula>AND(P$9&gt;=8/24,P$9&lt;14/24)</formula>
    </cfRule>
    <cfRule type="expression" dxfId="3453" priority="503">
      <formula>P$9&lt;8/24</formula>
    </cfRule>
  </conditionalFormatting>
  <conditionalFormatting sqref="N45 P45:U48">
    <cfRule type="expression" dxfId="3452" priority="496">
      <formula>N$9&gt;=20/24</formula>
    </cfRule>
    <cfRule type="expression" dxfId="3451" priority="497">
      <formula>AND(N$9&gt;=14/24,N$9&lt;20/24)</formula>
    </cfRule>
    <cfRule type="expression" dxfId="3450" priority="498">
      <formula>AND(N$9&gt;=8/24,N$9&lt;14/24)</formula>
    </cfRule>
    <cfRule type="expression" dxfId="3449" priority="499">
      <formula>N$9&lt;8/24</formula>
    </cfRule>
  </conditionalFormatting>
  <conditionalFormatting sqref="S37:AF37">
    <cfRule type="expression" dxfId="3448" priority="492">
      <formula>S$9&gt;=20/24</formula>
    </cfRule>
    <cfRule type="expression" dxfId="3447" priority="493">
      <formula>AND(S$9&gt;=14/24,S$9&lt;20/24)</formula>
    </cfRule>
    <cfRule type="expression" dxfId="3446" priority="494">
      <formula>AND(S$9&gt;=8/24,S$9&lt;14/24)</formula>
    </cfRule>
    <cfRule type="expression" dxfId="3445" priority="495">
      <formula>S$9&lt;8/24</formula>
    </cfRule>
  </conditionalFormatting>
  <conditionalFormatting sqref="S31:AF32 S35:AF35">
    <cfRule type="expression" dxfId="3444" priority="488">
      <formula>S$9&gt;=20/24</formula>
    </cfRule>
    <cfRule type="expression" dxfId="3443" priority="489">
      <formula>AND(S$9&gt;=14/24,S$9&lt;20/24)</formula>
    </cfRule>
    <cfRule type="expression" dxfId="3442" priority="490">
      <formula>AND(S$9&gt;=8/24,S$9&lt;14/24)</formula>
    </cfRule>
    <cfRule type="expression" dxfId="3441" priority="491">
      <formula>S$9&lt;8/24</formula>
    </cfRule>
  </conditionalFormatting>
  <conditionalFormatting sqref="S42:T43 U43:AF43 S45:AF48">
    <cfRule type="expression" dxfId="3440" priority="484">
      <formula>S$9&gt;=20/24</formula>
    </cfRule>
    <cfRule type="expression" dxfId="3439" priority="485">
      <formula>AND(S$9&gt;=14/24,S$9&lt;20/24)</formula>
    </cfRule>
    <cfRule type="expression" dxfId="3438" priority="486">
      <formula>AND(S$9&gt;=8/24,S$9&lt;14/24)</formula>
    </cfRule>
    <cfRule type="expression" dxfId="3437" priority="487">
      <formula>S$9&lt;8/24</formula>
    </cfRule>
  </conditionalFormatting>
  <conditionalFormatting sqref="S49:AF49">
    <cfRule type="expression" dxfId="3436" priority="480">
      <formula>S$9&gt;=20/24</formula>
    </cfRule>
    <cfRule type="expression" dxfId="3435" priority="481">
      <formula>AND(S$9&gt;=14/24,S$9&lt;20/24)</formula>
    </cfRule>
    <cfRule type="expression" dxfId="3434" priority="482">
      <formula>AND(S$9&gt;=8/24,S$9&lt;14/24)</formula>
    </cfRule>
    <cfRule type="expression" dxfId="3433" priority="483">
      <formula>S$9&lt;8/24</formula>
    </cfRule>
  </conditionalFormatting>
  <conditionalFormatting sqref="S50:AF50">
    <cfRule type="expression" dxfId="3432" priority="476">
      <formula>S$9&gt;=20/24</formula>
    </cfRule>
    <cfRule type="expression" dxfId="3431" priority="477">
      <formula>AND(S$9&gt;=14/24,S$9&lt;20/24)</formula>
    </cfRule>
    <cfRule type="expression" dxfId="3430" priority="478">
      <formula>AND(S$9&gt;=8/24,S$9&lt;14/24)</formula>
    </cfRule>
    <cfRule type="expression" dxfId="3429" priority="479">
      <formula>S$9&lt;8/24</formula>
    </cfRule>
  </conditionalFormatting>
  <conditionalFormatting sqref="S60:T67 X60:AF67">
    <cfRule type="expression" dxfId="3428" priority="472">
      <formula>S$9&gt;=20/24</formula>
    </cfRule>
    <cfRule type="expression" dxfId="3427" priority="473">
      <formula>AND(S$9&gt;=14/24,S$9&lt;20/24)</formula>
    </cfRule>
    <cfRule type="expression" dxfId="3426" priority="474">
      <formula>AND(S$9&gt;=8/24,S$9&lt;14/24)</formula>
    </cfRule>
    <cfRule type="expression" dxfId="3425" priority="475">
      <formula>S$9&lt;8/24</formula>
    </cfRule>
  </conditionalFormatting>
  <conditionalFormatting sqref="C62:L62">
    <cfRule type="expression" dxfId="3424" priority="468">
      <formula>C$9&gt;=20/24</formula>
    </cfRule>
    <cfRule type="expression" dxfId="3423" priority="469">
      <formula>AND(C$9&gt;=14/24,C$9&lt;20/24)</formula>
    </cfRule>
    <cfRule type="expression" dxfId="3422" priority="470">
      <formula>AND(C$9&gt;=8/24,C$9&lt;14/24)</formula>
    </cfRule>
    <cfRule type="expression" dxfId="3421" priority="471">
      <formula>C$9&lt;8/24</formula>
    </cfRule>
  </conditionalFormatting>
  <conditionalFormatting sqref="U94:AC97">
    <cfRule type="expression" dxfId="3420" priority="464">
      <formula>U$9&gt;=20/24</formula>
    </cfRule>
    <cfRule type="expression" dxfId="3419" priority="465">
      <formula>AND(U$9&gt;=14/24,U$9&lt;20/24)</formula>
    </cfRule>
    <cfRule type="expression" dxfId="3418" priority="466">
      <formula>AND(U$9&gt;=8/24,U$9&lt;14/24)</formula>
    </cfRule>
    <cfRule type="expression" dxfId="3417" priority="467">
      <formula>U$9&lt;8/24</formula>
    </cfRule>
  </conditionalFormatting>
  <conditionalFormatting sqref="M12:O14 B38:AF38 C51:AG51 C37:AA37 C42:I44 J43:L44 N44:N45 Q12:R14 C39:AA41 J42:AA42 M43:AA43 P44:AA50 S34:AA36 B52:AF56 D11:AF11 S18:AF32 AB34:AF37 AB39:AF50">
    <cfRule type="expression" dxfId="3416" priority="463">
      <formula>B11&gt;$AG11</formula>
    </cfRule>
  </conditionalFormatting>
  <conditionalFormatting sqref="A100:A156 A84:A97 A11:A14 A16:A32 A45:A72 A80:A82 A74:A78 A35:A43 A169:A199">
    <cfRule type="expression" dxfId="3415" priority="462">
      <formula>$AH11=0</formula>
    </cfRule>
  </conditionalFormatting>
  <conditionalFormatting sqref="U98:AC98">
    <cfRule type="expression" dxfId="3414" priority="458">
      <formula>U$9&gt;=20/24</formula>
    </cfRule>
    <cfRule type="expression" dxfId="3413" priority="459">
      <formula>AND(U$9&gt;=14/24,U$9&lt;20/24)</formula>
    </cfRule>
    <cfRule type="expression" dxfId="3412" priority="460">
      <formula>AND(U$9&gt;=8/24,U$9&lt;14/24)</formula>
    </cfRule>
    <cfRule type="expression" dxfId="3411" priority="461">
      <formula>U$9&lt;8/24</formula>
    </cfRule>
  </conditionalFormatting>
  <conditionalFormatting sqref="A98">
    <cfRule type="expression" dxfId="3410" priority="457">
      <formula>$AH98=0</formula>
    </cfRule>
  </conditionalFormatting>
  <conditionalFormatting sqref="M62:M67">
    <cfRule type="expression" dxfId="3409" priority="445">
      <formula>M$9&gt;=20/24</formula>
    </cfRule>
    <cfRule type="expression" dxfId="3408" priority="446">
      <formula>AND(M$9&gt;=14/24,M$9&lt;20/24)</formula>
    </cfRule>
    <cfRule type="expression" dxfId="3407" priority="447">
      <formula>AND(M$9&gt;=8/24,M$9&lt;14/24)</formula>
    </cfRule>
    <cfRule type="expression" dxfId="3406" priority="448">
      <formula>M$9&lt;8/24</formula>
    </cfRule>
  </conditionalFormatting>
  <conditionalFormatting sqref="AL32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S34:AF34">
    <cfRule type="expression" dxfId="3405" priority="432">
      <formula>S$9&gt;=20/24</formula>
    </cfRule>
    <cfRule type="expression" dxfId="3404" priority="433">
      <formula>AND(S$9&gt;=14/24,S$9&lt;20/24)</formula>
    </cfRule>
    <cfRule type="expression" dxfId="3403" priority="434">
      <formula>AND(S$9&gt;=8/24,S$9&lt;14/24)</formula>
    </cfRule>
    <cfRule type="expression" dxfId="3402" priority="435">
      <formula>S$9&lt;8/24</formula>
    </cfRule>
  </conditionalFormatting>
  <conditionalFormatting sqref="A34">
    <cfRule type="expression" dxfId="3401" priority="431">
      <formula>$AH34=0</formula>
    </cfRule>
  </conditionalFormatting>
  <conditionalFormatting sqref="A83">
    <cfRule type="expression" dxfId="3400" priority="430">
      <formula>$AH83=0</formula>
    </cfRule>
  </conditionalFormatting>
  <conditionalFormatting sqref="M15:O15 Q15:R15">
    <cfRule type="expression" dxfId="3399" priority="422">
      <formula>M$9&gt;=20/24</formula>
    </cfRule>
    <cfRule type="expression" dxfId="3398" priority="423">
      <formula>AND(M$9&gt;=14/24,M$9&lt;20/24)</formula>
    </cfRule>
    <cfRule type="expression" dxfId="3397" priority="424">
      <formula>AND(M$9&gt;=8/24,M$9&lt;14/24)</formula>
    </cfRule>
    <cfRule type="expression" dxfId="3396" priority="425">
      <formula>M$9&lt;8/24</formula>
    </cfRule>
  </conditionalFormatting>
  <conditionalFormatting sqref="M15:O15 Q15:R15">
    <cfRule type="expression" dxfId="3395" priority="421">
      <formula>M15&gt;$AG15</formula>
    </cfRule>
  </conditionalFormatting>
  <conditionalFormatting sqref="A15">
    <cfRule type="expression" dxfId="3394" priority="420">
      <formula>$AH15=0</formula>
    </cfRule>
  </conditionalFormatting>
  <conditionalFormatting sqref="A163:A168">
    <cfRule type="expression" dxfId="3393" priority="419">
      <formula>$AH163=0</formula>
    </cfRule>
  </conditionalFormatting>
  <conditionalFormatting sqref="A157:A162">
    <cfRule type="expression" dxfId="3392" priority="418">
      <formula>$AH157=0</formula>
    </cfRule>
  </conditionalFormatting>
  <conditionalFormatting sqref="AC44:AF44">
    <cfRule type="expression" dxfId="3391" priority="414">
      <formula>AC$9&gt;=20/24</formula>
    </cfRule>
    <cfRule type="expression" dxfId="3390" priority="415">
      <formula>AND(AC$9&gt;=14/24,AC$9&lt;20/24)</formula>
    </cfRule>
    <cfRule type="expression" dxfId="3389" priority="416">
      <formula>AND(AC$9&gt;=8/24,AC$9&lt;14/24)</formula>
    </cfRule>
    <cfRule type="expression" dxfId="3388" priority="417">
      <formula>AC$9&lt;8/24</formula>
    </cfRule>
  </conditionalFormatting>
  <conditionalFormatting sqref="N44 P44:R44">
    <cfRule type="expression" dxfId="3387" priority="410">
      <formula>N$9&gt;=20/24</formula>
    </cfRule>
    <cfRule type="expression" dxfId="3386" priority="411">
      <formula>AND(N$9&gt;=14/24,N$9&lt;20/24)</formula>
    </cfRule>
    <cfRule type="expression" dxfId="3385" priority="412">
      <formula>AND(N$9&gt;=8/24,N$9&lt;14/24)</formula>
    </cfRule>
    <cfRule type="expression" dxfId="3384" priority="413">
      <formula>N$9&lt;8/24</formula>
    </cfRule>
  </conditionalFormatting>
  <conditionalFormatting sqref="S44:AF44">
    <cfRule type="expression" dxfId="3383" priority="406">
      <formula>S$9&gt;=20/24</formula>
    </cfRule>
    <cfRule type="expression" dxfId="3382" priority="407">
      <formula>AND(S$9&gt;=14/24,S$9&lt;20/24)</formula>
    </cfRule>
    <cfRule type="expression" dxfId="3381" priority="408">
      <formula>AND(S$9&gt;=8/24,S$9&lt;14/24)</formula>
    </cfRule>
    <cfRule type="expression" dxfId="3380" priority="409">
      <formula>S$9&lt;8/24</formula>
    </cfRule>
  </conditionalFormatting>
  <conditionalFormatting sqref="A44">
    <cfRule type="expression" dxfId="3379" priority="405">
      <formula>$AH44=0</formula>
    </cfRule>
  </conditionalFormatting>
  <conditionalFormatting sqref="A79">
    <cfRule type="expression" dxfId="3378" priority="404">
      <formula>$AH79=0</formula>
    </cfRule>
  </conditionalFormatting>
  <conditionalFormatting sqref="A73">
    <cfRule type="expression" dxfId="3377" priority="403">
      <formula>$AH73=0</formula>
    </cfRule>
  </conditionalFormatting>
  <conditionalFormatting sqref="AL34:AL35 AL7:AL31">
    <cfRule type="iconSet" priority="54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3376" priority="399">
      <formula>U$9&gt;=20/24</formula>
    </cfRule>
    <cfRule type="expression" dxfId="3375" priority="400">
      <formula>AND(U$9&gt;=14/24,U$9&lt;20/24)</formula>
    </cfRule>
    <cfRule type="expression" dxfId="3374" priority="401">
      <formula>AND(U$9&gt;=8/24,U$9&lt;14/24)</formula>
    </cfRule>
    <cfRule type="expression" dxfId="3373" priority="402">
      <formula>U$9&lt;8/24</formula>
    </cfRule>
  </conditionalFormatting>
  <conditionalFormatting sqref="U85:W91">
    <cfRule type="expression" dxfId="3372" priority="395">
      <formula>U$9&gt;=20/24</formula>
    </cfRule>
    <cfRule type="expression" dxfId="3371" priority="396">
      <formula>AND(U$9&gt;=14/24,U$9&lt;20/24)</formula>
    </cfRule>
    <cfRule type="expression" dxfId="3370" priority="397">
      <formula>AND(U$9&gt;=8/24,U$9&lt;14/24)</formula>
    </cfRule>
    <cfRule type="expression" dxfId="3369" priority="398">
      <formula>U$9&lt;8/24</formula>
    </cfRule>
  </conditionalFormatting>
  <conditionalFormatting sqref="S85:T91 C84:R91">
    <cfRule type="expression" dxfId="3368" priority="391">
      <formula>C$9&gt;=20/24</formula>
    </cfRule>
    <cfRule type="expression" dxfId="3367" priority="392">
      <formula>AND(C$9&gt;=14/24,C$9&lt;20/24)</formula>
    </cfRule>
    <cfRule type="expression" dxfId="3366" priority="393">
      <formula>AND(C$9&gt;=8/24,C$9&lt;14/24)</formula>
    </cfRule>
    <cfRule type="expression" dxfId="3365" priority="394">
      <formula>C$9&lt;8/24</formula>
    </cfRule>
  </conditionalFormatting>
  <conditionalFormatting sqref="S84:T84">
    <cfRule type="expression" dxfId="3364" priority="387">
      <formula>S$9&gt;=20/24</formula>
    </cfRule>
    <cfRule type="expression" dxfId="3363" priority="388">
      <formula>AND(S$9&gt;=14/24,S$9&lt;20/24)</formula>
    </cfRule>
    <cfRule type="expression" dxfId="3362" priority="389">
      <formula>AND(S$9&gt;=8/24,S$9&lt;14/24)</formula>
    </cfRule>
    <cfRule type="expression" dxfId="3361" priority="390">
      <formula>S$9&lt;8/24</formula>
    </cfRule>
  </conditionalFormatting>
  <conditionalFormatting sqref="C94:F94 C95:K97 M95:M97">
    <cfRule type="expression" dxfId="3360" priority="383">
      <formula>C$9&gt;=20/24</formula>
    </cfRule>
    <cfRule type="expression" dxfId="3359" priority="384">
      <formula>AND(C$9&gt;=14/24,C$9&lt;20/24)</formula>
    </cfRule>
    <cfRule type="expression" dxfId="3358" priority="385">
      <formula>AND(C$9&gt;=8/24,C$9&lt;14/24)</formula>
    </cfRule>
    <cfRule type="expression" dxfId="3357" priority="386">
      <formula>C$9&lt;8/24</formula>
    </cfRule>
  </conditionalFormatting>
  <conditionalFormatting sqref="N95:R97 O94:R94">
    <cfRule type="expression" dxfId="3356" priority="379">
      <formula>N$9&gt;=20/24</formula>
    </cfRule>
    <cfRule type="expression" dxfId="3355" priority="380">
      <formula>AND(N$9&gt;=14/24,N$9&lt;20/24)</formula>
    </cfRule>
    <cfRule type="expression" dxfId="3354" priority="381">
      <formula>AND(N$9&gt;=8/24,N$9&lt;14/24)</formula>
    </cfRule>
    <cfRule type="expression" dxfId="3353" priority="382">
      <formula>N$9&lt;8/24</formula>
    </cfRule>
  </conditionalFormatting>
  <conditionalFormatting sqref="S94:T97">
    <cfRule type="expression" dxfId="3352" priority="375">
      <formula>S$9&gt;=20/24</formula>
    </cfRule>
    <cfRule type="expression" dxfId="3351" priority="376">
      <formula>AND(S$9&gt;=14/24,S$9&lt;20/24)</formula>
    </cfRule>
    <cfRule type="expression" dxfId="3350" priority="377">
      <formula>AND(S$9&gt;=8/24,S$9&lt;14/24)</formula>
    </cfRule>
    <cfRule type="expression" dxfId="3349" priority="378">
      <formula>S$9&lt;8/24</formula>
    </cfRule>
  </conditionalFormatting>
  <conditionalFormatting sqref="C98:K98 M98">
    <cfRule type="expression" dxfId="3348" priority="371">
      <formula>C$9&gt;=20/24</formula>
    </cfRule>
    <cfRule type="expression" dxfId="3347" priority="372">
      <formula>AND(C$9&gt;=14/24,C$9&lt;20/24)</formula>
    </cfRule>
    <cfRule type="expression" dxfId="3346" priority="373">
      <formula>AND(C$9&gt;=8/24,C$9&lt;14/24)</formula>
    </cfRule>
    <cfRule type="expression" dxfId="3345" priority="374">
      <formula>C$9&lt;8/24</formula>
    </cfRule>
  </conditionalFormatting>
  <conditionalFormatting sqref="N98:R98">
    <cfRule type="expression" dxfId="3344" priority="367">
      <formula>N$9&gt;=20/24</formula>
    </cfRule>
    <cfRule type="expression" dxfId="3343" priority="368">
      <formula>AND(N$9&gt;=14/24,N$9&lt;20/24)</formula>
    </cfRule>
    <cfRule type="expression" dxfId="3342" priority="369">
      <formula>AND(N$9&gt;=8/24,N$9&lt;14/24)</formula>
    </cfRule>
    <cfRule type="expression" dxfId="3341" priority="370">
      <formula>N$9&lt;8/24</formula>
    </cfRule>
  </conditionalFormatting>
  <conditionalFormatting sqref="S98:T98">
    <cfRule type="expression" dxfId="3340" priority="363">
      <formula>S$9&gt;=20/24</formula>
    </cfRule>
    <cfRule type="expression" dxfId="3339" priority="364">
      <formula>AND(S$9&gt;=14/24,S$9&lt;20/24)</formula>
    </cfRule>
    <cfRule type="expression" dxfId="3338" priority="365">
      <formula>AND(S$9&gt;=8/24,S$9&lt;14/24)</formula>
    </cfRule>
    <cfRule type="expression" dxfId="3337" priority="366">
      <formula>S$9&lt;8/24</formula>
    </cfRule>
  </conditionalFormatting>
  <conditionalFormatting sqref="M94:N94">
    <cfRule type="expression" dxfId="3336" priority="359">
      <formula>M$9&gt;=20/24</formula>
    </cfRule>
    <cfRule type="expression" dxfId="3335" priority="360">
      <formula>AND(M$9&gt;=14/24,M$9&lt;20/24)</formula>
    </cfRule>
    <cfRule type="expression" dxfId="3334" priority="361">
      <formula>AND(M$9&gt;=8/24,M$9&lt;14/24)</formula>
    </cfRule>
    <cfRule type="expression" dxfId="3333" priority="362">
      <formula>M$9&lt;8/24</formula>
    </cfRule>
  </conditionalFormatting>
  <conditionalFormatting sqref="G94:K94">
    <cfRule type="expression" dxfId="3332" priority="355">
      <formula>G$9&gt;=20/24</formula>
    </cfRule>
    <cfRule type="expression" dxfId="3331" priority="356">
      <formula>AND(G$9&gt;=14/24,G$9&lt;20/24)</formula>
    </cfRule>
    <cfRule type="expression" dxfId="3330" priority="357">
      <formula>AND(G$9&gt;=8/24,G$9&lt;14/24)</formula>
    </cfRule>
    <cfRule type="expression" dxfId="3329" priority="358">
      <formula>G$9&lt;8/24</formula>
    </cfRule>
  </conditionalFormatting>
  <conditionalFormatting sqref="U94:W94">
    <cfRule type="expression" dxfId="3328" priority="351">
      <formula>U$9&gt;=20/24</formula>
    </cfRule>
    <cfRule type="expression" dxfId="3327" priority="352">
      <formula>AND(U$9&gt;=14/24,U$9&lt;20/24)</formula>
    </cfRule>
    <cfRule type="expression" dxfId="3326" priority="353">
      <formula>AND(U$9&gt;=8/24,U$9&lt;14/24)</formula>
    </cfRule>
    <cfRule type="expression" dxfId="3325" priority="354">
      <formula>U$9&lt;8/24</formula>
    </cfRule>
  </conditionalFormatting>
  <conditionalFormatting sqref="N94:T94">
    <cfRule type="expression" dxfId="3324" priority="347">
      <formula>N$9&gt;=20/24</formula>
    </cfRule>
    <cfRule type="expression" dxfId="3323" priority="348">
      <formula>AND(N$9&gt;=14/24,N$9&lt;20/24)</formula>
    </cfRule>
    <cfRule type="expression" dxfId="3322" priority="349">
      <formula>AND(N$9&gt;=8/24,N$9&lt;14/24)</formula>
    </cfRule>
    <cfRule type="expression" dxfId="3321" priority="350">
      <formula>N$9&lt;8/24</formula>
    </cfRule>
  </conditionalFormatting>
  <conditionalFormatting sqref="U99:AC99">
    <cfRule type="expression" dxfId="3320" priority="343">
      <formula>U$9&gt;=20/24</formula>
    </cfRule>
    <cfRule type="expression" dxfId="3319" priority="344">
      <formula>AND(U$9&gt;=14/24,U$9&lt;20/24)</formula>
    </cfRule>
    <cfRule type="expression" dxfId="3318" priority="345">
      <formula>AND(U$9&gt;=8/24,U$9&lt;14/24)</formula>
    </cfRule>
    <cfRule type="expression" dxfId="3317" priority="346">
      <formula>U$9&lt;8/24</formula>
    </cfRule>
  </conditionalFormatting>
  <conditionalFormatting sqref="C99:K99 M99">
    <cfRule type="expression" dxfId="3316" priority="339">
      <formula>C$9&gt;=20/24</formula>
    </cfRule>
    <cfRule type="expression" dxfId="3315" priority="340">
      <formula>AND(C$9&gt;=14/24,C$9&lt;20/24)</formula>
    </cfRule>
    <cfRule type="expression" dxfId="3314" priority="341">
      <formula>AND(C$9&gt;=8/24,C$9&lt;14/24)</formula>
    </cfRule>
    <cfRule type="expression" dxfId="3313" priority="342">
      <formula>C$9&lt;8/24</formula>
    </cfRule>
  </conditionalFormatting>
  <conditionalFormatting sqref="N99:R99">
    <cfRule type="expression" dxfId="3312" priority="335">
      <formula>N$9&gt;=20/24</formula>
    </cfRule>
    <cfRule type="expression" dxfId="3311" priority="336">
      <formula>AND(N$9&gt;=14/24,N$9&lt;20/24)</formula>
    </cfRule>
    <cfRule type="expression" dxfId="3310" priority="337">
      <formula>AND(N$9&gt;=8/24,N$9&lt;14/24)</formula>
    </cfRule>
    <cfRule type="expression" dxfId="3309" priority="338">
      <formula>N$9&lt;8/24</formula>
    </cfRule>
  </conditionalFormatting>
  <conditionalFormatting sqref="S99:T99">
    <cfRule type="expression" dxfId="3308" priority="331">
      <formula>S$9&gt;=20/24</formula>
    </cfRule>
    <cfRule type="expression" dxfId="3307" priority="332">
      <formula>AND(S$9&gt;=14/24,S$9&lt;20/24)</formula>
    </cfRule>
    <cfRule type="expression" dxfId="3306" priority="333">
      <formula>AND(S$9&gt;=8/24,S$9&lt;14/24)</formula>
    </cfRule>
    <cfRule type="expression" dxfId="3305" priority="334">
      <formula>S$9&lt;8/24</formula>
    </cfRule>
  </conditionalFormatting>
  <conditionalFormatting sqref="S12:AF16">
    <cfRule type="expression" dxfId="3304" priority="327">
      <formula>S$9&gt;=20/24</formula>
    </cfRule>
    <cfRule type="expression" dxfId="3303" priority="328">
      <formula>AND(S$9&gt;=14/24,S$9&lt;20/24)</formula>
    </cfRule>
    <cfRule type="expression" dxfId="3302" priority="329">
      <formula>AND(S$9&gt;=8/24,S$9&lt;14/24)</formula>
    </cfRule>
    <cfRule type="expression" dxfId="3301" priority="330">
      <formula>S$9&lt;8/24</formula>
    </cfRule>
  </conditionalFormatting>
  <conditionalFormatting sqref="S17:AF17">
    <cfRule type="expression" dxfId="3300" priority="323">
      <formula>S$9&gt;=20/24</formula>
    </cfRule>
    <cfRule type="expression" dxfId="3299" priority="324">
      <formula>AND(S$9&gt;=14/24,S$9&lt;20/24)</formula>
    </cfRule>
    <cfRule type="expression" dxfId="3298" priority="325">
      <formula>AND(S$9&gt;=8/24,S$9&lt;14/24)</formula>
    </cfRule>
    <cfRule type="expression" dxfId="3297" priority="326">
      <formula>S$9&lt;8/24</formula>
    </cfRule>
  </conditionalFormatting>
  <conditionalFormatting sqref="S12:AF13">
    <cfRule type="expression" dxfId="3296" priority="319">
      <formula>S$9&gt;=20/24</formula>
    </cfRule>
    <cfRule type="expression" dxfId="3295" priority="320">
      <formula>AND(S$9&gt;=14/24,S$9&lt;20/24)</formula>
    </cfRule>
    <cfRule type="expression" dxfId="3294" priority="321">
      <formula>AND(S$9&gt;=8/24,S$9&lt;14/24)</formula>
    </cfRule>
    <cfRule type="expression" dxfId="3293" priority="322">
      <formula>S$9&lt;8/24</formula>
    </cfRule>
  </conditionalFormatting>
  <conditionalFormatting sqref="AD58:AF59">
    <cfRule type="expression" dxfId="3292" priority="315">
      <formula>AD$9&gt;=20/24</formula>
    </cfRule>
    <cfRule type="expression" dxfId="3291" priority="316">
      <formula>AND(AD$9&gt;=14/24,AD$9&lt;20/24)</formula>
    </cfRule>
    <cfRule type="expression" dxfId="3290" priority="317">
      <formula>AND(AD$9&gt;=8/24,AD$9&lt;14/24)</formula>
    </cfRule>
    <cfRule type="expression" dxfId="3289" priority="318">
      <formula>AD$9&lt;8/24</formula>
    </cfRule>
  </conditionalFormatting>
  <conditionalFormatting sqref="AL33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88" priority="548">
      <formula>C$9&gt;=20/24</formula>
    </cfRule>
    <cfRule type="expression" dxfId="3287" priority="549">
      <formula>AND(C$9&gt;=14/24,C$9&lt;20/24)</formula>
    </cfRule>
    <cfRule type="expression" dxfId="3286" priority="550">
      <formula>AND(C$9&gt;=8/24,C$9&lt;14/24)</formula>
    </cfRule>
    <cfRule type="expression" dxfId="3285" priority="551">
      <formula>C$9&lt;8/24</formula>
    </cfRule>
  </conditionalFormatting>
  <conditionalFormatting sqref="A200">
    <cfRule type="expression" dxfId="3284" priority="552">
      <formula>$AH200=0</formula>
    </cfRule>
  </conditionalFormatting>
  <conditionalFormatting sqref="AG212">
    <cfRule type="expression" dxfId="3283" priority="553">
      <formula>B$9&gt;=20/24</formula>
    </cfRule>
    <cfRule type="expression" dxfId="3282" priority="554">
      <formula>AND(B$9&gt;=14/24,B$9&lt;20/24)</formula>
    </cfRule>
    <cfRule type="expression" dxfId="3281" priority="555">
      <formula>AND(B$9&gt;=8/24,B$9&lt;14/24)</formula>
    </cfRule>
    <cfRule type="expression" dxfId="3280" priority="556">
      <formula>B$9&lt;8/24</formula>
    </cfRule>
  </conditionalFormatting>
  <conditionalFormatting sqref="S8">
    <cfRule type="expression" dxfId="3279" priority="309">
      <formula>U$9&gt;=20/24</formula>
    </cfRule>
    <cfRule type="expression" dxfId="3278" priority="310">
      <formula>AND(U$9&gt;=14/24,U$9&lt;20/24)</formula>
    </cfRule>
    <cfRule type="expression" dxfId="3277" priority="311">
      <formula>AND(U$9&gt;=8/24,U$9&lt;14/24)</formula>
    </cfRule>
    <cfRule type="expression" dxfId="3276" priority="312">
      <formula>U$9&lt;8/24</formula>
    </cfRule>
  </conditionalFormatting>
  <conditionalFormatting sqref="AB8">
    <cfRule type="expression" dxfId="3275" priority="305">
      <formula>AD$9&gt;=20/24</formula>
    </cfRule>
    <cfRule type="expression" dxfId="3274" priority="306">
      <formula>AND(AD$9&gt;=14/24,AD$9&lt;20/24)</formula>
    </cfRule>
    <cfRule type="expression" dxfId="3273" priority="307">
      <formula>AND(AD$9&gt;=8/24,AD$9&lt;14/24)</formula>
    </cfRule>
    <cfRule type="expression" dxfId="3272" priority="308">
      <formula>AD$9&lt;8/24</formula>
    </cfRule>
  </conditionalFormatting>
  <conditionalFormatting sqref="AH212:AX212">
    <cfRule type="expression" dxfId="3271" priority="557">
      <formula>AG$9&gt;=20/24</formula>
    </cfRule>
    <cfRule type="expression" dxfId="3270" priority="558">
      <formula>AND(AG$9&gt;=14/24,AG$9&lt;20/24)</formula>
    </cfRule>
    <cfRule type="expression" dxfId="3269" priority="559">
      <formula>AND(AG$9&gt;=8/24,AG$9&lt;14/24)</formula>
    </cfRule>
    <cfRule type="expression" dxfId="3268" priority="560">
      <formula>AG$9&lt;8/24</formula>
    </cfRule>
  </conditionalFormatting>
  <conditionalFormatting sqref="T212">
    <cfRule type="expression" dxfId="3267" priority="561">
      <formula>AX$9&gt;=20/24</formula>
    </cfRule>
    <cfRule type="expression" dxfId="3266" priority="562">
      <formula>AND(AX$9&gt;=14/24,AX$9&lt;20/24)</formula>
    </cfRule>
    <cfRule type="expression" dxfId="3265" priority="563">
      <formula>AND(AX$9&gt;=8/24,AX$9&lt;14/24)</formula>
    </cfRule>
    <cfRule type="expression" dxfId="3264" priority="564">
      <formula>AX$9&lt;8/24</formula>
    </cfRule>
  </conditionalFormatting>
  <conditionalFormatting sqref="A99">
    <cfRule type="expression" dxfId="3263" priority="304">
      <formula>$AH99=0</formula>
    </cfRule>
  </conditionalFormatting>
  <conditionalFormatting sqref="S33:AF33">
    <cfRule type="expression" dxfId="3262" priority="292">
      <formula>S$9&gt;=20/24</formula>
    </cfRule>
    <cfRule type="expression" dxfId="3261" priority="293">
      <formula>AND(S$9&gt;=14/24,S$9&lt;20/24)</formula>
    </cfRule>
    <cfRule type="expression" dxfId="3260" priority="294">
      <formula>AND(S$9&gt;=8/24,S$9&lt;14/24)</formula>
    </cfRule>
    <cfRule type="expression" dxfId="3259" priority="295">
      <formula>S$9&lt;8/24</formula>
    </cfRule>
  </conditionalFormatting>
  <conditionalFormatting sqref="S33:AF33">
    <cfRule type="expression" dxfId="3258" priority="291">
      <formula>S33&gt;$AG33</formula>
    </cfRule>
  </conditionalFormatting>
  <conditionalFormatting sqref="B12:L12 B36:L36 B18:L30">
    <cfRule type="expression" dxfId="3257" priority="287">
      <formula>B$9&gt;=20/24</formula>
    </cfRule>
    <cfRule type="expression" dxfId="3256" priority="288">
      <formula>AND(B$9&gt;=14/24,B$9&lt;20/24)</formula>
    </cfRule>
    <cfRule type="expression" dxfId="3255" priority="289">
      <formula>AND(B$9&gt;=8/24,B$9&lt;14/24)</formula>
    </cfRule>
    <cfRule type="expression" dxfId="3254" priority="290">
      <formula>B$9&lt;8/24</formula>
    </cfRule>
  </conditionalFormatting>
  <conditionalFormatting sqref="B31:L32 B35:L35">
    <cfRule type="expression" dxfId="3253" priority="283">
      <formula>B$9&gt;=20/24</formula>
    </cfRule>
    <cfRule type="expression" dxfId="3252" priority="284">
      <formula>AND(B$9&gt;=14/24,B$9&lt;20/24)</formula>
    </cfRule>
    <cfRule type="expression" dxfId="3251" priority="285">
      <formula>AND(B$9&gt;=8/24,B$9&lt;14/24)</formula>
    </cfRule>
    <cfRule type="expression" dxfId="3250" priority="286">
      <formula>B$9&lt;8/24</formula>
    </cfRule>
  </conditionalFormatting>
  <conditionalFormatting sqref="B34:B37 B11:C12 D12:L12 C34:L36 B18:L32">
    <cfRule type="expression" dxfId="3249" priority="282">
      <formula>B11&gt;$AG11</formula>
    </cfRule>
  </conditionalFormatting>
  <conditionalFormatting sqref="B34:L34">
    <cfRule type="expression" dxfId="3248" priority="278">
      <formula>B$9&gt;=20/24</formula>
    </cfRule>
    <cfRule type="expression" dxfId="3247" priority="279">
      <formula>AND(B$9&gt;=14/24,B$9&lt;20/24)</formula>
    </cfRule>
    <cfRule type="expression" dxfId="3246" priority="280">
      <formula>AND(B$9&gt;=8/24,B$9&lt;14/24)</formula>
    </cfRule>
    <cfRule type="expression" dxfId="3245" priority="281">
      <formula>B$9&lt;8/24</formula>
    </cfRule>
  </conditionalFormatting>
  <conditionalFormatting sqref="B13:L16">
    <cfRule type="expression" dxfId="3244" priority="274">
      <formula>B$9&gt;=20/24</formula>
    </cfRule>
    <cfRule type="expression" dxfId="3243" priority="275">
      <formula>AND(B$9&gt;=14/24,B$9&lt;20/24)</formula>
    </cfRule>
    <cfRule type="expression" dxfId="3242" priority="276">
      <formula>AND(B$9&gt;=8/24,B$9&lt;14/24)</formula>
    </cfRule>
    <cfRule type="expression" dxfId="3241" priority="277">
      <formula>B$9&lt;8/24</formula>
    </cfRule>
  </conditionalFormatting>
  <conditionalFormatting sqref="B17:L17">
    <cfRule type="expression" dxfId="3240" priority="270">
      <formula>B$9&gt;=20/24</formula>
    </cfRule>
    <cfRule type="expression" dxfId="3239" priority="271">
      <formula>AND(B$9&gt;=14/24,B$9&lt;20/24)</formula>
    </cfRule>
    <cfRule type="expression" dxfId="3238" priority="272">
      <formula>AND(B$9&gt;=8/24,B$9&lt;14/24)</formula>
    </cfRule>
    <cfRule type="expression" dxfId="3237" priority="273">
      <formula>B$9&lt;8/24</formula>
    </cfRule>
  </conditionalFormatting>
  <conditionalFormatting sqref="B13:L13">
    <cfRule type="expression" dxfId="3236" priority="266">
      <formula>B$9&gt;=20/24</formula>
    </cfRule>
    <cfRule type="expression" dxfId="3235" priority="267">
      <formula>AND(B$9&gt;=14/24,B$9&lt;20/24)</formula>
    </cfRule>
    <cfRule type="expression" dxfId="3234" priority="268">
      <formula>AND(B$9&gt;=8/24,B$9&lt;14/24)</formula>
    </cfRule>
    <cfRule type="expression" dxfId="3233" priority="269">
      <formula>B$9&lt;8/24</formula>
    </cfRule>
  </conditionalFormatting>
  <conditionalFormatting sqref="B33:L33">
    <cfRule type="expression" dxfId="3232" priority="262">
      <formula>B$9&gt;=20/24</formula>
    </cfRule>
    <cfRule type="expression" dxfId="3231" priority="263">
      <formula>AND(B$9&gt;=14/24,B$9&lt;20/24)</formula>
    </cfRule>
    <cfRule type="expression" dxfId="3230" priority="264">
      <formula>AND(B$9&gt;=8/24,B$9&lt;14/24)</formula>
    </cfRule>
    <cfRule type="expression" dxfId="3229" priority="265">
      <formula>B$9&lt;8/24</formula>
    </cfRule>
  </conditionalFormatting>
  <conditionalFormatting sqref="B33:L33">
    <cfRule type="expression" dxfId="3228" priority="261">
      <formula>B33&gt;$AG33</formula>
    </cfRule>
  </conditionalFormatting>
  <conditionalFormatting sqref="B41:B43">
    <cfRule type="expression" dxfId="3227" priority="257">
      <formula>B$9&gt;=20/24</formula>
    </cfRule>
    <cfRule type="expression" dxfId="3226" priority="258">
      <formula>AND(B$9&gt;=14/24,B$9&lt;20/24)</formula>
    </cfRule>
    <cfRule type="expression" dxfId="3225" priority="259">
      <formula>AND(B$9&gt;=8/24,B$9&lt;14/24)</formula>
    </cfRule>
    <cfRule type="expression" dxfId="3224" priority="260">
      <formula>B$9&lt;8/24</formula>
    </cfRule>
  </conditionalFormatting>
  <conditionalFormatting sqref="B45:L48">
    <cfRule type="expression" dxfId="3223" priority="253">
      <formula>B$9&gt;=20/24</formula>
    </cfRule>
    <cfRule type="expression" dxfId="3222" priority="254">
      <formula>AND(B$9&gt;=14/24,B$9&lt;20/24)</formula>
    </cfRule>
    <cfRule type="expression" dxfId="3221" priority="255">
      <formula>AND(B$9&gt;=8/24,B$9&lt;14/24)</formula>
    </cfRule>
    <cfRule type="expression" dxfId="3220" priority="256">
      <formula>B$9&lt;8/24</formula>
    </cfRule>
  </conditionalFormatting>
  <conditionalFormatting sqref="B49:L49">
    <cfRule type="expression" dxfId="3219" priority="249">
      <formula>B$9&gt;=20/24</formula>
    </cfRule>
    <cfRule type="expression" dxfId="3218" priority="250">
      <formula>AND(B$9&gt;=14/24,B$9&lt;20/24)</formula>
    </cfRule>
    <cfRule type="expression" dxfId="3217" priority="251">
      <formula>AND(B$9&gt;=8/24,B$9&lt;14/24)</formula>
    </cfRule>
    <cfRule type="expression" dxfId="3216" priority="252">
      <formula>B$9&lt;8/24</formula>
    </cfRule>
  </conditionalFormatting>
  <conditionalFormatting sqref="B50:L50">
    <cfRule type="expression" dxfId="3215" priority="245">
      <formula>B$9&gt;=20/24</formula>
    </cfRule>
    <cfRule type="expression" dxfId="3214" priority="246">
      <formula>AND(B$9&gt;=14/24,B$9&lt;20/24)</formula>
    </cfRule>
    <cfRule type="expression" dxfId="3213" priority="247">
      <formula>AND(B$9&gt;=8/24,B$9&lt;14/24)</formula>
    </cfRule>
    <cfRule type="expression" dxfId="3212" priority="248">
      <formula>B$9&lt;8/24</formula>
    </cfRule>
  </conditionalFormatting>
  <conditionalFormatting sqref="B39:B51 C45:L50">
    <cfRule type="expression" dxfId="3211" priority="244">
      <formula>B39&gt;$AG39</formula>
    </cfRule>
  </conditionalFormatting>
  <conditionalFormatting sqref="B44">
    <cfRule type="expression" dxfId="3210" priority="240">
      <formula>B$9&gt;=20/24</formula>
    </cfRule>
    <cfRule type="expression" dxfId="3209" priority="241">
      <formula>AND(B$9&gt;=14/24,B$9&lt;20/24)</formula>
    </cfRule>
    <cfRule type="expression" dxfId="3208" priority="242">
      <formula>AND(B$9&gt;=8/24,B$9&lt;14/24)</formula>
    </cfRule>
    <cfRule type="expression" dxfId="3207" priority="243">
      <formula>B$9&lt;8/24</formula>
    </cfRule>
  </conditionalFormatting>
  <conditionalFormatting sqref="B44">
    <cfRule type="expression" dxfId="3206" priority="236">
      <formula>B$9&gt;=20/24</formula>
    </cfRule>
    <cfRule type="expression" dxfId="3205" priority="237">
      <formula>AND(B$9&gt;=14/24,B$9&lt;20/24)</formula>
    </cfRule>
    <cfRule type="expression" dxfId="3204" priority="238">
      <formula>AND(B$9&gt;=8/24,B$9&lt;14/24)</formula>
    </cfRule>
    <cfRule type="expression" dxfId="3203" priority="239">
      <formula>B$9&lt;8/24</formula>
    </cfRule>
  </conditionalFormatting>
  <conditionalFormatting sqref="M36 M18:M30">
    <cfRule type="expression" dxfId="3202" priority="232">
      <formula>M$9&gt;=20/24</formula>
    </cfRule>
    <cfRule type="expression" dxfId="3201" priority="233">
      <formula>AND(M$9&gt;=14/24,M$9&lt;20/24)</formula>
    </cfRule>
    <cfRule type="expression" dxfId="3200" priority="234">
      <formula>AND(M$9&gt;=8/24,M$9&lt;14/24)</formula>
    </cfRule>
    <cfRule type="expression" dxfId="3199" priority="235">
      <formula>M$9&lt;8/24</formula>
    </cfRule>
  </conditionalFormatting>
  <conditionalFormatting sqref="M31:M32 M35">
    <cfRule type="expression" dxfId="3198" priority="228">
      <formula>M$9&gt;=20/24</formula>
    </cfRule>
    <cfRule type="expression" dxfId="3197" priority="229">
      <formula>AND(M$9&gt;=14/24,M$9&lt;20/24)</formula>
    </cfRule>
    <cfRule type="expression" dxfId="3196" priority="230">
      <formula>AND(M$9&gt;=8/24,M$9&lt;14/24)</formula>
    </cfRule>
    <cfRule type="expression" dxfId="3195" priority="231">
      <formula>M$9&lt;8/24</formula>
    </cfRule>
  </conditionalFormatting>
  <conditionalFormatting sqref="M34:M36 M18:M32">
    <cfRule type="expression" dxfId="3194" priority="227">
      <formula>M18&gt;$AG18</formula>
    </cfRule>
  </conditionalFormatting>
  <conditionalFormatting sqref="M34">
    <cfRule type="expression" dxfId="3193" priority="223">
      <formula>M$9&gt;=20/24</formula>
    </cfRule>
    <cfRule type="expression" dxfId="3192" priority="224">
      <formula>AND(M$9&gt;=14/24,M$9&lt;20/24)</formula>
    </cfRule>
    <cfRule type="expression" dxfId="3191" priority="225">
      <formula>AND(M$9&gt;=8/24,M$9&lt;14/24)</formula>
    </cfRule>
    <cfRule type="expression" dxfId="3190" priority="226">
      <formula>M$9&lt;8/24</formula>
    </cfRule>
  </conditionalFormatting>
  <conditionalFormatting sqref="M16">
    <cfRule type="expression" dxfId="3189" priority="219">
      <formula>M$9&gt;=20/24</formula>
    </cfRule>
    <cfRule type="expression" dxfId="3188" priority="220">
      <formula>AND(M$9&gt;=14/24,M$9&lt;20/24)</formula>
    </cfRule>
    <cfRule type="expression" dxfId="3187" priority="221">
      <formula>AND(M$9&gt;=8/24,M$9&lt;14/24)</formula>
    </cfRule>
    <cfRule type="expression" dxfId="3186" priority="222">
      <formula>M$9&lt;8/24</formula>
    </cfRule>
  </conditionalFormatting>
  <conditionalFormatting sqref="M17">
    <cfRule type="expression" dxfId="3185" priority="215">
      <formula>M$9&gt;=20/24</formula>
    </cfRule>
    <cfRule type="expression" dxfId="3184" priority="216">
      <formula>AND(M$9&gt;=14/24,M$9&lt;20/24)</formula>
    </cfRule>
    <cfRule type="expression" dxfId="3183" priority="217">
      <formula>AND(M$9&gt;=8/24,M$9&lt;14/24)</formula>
    </cfRule>
    <cfRule type="expression" dxfId="3182" priority="218">
      <formula>M$9&lt;8/24</formula>
    </cfRule>
  </conditionalFormatting>
  <conditionalFormatting sqref="M33">
    <cfRule type="expression" dxfId="3181" priority="211">
      <formula>M$9&gt;=20/24</formula>
    </cfRule>
    <cfRule type="expression" dxfId="3180" priority="212">
      <formula>AND(M$9&gt;=14/24,M$9&lt;20/24)</formula>
    </cfRule>
    <cfRule type="expression" dxfId="3179" priority="213">
      <formula>AND(M$9&gt;=8/24,M$9&lt;14/24)</formula>
    </cfRule>
    <cfRule type="expression" dxfId="3178" priority="214">
      <formula>M$9&lt;8/24</formula>
    </cfRule>
  </conditionalFormatting>
  <conditionalFormatting sqref="M33">
    <cfRule type="expression" dxfId="3177" priority="210">
      <formula>M33&gt;$AG33</formula>
    </cfRule>
  </conditionalFormatting>
  <conditionalFormatting sqref="M44">
    <cfRule type="expression" dxfId="3176" priority="209">
      <formula>M44&gt;$AG44</formula>
    </cfRule>
  </conditionalFormatting>
  <conditionalFormatting sqref="M45:M48">
    <cfRule type="expression" dxfId="3175" priority="205">
      <formula>M$9&gt;=20/24</formula>
    </cfRule>
    <cfRule type="expression" dxfId="3174" priority="206">
      <formula>AND(M$9&gt;=14/24,M$9&lt;20/24)</formula>
    </cfRule>
    <cfRule type="expression" dxfId="3173" priority="207">
      <formula>AND(M$9&gt;=8/24,M$9&lt;14/24)</formula>
    </cfRule>
    <cfRule type="expression" dxfId="3172" priority="208">
      <formula>M$9&lt;8/24</formula>
    </cfRule>
  </conditionalFormatting>
  <conditionalFormatting sqref="M49">
    <cfRule type="expression" dxfId="3171" priority="201">
      <formula>M$9&gt;=20/24</formula>
    </cfRule>
    <cfRule type="expression" dxfId="3170" priority="202">
      <formula>AND(M$9&gt;=14/24,M$9&lt;20/24)</formula>
    </cfRule>
    <cfRule type="expression" dxfId="3169" priority="203">
      <formula>AND(M$9&gt;=8/24,M$9&lt;14/24)</formula>
    </cfRule>
    <cfRule type="expression" dxfId="3168" priority="204">
      <formula>M$9&lt;8/24</formula>
    </cfRule>
  </conditionalFormatting>
  <conditionalFormatting sqref="M50">
    <cfRule type="expression" dxfId="3167" priority="197">
      <formula>M$9&gt;=20/24</formula>
    </cfRule>
    <cfRule type="expression" dxfId="3166" priority="198">
      <formula>AND(M$9&gt;=14/24,M$9&lt;20/24)</formula>
    </cfRule>
    <cfRule type="expression" dxfId="3165" priority="199">
      <formula>AND(M$9&gt;=8/24,M$9&lt;14/24)</formula>
    </cfRule>
    <cfRule type="expression" dxfId="3164" priority="200">
      <formula>M$9&lt;8/24</formula>
    </cfRule>
  </conditionalFormatting>
  <conditionalFormatting sqref="M45:M50">
    <cfRule type="expression" dxfId="3163" priority="196">
      <formula>M45&gt;$AG45</formula>
    </cfRule>
  </conditionalFormatting>
  <conditionalFormatting sqref="L95:L97">
    <cfRule type="expression" dxfId="3162" priority="192">
      <formula>L$9&gt;=20/24</formula>
    </cfRule>
    <cfRule type="expression" dxfId="3161" priority="193">
      <formula>AND(L$9&gt;=14/24,L$9&lt;20/24)</formula>
    </cfRule>
    <cfRule type="expression" dxfId="3160" priority="194">
      <formula>AND(L$9&gt;=8/24,L$9&lt;14/24)</formula>
    </cfRule>
    <cfRule type="expression" dxfId="3159" priority="195">
      <formula>L$9&lt;8/24</formula>
    </cfRule>
  </conditionalFormatting>
  <conditionalFormatting sqref="L98">
    <cfRule type="expression" dxfId="3158" priority="188">
      <formula>L$9&gt;=20/24</formula>
    </cfRule>
    <cfRule type="expression" dxfId="3157" priority="189">
      <formula>AND(L$9&gt;=14/24,L$9&lt;20/24)</formula>
    </cfRule>
    <cfRule type="expression" dxfId="3156" priority="190">
      <formula>AND(L$9&gt;=8/24,L$9&lt;14/24)</formula>
    </cfRule>
    <cfRule type="expression" dxfId="3155" priority="191">
      <formula>L$9&lt;8/24</formula>
    </cfRule>
  </conditionalFormatting>
  <conditionalFormatting sqref="L94">
    <cfRule type="expression" dxfId="3154" priority="184">
      <formula>L$9&gt;=20/24</formula>
    </cfRule>
    <cfRule type="expression" dxfId="3153" priority="185">
      <formula>AND(L$9&gt;=14/24,L$9&lt;20/24)</formula>
    </cfRule>
    <cfRule type="expression" dxfId="3152" priority="186">
      <formula>AND(L$9&gt;=8/24,L$9&lt;14/24)</formula>
    </cfRule>
    <cfRule type="expression" dxfId="3151" priority="187">
      <formula>L$9&lt;8/24</formula>
    </cfRule>
  </conditionalFormatting>
  <conditionalFormatting sqref="L99">
    <cfRule type="expression" dxfId="3150" priority="180">
      <formula>L$9&gt;=20/24</formula>
    </cfRule>
    <cfRule type="expression" dxfId="3149" priority="181">
      <formula>AND(L$9&gt;=14/24,L$9&lt;20/24)</formula>
    </cfRule>
    <cfRule type="expression" dxfId="3148" priority="182">
      <formula>AND(L$9&gt;=8/24,L$9&lt;14/24)</formula>
    </cfRule>
    <cfRule type="expression" dxfId="3147" priority="183">
      <formula>L$9&lt;8/24</formula>
    </cfRule>
  </conditionalFormatting>
  <conditionalFormatting sqref="N36 N18:N30">
    <cfRule type="expression" dxfId="3146" priority="176">
      <formula>N$9&gt;=20/24</formula>
    </cfRule>
    <cfRule type="expression" dxfId="3145" priority="177">
      <formula>AND(N$9&gt;=14/24,N$9&lt;20/24)</formula>
    </cfRule>
    <cfRule type="expression" dxfId="3144" priority="178">
      <formula>AND(N$9&gt;=8/24,N$9&lt;14/24)</formula>
    </cfRule>
    <cfRule type="expression" dxfId="3143" priority="179">
      <formula>N$9&lt;8/24</formula>
    </cfRule>
  </conditionalFormatting>
  <conditionalFormatting sqref="N31:N32 N35">
    <cfRule type="expression" dxfId="3142" priority="172">
      <formula>N$9&gt;=20/24</formula>
    </cfRule>
    <cfRule type="expression" dxfId="3141" priority="173">
      <formula>AND(N$9&gt;=14/24,N$9&lt;20/24)</formula>
    </cfRule>
    <cfRule type="expression" dxfId="3140" priority="174">
      <formula>AND(N$9&gt;=8/24,N$9&lt;14/24)</formula>
    </cfRule>
    <cfRule type="expression" dxfId="3139" priority="175">
      <formula>N$9&lt;8/24</formula>
    </cfRule>
  </conditionalFormatting>
  <conditionalFormatting sqref="N34:N36 N18:N32">
    <cfRule type="expression" dxfId="3138" priority="171">
      <formula>N18&gt;$AG18</formula>
    </cfRule>
  </conditionalFormatting>
  <conditionalFormatting sqref="N34">
    <cfRule type="expression" dxfId="3137" priority="167">
      <formula>N$9&gt;=20/24</formula>
    </cfRule>
    <cfRule type="expression" dxfId="3136" priority="168">
      <formula>AND(N$9&gt;=14/24,N$9&lt;20/24)</formula>
    </cfRule>
    <cfRule type="expression" dxfId="3135" priority="169">
      <formula>AND(N$9&gt;=8/24,N$9&lt;14/24)</formula>
    </cfRule>
    <cfRule type="expression" dxfId="3134" priority="170">
      <formula>N$9&lt;8/24</formula>
    </cfRule>
  </conditionalFormatting>
  <conditionalFormatting sqref="N16">
    <cfRule type="expression" dxfId="3133" priority="163">
      <formula>N$9&gt;=20/24</formula>
    </cfRule>
    <cfRule type="expression" dxfId="3132" priority="164">
      <formula>AND(N$9&gt;=14/24,N$9&lt;20/24)</formula>
    </cfRule>
    <cfRule type="expression" dxfId="3131" priority="165">
      <formula>AND(N$9&gt;=8/24,N$9&lt;14/24)</formula>
    </cfRule>
    <cfRule type="expression" dxfId="3130" priority="166">
      <formula>N$9&lt;8/24</formula>
    </cfRule>
  </conditionalFormatting>
  <conditionalFormatting sqref="N17">
    <cfRule type="expression" dxfId="3129" priority="159">
      <formula>N$9&gt;=20/24</formula>
    </cfRule>
    <cfRule type="expression" dxfId="3128" priority="160">
      <formula>AND(N$9&gt;=14/24,N$9&lt;20/24)</formula>
    </cfRule>
    <cfRule type="expression" dxfId="3127" priority="161">
      <formula>AND(N$9&gt;=8/24,N$9&lt;14/24)</formula>
    </cfRule>
    <cfRule type="expression" dxfId="3126" priority="162">
      <formula>N$9&lt;8/24</formula>
    </cfRule>
  </conditionalFormatting>
  <conditionalFormatting sqref="N33">
    <cfRule type="expression" dxfId="3125" priority="155">
      <formula>N$9&gt;=20/24</formula>
    </cfRule>
    <cfRule type="expression" dxfId="3124" priority="156">
      <formula>AND(N$9&gt;=14/24,N$9&lt;20/24)</formula>
    </cfRule>
    <cfRule type="expression" dxfId="3123" priority="157">
      <formula>AND(N$9&gt;=8/24,N$9&lt;14/24)</formula>
    </cfRule>
    <cfRule type="expression" dxfId="3122" priority="158">
      <formula>N$9&lt;8/24</formula>
    </cfRule>
  </conditionalFormatting>
  <conditionalFormatting sqref="N33">
    <cfRule type="expression" dxfId="3121" priority="154">
      <formula>N33&gt;$AG33</formula>
    </cfRule>
  </conditionalFormatting>
  <conditionalFormatting sqref="N46:N48">
    <cfRule type="expression" dxfId="3120" priority="150">
      <formula>N$9&gt;=20/24</formula>
    </cfRule>
    <cfRule type="expression" dxfId="3119" priority="151">
      <formula>AND(N$9&gt;=14/24,N$9&lt;20/24)</formula>
    </cfRule>
    <cfRule type="expression" dxfId="3118" priority="152">
      <formula>AND(N$9&gt;=8/24,N$9&lt;14/24)</formula>
    </cfRule>
    <cfRule type="expression" dxfId="3117" priority="153">
      <formula>N$9&lt;8/24</formula>
    </cfRule>
  </conditionalFormatting>
  <conditionalFormatting sqref="N49">
    <cfRule type="expression" dxfId="3116" priority="146">
      <formula>N$9&gt;=20/24</formula>
    </cfRule>
    <cfRule type="expression" dxfId="3115" priority="147">
      <formula>AND(N$9&gt;=14/24,N$9&lt;20/24)</formula>
    </cfRule>
    <cfRule type="expression" dxfId="3114" priority="148">
      <formula>AND(N$9&gt;=8/24,N$9&lt;14/24)</formula>
    </cfRule>
    <cfRule type="expression" dxfId="3113" priority="149">
      <formula>N$9&lt;8/24</formula>
    </cfRule>
  </conditionalFormatting>
  <conditionalFormatting sqref="N50">
    <cfRule type="expression" dxfId="3112" priority="142">
      <formula>N$9&gt;=20/24</formula>
    </cfRule>
    <cfRule type="expression" dxfId="3111" priority="143">
      <formula>AND(N$9&gt;=14/24,N$9&lt;20/24)</formula>
    </cfRule>
    <cfRule type="expression" dxfId="3110" priority="144">
      <formula>AND(N$9&gt;=8/24,N$9&lt;14/24)</formula>
    </cfRule>
    <cfRule type="expression" dxfId="3109" priority="145">
      <formula>N$9&lt;8/24</formula>
    </cfRule>
  </conditionalFormatting>
  <conditionalFormatting sqref="N46:N50">
    <cfRule type="expression" dxfId="3108" priority="141">
      <formula>N46&gt;$AG46</formula>
    </cfRule>
  </conditionalFormatting>
  <conditionalFormatting sqref="O36 O18:O30">
    <cfRule type="expression" dxfId="3107" priority="137">
      <formula>O$9&gt;=20/24</formula>
    </cfRule>
    <cfRule type="expression" dxfId="3106" priority="138">
      <formula>AND(O$9&gt;=14/24,O$9&lt;20/24)</formula>
    </cfRule>
    <cfRule type="expression" dxfId="3105" priority="139">
      <formula>AND(O$9&gt;=8/24,O$9&lt;14/24)</formula>
    </cfRule>
    <cfRule type="expression" dxfId="3104" priority="140">
      <formula>O$9&lt;8/24</formula>
    </cfRule>
  </conditionalFormatting>
  <conditionalFormatting sqref="O31:O32 O35">
    <cfRule type="expression" dxfId="3103" priority="133">
      <formula>O$9&gt;=20/24</formula>
    </cfRule>
    <cfRule type="expression" dxfId="3102" priority="134">
      <formula>AND(O$9&gt;=14/24,O$9&lt;20/24)</formula>
    </cfRule>
    <cfRule type="expression" dxfId="3101" priority="135">
      <formula>AND(O$9&gt;=8/24,O$9&lt;14/24)</formula>
    </cfRule>
    <cfRule type="expression" dxfId="3100" priority="136">
      <formula>O$9&lt;8/24</formula>
    </cfRule>
  </conditionalFormatting>
  <conditionalFormatting sqref="O34:O36 O18:O32">
    <cfRule type="expression" dxfId="3099" priority="132">
      <formula>O18&gt;$AG18</formula>
    </cfRule>
  </conditionalFormatting>
  <conditionalFormatting sqref="O34">
    <cfRule type="expression" dxfId="3098" priority="128">
      <formula>O$9&gt;=20/24</formula>
    </cfRule>
    <cfRule type="expression" dxfId="3097" priority="129">
      <formula>AND(O$9&gt;=14/24,O$9&lt;20/24)</formula>
    </cfRule>
    <cfRule type="expression" dxfId="3096" priority="130">
      <formula>AND(O$9&gt;=8/24,O$9&lt;14/24)</formula>
    </cfRule>
    <cfRule type="expression" dxfId="3095" priority="131">
      <formula>O$9&lt;8/24</formula>
    </cfRule>
  </conditionalFormatting>
  <conditionalFormatting sqref="O16">
    <cfRule type="expression" dxfId="3094" priority="124">
      <formula>O$9&gt;=20/24</formula>
    </cfRule>
    <cfRule type="expression" dxfId="3093" priority="125">
      <formula>AND(O$9&gt;=14/24,O$9&lt;20/24)</formula>
    </cfRule>
    <cfRule type="expression" dxfId="3092" priority="126">
      <formula>AND(O$9&gt;=8/24,O$9&lt;14/24)</formula>
    </cfRule>
    <cfRule type="expression" dxfId="3091" priority="127">
      <formula>O$9&lt;8/24</formula>
    </cfRule>
  </conditionalFormatting>
  <conditionalFormatting sqref="O17">
    <cfRule type="expression" dxfId="3090" priority="120">
      <formula>O$9&gt;=20/24</formula>
    </cfRule>
    <cfRule type="expression" dxfId="3089" priority="121">
      <formula>AND(O$9&gt;=14/24,O$9&lt;20/24)</formula>
    </cfRule>
    <cfRule type="expression" dxfId="3088" priority="122">
      <formula>AND(O$9&gt;=8/24,O$9&lt;14/24)</formula>
    </cfRule>
    <cfRule type="expression" dxfId="3087" priority="123">
      <formula>O$9&lt;8/24</formula>
    </cfRule>
  </conditionalFormatting>
  <conditionalFormatting sqref="O33">
    <cfRule type="expression" dxfId="3086" priority="116">
      <formula>O$9&gt;=20/24</formula>
    </cfRule>
    <cfRule type="expression" dxfId="3085" priority="117">
      <formula>AND(O$9&gt;=14/24,O$9&lt;20/24)</formula>
    </cfRule>
    <cfRule type="expression" dxfId="3084" priority="118">
      <formula>AND(O$9&gt;=8/24,O$9&lt;14/24)</formula>
    </cfRule>
    <cfRule type="expression" dxfId="3083" priority="119">
      <formula>O$9&lt;8/24</formula>
    </cfRule>
  </conditionalFormatting>
  <conditionalFormatting sqref="O33">
    <cfRule type="expression" dxfId="3082" priority="115">
      <formula>O33&gt;$AG33</formula>
    </cfRule>
  </conditionalFormatting>
  <conditionalFormatting sqref="O45">
    <cfRule type="expression" dxfId="3081" priority="111">
      <formula>O$9&gt;=20/24</formula>
    </cfRule>
    <cfRule type="expression" dxfId="3080" priority="112">
      <formula>AND(O$9&gt;=14/24,O$9&lt;20/24)</formula>
    </cfRule>
    <cfRule type="expression" dxfId="3079" priority="113">
      <formula>AND(O$9&gt;=8/24,O$9&lt;14/24)</formula>
    </cfRule>
    <cfRule type="expression" dxfId="3078" priority="114">
      <formula>O$9&lt;8/24</formula>
    </cfRule>
  </conditionalFormatting>
  <conditionalFormatting sqref="O45">
    <cfRule type="expression" dxfId="3077" priority="107">
      <formula>O$9&gt;=20/24</formula>
    </cfRule>
    <cfRule type="expression" dxfId="3076" priority="108">
      <formula>AND(O$9&gt;=14/24,O$9&lt;20/24)</formula>
    </cfRule>
    <cfRule type="expression" dxfId="3075" priority="109">
      <formula>AND(O$9&gt;=8/24,O$9&lt;14/24)</formula>
    </cfRule>
    <cfRule type="expression" dxfId="3074" priority="110">
      <formula>O$9&lt;8/24</formula>
    </cfRule>
  </conditionalFormatting>
  <conditionalFormatting sqref="O44:O45">
    <cfRule type="expression" dxfId="3073" priority="106">
      <formula>O44&gt;$AG44</formula>
    </cfRule>
  </conditionalFormatting>
  <conditionalFormatting sqref="O44">
    <cfRule type="expression" dxfId="3072" priority="102">
      <formula>O$9&gt;=20/24</formula>
    </cfRule>
    <cfRule type="expression" dxfId="3071" priority="103">
      <formula>AND(O$9&gt;=14/24,O$9&lt;20/24)</formula>
    </cfRule>
    <cfRule type="expression" dxfId="3070" priority="104">
      <formula>AND(O$9&gt;=8/24,O$9&lt;14/24)</formula>
    </cfRule>
    <cfRule type="expression" dxfId="3069" priority="105">
      <formula>O$9&lt;8/24</formula>
    </cfRule>
  </conditionalFormatting>
  <conditionalFormatting sqref="O46:O48">
    <cfRule type="expression" dxfId="3068" priority="98">
      <formula>O$9&gt;=20/24</formula>
    </cfRule>
    <cfRule type="expression" dxfId="3067" priority="99">
      <formula>AND(O$9&gt;=14/24,O$9&lt;20/24)</formula>
    </cfRule>
    <cfRule type="expression" dxfId="3066" priority="100">
      <formula>AND(O$9&gt;=8/24,O$9&lt;14/24)</formula>
    </cfRule>
    <cfRule type="expression" dxfId="3065" priority="101">
      <formula>O$9&lt;8/24</formula>
    </cfRule>
  </conditionalFormatting>
  <conditionalFormatting sqref="O49">
    <cfRule type="expression" dxfId="3064" priority="94">
      <formula>O$9&gt;=20/24</formula>
    </cfRule>
    <cfRule type="expression" dxfId="3063" priority="95">
      <formula>AND(O$9&gt;=14/24,O$9&lt;20/24)</formula>
    </cfRule>
    <cfRule type="expression" dxfId="3062" priority="96">
      <formula>AND(O$9&gt;=8/24,O$9&lt;14/24)</formula>
    </cfRule>
    <cfRule type="expression" dxfId="3061" priority="97">
      <formula>O$9&lt;8/24</formula>
    </cfRule>
  </conditionalFormatting>
  <conditionalFormatting sqref="O50">
    <cfRule type="expression" dxfId="3060" priority="90">
      <formula>O$9&gt;=20/24</formula>
    </cfRule>
    <cfRule type="expression" dxfId="3059" priority="91">
      <formula>AND(O$9&gt;=14/24,O$9&lt;20/24)</formula>
    </cfRule>
    <cfRule type="expression" dxfId="3058" priority="92">
      <formula>AND(O$9&gt;=8/24,O$9&lt;14/24)</formula>
    </cfRule>
    <cfRule type="expression" dxfId="3057" priority="93">
      <formula>O$9&lt;8/24</formula>
    </cfRule>
  </conditionalFormatting>
  <conditionalFormatting sqref="O46:O50">
    <cfRule type="expression" dxfId="3056" priority="89">
      <formula>O46&gt;$AG46</formula>
    </cfRule>
  </conditionalFormatting>
  <conditionalFormatting sqref="P12:P14">
    <cfRule type="expression" dxfId="3055" priority="85">
      <formula>P$9&gt;=20/24</formula>
    </cfRule>
    <cfRule type="expression" dxfId="3054" priority="86">
      <formula>AND(P$9&gt;=14/24,P$9&lt;20/24)</formula>
    </cfRule>
    <cfRule type="expression" dxfId="3053" priority="87">
      <formula>AND(P$9&gt;=8/24,P$9&lt;14/24)</formula>
    </cfRule>
    <cfRule type="expression" dxfId="3052" priority="88">
      <formula>P$9&lt;8/24</formula>
    </cfRule>
  </conditionalFormatting>
  <conditionalFormatting sqref="P12:P14">
    <cfRule type="expression" dxfId="3051" priority="84">
      <formula>P12&gt;$AG12</formula>
    </cfRule>
  </conditionalFormatting>
  <conditionalFormatting sqref="P15">
    <cfRule type="expression" dxfId="3050" priority="80">
      <formula>P$9&gt;=20/24</formula>
    </cfRule>
    <cfRule type="expression" dxfId="3049" priority="81">
      <formula>AND(P$9&gt;=14/24,P$9&lt;20/24)</formula>
    </cfRule>
    <cfRule type="expression" dxfId="3048" priority="82">
      <formula>AND(P$9&gt;=8/24,P$9&lt;14/24)</formula>
    </cfRule>
    <cfRule type="expression" dxfId="3047" priority="83">
      <formula>P$9&lt;8/24</formula>
    </cfRule>
  </conditionalFormatting>
  <conditionalFormatting sqref="P15">
    <cfRule type="expression" dxfId="3046" priority="79">
      <formula>P15&gt;$AG15</formula>
    </cfRule>
  </conditionalFormatting>
  <conditionalFormatting sqref="P36 P18:P30">
    <cfRule type="expression" dxfId="3045" priority="75">
      <formula>P$9&gt;=20/24</formula>
    </cfRule>
    <cfRule type="expression" dxfId="3044" priority="76">
      <formula>AND(P$9&gt;=14/24,P$9&lt;20/24)</formula>
    </cfRule>
    <cfRule type="expression" dxfId="3043" priority="77">
      <formula>AND(P$9&gt;=8/24,P$9&lt;14/24)</formula>
    </cfRule>
    <cfRule type="expression" dxfId="3042" priority="78">
      <formula>P$9&lt;8/24</formula>
    </cfRule>
  </conditionalFormatting>
  <conditionalFormatting sqref="P31:P32 P35">
    <cfRule type="expression" dxfId="3041" priority="71">
      <formula>P$9&gt;=20/24</formula>
    </cfRule>
    <cfRule type="expression" dxfId="3040" priority="72">
      <formula>AND(P$9&gt;=14/24,P$9&lt;20/24)</formula>
    </cfRule>
    <cfRule type="expression" dxfId="3039" priority="73">
      <formula>AND(P$9&gt;=8/24,P$9&lt;14/24)</formula>
    </cfRule>
    <cfRule type="expression" dxfId="3038" priority="74">
      <formula>P$9&lt;8/24</formula>
    </cfRule>
  </conditionalFormatting>
  <conditionalFormatting sqref="P34:P36 P18:P32">
    <cfRule type="expression" dxfId="3037" priority="70">
      <formula>P18&gt;$AG18</formula>
    </cfRule>
  </conditionalFormatting>
  <conditionalFormatting sqref="P34">
    <cfRule type="expression" dxfId="3036" priority="66">
      <formula>P$9&gt;=20/24</formula>
    </cfRule>
    <cfRule type="expression" dxfId="3035" priority="67">
      <formula>AND(P$9&gt;=14/24,P$9&lt;20/24)</formula>
    </cfRule>
    <cfRule type="expression" dxfId="3034" priority="68">
      <formula>AND(P$9&gt;=8/24,P$9&lt;14/24)</formula>
    </cfRule>
    <cfRule type="expression" dxfId="3033" priority="69">
      <formula>P$9&lt;8/24</formula>
    </cfRule>
  </conditionalFormatting>
  <conditionalFormatting sqref="P16">
    <cfRule type="expression" dxfId="3032" priority="62">
      <formula>P$9&gt;=20/24</formula>
    </cfRule>
    <cfRule type="expression" dxfId="3031" priority="63">
      <formula>AND(P$9&gt;=14/24,P$9&lt;20/24)</formula>
    </cfRule>
    <cfRule type="expression" dxfId="3030" priority="64">
      <formula>AND(P$9&gt;=8/24,P$9&lt;14/24)</formula>
    </cfRule>
    <cfRule type="expression" dxfId="3029" priority="65">
      <formula>P$9&lt;8/24</formula>
    </cfRule>
  </conditionalFormatting>
  <conditionalFormatting sqref="P17">
    <cfRule type="expression" dxfId="3028" priority="58">
      <formula>P$9&gt;=20/24</formula>
    </cfRule>
    <cfRule type="expression" dxfId="3027" priority="59">
      <formula>AND(P$9&gt;=14/24,P$9&lt;20/24)</formula>
    </cfRule>
    <cfRule type="expression" dxfId="3026" priority="60">
      <formula>AND(P$9&gt;=8/24,P$9&lt;14/24)</formula>
    </cfRule>
    <cfRule type="expression" dxfId="3025" priority="61">
      <formula>P$9&lt;8/24</formula>
    </cfRule>
  </conditionalFormatting>
  <conditionalFormatting sqref="P33">
    <cfRule type="expression" dxfId="3024" priority="54">
      <formula>P$9&gt;=20/24</formula>
    </cfRule>
    <cfRule type="expression" dxfId="3023" priority="55">
      <formula>AND(P$9&gt;=14/24,P$9&lt;20/24)</formula>
    </cfRule>
    <cfRule type="expression" dxfId="3022" priority="56">
      <formula>AND(P$9&gt;=8/24,P$9&lt;14/24)</formula>
    </cfRule>
    <cfRule type="expression" dxfId="3021" priority="57">
      <formula>P$9&lt;8/24</formula>
    </cfRule>
  </conditionalFormatting>
  <conditionalFormatting sqref="P33">
    <cfRule type="expression" dxfId="3020" priority="53">
      <formula>P33&gt;$AG33</formula>
    </cfRule>
  </conditionalFormatting>
  <conditionalFormatting sqref="Q36 Q18:Q30">
    <cfRule type="expression" dxfId="3019" priority="49">
      <formula>Q$9&gt;=20/24</formula>
    </cfRule>
    <cfRule type="expression" dxfId="3018" priority="50">
      <formula>AND(Q$9&gt;=14/24,Q$9&lt;20/24)</formula>
    </cfRule>
    <cfRule type="expression" dxfId="3017" priority="51">
      <formula>AND(Q$9&gt;=8/24,Q$9&lt;14/24)</formula>
    </cfRule>
    <cfRule type="expression" dxfId="3016" priority="52">
      <formula>Q$9&lt;8/24</formula>
    </cfRule>
  </conditionalFormatting>
  <conditionalFormatting sqref="Q31:Q32 Q35">
    <cfRule type="expression" dxfId="3015" priority="45">
      <formula>Q$9&gt;=20/24</formula>
    </cfRule>
    <cfRule type="expression" dxfId="3014" priority="46">
      <formula>AND(Q$9&gt;=14/24,Q$9&lt;20/24)</formula>
    </cfRule>
    <cfRule type="expression" dxfId="3013" priority="47">
      <formula>AND(Q$9&gt;=8/24,Q$9&lt;14/24)</formula>
    </cfRule>
    <cfRule type="expression" dxfId="3012" priority="48">
      <formula>Q$9&lt;8/24</formula>
    </cfRule>
  </conditionalFormatting>
  <conditionalFormatting sqref="Q34:Q36 Q18:Q32">
    <cfRule type="expression" dxfId="3011" priority="44">
      <formula>Q18&gt;$AG18</formula>
    </cfRule>
  </conditionalFormatting>
  <conditionalFormatting sqref="Q34">
    <cfRule type="expression" dxfId="3010" priority="40">
      <formula>Q$9&gt;=20/24</formula>
    </cfRule>
    <cfRule type="expression" dxfId="3009" priority="41">
      <formula>AND(Q$9&gt;=14/24,Q$9&lt;20/24)</formula>
    </cfRule>
    <cfRule type="expression" dxfId="3008" priority="42">
      <formula>AND(Q$9&gt;=8/24,Q$9&lt;14/24)</formula>
    </cfRule>
    <cfRule type="expression" dxfId="3007" priority="43">
      <formula>Q$9&lt;8/24</formula>
    </cfRule>
  </conditionalFormatting>
  <conditionalFormatting sqref="Q16">
    <cfRule type="expression" dxfId="3006" priority="36">
      <formula>Q$9&gt;=20/24</formula>
    </cfRule>
    <cfRule type="expression" dxfId="3005" priority="37">
      <formula>AND(Q$9&gt;=14/24,Q$9&lt;20/24)</formula>
    </cfRule>
    <cfRule type="expression" dxfId="3004" priority="38">
      <formula>AND(Q$9&gt;=8/24,Q$9&lt;14/24)</formula>
    </cfRule>
    <cfRule type="expression" dxfId="3003" priority="39">
      <formula>Q$9&lt;8/24</formula>
    </cfRule>
  </conditionalFormatting>
  <conditionalFormatting sqref="Q17">
    <cfRule type="expression" dxfId="3002" priority="32">
      <formula>Q$9&gt;=20/24</formula>
    </cfRule>
    <cfRule type="expression" dxfId="3001" priority="33">
      <formula>AND(Q$9&gt;=14/24,Q$9&lt;20/24)</formula>
    </cfRule>
    <cfRule type="expression" dxfId="3000" priority="34">
      <formula>AND(Q$9&gt;=8/24,Q$9&lt;14/24)</formula>
    </cfRule>
    <cfRule type="expression" dxfId="2999" priority="35">
      <formula>Q$9&lt;8/24</formula>
    </cfRule>
  </conditionalFormatting>
  <conditionalFormatting sqref="Q33">
    <cfRule type="expression" dxfId="2998" priority="28">
      <formula>Q$9&gt;=20/24</formula>
    </cfRule>
    <cfRule type="expression" dxfId="2997" priority="29">
      <formula>AND(Q$9&gt;=14/24,Q$9&lt;20/24)</formula>
    </cfRule>
    <cfRule type="expression" dxfId="2996" priority="30">
      <formula>AND(Q$9&gt;=8/24,Q$9&lt;14/24)</formula>
    </cfRule>
    <cfRule type="expression" dxfId="2995" priority="31">
      <formula>Q$9&lt;8/24</formula>
    </cfRule>
  </conditionalFormatting>
  <conditionalFormatting sqref="Q33">
    <cfRule type="expression" dxfId="2994" priority="27">
      <formula>Q33&gt;$AG33</formula>
    </cfRule>
  </conditionalFormatting>
  <conditionalFormatting sqref="R36 R18:R30">
    <cfRule type="expression" dxfId="2993" priority="23">
      <formula>R$9&gt;=20/24</formula>
    </cfRule>
    <cfRule type="expression" dxfId="2992" priority="24">
      <formula>AND(R$9&gt;=14/24,R$9&lt;20/24)</formula>
    </cfRule>
    <cfRule type="expression" dxfId="2991" priority="25">
      <formula>AND(R$9&gt;=8/24,R$9&lt;14/24)</formula>
    </cfRule>
    <cfRule type="expression" dxfId="2990" priority="26">
      <formula>R$9&lt;8/24</formula>
    </cfRule>
  </conditionalFormatting>
  <conditionalFormatting sqref="R31:R32 R35">
    <cfRule type="expression" dxfId="2989" priority="19">
      <formula>R$9&gt;=20/24</formula>
    </cfRule>
    <cfRule type="expression" dxfId="2988" priority="20">
      <formula>AND(R$9&gt;=14/24,R$9&lt;20/24)</formula>
    </cfRule>
    <cfRule type="expression" dxfId="2987" priority="21">
      <formula>AND(R$9&gt;=8/24,R$9&lt;14/24)</formula>
    </cfRule>
    <cfRule type="expression" dxfId="2986" priority="22">
      <formula>R$9&lt;8/24</formula>
    </cfRule>
  </conditionalFormatting>
  <conditionalFormatting sqref="R34:R36 R18:R32">
    <cfRule type="expression" dxfId="2985" priority="18">
      <formula>R18&gt;$AG18</formula>
    </cfRule>
  </conditionalFormatting>
  <conditionalFormatting sqref="R34">
    <cfRule type="expression" dxfId="2984" priority="14">
      <formula>R$9&gt;=20/24</formula>
    </cfRule>
    <cfRule type="expression" dxfId="2983" priority="15">
      <formula>AND(R$9&gt;=14/24,R$9&lt;20/24)</formula>
    </cfRule>
    <cfRule type="expression" dxfId="2982" priority="16">
      <formula>AND(R$9&gt;=8/24,R$9&lt;14/24)</formula>
    </cfRule>
    <cfRule type="expression" dxfId="2981" priority="17">
      <formula>R$9&lt;8/24</formula>
    </cfRule>
  </conditionalFormatting>
  <conditionalFormatting sqref="R16">
    <cfRule type="expression" dxfId="2980" priority="10">
      <formula>R$9&gt;=20/24</formula>
    </cfRule>
    <cfRule type="expression" dxfId="2979" priority="11">
      <formula>AND(R$9&gt;=14/24,R$9&lt;20/24)</formula>
    </cfRule>
    <cfRule type="expression" dxfId="2978" priority="12">
      <formula>AND(R$9&gt;=8/24,R$9&lt;14/24)</formula>
    </cfRule>
    <cfRule type="expression" dxfId="2977" priority="13">
      <formula>R$9&lt;8/24</formula>
    </cfRule>
  </conditionalFormatting>
  <conditionalFormatting sqref="R17">
    <cfRule type="expression" dxfId="2976" priority="6">
      <formula>R$9&gt;=20/24</formula>
    </cfRule>
    <cfRule type="expression" dxfId="2975" priority="7">
      <formula>AND(R$9&gt;=14/24,R$9&lt;20/24)</formula>
    </cfRule>
    <cfRule type="expression" dxfId="2974" priority="8">
      <formula>AND(R$9&gt;=8/24,R$9&lt;14/24)</formula>
    </cfRule>
    <cfRule type="expression" dxfId="2973" priority="9">
      <formula>R$9&lt;8/24</formula>
    </cfRule>
  </conditionalFormatting>
  <conditionalFormatting sqref="R33">
    <cfRule type="expression" dxfId="2972" priority="2">
      <formula>R$9&gt;=20/24</formula>
    </cfRule>
    <cfRule type="expression" dxfId="2971" priority="3">
      <formula>AND(R$9&gt;=14/24,R$9&lt;20/24)</formula>
    </cfRule>
    <cfRule type="expression" dxfId="2970" priority="4">
      <formula>AND(R$9&gt;=8/24,R$9&lt;14/24)</formula>
    </cfRule>
    <cfRule type="expression" dxfId="2969" priority="5">
      <formula>R$9&lt;8/24</formula>
    </cfRule>
  </conditionalFormatting>
  <conditionalFormatting sqref="R33">
    <cfRule type="expression" dxfId="2968" priority="1">
      <formula>R33&gt;$AG33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4" id="{3DB9B0C7-0EB6-4612-B9B3-D20C19F1AB6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P47" sqref="P4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2078/10/24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389</v>
      </c>
      <c r="C5" s="32">
        <f t="shared" si="0"/>
        <v>377</v>
      </c>
      <c r="D5" s="32">
        <f t="shared" si="0"/>
        <v>368.2</v>
      </c>
      <c r="E5" s="32">
        <f t="shared" si="0"/>
        <v>374.9</v>
      </c>
      <c r="F5" s="32">
        <f t="shared" si="0"/>
        <v>392</v>
      </c>
      <c r="G5" s="32">
        <f t="shared" si="0"/>
        <v>369</v>
      </c>
      <c r="H5" s="32">
        <f t="shared" si="0"/>
        <v>435.5</v>
      </c>
      <c r="I5" s="32">
        <f t="shared" si="0"/>
        <v>472.4</v>
      </c>
      <c r="J5" s="32">
        <f t="shared" si="0"/>
        <v>475.4</v>
      </c>
      <c r="K5" s="32">
        <f t="shared" si="0"/>
        <v>557</v>
      </c>
      <c r="L5" s="32">
        <f t="shared" si="0"/>
        <v>329.9</v>
      </c>
      <c r="M5" s="32">
        <f t="shared" si="0"/>
        <v>352.6</v>
      </c>
      <c r="N5" s="32">
        <f t="shared" si="0"/>
        <v>424</v>
      </c>
      <c r="O5" s="32">
        <f t="shared" si="0"/>
        <v>431</v>
      </c>
      <c r="P5" s="32">
        <f t="shared" si="0"/>
        <v>571</v>
      </c>
      <c r="Q5" s="32">
        <f t="shared" si="0"/>
        <v>532.5</v>
      </c>
      <c r="R5" s="32">
        <f t="shared" si="0"/>
        <v>510.90000000000003</v>
      </c>
      <c r="S5" s="32">
        <f t="shared" si="0"/>
        <v>502.89999999999992</v>
      </c>
      <c r="T5" s="32">
        <f t="shared" si="0"/>
        <v>551.79999999999995</v>
      </c>
      <c r="U5" s="32">
        <f t="shared" si="0"/>
        <v>337.79999999999995</v>
      </c>
      <c r="V5" s="32">
        <f t="shared" si="0"/>
        <v>307.60000000000002</v>
      </c>
      <c r="W5" s="32">
        <f t="shared" si="0"/>
        <v>315.3</v>
      </c>
      <c r="X5" s="32">
        <f t="shared" si="0"/>
        <v>332.1</v>
      </c>
      <c r="Y5" s="32">
        <f t="shared" si="0"/>
        <v>319.29999999999995</v>
      </c>
      <c r="Z5" s="32">
        <f t="shared" si="0"/>
        <v>333.9</v>
      </c>
      <c r="AA5" s="32">
        <f t="shared" si="0"/>
        <v>395.6</v>
      </c>
      <c r="AB5" s="32">
        <f t="shared" si="0"/>
        <v>468.2</v>
      </c>
      <c r="AC5" s="32">
        <f t="shared" si="0"/>
        <v>531.79999999999995</v>
      </c>
      <c r="AD5" s="32">
        <f t="shared" si="0"/>
        <v>469.1</v>
      </c>
      <c r="AE5" s="32">
        <f t="shared" si="0"/>
        <v>418.59999999999997</v>
      </c>
      <c r="AF5" s="32">
        <f>B68</f>
        <v>399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1543MW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Load=932</v>
      </c>
      <c r="B7" s="37">
        <f>B75</f>
        <v>978.63999999999987</v>
      </c>
      <c r="C7" s="37">
        <f t="shared" ref="C7:AF7" si="1">C75</f>
        <v>962.83999999999992</v>
      </c>
      <c r="D7" s="37">
        <f t="shared" si="1"/>
        <v>943.83999999999992</v>
      </c>
      <c r="E7" s="37">
        <f t="shared" si="1"/>
        <v>931.54</v>
      </c>
      <c r="F7" s="37">
        <f t="shared" si="1"/>
        <v>933.54</v>
      </c>
      <c r="G7" s="37">
        <f t="shared" si="1"/>
        <v>970.54</v>
      </c>
      <c r="H7" s="37">
        <f t="shared" si="1"/>
        <v>1025.1399999999999</v>
      </c>
      <c r="I7" s="37">
        <f t="shared" si="1"/>
        <v>1109.3399999999999</v>
      </c>
      <c r="J7" s="37">
        <f t="shared" si="1"/>
        <v>1233.54</v>
      </c>
      <c r="K7" s="37">
        <f t="shared" si="1"/>
        <v>1359.44</v>
      </c>
      <c r="L7" s="37">
        <f t="shared" si="1"/>
        <v>1500.94</v>
      </c>
      <c r="M7" s="37">
        <f t="shared" si="1"/>
        <v>1543.1399999999999</v>
      </c>
      <c r="N7" s="37">
        <f t="shared" si="1"/>
        <v>1524.6390000000001</v>
      </c>
      <c r="O7" s="37">
        <f t="shared" si="1"/>
        <v>1415.1389999999999</v>
      </c>
      <c r="P7" s="37">
        <f t="shared" si="1"/>
        <v>1383.039</v>
      </c>
      <c r="Q7" s="37">
        <f t="shared" si="1"/>
        <v>1369.6389999999999</v>
      </c>
      <c r="R7" s="37">
        <f t="shared" si="1"/>
        <v>1303.739</v>
      </c>
      <c r="S7" s="37">
        <f t="shared" si="1"/>
        <v>1250.1400000000001</v>
      </c>
      <c r="T7" s="37">
        <f t="shared" si="1"/>
        <v>1221.24</v>
      </c>
      <c r="U7" s="37">
        <f t="shared" si="1"/>
        <v>1280.8399999999999</v>
      </c>
      <c r="V7" s="37">
        <f t="shared" si="1"/>
        <v>1309.54</v>
      </c>
      <c r="W7" s="37">
        <f t="shared" si="1"/>
        <v>1373.6399999999999</v>
      </c>
      <c r="X7" s="37">
        <f t="shared" si="1"/>
        <v>1492.94</v>
      </c>
      <c r="Y7" s="37">
        <f t="shared" si="1"/>
        <v>1593.54</v>
      </c>
      <c r="Z7" s="37">
        <f t="shared" si="1"/>
        <v>1577.3400000000001</v>
      </c>
      <c r="AA7" s="37">
        <f t="shared" si="1"/>
        <v>1552.04</v>
      </c>
      <c r="AB7" s="37">
        <f t="shared" si="1"/>
        <v>1482.24</v>
      </c>
      <c r="AC7" s="37">
        <f t="shared" si="1"/>
        <v>1470.7399999999998</v>
      </c>
      <c r="AD7" s="37">
        <f t="shared" si="1"/>
        <v>1388.3400000000001</v>
      </c>
      <c r="AE7" s="37">
        <f t="shared" si="1"/>
        <v>1187.24</v>
      </c>
      <c r="AF7" s="37">
        <f t="shared" si="1"/>
        <v>1050.1399999999999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15</v>
      </c>
      <c r="C11" s="50">
        <v>15</v>
      </c>
      <c r="D11" s="50">
        <v>15</v>
      </c>
      <c r="E11" s="50">
        <v>15</v>
      </c>
      <c r="F11" s="49">
        <v>12</v>
      </c>
      <c r="G11" s="49">
        <v>26</v>
      </c>
      <c r="H11" s="49">
        <v>50</v>
      </c>
      <c r="I11" s="49">
        <v>40</v>
      </c>
      <c r="J11" s="49">
        <v>40</v>
      </c>
      <c r="K11" s="49">
        <v>80</v>
      </c>
      <c r="L11" s="49">
        <v>105</v>
      </c>
      <c r="M11" s="50">
        <v>320</v>
      </c>
      <c r="N11" s="50">
        <v>315</v>
      </c>
      <c r="O11" s="50">
        <v>140</v>
      </c>
      <c r="P11" s="50">
        <v>120</v>
      </c>
      <c r="Q11" s="50">
        <v>40</v>
      </c>
      <c r="R11" s="177">
        <v>40</v>
      </c>
      <c r="S11" s="50">
        <v>30</v>
      </c>
      <c r="T11" s="50">
        <v>20</v>
      </c>
      <c r="U11" s="50">
        <v>20</v>
      </c>
      <c r="V11" s="50">
        <v>160</v>
      </c>
      <c r="W11" s="50">
        <v>230</v>
      </c>
      <c r="X11" s="50">
        <v>330</v>
      </c>
      <c r="Y11" s="50">
        <v>355</v>
      </c>
      <c r="Z11" s="51">
        <v>350</v>
      </c>
      <c r="AA11" s="50">
        <v>325</v>
      </c>
      <c r="AB11" s="50">
        <v>210</v>
      </c>
      <c r="AC11" s="50">
        <v>150</v>
      </c>
      <c r="AD11" s="50">
        <v>90</v>
      </c>
      <c r="AE11" s="50">
        <v>66</v>
      </c>
      <c r="AF11" s="49">
        <v>12</v>
      </c>
      <c r="AG11" s="52">
        <v>456</v>
      </c>
      <c r="AH11" s="53">
        <f>MAX(B11:AF11)</f>
        <v>355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7">
        <v>36</v>
      </c>
      <c r="C12" s="57">
        <v>36</v>
      </c>
      <c r="D12" s="57">
        <v>36</v>
      </c>
      <c r="E12" s="57">
        <v>37</v>
      </c>
      <c r="F12" s="49">
        <v>36.6</v>
      </c>
      <c r="G12" s="49">
        <v>36.6</v>
      </c>
      <c r="H12" s="49">
        <v>36.6</v>
      </c>
      <c r="I12" s="49">
        <v>37</v>
      </c>
      <c r="J12" s="49">
        <v>37</v>
      </c>
      <c r="K12" s="49">
        <v>37</v>
      </c>
      <c r="L12" s="49">
        <v>37</v>
      </c>
      <c r="M12" s="49">
        <v>37</v>
      </c>
      <c r="N12" s="49">
        <v>37</v>
      </c>
      <c r="O12" s="49">
        <v>37</v>
      </c>
      <c r="P12" s="49">
        <v>37</v>
      </c>
      <c r="Q12" s="49">
        <v>37</v>
      </c>
      <c r="R12" s="49">
        <v>37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7">
        <v>36</v>
      </c>
      <c r="AB12" s="50">
        <v>36</v>
      </c>
      <c r="AC12" s="50">
        <v>36</v>
      </c>
      <c r="AD12" s="50">
        <v>36</v>
      </c>
      <c r="AE12" s="50">
        <v>36</v>
      </c>
      <c r="AF12" s="49">
        <v>36</v>
      </c>
      <c r="AG12" s="58">
        <v>60</v>
      </c>
      <c r="AH12" s="53">
        <f t="shared" ref="AH12:AH75" si="2">MAX(B12:AF12)</f>
        <v>37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21.7</v>
      </c>
      <c r="C13" s="57">
        <v>21.7</v>
      </c>
      <c r="D13" s="57">
        <v>20.7</v>
      </c>
      <c r="E13" s="57">
        <v>20.7</v>
      </c>
      <c r="F13" s="57">
        <v>20.7</v>
      </c>
      <c r="G13" s="57">
        <v>20.7</v>
      </c>
      <c r="H13" s="57">
        <v>20.7</v>
      </c>
      <c r="I13" s="49">
        <v>20.9</v>
      </c>
      <c r="J13" s="49">
        <v>20.9</v>
      </c>
      <c r="K13" s="49">
        <v>20.9</v>
      </c>
      <c r="L13" s="49">
        <v>21</v>
      </c>
      <c r="M13" s="49">
        <v>21</v>
      </c>
      <c r="N13" s="49">
        <v>21.7</v>
      </c>
      <c r="O13" s="49">
        <v>21.7</v>
      </c>
      <c r="P13" s="49">
        <v>21.7</v>
      </c>
      <c r="Q13" s="49">
        <v>21.7</v>
      </c>
      <c r="R13" s="49">
        <v>21.7</v>
      </c>
      <c r="S13" s="57">
        <v>21.6</v>
      </c>
      <c r="T13" s="57">
        <v>21.6</v>
      </c>
      <c r="U13" s="57">
        <v>20.100000000000001</v>
      </c>
      <c r="V13" s="57">
        <v>20.100000000000001</v>
      </c>
      <c r="W13" s="57">
        <v>20.100000000000001</v>
      </c>
      <c r="X13" s="57">
        <v>19.899999999999999</v>
      </c>
      <c r="Y13" s="57">
        <v>19.899999999999999</v>
      </c>
      <c r="Z13" s="57">
        <v>19.899999999999999</v>
      </c>
      <c r="AA13" s="57">
        <v>19.899999999999999</v>
      </c>
      <c r="AB13" s="50">
        <v>19.899999999999999</v>
      </c>
      <c r="AC13" s="50">
        <v>19.899999999999999</v>
      </c>
      <c r="AD13" s="50">
        <v>19.899999999999999</v>
      </c>
      <c r="AE13" s="50">
        <v>19.899999999999999</v>
      </c>
      <c r="AF13" s="49">
        <v>20</v>
      </c>
      <c r="AG13" s="58">
        <v>52.4</v>
      </c>
      <c r="AH13" s="53">
        <f t="shared" si="2"/>
        <v>21.7</v>
      </c>
      <c r="AI13" s="54">
        <f t="shared" si="3"/>
        <v>19.899999999999999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35.5</v>
      </c>
      <c r="C14" s="59">
        <v>35.5</v>
      </c>
      <c r="D14" s="59">
        <v>35.5</v>
      </c>
      <c r="E14" s="59">
        <v>35.5</v>
      </c>
      <c r="F14" s="59">
        <v>35.5</v>
      </c>
      <c r="G14" s="59">
        <v>35.5</v>
      </c>
      <c r="H14" s="59">
        <v>35.5</v>
      </c>
      <c r="I14" s="59">
        <v>36.6</v>
      </c>
      <c r="J14" s="59">
        <v>45</v>
      </c>
      <c r="K14" s="59">
        <v>45</v>
      </c>
      <c r="L14" s="59">
        <v>44</v>
      </c>
      <c r="M14" s="59">
        <v>44</v>
      </c>
      <c r="N14" s="50">
        <v>44</v>
      </c>
      <c r="O14" s="50">
        <v>44</v>
      </c>
      <c r="P14" s="50">
        <v>44</v>
      </c>
      <c r="Q14" s="50">
        <v>44</v>
      </c>
      <c r="R14" s="50">
        <v>44</v>
      </c>
      <c r="S14" s="59">
        <v>37.4</v>
      </c>
      <c r="T14" s="59">
        <v>37.4</v>
      </c>
      <c r="U14" s="59">
        <v>38.1</v>
      </c>
      <c r="V14" s="59">
        <v>38.1</v>
      </c>
      <c r="W14" s="59">
        <v>38.1</v>
      </c>
      <c r="X14" s="59">
        <v>37.700000000000003</v>
      </c>
      <c r="Y14" s="59">
        <v>37.700000000000003</v>
      </c>
      <c r="Z14" s="59">
        <v>37.700000000000003</v>
      </c>
      <c r="AA14" s="59">
        <v>38</v>
      </c>
      <c r="AB14" s="50">
        <v>38.1</v>
      </c>
      <c r="AC14" s="50">
        <v>37.6</v>
      </c>
      <c r="AD14" s="50">
        <v>38.200000000000003</v>
      </c>
      <c r="AE14" s="50">
        <v>38</v>
      </c>
      <c r="AF14" s="49">
        <v>38</v>
      </c>
      <c r="AG14" s="58">
        <v>50</v>
      </c>
      <c r="AH14" s="53">
        <f t="shared" si="2"/>
        <v>45</v>
      </c>
      <c r="AI14" s="54">
        <f t="shared" si="3"/>
        <v>35.5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23.2</v>
      </c>
      <c r="C15" s="59">
        <v>23.2</v>
      </c>
      <c r="D15" s="59">
        <v>23.2</v>
      </c>
      <c r="E15" s="59">
        <v>23.2</v>
      </c>
      <c r="F15" s="59">
        <v>23.2</v>
      </c>
      <c r="G15" s="59">
        <v>23.2</v>
      </c>
      <c r="H15" s="59">
        <v>23.2</v>
      </c>
      <c r="I15" s="59">
        <v>23.2</v>
      </c>
      <c r="J15" s="59">
        <v>23.2</v>
      </c>
      <c r="K15" s="59">
        <v>23.2</v>
      </c>
      <c r="L15" s="59">
        <v>21.7</v>
      </c>
      <c r="M15" s="59">
        <v>21.7</v>
      </c>
      <c r="N15" s="50">
        <v>21.998999999999999</v>
      </c>
      <c r="O15" s="50">
        <v>21.998999999999999</v>
      </c>
      <c r="P15" s="50">
        <v>21.998999999999999</v>
      </c>
      <c r="Q15" s="50">
        <v>21.998999999999999</v>
      </c>
      <c r="R15" s="50">
        <v>21.998999999999999</v>
      </c>
      <c r="S15" s="59">
        <v>22.6</v>
      </c>
      <c r="T15" s="59">
        <v>22.6</v>
      </c>
      <c r="U15" s="59">
        <v>22.8</v>
      </c>
      <c r="V15" s="59">
        <v>22.8</v>
      </c>
      <c r="W15" s="59">
        <v>22.8</v>
      </c>
      <c r="X15" s="59">
        <v>23.2</v>
      </c>
      <c r="Y15" s="59">
        <v>23.2</v>
      </c>
      <c r="Z15" s="59">
        <v>23.2</v>
      </c>
      <c r="AA15" s="59">
        <v>23.1</v>
      </c>
      <c r="AB15" s="50">
        <v>23.1</v>
      </c>
      <c r="AC15" s="50">
        <v>23.2</v>
      </c>
      <c r="AD15" s="50">
        <v>23.2</v>
      </c>
      <c r="AE15" s="50">
        <v>23.2</v>
      </c>
      <c r="AF15" s="60">
        <v>23.2</v>
      </c>
      <c r="AG15" s="61">
        <v>45</v>
      </c>
      <c r="AH15" s="53">
        <f t="shared" si="2"/>
        <v>23.2</v>
      </c>
      <c r="AI15" s="54">
        <f t="shared" si="3"/>
        <v>21.7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62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2">
        <v>10</v>
      </c>
      <c r="T16" s="62">
        <v>10</v>
      </c>
      <c r="U16" s="62">
        <v>10</v>
      </c>
      <c r="V16" s="62">
        <v>10</v>
      </c>
      <c r="W16" s="62">
        <v>10</v>
      </c>
      <c r="X16" s="62">
        <v>10</v>
      </c>
      <c r="Y16" s="62">
        <v>10</v>
      </c>
      <c r="Z16" s="62">
        <v>10</v>
      </c>
      <c r="AA16" s="62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59">
        <v>9</v>
      </c>
      <c r="D17" s="59">
        <v>9</v>
      </c>
      <c r="E17" s="59">
        <v>9</v>
      </c>
      <c r="F17" s="59">
        <v>9</v>
      </c>
      <c r="G17" s="59">
        <v>9</v>
      </c>
      <c r="H17" s="59">
        <v>9</v>
      </c>
      <c r="I17" s="59">
        <v>9</v>
      </c>
      <c r="J17" s="59">
        <v>9</v>
      </c>
      <c r="K17" s="59">
        <v>9</v>
      </c>
      <c r="L17" s="59">
        <v>9</v>
      </c>
      <c r="M17" s="59">
        <v>9</v>
      </c>
      <c r="N17" s="59">
        <v>9</v>
      </c>
      <c r="O17" s="59">
        <v>9</v>
      </c>
      <c r="P17" s="59">
        <v>9</v>
      </c>
      <c r="Q17" s="59">
        <v>9</v>
      </c>
      <c r="R17" s="59">
        <v>9</v>
      </c>
      <c r="S17" s="59">
        <v>9</v>
      </c>
      <c r="T17" s="59">
        <v>9</v>
      </c>
      <c r="U17" s="59">
        <v>9</v>
      </c>
      <c r="V17" s="59">
        <v>9</v>
      </c>
      <c r="W17" s="59">
        <v>9</v>
      </c>
      <c r="X17" s="59">
        <v>9</v>
      </c>
      <c r="Y17" s="59">
        <v>9</v>
      </c>
      <c r="Z17" s="59">
        <v>9</v>
      </c>
      <c r="AA17" s="59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8.1</v>
      </c>
      <c r="C18" s="50">
        <v>8.1</v>
      </c>
      <c r="D18" s="50">
        <v>8.1</v>
      </c>
      <c r="E18" s="50">
        <v>8.1</v>
      </c>
      <c r="F18" s="50">
        <v>8.1</v>
      </c>
      <c r="G18" s="50">
        <v>8.1</v>
      </c>
      <c r="H18" s="50">
        <v>8.1</v>
      </c>
      <c r="I18" s="50">
        <v>8.1</v>
      </c>
      <c r="J18" s="50">
        <v>8.1</v>
      </c>
      <c r="K18" s="50">
        <v>8.1</v>
      </c>
      <c r="L18" s="50">
        <v>8.1</v>
      </c>
      <c r="M18" s="50">
        <v>8.1</v>
      </c>
      <c r="N18" s="50">
        <v>8.1</v>
      </c>
      <c r="O18" s="50">
        <v>8.1</v>
      </c>
      <c r="P18" s="50">
        <v>8.1</v>
      </c>
      <c r="Q18" s="50">
        <v>8.1</v>
      </c>
      <c r="R18" s="50">
        <v>8.1</v>
      </c>
      <c r="S18" s="50">
        <v>0</v>
      </c>
      <c r="T18" s="50">
        <v>0</v>
      </c>
      <c r="U18" s="50">
        <v>0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8">
        <v>36</v>
      </c>
      <c r="AH18" s="53">
        <f t="shared" si="2"/>
        <v>8.1</v>
      </c>
      <c r="AI18" s="54">
        <f t="shared" si="3"/>
        <v>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10.5</v>
      </c>
      <c r="C19" s="50">
        <v>10.5</v>
      </c>
      <c r="D19" s="50">
        <v>10.5</v>
      </c>
      <c r="E19" s="50">
        <v>10.5</v>
      </c>
      <c r="F19" s="50">
        <v>10.5</v>
      </c>
      <c r="G19" s="50">
        <v>10.5</v>
      </c>
      <c r="H19" s="50">
        <v>10.5</v>
      </c>
      <c r="I19" s="50">
        <v>10.5</v>
      </c>
      <c r="J19" s="50">
        <v>10.5</v>
      </c>
      <c r="K19" s="50">
        <v>10.5</v>
      </c>
      <c r="L19" s="50">
        <v>10.5</v>
      </c>
      <c r="M19" s="50">
        <v>10.5</v>
      </c>
      <c r="N19" s="50">
        <v>10.5</v>
      </c>
      <c r="O19" s="50">
        <v>10.5</v>
      </c>
      <c r="P19" s="50">
        <v>10.5</v>
      </c>
      <c r="Q19" s="50">
        <v>10.5</v>
      </c>
      <c r="R19" s="50">
        <v>10.5</v>
      </c>
      <c r="S19" s="50">
        <v>10.5</v>
      </c>
      <c r="T19" s="50">
        <v>10.5</v>
      </c>
      <c r="U19" s="50">
        <v>10.5</v>
      </c>
      <c r="V19" s="50">
        <v>10.5</v>
      </c>
      <c r="W19" s="50">
        <v>10.5</v>
      </c>
      <c r="X19" s="50">
        <v>10.5</v>
      </c>
      <c r="Y19" s="50">
        <v>10.5</v>
      </c>
      <c r="Z19" s="50">
        <v>10.5</v>
      </c>
      <c r="AA19" s="50">
        <v>10.5</v>
      </c>
      <c r="AB19" s="50">
        <v>10.5</v>
      </c>
      <c r="AC19" s="50">
        <v>10.5</v>
      </c>
      <c r="AD19" s="50">
        <v>10.5</v>
      </c>
      <c r="AE19" s="50">
        <v>10.5</v>
      </c>
      <c r="AF19" s="50">
        <v>10.5</v>
      </c>
      <c r="AG19" s="58">
        <v>30</v>
      </c>
      <c r="AH19" s="53">
        <f t="shared" si="2"/>
        <v>10.5</v>
      </c>
      <c r="AI19" s="54">
        <f t="shared" si="3"/>
        <v>10.5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18.899999999999999</v>
      </c>
      <c r="C22" s="50">
        <v>18.899999999999999</v>
      </c>
      <c r="D22" s="50">
        <v>18.899999999999999</v>
      </c>
      <c r="E22" s="50">
        <v>18.899999999999999</v>
      </c>
      <c r="F22" s="50">
        <v>18.899999999999999</v>
      </c>
      <c r="G22" s="50">
        <v>18.899999999999999</v>
      </c>
      <c r="H22" s="50">
        <v>18.899999999999999</v>
      </c>
      <c r="I22" s="50">
        <v>18.899999999999999</v>
      </c>
      <c r="J22" s="50">
        <v>18.899999999999999</v>
      </c>
      <c r="K22" s="50">
        <v>18.899999999999999</v>
      </c>
      <c r="L22" s="50">
        <v>18.899999999999999</v>
      </c>
      <c r="M22" s="50">
        <v>18.899999999999999</v>
      </c>
      <c r="N22" s="50">
        <v>18.899999999999999</v>
      </c>
      <c r="O22" s="50">
        <v>18.899999999999999</v>
      </c>
      <c r="P22" s="50">
        <v>18.899999999999999</v>
      </c>
      <c r="Q22" s="50">
        <v>18.899999999999999</v>
      </c>
      <c r="R22" s="50">
        <v>18.899999999999999</v>
      </c>
      <c r="S22" s="50">
        <v>10</v>
      </c>
      <c r="T22" s="50">
        <v>10</v>
      </c>
      <c r="U22" s="50">
        <v>10</v>
      </c>
      <c r="V22" s="50">
        <v>10</v>
      </c>
      <c r="W22" s="50">
        <v>10</v>
      </c>
      <c r="X22" s="50">
        <v>19.3</v>
      </c>
      <c r="Y22" s="50">
        <v>19.3</v>
      </c>
      <c r="Z22" s="50">
        <v>18.7</v>
      </c>
      <c r="AA22" s="50">
        <v>18.7</v>
      </c>
      <c r="AB22" s="50">
        <v>13.5</v>
      </c>
      <c r="AC22" s="50">
        <v>13.5</v>
      </c>
      <c r="AD22" s="50">
        <v>13.5</v>
      </c>
      <c r="AE22" s="50">
        <v>14.2</v>
      </c>
      <c r="AF22" s="49">
        <v>14.4</v>
      </c>
      <c r="AG22" s="58">
        <v>25</v>
      </c>
      <c r="AH22" s="53">
        <f t="shared" si="2"/>
        <v>19.3</v>
      </c>
      <c r="AI22" s="54">
        <f t="shared" si="3"/>
        <v>10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11</v>
      </c>
      <c r="V24" s="50">
        <v>11</v>
      </c>
      <c r="W24" s="50">
        <v>11</v>
      </c>
      <c r="X24" s="50">
        <v>11</v>
      </c>
      <c r="Y24" s="50">
        <v>11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8">
        <v>25</v>
      </c>
      <c r="AH24" s="53">
        <f t="shared" si="2"/>
        <v>12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9">
        <v>52</v>
      </c>
      <c r="C37" s="69">
        <v>52</v>
      </c>
      <c r="D37" s="69">
        <v>53</v>
      </c>
      <c r="E37" s="69">
        <v>54</v>
      </c>
      <c r="F37" s="60">
        <v>54</v>
      </c>
      <c r="G37" s="60">
        <v>54.1</v>
      </c>
      <c r="H37" s="60">
        <v>54.1</v>
      </c>
      <c r="I37" s="60">
        <v>53.6</v>
      </c>
      <c r="J37" s="60">
        <v>53</v>
      </c>
      <c r="K37" s="60">
        <v>51</v>
      </c>
      <c r="L37" s="60">
        <v>50.5</v>
      </c>
      <c r="M37" s="69">
        <v>49.3</v>
      </c>
      <c r="N37" s="69">
        <v>49.3</v>
      </c>
      <c r="O37" s="69">
        <v>49.7</v>
      </c>
      <c r="P37" s="69">
        <v>50.6</v>
      </c>
      <c r="Q37" s="69">
        <v>50.5</v>
      </c>
      <c r="R37" s="69">
        <v>46.8</v>
      </c>
      <c r="S37" s="69">
        <f>15.9+29.4</f>
        <v>45.3</v>
      </c>
      <c r="T37" s="69">
        <f>15.6+28.9</f>
        <v>44.5</v>
      </c>
      <c r="U37" s="69">
        <f>15.8+30</f>
        <v>45.8</v>
      </c>
      <c r="V37" s="69">
        <f>16.1+30.1</f>
        <v>46.2</v>
      </c>
      <c r="W37" s="69">
        <f>15.6+29.5</f>
        <v>45.1</v>
      </c>
      <c r="X37" s="69">
        <f>15.3+28.7</f>
        <v>44</v>
      </c>
      <c r="Y37" s="69">
        <v>42.2</v>
      </c>
      <c r="Z37" s="69">
        <f>15.1+29.3</f>
        <v>44.4</v>
      </c>
      <c r="AA37" s="69">
        <f>15.4+28.5</f>
        <v>43.9</v>
      </c>
      <c r="AB37" s="69">
        <f>16+30.9</f>
        <v>46.9</v>
      </c>
      <c r="AC37" s="69">
        <f>31.8+16.2</f>
        <v>48</v>
      </c>
      <c r="AD37" s="69">
        <f>32+16.3</f>
        <v>48.3</v>
      </c>
      <c r="AE37" s="69">
        <f>32.7+16.9</f>
        <v>49.6</v>
      </c>
      <c r="AF37" s="60">
        <f>33.1+17.2</f>
        <v>50.3</v>
      </c>
      <c r="AG37" s="66">
        <v>240</v>
      </c>
      <c r="AH37" s="53">
        <f t="shared" si="2"/>
        <v>54.1</v>
      </c>
      <c r="AI37" s="54">
        <f t="shared" si="3"/>
        <v>42.2</v>
      </c>
      <c r="AK37" s="55"/>
    </row>
    <row r="38" spans="1:88" ht="15.75" thickBot="1" x14ac:dyDescent="0.3">
      <c r="A38" s="70" t="s">
        <v>46</v>
      </c>
      <c r="B38" s="71">
        <f t="shared" ref="B38" si="4">SUM(B11:B36)</f>
        <v>427.49999999999994</v>
      </c>
      <c r="C38" s="71">
        <f t="shared" ref="C38:AF38" si="5">SUM(C11:C36)</f>
        <v>427.49999999999994</v>
      </c>
      <c r="D38" s="71">
        <f t="shared" si="5"/>
        <v>426.49999999999994</v>
      </c>
      <c r="E38" s="71">
        <f t="shared" si="5"/>
        <v>427.49999999999994</v>
      </c>
      <c r="F38" s="71">
        <f t="shared" si="5"/>
        <v>424.09999999999997</v>
      </c>
      <c r="G38" s="71">
        <f t="shared" si="5"/>
        <v>438.09999999999997</v>
      </c>
      <c r="H38" s="71">
        <f t="shared" si="5"/>
        <v>462.09999999999997</v>
      </c>
      <c r="I38" s="71">
        <f t="shared" si="5"/>
        <v>453.79999999999995</v>
      </c>
      <c r="J38" s="71">
        <f t="shared" si="5"/>
        <v>462.19999999999993</v>
      </c>
      <c r="K38" s="71">
        <f t="shared" si="5"/>
        <v>502.19999999999993</v>
      </c>
      <c r="L38" s="71">
        <f t="shared" si="5"/>
        <v>524.79999999999995</v>
      </c>
      <c r="M38" s="71">
        <f t="shared" si="5"/>
        <v>739.80000000000007</v>
      </c>
      <c r="N38" s="71">
        <f t="shared" si="5"/>
        <v>735.79900000000009</v>
      </c>
      <c r="O38" s="71">
        <f t="shared" si="5"/>
        <v>560.79899999999998</v>
      </c>
      <c r="P38" s="71">
        <f t="shared" si="5"/>
        <v>540.79899999999998</v>
      </c>
      <c r="Q38" s="71">
        <f t="shared" si="5"/>
        <v>460.79899999999998</v>
      </c>
      <c r="R38" s="71">
        <f t="shared" si="5"/>
        <v>460.79899999999998</v>
      </c>
      <c r="S38" s="71">
        <f t="shared" si="5"/>
        <v>426.7</v>
      </c>
      <c r="T38" s="71">
        <f t="shared" si="5"/>
        <v>416.7</v>
      </c>
      <c r="U38" s="71">
        <f t="shared" si="5"/>
        <v>415.09999999999997</v>
      </c>
      <c r="V38" s="71">
        <f t="shared" si="5"/>
        <v>562.59999999999991</v>
      </c>
      <c r="W38" s="71">
        <f t="shared" si="5"/>
        <v>632.6</v>
      </c>
      <c r="X38" s="71">
        <f t="shared" si="5"/>
        <v>741.7</v>
      </c>
      <c r="Y38" s="71">
        <f t="shared" si="5"/>
        <v>766.7</v>
      </c>
      <c r="Z38" s="71">
        <f t="shared" si="5"/>
        <v>761.10000000000014</v>
      </c>
      <c r="AA38" s="71">
        <f t="shared" si="5"/>
        <v>736.30000000000007</v>
      </c>
      <c r="AB38" s="71">
        <f t="shared" si="5"/>
        <v>616.20000000000005</v>
      </c>
      <c r="AC38" s="71">
        <f t="shared" si="5"/>
        <v>555.79999999999995</v>
      </c>
      <c r="AD38" s="71">
        <f t="shared" si="5"/>
        <v>496.4</v>
      </c>
      <c r="AE38" s="71">
        <f t="shared" si="5"/>
        <v>472.9</v>
      </c>
      <c r="AF38" s="71">
        <f t="shared" si="5"/>
        <v>419.2</v>
      </c>
      <c r="AG38" s="66">
        <f>SUM(AG11:AG37)</f>
        <v>1492.8299999999997</v>
      </c>
      <c r="AH38" s="53">
        <f t="shared" si="2"/>
        <v>766.7</v>
      </c>
      <c r="AI38" s="54">
        <f t="shared" si="3"/>
        <v>415.09999999999997</v>
      </c>
      <c r="AK38" s="55"/>
    </row>
    <row r="39" spans="1:88" x14ac:dyDescent="0.25">
      <c r="A39" s="56" t="s">
        <v>47</v>
      </c>
      <c r="B39" s="50">
        <v>0</v>
      </c>
      <c r="C39" s="50">
        <v>0</v>
      </c>
      <c r="D39" s="50">
        <v>0</v>
      </c>
      <c r="E39" s="50">
        <v>0</v>
      </c>
      <c r="F39" s="60">
        <v>0</v>
      </c>
      <c r="G39" s="60">
        <v>0</v>
      </c>
      <c r="H39" s="60">
        <v>30</v>
      </c>
      <c r="I39" s="60">
        <v>40.700000000000003</v>
      </c>
      <c r="J39" s="60">
        <v>66.599999999999994</v>
      </c>
      <c r="K39" s="60">
        <v>111</v>
      </c>
      <c r="L39" s="60">
        <v>122</v>
      </c>
      <c r="M39" s="50">
        <v>132</v>
      </c>
      <c r="N39" s="50">
        <v>132</v>
      </c>
      <c r="O39" s="50">
        <v>122</v>
      </c>
      <c r="P39" s="50">
        <v>122</v>
      </c>
      <c r="Q39" s="50">
        <v>98</v>
      </c>
      <c r="R39" s="50">
        <v>97</v>
      </c>
      <c r="S39" s="50">
        <v>97.3</v>
      </c>
      <c r="T39" s="50">
        <v>60.1</v>
      </c>
      <c r="U39" s="50">
        <v>71.099999999999994</v>
      </c>
      <c r="V39" s="50">
        <v>121.7</v>
      </c>
      <c r="W39" s="50">
        <v>125</v>
      </c>
      <c r="X39" s="50">
        <v>122</v>
      </c>
      <c r="Y39" s="50">
        <v>145</v>
      </c>
      <c r="Z39" s="50">
        <v>144.6</v>
      </c>
      <c r="AA39" s="50">
        <v>135.6</v>
      </c>
      <c r="AB39" s="50">
        <v>135.4</v>
      </c>
      <c r="AC39" s="50">
        <v>121.7</v>
      </c>
      <c r="AD39" s="50">
        <v>87.5</v>
      </c>
      <c r="AE39" s="50">
        <v>47.7</v>
      </c>
      <c r="AF39" s="49">
        <v>48.7</v>
      </c>
      <c r="AG39" s="61">
        <v>144</v>
      </c>
      <c r="AH39" s="53">
        <f t="shared" si="2"/>
        <v>145</v>
      </c>
      <c r="AI39" s="54">
        <f t="shared" si="3"/>
        <v>0</v>
      </c>
      <c r="AK39" s="55"/>
    </row>
    <row r="40" spans="1:88" x14ac:dyDescent="0.25">
      <c r="A40" s="65" t="s">
        <v>48</v>
      </c>
      <c r="B40" s="72">
        <v>0</v>
      </c>
      <c r="C40" s="72">
        <v>0</v>
      </c>
      <c r="D40" s="72">
        <v>0</v>
      </c>
      <c r="E40" s="72">
        <v>0</v>
      </c>
      <c r="F40" s="60">
        <v>0</v>
      </c>
      <c r="G40" s="60">
        <v>0</v>
      </c>
      <c r="H40" s="60">
        <v>0</v>
      </c>
      <c r="I40" s="60">
        <v>26</v>
      </c>
      <c r="J40" s="60">
        <v>50</v>
      </c>
      <c r="K40" s="60">
        <v>52</v>
      </c>
      <c r="L40" s="60">
        <v>59</v>
      </c>
      <c r="M40" s="72">
        <v>60</v>
      </c>
      <c r="N40" s="72">
        <v>50</v>
      </c>
      <c r="O40" s="72">
        <v>47.4</v>
      </c>
      <c r="P40" s="72">
        <v>48</v>
      </c>
      <c r="Q40" s="72">
        <v>35</v>
      </c>
      <c r="R40" s="72">
        <v>35</v>
      </c>
      <c r="S40" s="72">
        <v>34.799999999999997</v>
      </c>
      <c r="T40" s="72">
        <v>34.799999999999997</v>
      </c>
      <c r="U40" s="72">
        <v>34.799999999999997</v>
      </c>
      <c r="V40" s="72">
        <v>71</v>
      </c>
      <c r="W40" s="72">
        <v>59.9</v>
      </c>
      <c r="X40" s="72">
        <v>60</v>
      </c>
      <c r="Y40" s="72">
        <v>70.2</v>
      </c>
      <c r="Z40" s="72">
        <v>70.099999999999994</v>
      </c>
      <c r="AA40" s="72">
        <v>69.7</v>
      </c>
      <c r="AB40" s="72">
        <v>60</v>
      </c>
      <c r="AC40" s="72">
        <v>59.8</v>
      </c>
      <c r="AD40" s="72">
        <v>43.6</v>
      </c>
      <c r="AE40" s="72">
        <v>35.200000000000003</v>
      </c>
      <c r="AF40" s="60">
        <v>23.7</v>
      </c>
      <c r="AG40" s="66">
        <v>70</v>
      </c>
      <c r="AH40" s="53">
        <f t="shared" si="2"/>
        <v>71</v>
      </c>
      <c r="AI40" s="54">
        <f t="shared" si="3"/>
        <v>0</v>
      </c>
      <c r="AK40" s="55"/>
    </row>
    <row r="41" spans="1:88" x14ac:dyDescent="0.25">
      <c r="A41" s="65" t="s">
        <v>49</v>
      </c>
      <c r="B41" s="72">
        <v>45.8</v>
      </c>
      <c r="C41" s="60">
        <v>40</v>
      </c>
      <c r="D41" s="60">
        <v>34</v>
      </c>
      <c r="E41" s="60">
        <v>32</v>
      </c>
      <c r="F41" s="60">
        <v>32.5</v>
      </c>
      <c r="G41" s="60">
        <v>33.6</v>
      </c>
      <c r="H41" s="60">
        <v>47.6</v>
      </c>
      <c r="I41" s="60">
        <v>35</v>
      </c>
      <c r="J41" s="60">
        <v>54</v>
      </c>
      <c r="K41" s="60">
        <v>61</v>
      </c>
      <c r="L41" s="60">
        <v>61.3</v>
      </c>
      <c r="M41" s="72">
        <v>61</v>
      </c>
      <c r="N41" s="72">
        <v>56.6</v>
      </c>
      <c r="O41" s="72">
        <v>46.1</v>
      </c>
      <c r="P41" s="72">
        <v>46.4</v>
      </c>
      <c r="Q41" s="72">
        <v>48</v>
      </c>
      <c r="R41" s="72">
        <v>40</v>
      </c>
      <c r="S41" s="72">
        <v>34.1</v>
      </c>
      <c r="T41" s="72">
        <v>21.6</v>
      </c>
      <c r="U41" s="72">
        <v>17.2</v>
      </c>
      <c r="V41" s="72">
        <v>34.6</v>
      </c>
      <c r="W41" s="72">
        <v>52.1</v>
      </c>
      <c r="X41" s="72">
        <v>60</v>
      </c>
      <c r="Y41" s="72">
        <v>67.8</v>
      </c>
      <c r="Z41" s="72">
        <v>67.099999999999994</v>
      </c>
      <c r="AA41" s="72">
        <v>66.900000000000006</v>
      </c>
      <c r="AB41" s="72">
        <v>66.7</v>
      </c>
      <c r="AC41" s="72">
        <v>66.599999999999994</v>
      </c>
      <c r="AD41" s="72">
        <v>46.2</v>
      </c>
      <c r="AE41" s="72">
        <v>44.5</v>
      </c>
      <c r="AF41" s="60">
        <v>32.299999999999997</v>
      </c>
      <c r="AG41" s="66">
        <v>69</v>
      </c>
      <c r="AH41" s="53">
        <f t="shared" si="2"/>
        <v>67.8</v>
      </c>
      <c r="AI41" s="54">
        <f t="shared" si="3"/>
        <v>17.2</v>
      </c>
      <c r="AK41" s="55"/>
    </row>
    <row r="42" spans="1:88" x14ac:dyDescent="0.25">
      <c r="A42" s="65" t="s">
        <v>50</v>
      </c>
      <c r="B42" s="72">
        <v>53.9</v>
      </c>
      <c r="C42" s="72">
        <v>53.9</v>
      </c>
      <c r="D42" s="72">
        <v>53.9</v>
      </c>
      <c r="E42" s="60">
        <v>51.4</v>
      </c>
      <c r="F42" s="60">
        <v>49.6</v>
      </c>
      <c r="G42" s="60">
        <v>54.4</v>
      </c>
      <c r="H42" s="60">
        <v>54</v>
      </c>
      <c r="I42" s="60">
        <v>52.9</v>
      </c>
      <c r="J42" s="60">
        <v>52.9</v>
      </c>
      <c r="K42" s="60">
        <v>51</v>
      </c>
      <c r="L42" s="60">
        <v>51</v>
      </c>
      <c r="M42" s="72">
        <v>51</v>
      </c>
      <c r="N42" s="72">
        <v>51.4</v>
      </c>
      <c r="O42" s="72">
        <v>51.4</v>
      </c>
      <c r="P42" s="72">
        <v>51.4</v>
      </c>
      <c r="Q42" s="72">
        <v>51.4</v>
      </c>
      <c r="R42" s="72">
        <v>51</v>
      </c>
      <c r="S42" s="72">
        <v>49.4</v>
      </c>
      <c r="T42" s="72">
        <v>50.4</v>
      </c>
      <c r="U42" s="72">
        <v>50.4</v>
      </c>
      <c r="V42" s="72">
        <v>50.4</v>
      </c>
      <c r="W42" s="72">
        <v>50.4</v>
      </c>
      <c r="X42" s="72">
        <v>50.4</v>
      </c>
      <c r="Y42" s="72">
        <v>50.4</v>
      </c>
      <c r="Z42" s="72">
        <v>50.4</v>
      </c>
      <c r="AA42" s="72">
        <v>50.4</v>
      </c>
      <c r="AB42" s="72">
        <v>50.4</v>
      </c>
      <c r="AC42" s="72">
        <v>50.6</v>
      </c>
      <c r="AD42" s="72">
        <v>50.9</v>
      </c>
      <c r="AE42" s="72">
        <v>55.4</v>
      </c>
      <c r="AF42" s="60">
        <v>55.2</v>
      </c>
      <c r="AG42" s="66">
        <v>60</v>
      </c>
      <c r="AH42" s="53">
        <f t="shared" si="2"/>
        <v>55.4</v>
      </c>
      <c r="AI42" s="54">
        <f t="shared" si="3"/>
        <v>49.4</v>
      </c>
      <c r="AK42" s="55"/>
    </row>
    <row r="43" spans="1:88" x14ac:dyDescent="0.25">
      <c r="A43" s="65" t="s">
        <v>51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60">
        <v>10</v>
      </c>
      <c r="I43" s="60">
        <v>13</v>
      </c>
      <c r="J43" s="60">
        <v>23</v>
      </c>
      <c r="K43" s="60">
        <v>30</v>
      </c>
      <c r="L43" s="60">
        <v>23</v>
      </c>
      <c r="M43" s="50">
        <v>26</v>
      </c>
      <c r="N43" s="50">
        <v>28</v>
      </c>
      <c r="O43" s="50">
        <v>13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10.7</v>
      </c>
      <c r="X43" s="50">
        <v>10</v>
      </c>
      <c r="Y43" s="50">
        <v>28.5</v>
      </c>
      <c r="Z43" s="72">
        <v>28.2</v>
      </c>
      <c r="AA43" s="72">
        <v>22.8</v>
      </c>
      <c r="AB43" s="72">
        <v>23.3</v>
      </c>
      <c r="AC43" s="72">
        <v>15</v>
      </c>
      <c r="AD43" s="72">
        <v>15</v>
      </c>
      <c r="AE43" s="72">
        <v>10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5</v>
      </c>
      <c r="C46" s="50">
        <v>5</v>
      </c>
      <c r="D46" s="50">
        <v>5</v>
      </c>
      <c r="E46" s="50">
        <v>5</v>
      </c>
      <c r="F46" s="50">
        <v>5</v>
      </c>
      <c r="G46" s="50">
        <v>5</v>
      </c>
      <c r="H46" s="50">
        <v>5</v>
      </c>
      <c r="I46" s="50">
        <v>5</v>
      </c>
      <c r="J46" s="50">
        <v>5</v>
      </c>
      <c r="K46" s="50">
        <v>5</v>
      </c>
      <c r="L46" s="50">
        <v>5</v>
      </c>
      <c r="M46" s="5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12</v>
      </c>
      <c r="C47" s="50">
        <v>12</v>
      </c>
      <c r="D47" s="50">
        <v>12</v>
      </c>
      <c r="E47" s="50">
        <v>12</v>
      </c>
      <c r="F47" s="50">
        <v>12</v>
      </c>
      <c r="G47" s="50">
        <v>12</v>
      </c>
      <c r="H47" s="50">
        <v>12</v>
      </c>
      <c r="I47" s="50">
        <v>12</v>
      </c>
      <c r="J47" s="50">
        <v>12</v>
      </c>
      <c r="K47" s="50">
        <v>12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6">
        <v>14.1</v>
      </c>
      <c r="AH47" s="53">
        <f t="shared" si="2"/>
        <v>12</v>
      </c>
      <c r="AI47" s="54">
        <f t="shared" si="3"/>
        <v>12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5.9</v>
      </c>
      <c r="C48" s="50">
        <v>5.9</v>
      </c>
      <c r="D48" s="50">
        <v>5.9</v>
      </c>
      <c r="E48" s="50">
        <v>5.9</v>
      </c>
      <c r="F48" s="50">
        <v>5.9</v>
      </c>
      <c r="G48" s="50">
        <v>5.9</v>
      </c>
      <c r="H48" s="50">
        <v>5.9</v>
      </c>
      <c r="I48" s="50">
        <v>5.9</v>
      </c>
      <c r="J48" s="50">
        <v>5.9</v>
      </c>
      <c r="K48" s="50">
        <v>5.9</v>
      </c>
      <c r="L48" s="50">
        <v>5.9</v>
      </c>
      <c r="M48" s="50">
        <v>5.9</v>
      </c>
      <c r="N48" s="50">
        <v>5.9</v>
      </c>
      <c r="O48" s="50">
        <v>5.9</v>
      </c>
      <c r="P48" s="50">
        <v>5.9</v>
      </c>
      <c r="Q48" s="50">
        <v>5.9</v>
      </c>
      <c r="R48" s="50">
        <v>5.9</v>
      </c>
      <c r="S48" s="50">
        <v>5.9</v>
      </c>
      <c r="T48" s="50">
        <v>5.9</v>
      </c>
      <c r="U48" s="50">
        <v>5.9</v>
      </c>
      <c r="V48" s="50">
        <v>5.9</v>
      </c>
      <c r="W48" s="50">
        <v>5.9</v>
      </c>
      <c r="X48" s="5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50">
        <v>6</v>
      </c>
      <c r="F49" s="50">
        <v>6</v>
      </c>
      <c r="G49" s="50">
        <v>6</v>
      </c>
      <c r="H49" s="50">
        <v>6</v>
      </c>
      <c r="I49" s="50">
        <v>6</v>
      </c>
      <c r="J49" s="50">
        <v>6</v>
      </c>
      <c r="K49" s="50">
        <v>6</v>
      </c>
      <c r="L49" s="5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50">
        <v>4</v>
      </c>
      <c r="F50" s="50">
        <v>4</v>
      </c>
      <c r="G50" s="50">
        <v>4</v>
      </c>
      <c r="H50" s="50">
        <v>4</v>
      </c>
      <c r="I50" s="50">
        <v>4</v>
      </c>
      <c r="J50" s="50">
        <v>4</v>
      </c>
      <c r="K50" s="50">
        <v>4</v>
      </c>
      <c r="L50" s="5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8">SUM(B39:B51)</f>
        <v>152.13999999999999</v>
      </c>
      <c r="C52" s="71">
        <f t="shared" ref="C52:AF52" si="9">SUM(C39:C51)</f>
        <v>146.34</v>
      </c>
      <c r="D52" s="71">
        <f t="shared" si="9"/>
        <v>140.34</v>
      </c>
      <c r="E52" s="71">
        <f t="shared" si="9"/>
        <v>135.84</v>
      </c>
      <c r="F52" s="71">
        <f t="shared" si="9"/>
        <v>134.54</v>
      </c>
      <c r="G52" s="71">
        <f t="shared" si="9"/>
        <v>140.44</v>
      </c>
      <c r="H52" s="71">
        <f t="shared" si="9"/>
        <v>194.04</v>
      </c>
      <c r="I52" s="71">
        <f t="shared" si="9"/>
        <v>220.04</v>
      </c>
      <c r="J52" s="71">
        <f t="shared" si="9"/>
        <v>298.94</v>
      </c>
      <c r="K52" s="71">
        <f t="shared" si="9"/>
        <v>357.44</v>
      </c>
      <c r="L52" s="71">
        <f t="shared" si="9"/>
        <v>368.74</v>
      </c>
      <c r="M52" s="71">
        <f t="shared" si="9"/>
        <v>382.44</v>
      </c>
      <c r="N52" s="71">
        <f t="shared" si="9"/>
        <v>370.44</v>
      </c>
      <c r="O52" s="71">
        <f t="shared" si="9"/>
        <v>332.34</v>
      </c>
      <c r="P52" s="71">
        <f t="shared" si="9"/>
        <v>330.24</v>
      </c>
      <c r="Q52" s="71">
        <f t="shared" si="9"/>
        <v>294.83999999999997</v>
      </c>
      <c r="R52" s="71">
        <f t="shared" si="9"/>
        <v>275.44</v>
      </c>
      <c r="S52" s="71">
        <f t="shared" si="9"/>
        <v>268.04000000000002</v>
      </c>
      <c r="T52" s="71">
        <f t="shared" si="9"/>
        <v>219.34</v>
      </c>
      <c r="U52" s="71">
        <f t="shared" si="9"/>
        <v>225.94</v>
      </c>
      <c r="V52" s="71">
        <f t="shared" si="9"/>
        <v>330.14</v>
      </c>
      <c r="W52" s="71">
        <f t="shared" si="9"/>
        <v>350.53999999999996</v>
      </c>
      <c r="X52" s="71">
        <f t="shared" si="9"/>
        <v>354.84</v>
      </c>
      <c r="Y52" s="71">
        <f t="shared" si="9"/>
        <v>414.34</v>
      </c>
      <c r="Z52" s="71">
        <f t="shared" si="9"/>
        <v>412.83999999999992</v>
      </c>
      <c r="AA52" s="71">
        <f t="shared" si="9"/>
        <v>397.84000000000003</v>
      </c>
      <c r="AB52" s="71">
        <f t="shared" si="9"/>
        <v>388.24</v>
      </c>
      <c r="AC52" s="71">
        <f t="shared" si="9"/>
        <v>366.14</v>
      </c>
      <c r="AD52" s="71">
        <f t="shared" si="9"/>
        <v>295.64000000000004</v>
      </c>
      <c r="AE52" s="71">
        <f t="shared" si="9"/>
        <v>245.24</v>
      </c>
      <c r="AF52" s="71">
        <f t="shared" si="9"/>
        <v>212.34</v>
      </c>
      <c r="AG52" s="76">
        <f>SUM(AG39:AG51)</f>
        <v>489.91</v>
      </c>
      <c r="AH52" s="53">
        <f t="shared" si="2"/>
        <v>414.34</v>
      </c>
      <c r="AI52" s="54">
        <f t="shared" si="3"/>
        <v>134.54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60">
        <v>0</v>
      </c>
      <c r="J53" s="60">
        <v>0</v>
      </c>
      <c r="K53" s="60">
        <v>14.4</v>
      </c>
      <c r="L53" s="60">
        <v>30</v>
      </c>
      <c r="M53" s="77">
        <v>55</v>
      </c>
      <c r="N53" s="77">
        <v>40</v>
      </c>
      <c r="O53" s="77">
        <v>60</v>
      </c>
      <c r="P53" s="77">
        <v>50</v>
      </c>
      <c r="Q53" s="50">
        <v>30</v>
      </c>
      <c r="R53" s="50">
        <v>26</v>
      </c>
      <c r="S53" s="50">
        <v>26.2</v>
      </c>
      <c r="T53" s="50">
        <v>49.5</v>
      </c>
      <c r="U53" s="50">
        <v>55.4</v>
      </c>
      <c r="V53" s="50">
        <v>44.8</v>
      </c>
      <c r="W53" s="50">
        <v>55.1</v>
      </c>
      <c r="X53" s="50">
        <v>50</v>
      </c>
      <c r="Y53" s="50">
        <v>49.6</v>
      </c>
      <c r="Z53" s="50">
        <v>51.6</v>
      </c>
      <c r="AA53" s="50">
        <v>51.6</v>
      </c>
      <c r="AB53" s="50">
        <v>50</v>
      </c>
      <c r="AC53" s="50">
        <v>49.1</v>
      </c>
      <c r="AD53" s="50">
        <v>39.5</v>
      </c>
      <c r="AE53" s="50">
        <v>0</v>
      </c>
      <c r="AF53" s="50">
        <v>0</v>
      </c>
      <c r="AG53" s="61">
        <v>60</v>
      </c>
      <c r="AH53" s="53">
        <f t="shared" si="2"/>
        <v>60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60">
        <v>0</v>
      </c>
      <c r="J54" s="60">
        <v>0</v>
      </c>
      <c r="K54" s="60">
        <v>7</v>
      </c>
      <c r="L54" s="60">
        <v>15</v>
      </c>
      <c r="M54" s="77">
        <v>26</v>
      </c>
      <c r="N54" s="77">
        <v>18.899999999999999</v>
      </c>
      <c r="O54" s="77">
        <v>27</v>
      </c>
      <c r="P54" s="77">
        <v>22</v>
      </c>
      <c r="Q54" s="72">
        <v>9</v>
      </c>
      <c r="R54" s="72">
        <v>6</v>
      </c>
      <c r="S54" s="50">
        <v>13.4</v>
      </c>
      <c r="T54" s="50">
        <v>24</v>
      </c>
      <c r="U54" s="50">
        <v>23.9</v>
      </c>
      <c r="V54" s="72">
        <v>25.1</v>
      </c>
      <c r="W54" s="72">
        <v>20.399999999999999</v>
      </c>
      <c r="X54" s="72">
        <v>22.8</v>
      </c>
      <c r="Y54" s="72">
        <v>22.6</v>
      </c>
      <c r="Z54" s="72">
        <v>23.8</v>
      </c>
      <c r="AA54" s="72">
        <v>23.7</v>
      </c>
      <c r="AB54" s="72">
        <v>23.6</v>
      </c>
      <c r="AC54" s="72">
        <v>23.1</v>
      </c>
      <c r="AD54" s="72">
        <v>18.3</v>
      </c>
      <c r="AE54" s="50">
        <v>0</v>
      </c>
      <c r="AF54" s="50">
        <v>0</v>
      </c>
      <c r="AG54" s="66">
        <v>32</v>
      </c>
      <c r="AH54" s="53">
        <f t="shared" si="2"/>
        <v>27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9">
        <v>0</v>
      </c>
      <c r="J55" s="79">
        <v>0</v>
      </c>
      <c r="K55" s="79">
        <v>3</v>
      </c>
      <c r="L55" s="79">
        <v>5.4</v>
      </c>
      <c r="M55" s="80">
        <v>10</v>
      </c>
      <c r="N55" s="80">
        <v>6.9</v>
      </c>
      <c r="O55" s="80">
        <v>11</v>
      </c>
      <c r="P55" s="80">
        <v>9</v>
      </c>
      <c r="Q55" s="78">
        <v>4</v>
      </c>
      <c r="R55" s="78">
        <v>3</v>
      </c>
      <c r="S55" s="50">
        <v>4.9000000000000004</v>
      </c>
      <c r="T55" s="50">
        <v>8.8000000000000007</v>
      </c>
      <c r="U55" s="50">
        <v>8.6999999999999993</v>
      </c>
      <c r="V55" s="78">
        <v>9.1</v>
      </c>
      <c r="W55" s="78">
        <v>7.4</v>
      </c>
      <c r="X55" s="78">
        <v>8.3000000000000007</v>
      </c>
      <c r="Y55" s="78">
        <v>8.1999999999999993</v>
      </c>
      <c r="Z55" s="78">
        <v>8.6999999999999993</v>
      </c>
      <c r="AA55" s="78">
        <v>8.6999999999999993</v>
      </c>
      <c r="AB55" s="78">
        <v>8.6</v>
      </c>
      <c r="AC55" s="78">
        <v>8.4</v>
      </c>
      <c r="AD55" s="78">
        <v>6.7</v>
      </c>
      <c r="AE55" s="50">
        <v>0</v>
      </c>
      <c r="AF55" s="50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0">SUM(B53:B55)</f>
        <v>0</v>
      </c>
      <c r="C56" s="71">
        <f>SUM(C53:C55)</f>
        <v>0</v>
      </c>
      <c r="D56" s="71">
        <f t="shared" ref="D56:AF56" si="11">SUM(D53:D55)</f>
        <v>0</v>
      </c>
      <c r="E56" s="71">
        <f t="shared" si="11"/>
        <v>0</v>
      </c>
      <c r="F56" s="71">
        <f t="shared" si="11"/>
        <v>0</v>
      </c>
      <c r="G56" s="71">
        <f t="shared" si="11"/>
        <v>0</v>
      </c>
      <c r="H56" s="71">
        <f t="shared" si="11"/>
        <v>0</v>
      </c>
      <c r="I56" s="71">
        <f t="shared" si="11"/>
        <v>0</v>
      </c>
      <c r="J56" s="71">
        <f t="shared" si="11"/>
        <v>0</v>
      </c>
      <c r="K56" s="71">
        <f t="shared" si="11"/>
        <v>24.4</v>
      </c>
      <c r="L56" s="71">
        <f t="shared" si="11"/>
        <v>50.4</v>
      </c>
      <c r="M56" s="71">
        <f t="shared" si="11"/>
        <v>91</v>
      </c>
      <c r="N56" s="71">
        <f t="shared" si="11"/>
        <v>65.8</v>
      </c>
      <c r="O56" s="71">
        <f t="shared" si="11"/>
        <v>98</v>
      </c>
      <c r="P56" s="71">
        <f t="shared" si="11"/>
        <v>81</v>
      </c>
      <c r="Q56" s="71">
        <f t="shared" si="11"/>
        <v>43</v>
      </c>
      <c r="R56" s="71">
        <f t="shared" si="11"/>
        <v>35</v>
      </c>
      <c r="S56" s="71">
        <f t="shared" si="11"/>
        <v>44.5</v>
      </c>
      <c r="T56" s="71">
        <f t="shared" si="11"/>
        <v>82.3</v>
      </c>
      <c r="U56" s="71">
        <f t="shared" si="11"/>
        <v>88</v>
      </c>
      <c r="V56" s="71">
        <f t="shared" si="11"/>
        <v>79</v>
      </c>
      <c r="W56" s="71">
        <f t="shared" si="11"/>
        <v>82.9</v>
      </c>
      <c r="X56" s="71">
        <f t="shared" si="11"/>
        <v>81.099999999999994</v>
      </c>
      <c r="Y56" s="71">
        <f t="shared" si="11"/>
        <v>80.400000000000006</v>
      </c>
      <c r="Z56" s="71">
        <f t="shared" si="11"/>
        <v>84.100000000000009</v>
      </c>
      <c r="AA56" s="71">
        <f t="shared" si="11"/>
        <v>84</v>
      </c>
      <c r="AB56" s="71">
        <f t="shared" si="11"/>
        <v>82.199999999999989</v>
      </c>
      <c r="AC56" s="71">
        <f t="shared" si="11"/>
        <v>80.600000000000009</v>
      </c>
      <c r="AD56" s="71">
        <f t="shared" si="11"/>
        <v>64.5</v>
      </c>
      <c r="AE56" s="71">
        <f t="shared" si="11"/>
        <v>0</v>
      </c>
      <c r="AF56" s="71">
        <f t="shared" si="11"/>
        <v>0</v>
      </c>
      <c r="AG56" s="76">
        <f>SUM(AG53:AG55)</f>
        <v>106</v>
      </c>
      <c r="AH56" s="53">
        <f t="shared" si="2"/>
        <v>98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69</v>
      </c>
      <c r="C57" s="50">
        <v>71</v>
      </c>
      <c r="D57" s="50">
        <v>72</v>
      </c>
      <c r="E57" s="50">
        <v>70.2</v>
      </c>
      <c r="F57" s="50">
        <v>69.900000000000006</v>
      </c>
      <c r="G57" s="50">
        <v>73</v>
      </c>
      <c r="H57" s="50">
        <v>69</v>
      </c>
      <c r="I57" s="50">
        <v>71</v>
      </c>
      <c r="J57" s="50">
        <v>70.7</v>
      </c>
      <c r="K57" s="50">
        <v>80</v>
      </c>
      <c r="L57" s="50">
        <v>71</v>
      </c>
      <c r="M57" s="50">
        <v>71.400000000000006</v>
      </c>
      <c r="N57" s="50">
        <v>69</v>
      </c>
      <c r="O57" s="50">
        <v>75</v>
      </c>
      <c r="P57" s="50">
        <v>76</v>
      </c>
      <c r="Q57" s="50">
        <v>64</v>
      </c>
      <c r="R57" s="50">
        <v>72</v>
      </c>
      <c r="S57" s="50">
        <v>61.1</v>
      </c>
      <c r="T57" s="50">
        <v>70.400000000000006</v>
      </c>
      <c r="U57" s="50">
        <v>72.900000000000006</v>
      </c>
      <c r="V57" s="50">
        <v>64.599999999999994</v>
      </c>
      <c r="W57" s="50">
        <v>66.7</v>
      </c>
      <c r="X57" s="50">
        <v>76.099999999999994</v>
      </c>
      <c r="Y57" s="50">
        <v>69.099999999999994</v>
      </c>
      <c r="Z57" s="50">
        <v>71.8</v>
      </c>
      <c r="AA57" s="50">
        <v>72.5</v>
      </c>
      <c r="AB57" s="50">
        <v>68.7</v>
      </c>
      <c r="AC57" s="50">
        <v>73.8</v>
      </c>
      <c r="AD57" s="50">
        <v>73.7</v>
      </c>
      <c r="AE57" s="50">
        <v>68.8</v>
      </c>
      <c r="AF57" s="50">
        <v>68.2</v>
      </c>
      <c r="AG57" s="61"/>
      <c r="AH57" s="53">
        <f t="shared" si="2"/>
        <v>80</v>
      </c>
      <c r="AI57" s="54">
        <f t="shared" si="3"/>
        <v>61.1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70</v>
      </c>
      <c r="P58" s="50">
        <v>60</v>
      </c>
      <c r="Q58" s="50">
        <v>60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f>93.4+6</f>
        <v>99.4</v>
      </c>
      <c r="Y58" s="82">
        <v>104</v>
      </c>
      <c r="Z58" s="82">
        <f>88.6+11</f>
        <v>99.6</v>
      </c>
      <c r="AA58" s="82">
        <f>89.1+11</f>
        <v>100.1</v>
      </c>
      <c r="AB58" s="72">
        <v>96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104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330</v>
      </c>
      <c r="C59" s="72">
        <v>318</v>
      </c>
      <c r="D59" s="72">
        <v>305</v>
      </c>
      <c r="E59" s="72">
        <v>298</v>
      </c>
      <c r="F59" s="72">
        <v>305</v>
      </c>
      <c r="G59" s="72">
        <v>319</v>
      </c>
      <c r="H59" s="50">
        <v>300</v>
      </c>
      <c r="I59" s="50">
        <v>308</v>
      </c>
      <c r="J59" s="50">
        <v>343</v>
      </c>
      <c r="K59" s="50">
        <v>335</v>
      </c>
      <c r="L59" s="50">
        <v>334</v>
      </c>
      <c r="M59" s="72">
        <v>125</v>
      </c>
      <c r="N59" s="72">
        <v>150</v>
      </c>
      <c r="O59" s="72">
        <v>155</v>
      </c>
      <c r="P59" s="72">
        <v>166</v>
      </c>
      <c r="Q59" s="72">
        <v>332</v>
      </c>
      <c r="R59" s="72">
        <v>333</v>
      </c>
      <c r="S59" s="72">
        <v>330.5</v>
      </c>
      <c r="T59" s="72">
        <v>308.89999999999998</v>
      </c>
      <c r="U59" s="72">
        <v>344.4</v>
      </c>
      <c r="V59" s="72">
        <v>153.1</v>
      </c>
      <c r="W59" s="72">
        <v>113.6</v>
      </c>
      <c r="X59" s="83">
        <v>7.9</v>
      </c>
      <c r="Y59" s="83">
        <v>11.7</v>
      </c>
      <c r="Z59" s="83">
        <v>0</v>
      </c>
      <c r="AA59" s="83">
        <v>9.4</v>
      </c>
      <c r="AB59" s="72">
        <v>86</v>
      </c>
      <c r="AC59" s="72">
        <v>242.9</v>
      </c>
      <c r="AD59" s="72">
        <v>312.5</v>
      </c>
      <c r="AE59" s="72">
        <v>304</v>
      </c>
      <c r="AF59" s="72">
        <v>332.5</v>
      </c>
      <c r="AG59" s="84"/>
      <c r="AH59" s="53">
        <f t="shared" si="2"/>
        <v>344.4</v>
      </c>
      <c r="AI59" s="54">
        <f t="shared" si="3"/>
        <v>0</v>
      </c>
      <c r="AK59" s="55"/>
    </row>
    <row r="60" spans="1:37" x14ac:dyDescent="0.25">
      <c r="A60" s="65" t="s">
        <v>68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57">
        <v>56.5</v>
      </c>
      <c r="J60" s="57">
        <v>58.7</v>
      </c>
      <c r="K60" s="57">
        <v>60.4</v>
      </c>
      <c r="L60" s="57">
        <v>62</v>
      </c>
      <c r="M60" s="72">
        <v>58</v>
      </c>
      <c r="N60" s="72">
        <v>61</v>
      </c>
      <c r="O60" s="72">
        <v>62</v>
      </c>
      <c r="P60" s="72">
        <v>60</v>
      </c>
      <c r="Q60" s="72">
        <v>55</v>
      </c>
      <c r="R60" s="72">
        <v>60</v>
      </c>
      <c r="S60" s="72">
        <v>54.6</v>
      </c>
      <c r="T60" s="72">
        <v>59.7</v>
      </c>
      <c r="U60" s="72">
        <v>59.7</v>
      </c>
      <c r="V60" s="72">
        <v>54.5</v>
      </c>
      <c r="W60" s="72">
        <v>53.7</v>
      </c>
      <c r="X60" s="72">
        <v>58.6</v>
      </c>
      <c r="Y60" s="72">
        <v>57.7</v>
      </c>
      <c r="Z60" s="72">
        <v>58.6</v>
      </c>
      <c r="AA60" s="72">
        <v>59.7</v>
      </c>
      <c r="AB60" s="72">
        <v>57.1</v>
      </c>
      <c r="AC60" s="72">
        <v>60.2</v>
      </c>
      <c r="AD60" s="72">
        <v>56</v>
      </c>
      <c r="AE60" s="72">
        <v>15.1</v>
      </c>
      <c r="AF60" s="57">
        <v>17.899999999999999</v>
      </c>
      <c r="AG60" s="84"/>
      <c r="AH60" s="53">
        <f t="shared" si="2"/>
        <v>62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7">
        <v>90</v>
      </c>
      <c r="M61" s="50">
        <v>75.5</v>
      </c>
      <c r="N61" s="50">
        <v>72.599999999999994</v>
      </c>
      <c r="O61" s="50">
        <v>62</v>
      </c>
      <c r="P61" s="50">
        <v>69</v>
      </c>
      <c r="Q61" s="50">
        <v>60</v>
      </c>
      <c r="R61" s="50">
        <v>67.5</v>
      </c>
      <c r="S61" s="50">
        <v>64.7</v>
      </c>
      <c r="T61" s="50">
        <v>63.9</v>
      </c>
      <c r="U61" s="50">
        <v>74.8</v>
      </c>
      <c r="V61" s="50">
        <v>65.599999999999994</v>
      </c>
      <c r="W61" s="50">
        <v>73.599999999999994</v>
      </c>
      <c r="X61" s="50">
        <v>73.3</v>
      </c>
      <c r="Y61" s="50">
        <v>82.6</v>
      </c>
      <c r="Z61" s="50">
        <v>82.3</v>
      </c>
      <c r="AA61" s="50">
        <v>85.2</v>
      </c>
      <c r="AB61" s="50">
        <v>80.8</v>
      </c>
      <c r="AC61" s="50">
        <v>84.3</v>
      </c>
      <c r="AD61" s="50">
        <v>89.6</v>
      </c>
      <c r="AE61" s="50">
        <v>81.2</v>
      </c>
      <c r="AF61" s="50">
        <v>0</v>
      </c>
      <c r="AG61" s="84"/>
      <c r="AH61" s="53">
        <f t="shared" si="2"/>
        <v>90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7</v>
      </c>
      <c r="Z62" s="59">
        <v>7</v>
      </c>
      <c r="AA62" s="59">
        <v>7</v>
      </c>
      <c r="AB62" s="59">
        <v>7</v>
      </c>
      <c r="AC62" s="59">
        <v>7</v>
      </c>
      <c r="AD62" s="59">
        <v>0</v>
      </c>
      <c r="AE62" s="59">
        <v>0</v>
      </c>
      <c r="AF62" s="50">
        <v>0</v>
      </c>
      <c r="AG62" s="84"/>
      <c r="AH62" s="53">
        <f t="shared" si="2"/>
        <v>7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0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9">
        <v>0</v>
      </c>
      <c r="AD64" s="59">
        <v>0</v>
      </c>
      <c r="AE64" s="59">
        <v>0</v>
      </c>
      <c r="AF64" s="50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9">
        <v>0</v>
      </c>
      <c r="AD65" s="59">
        <v>0</v>
      </c>
      <c r="AE65" s="59">
        <v>0</v>
      </c>
      <c r="AF65" s="50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59">
        <v>0</v>
      </c>
      <c r="AD66" s="59">
        <v>0</v>
      </c>
      <c r="AE66" s="59">
        <v>0</v>
      </c>
      <c r="AF66" s="50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59">
        <v>0</v>
      </c>
      <c r="AD67" s="59">
        <v>0</v>
      </c>
      <c r="AE67" s="59">
        <v>0</v>
      </c>
      <c r="AF67" s="50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 t="shared" ref="B68" si="12">SUM(B57:B67)</f>
        <v>399</v>
      </c>
      <c r="C68" s="71">
        <f>SUM(C57:C67)</f>
        <v>389</v>
      </c>
      <c r="D68" s="71">
        <f t="shared" ref="D68:AF68" si="13">SUM(D57:D67)</f>
        <v>377</v>
      </c>
      <c r="E68" s="71">
        <f t="shared" si="13"/>
        <v>368.2</v>
      </c>
      <c r="F68" s="71">
        <f t="shared" si="13"/>
        <v>374.9</v>
      </c>
      <c r="G68" s="71">
        <f t="shared" si="13"/>
        <v>392</v>
      </c>
      <c r="H68" s="71">
        <f t="shared" si="13"/>
        <v>369</v>
      </c>
      <c r="I68" s="71">
        <f t="shared" si="13"/>
        <v>435.5</v>
      </c>
      <c r="J68" s="71">
        <f t="shared" si="13"/>
        <v>472.4</v>
      </c>
      <c r="K68" s="71">
        <f>SUM(K57:K67)</f>
        <v>475.4</v>
      </c>
      <c r="L68" s="71">
        <f t="shared" si="13"/>
        <v>557</v>
      </c>
      <c r="M68" s="71">
        <f t="shared" si="13"/>
        <v>329.9</v>
      </c>
      <c r="N68" s="71">
        <f t="shared" si="13"/>
        <v>352.6</v>
      </c>
      <c r="O68" s="71">
        <f t="shared" si="13"/>
        <v>424</v>
      </c>
      <c r="P68" s="71">
        <f t="shared" si="13"/>
        <v>431</v>
      </c>
      <c r="Q68" s="71">
        <f t="shared" si="13"/>
        <v>571</v>
      </c>
      <c r="R68" s="71">
        <f t="shared" si="13"/>
        <v>532.5</v>
      </c>
      <c r="S68" s="71">
        <f t="shared" si="13"/>
        <v>510.90000000000003</v>
      </c>
      <c r="T68" s="71">
        <f t="shared" si="13"/>
        <v>502.89999999999992</v>
      </c>
      <c r="U68" s="71">
        <f t="shared" si="13"/>
        <v>551.79999999999995</v>
      </c>
      <c r="V68" s="71">
        <f t="shared" si="13"/>
        <v>337.79999999999995</v>
      </c>
      <c r="W68" s="71">
        <f t="shared" si="13"/>
        <v>307.60000000000002</v>
      </c>
      <c r="X68" s="71">
        <f t="shared" si="13"/>
        <v>315.3</v>
      </c>
      <c r="Y68" s="71">
        <f t="shared" si="13"/>
        <v>332.1</v>
      </c>
      <c r="Z68" s="71">
        <f t="shared" si="13"/>
        <v>319.29999999999995</v>
      </c>
      <c r="AA68" s="71">
        <f t="shared" si="13"/>
        <v>333.9</v>
      </c>
      <c r="AB68" s="71">
        <f t="shared" si="13"/>
        <v>395.6</v>
      </c>
      <c r="AC68" s="71">
        <f t="shared" si="13"/>
        <v>468.2</v>
      </c>
      <c r="AD68" s="71">
        <f t="shared" si="13"/>
        <v>531.79999999999995</v>
      </c>
      <c r="AE68" s="71">
        <f t="shared" si="13"/>
        <v>469.1</v>
      </c>
      <c r="AF68" s="71">
        <f t="shared" si="13"/>
        <v>418.59999999999997</v>
      </c>
      <c r="AG68" s="76">
        <f>SUM(AG57:AG67)</f>
        <v>0</v>
      </c>
      <c r="AH68" s="53">
        <f t="shared" si="2"/>
        <v>571</v>
      </c>
      <c r="AI68" s="54">
        <f t="shared" si="3"/>
        <v>307.60000000000002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 t="shared" ref="B72" si="14">SUM(B69:B71)</f>
        <v>0</v>
      </c>
      <c r="C72" s="71">
        <f>SUM(C69:C71)</f>
        <v>0</v>
      </c>
      <c r="D72" s="71">
        <f t="shared" ref="D72:AF72" si="15">SUM(D69:D71)</f>
        <v>0</v>
      </c>
      <c r="E72" s="71">
        <f t="shared" si="15"/>
        <v>0</v>
      </c>
      <c r="F72" s="71">
        <f t="shared" si="15"/>
        <v>0</v>
      </c>
      <c r="G72" s="71">
        <f t="shared" si="15"/>
        <v>0</v>
      </c>
      <c r="H72" s="71">
        <f t="shared" si="15"/>
        <v>0</v>
      </c>
      <c r="I72" s="71">
        <f t="shared" si="15"/>
        <v>0</v>
      </c>
      <c r="J72" s="71">
        <f t="shared" si="15"/>
        <v>0</v>
      </c>
      <c r="K72" s="71">
        <f t="shared" si="15"/>
        <v>0</v>
      </c>
      <c r="L72" s="71">
        <f t="shared" si="15"/>
        <v>0</v>
      </c>
      <c r="M72" s="71">
        <f t="shared" si="15"/>
        <v>0</v>
      </c>
      <c r="N72" s="71">
        <f t="shared" si="15"/>
        <v>0</v>
      </c>
      <c r="O72" s="71">
        <f t="shared" si="15"/>
        <v>0</v>
      </c>
      <c r="P72" s="71">
        <f t="shared" si="15"/>
        <v>0</v>
      </c>
      <c r="Q72" s="71">
        <f t="shared" si="15"/>
        <v>0</v>
      </c>
      <c r="R72" s="71">
        <f t="shared" si="15"/>
        <v>0</v>
      </c>
      <c r="S72" s="71">
        <f t="shared" si="15"/>
        <v>0</v>
      </c>
      <c r="T72" s="71">
        <f t="shared" si="15"/>
        <v>0</v>
      </c>
      <c r="U72" s="71">
        <f t="shared" si="15"/>
        <v>0</v>
      </c>
      <c r="V72" s="71">
        <f t="shared" si="15"/>
        <v>0</v>
      </c>
      <c r="W72" s="71">
        <f t="shared" si="15"/>
        <v>0</v>
      </c>
      <c r="X72" s="71">
        <f t="shared" si="15"/>
        <v>0</v>
      </c>
      <c r="Y72" s="71">
        <f t="shared" si="15"/>
        <v>0</v>
      </c>
      <c r="Z72" s="71">
        <f t="shared" si="15"/>
        <v>0</v>
      </c>
      <c r="AA72" s="71">
        <f t="shared" si="15"/>
        <v>0</v>
      </c>
      <c r="AB72" s="71">
        <f t="shared" si="15"/>
        <v>0</v>
      </c>
      <c r="AC72" s="71">
        <f t="shared" si="15"/>
        <v>0</v>
      </c>
      <c r="AD72" s="71">
        <f t="shared" si="15"/>
        <v>0</v>
      </c>
      <c r="AE72" s="71">
        <f t="shared" si="15"/>
        <v>0</v>
      </c>
      <c r="AF72" s="71">
        <f t="shared" si="15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 t="shared" ref="B73" si="16">B68+B56+B52+B38+B72</f>
        <v>978.63999999999987</v>
      </c>
      <c r="C73" s="88">
        <f>C68+C56+C52+C38+C72</f>
        <v>962.83999999999992</v>
      </c>
      <c r="D73" s="88">
        <f t="shared" ref="D73:AG73" si="17">D68+D56+D52+D38+D72</f>
        <v>943.83999999999992</v>
      </c>
      <c r="E73" s="88">
        <f t="shared" si="17"/>
        <v>931.54</v>
      </c>
      <c r="F73" s="88">
        <f t="shared" si="17"/>
        <v>933.54</v>
      </c>
      <c r="G73" s="88">
        <f t="shared" si="17"/>
        <v>970.54</v>
      </c>
      <c r="H73" s="88">
        <f t="shared" si="17"/>
        <v>1025.1399999999999</v>
      </c>
      <c r="I73" s="88">
        <f t="shared" si="17"/>
        <v>1109.3399999999999</v>
      </c>
      <c r="J73" s="88">
        <f t="shared" si="17"/>
        <v>1233.54</v>
      </c>
      <c r="K73" s="88">
        <f t="shared" si="17"/>
        <v>1359.44</v>
      </c>
      <c r="L73" s="88">
        <f t="shared" si="17"/>
        <v>1500.94</v>
      </c>
      <c r="M73" s="88">
        <f t="shared" si="17"/>
        <v>1543.1399999999999</v>
      </c>
      <c r="N73" s="88">
        <f t="shared" si="17"/>
        <v>1524.6390000000001</v>
      </c>
      <c r="O73" s="88">
        <f t="shared" si="17"/>
        <v>1415.1389999999999</v>
      </c>
      <c r="P73" s="88">
        <f t="shared" si="17"/>
        <v>1383.039</v>
      </c>
      <c r="Q73" s="88">
        <f t="shared" si="17"/>
        <v>1369.6389999999999</v>
      </c>
      <c r="R73" s="88">
        <f t="shared" si="17"/>
        <v>1303.739</v>
      </c>
      <c r="S73" s="88">
        <f t="shared" si="17"/>
        <v>1250.1400000000001</v>
      </c>
      <c r="T73" s="88">
        <f t="shared" si="17"/>
        <v>1221.24</v>
      </c>
      <c r="U73" s="88">
        <f t="shared" si="17"/>
        <v>1280.8399999999999</v>
      </c>
      <c r="V73" s="88">
        <f t="shared" si="17"/>
        <v>1309.54</v>
      </c>
      <c r="W73" s="88">
        <f t="shared" si="17"/>
        <v>1373.6399999999999</v>
      </c>
      <c r="X73" s="88">
        <f t="shared" si="17"/>
        <v>1492.94</v>
      </c>
      <c r="Y73" s="88">
        <f t="shared" si="17"/>
        <v>1593.54</v>
      </c>
      <c r="Z73" s="88">
        <f t="shared" si="17"/>
        <v>1577.3400000000001</v>
      </c>
      <c r="AA73" s="88">
        <f t="shared" si="17"/>
        <v>1552.04</v>
      </c>
      <c r="AB73" s="88">
        <f t="shared" si="17"/>
        <v>1482.24</v>
      </c>
      <c r="AC73" s="88">
        <f t="shared" si="17"/>
        <v>1470.7399999999998</v>
      </c>
      <c r="AD73" s="88">
        <f t="shared" si="17"/>
        <v>1388.3400000000001</v>
      </c>
      <c r="AE73" s="88">
        <f t="shared" si="17"/>
        <v>1187.24</v>
      </c>
      <c r="AF73" s="88">
        <f t="shared" si="17"/>
        <v>1050.1399999999999</v>
      </c>
      <c r="AG73" s="88">
        <f t="shared" si="17"/>
        <v>2144.14</v>
      </c>
      <c r="AH73" s="53">
        <f t="shared" si="2"/>
        <v>1593.54</v>
      </c>
      <c r="AI73" s="54">
        <f t="shared" si="3"/>
        <v>931.54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 t="shared" ref="B75" si="18">B72+B68+B56+B52+B38+B74</f>
        <v>978.63999999999987</v>
      </c>
      <c r="C75" s="88">
        <f>C73+C74</f>
        <v>962.83999999999992</v>
      </c>
      <c r="D75" s="88">
        <f t="shared" ref="D75:AF75" si="19">D72+D68+D56+D52+D38+D74</f>
        <v>943.83999999999992</v>
      </c>
      <c r="E75" s="88">
        <f t="shared" si="19"/>
        <v>931.54</v>
      </c>
      <c r="F75" s="88">
        <f t="shared" si="19"/>
        <v>933.54</v>
      </c>
      <c r="G75" s="88">
        <f t="shared" si="19"/>
        <v>970.54</v>
      </c>
      <c r="H75" s="88">
        <f t="shared" si="19"/>
        <v>1025.1399999999999</v>
      </c>
      <c r="I75" s="88">
        <f t="shared" si="19"/>
        <v>1109.3399999999999</v>
      </c>
      <c r="J75" s="88">
        <f t="shared" si="19"/>
        <v>1233.54</v>
      </c>
      <c r="K75" s="88">
        <f t="shared" si="19"/>
        <v>1359.44</v>
      </c>
      <c r="L75" s="88">
        <f t="shared" si="19"/>
        <v>1500.94</v>
      </c>
      <c r="M75" s="88">
        <f t="shared" si="19"/>
        <v>1543.1399999999999</v>
      </c>
      <c r="N75" s="88">
        <f t="shared" si="19"/>
        <v>1524.6390000000001</v>
      </c>
      <c r="O75" s="88">
        <f t="shared" si="19"/>
        <v>1415.1389999999999</v>
      </c>
      <c r="P75" s="88">
        <f t="shared" si="19"/>
        <v>1383.039</v>
      </c>
      <c r="Q75" s="88">
        <f t="shared" si="19"/>
        <v>1369.6389999999999</v>
      </c>
      <c r="R75" s="88">
        <f t="shared" si="19"/>
        <v>1303.739</v>
      </c>
      <c r="S75" s="88">
        <f t="shared" si="19"/>
        <v>1250.1400000000001</v>
      </c>
      <c r="T75" s="88">
        <f t="shared" si="19"/>
        <v>1221.24</v>
      </c>
      <c r="U75" s="88">
        <f t="shared" si="19"/>
        <v>1280.8399999999999</v>
      </c>
      <c r="V75" s="88">
        <f t="shared" si="19"/>
        <v>1309.54</v>
      </c>
      <c r="W75" s="88">
        <f t="shared" si="19"/>
        <v>1373.6399999999999</v>
      </c>
      <c r="X75" s="88">
        <f t="shared" si="19"/>
        <v>1492.94</v>
      </c>
      <c r="Y75" s="88">
        <f t="shared" si="19"/>
        <v>1593.54</v>
      </c>
      <c r="Z75" s="88">
        <f t="shared" si="19"/>
        <v>1577.3400000000001</v>
      </c>
      <c r="AA75" s="88">
        <f t="shared" si="19"/>
        <v>1552.04</v>
      </c>
      <c r="AB75" s="88">
        <f t="shared" si="19"/>
        <v>1482.24</v>
      </c>
      <c r="AC75" s="88">
        <f t="shared" si="19"/>
        <v>1470.7399999999998</v>
      </c>
      <c r="AD75" s="88">
        <f t="shared" si="19"/>
        <v>1388.3400000000001</v>
      </c>
      <c r="AE75" s="88">
        <f t="shared" si="19"/>
        <v>1187.24</v>
      </c>
      <c r="AF75" s="88">
        <f t="shared" si="19"/>
        <v>1050.1399999999999</v>
      </c>
      <c r="AG75" s="76">
        <f>AG72+AG68+AG56+AG52+AG38+AG74</f>
        <v>2144.14</v>
      </c>
      <c r="AH75" s="53">
        <f t="shared" si="2"/>
        <v>1593.54</v>
      </c>
      <c r="AI75" s="54">
        <f t="shared" si="3"/>
        <v>931.54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 t="shared" ref="B76" si="20">IF(B60&lt;0,B60*-1,0)</f>
        <v>0</v>
      </c>
      <c r="C76" s="57">
        <f>IF(C60&lt;0,C60*-1,0)</f>
        <v>0</v>
      </c>
      <c r="D76" s="57">
        <f t="shared" ref="D76:AF76" si="21">IF(D60&lt;0,D60*-1,0)</f>
        <v>0</v>
      </c>
      <c r="E76" s="57">
        <f t="shared" si="21"/>
        <v>0</v>
      </c>
      <c r="F76" s="57">
        <f t="shared" si="21"/>
        <v>0</v>
      </c>
      <c r="G76" s="57">
        <f t="shared" si="21"/>
        <v>0</v>
      </c>
      <c r="H76" s="57">
        <f t="shared" si="21"/>
        <v>0</v>
      </c>
      <c r="I76" s="57">
        <f t="shared" si="21"/>
        <v>0</v>
      </c>
      <c r="J76" s="57">
        <f t="shared" si="21"/>
        <v>0</v>
      </c>
      <c r="K76" s="57">
        <f t="shared" si="21"/>
        <v>0</v>
      </c>
      <c r="L76" s="57">
        <f t="shared" si="21"/>
        <v>0</v>
      </c>
      <c r="M76" s="57">
        <f t="shared" si="21"/>
        <v>0</v>
      </c>
      <c r="N76" s="57">
        <f t="shared" si="21"/>
        <v>0</v>
      </c>
      <c r="O76" s="57">
        <f t="shared" si="21"/>
        <v>0</v>
      </c>
      <c r="P76" s="57">
        <f t="shared" si="21"/>
        <v>0</v>
      </c>
      <c r="Q76" s="57">
        <f t="shared" si="21"/>
        <v>0</v>
      </c>
      <c r="R76" s="57">
        <f t="shared" si="21"/>
        <v>0</v>
      </c>
      <c r="S76" s="57">
        <f t="shared" si="21"/>
        <v>0</v>
      </c>
      <c r="T76" s="57">
        <f t="shared" si="21"/>
        <v>0</v>
      </c>
      <c r="U76" s="57">
        <f t="shared" si="21"/>
        <v>0</v>
      </c>
      <c r="V76" s="57">
        <f t="shared" si="21"/>
        <v>0</v>
      </c>
      <c r="W76" s="57">
        <f t="shared" si="21"/>
        <v>0</v>
      </c>
      <c r="X76" s="57">
        <f t="shared" si="21"/>
        <v>0</v>
      </c>
      <c r="Y76" s="57">
        <f t="shared" si="21"/>
        <v>0</v>
      </c>
      <c r="Z76" s="57">
        <f t="shared" si="21"/>
        <v>0</v>
      </c>
      <c r="AA76" s="57">
        <f t="shared" si="21"/>
        <v>0</v>
      </c>
      <c r="AB76" s="57">
        <f t="shared" si="21"/>
        <v>0</v>
      </c>
      <c r="AC76" s="57">
        <f t="shared" si="21"/>
        <v>0</v>
      </c>
      <c r="AD76" s="57">
        <f t="shared" si="21"/>
        <v>0</v>
      </c>
      <c r="AE76" s="57">
        <f t="shared" si="21"/>
        <v>0</v>
      </c>
      <c r="AF76" s="57">
        <f t="shared" si="21"/>
        <v>0</v>
      </c>
      <c r="AG76" s="61"/>
      <c r="AH76" s="53">
        <f t="shared" ref="AH76:AH91" si="22">MAX(B76:AF76)</f>
        <v>0</v>
      </c>
      <c r="AI76" s="54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 t="shared" ref="B77" si="24">IF(B58&lt;0,B58*-1,0)</f>
        <v>0</v>
      </c>
      <c r="C77" s="57">
        <f>IF(C58&lt;0,C58*-1,0)</f>
        <v>0</v>
      </c>
      <c r="D77" s="57">
        <f t="shared" ref="D77:AF77" si="25">IF(D58&lt;0,D58*-1,0)</f>
        <v>0</v>
      </c>
      <c r="E77" s="57">
        <f t="shared" si="25"/>
        <v>0</v>
      </c>
      <c r="F77" s="57">
        <f t="shared" si="25"/>
        <v>0</v>
      </c>
      <c r="G77" s="57">
        <f t="shared" si="25"/>
        <v>0</v>
      </c>
      <c r="H77" s="57">
        <f t="shared" si="25"/>
        <v>0</v>
      </c>
      <c r="I77" s="57">
        <f t="shared" si="25"/>
        <v>0</v>
      </c>
      <c r="J77" s="57">
        <f t="shared" si="25"/>
        <v>0</v>
      </c>
      <c r="K77" s="57">
        <f t="shared" si="25"/>
        <v>0</v>
      </c>
      <c r="L77" s="57">
        <f t="shared" si="25"/>
        <v>0</v>
      </c>
      <c r="M77" s="57">
        <f t="shared" si="25"/>
        <v>0</v>
      </c>
      <c r="N77" s="57">
        <f t="shared" si="25"/>
        <v>0</v>
      </c>
      <c r="O77" s="57">
        <f t="shared" si="25"/>
        <v>0</v>
      </c>
      <c r="P77" s="57">
        <f t="shared" si="25"/>
        <v>0</v>
      </c>
      <c r="Q77" s="57">
        <f t="shared" si="25"/>
        <v>0</v>
      </c>
      <c r="R77" s="57">
        <f t="shared" si="25"/>
        <v>0</v>
      </c>
      <c r="S77" s="57">
        <f t="shared" si="25"/>
        <v>0</v>
      </c>
      <c r="T77" s="57">
        <f t="shared" si="25"/>
        <v>0</v>
      </c>
      <c r="U77" s="57">
        <f t="shared" si="25"/>
        <v>0</v>
      </c>
      <c r="V77" s="57">
        <f t="shared" si="25"/>
        <v>0</v>
      </c>
      <c r="W77" s="57">
        <f t="shared" si="25"/>
        <v>0</v>
      </c>
      <c r="X77" s="57">
        <f t="shared" si="25"/>
        <v>0</v>
      </c>
      <c r="Y77" s="57">
        <f t="shared" si="25"/>
        <v>0</v>
      </c>
      <c r="Z77" s="57">
        <f t="shared" si="25"/>
        <v>0</v>
      </c>
      <c r="AA77" s="57">
        <f t="shared" si="25"/>
        <v>0</v>
      </c>
      <c r="AB77" s="57">
        <f t="shared" si="25"/>
        <v>0</v>
      </c>
      <c r="AC77" s="57">
        <f t="shared" si="25"/>
        <v>0</v>
      </c>
      <c r="AD77" s="57">
        <f t="shared" si="25"/>
        <v>0</v>
      </c>
      <c r="AE77" s="57">
        <f t="shared" si="25"/>
        <v>0</v>
      </c>
      <c r="AF77" s="57">
        <f t="shared" si="25"/>
        <v>0</v>
      </c>
      <c r="AG77" s="66"/>
      <c r="AH77" s="53">
        <f t="shared" si="22"/>
        <v>0</v>
      </c>
      <c r="AI77" s="54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 t="shared" ref="B78" si="26">IF(B61&lt;0,B61*-1,0)</f>
        <v>0</v>
      </c>
      <c r="C78" s="57">
        <f>IF(C61&lt;0,C61*-1,0)</f>
        <v>0</v>
      </c>
      <c r="D78" s="57">
        <f t="shared" ref="D78:AF78" si="27">IF(D61&lt;0,D61*-1,0)</f>
        <v>0</v>
      </c>
      <c r="E78" s="57">
        <f t="shared" si="27"/>
        <v>0</v>
      </c>
      <c r="F78" s="57">
        <f t="shared" si="27"/>
        <v>0</v>
      </c>
      <c r="G78" s="57">
        <f t="shared" si="27"/>
        <v>0</v>
      </c>
      <c r="H78" s="57">
        <f t="shared" si="27"/>
        <v>0</v>
      </c>
      <c r="I78" s="57">
        <f t="shared" si="27"/>
        <v>0</v>
      </c>
      <c r="J78" s="57">
        <f t="shared" si="27"/>
        <v>0</v>
      </c>
      <c r="K78" s="57">
        <f t="shared" si="27"/>
        <v>0</v>
      </c>
      <c r="L78" s="57">
        <f t="shared" si="27"/>
        <v>0</v>
      </c>
      <c r="M78" s="57">
        <f t="shared" si="27"/>
        <v>0</v>
      </c>
      <c r="N78" s="57">
        <f t="shared" si="27"/>
        <v>0</v>
      </c>
      <c r="O78" s="57">
        <f t="shared" si="27"/>
        <v>0</v>
      </c>
      <c r="P78" s="57">
        <f t="shared" si="27"/>
        <v>0</v>
      </c>
      <c r="Q78" s="57">
        <f t="shared" si="27"/>
        <v>0</v>
      </c>
      <c r="R78" s="57">
        <f t="shared" si="27"/>
        <v>0</v>
      </c>
      <c r="S78" s="57">
        <f t="shared" si="27"/>
        <v>0</v>
      </c>
      <c r="T78" s="57">
        <f t="shared" si="27"/>
        <v>0</v>
      </c>
      <c r="U78" s="57">
        <f t="shared" si="27"/>
        <v>0</v>
      </c>
      <c r="V78" s="57">
        <f t="shared" si="27"/>
        <v>0</v>
      </c>
      <c r="W78" s="57">
        <f t="shared" si="27"/>
        <v>0</v>
      </c>
      <c r="X78" s="57">
        <f t="shared" si="27"/>
        <v>0</v>
      </c>
      <c r="Y78" s="57">
        <f t="shared" si="27"/>
        <v>0</v>
      </c>
      <c r="Z78" s="57">
        <f t="shared" si="27"/>
        <v>0</v>
      </c>
      <c r="AA78" s="57">
        <f t="shared" si="27"/>
        <v>0</v>
      </c>
      <c r="AB78" s="57">
        <f t="shared" si="27"/>
        <v>0</v>
      </c>
      <c r="AC78" s="57">
        <f t="shared" si="27"/>
        <v>0</v>
      </c>
      <c r="AD78" s="57">
        <f t="shared" si="27"/>
        <v>0</v>
      </c>
      <c r="AE78" s="57">
        <f t="shared" si="27"/>
        <v>0</v>
      </c>
      <c r="AF78" s="57">
        <f t="shared" si="27"/>
        <v>0</v>
      </c>
      <c r="AG78" s="91"/>
      <c r="AH78" s="53">
        <f t="shared" si="22"/>
        <v>0</v>
      </c>
      <c r="AI78" s="54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 t="shared" ref="B79" si="28">IF(B59&lt;0,B59*-1,0)</f>
        <v>0</v>
      </c>
      <c r="C79" s="57">
        <f>IF(C59&lt;0,C59*-1,0)</f>
        <v>0</v>
      </c>
      <c r="D79" s="57">
        <f t="shared" ref="D79:AF79" si="29">IF(D59&lt;0,D59*-1,0)</f>
        <v>0</v>
      </c>
      <c r="E79" s="57">
        <f t="shared" si="29"/>
        <v>0</v>
      </c>
      <c r="F79" s="57">
        <f t="shared" si="29"/>
        <v>0</v>
      </c>
      <c r="G79" s="57">
        <f t="shared" si="29"/>
        <v>0</v>
      </c>
      <c r="H79" s="57">
        <f t="shared" si="29"/>
        <v>0</v>
      </c>
      <c r="I79" s="57">
        <f t="shared" si="29"/>
        <v>0</v>
      </c>
      <c r="J79" s="57">
        <f t="shared" si="29"/>
        <v>0</v>
      </c>
      <c r="K79" s="57">
        <f t="shared" si="29"/>
        <v>0</v>
      </c>
      <c r="L79" s="57">
        <f t="shared" si="29"/>
        <v>0</v>
      </c>
      <c r="M79" s="57">
        <f t="shared" si="29"/>
        <v>0</v>
      </c>
      <c r="N79" s="57">
        <f t="shared" si="29"/>
        <v>0</v>
      </c>
      <c r="O79" s="57">
        <f t="shared" si="29"/>
        <v>0</v>
      </c>
      <c r="P79" s="57">
        <f t="shared" si="29"/>
        <v>0</v>
      </c>
      <c r="Q79" s="57">
        <f t="shared" si="29"/>
        <v>0</v>
      </c>
      <c r="R79" s="57">
        <f t="shared" si="29"/>
        <v>0</v>
      </c>
      <c r="S79" s="57">
        <f t="shared" si="29"/>
        <v>0</v>
      </c>
      <c r="T79" s="57">
        <f t="shared" si="29"/>
        <v>0</v>
      </c>
      <c r="U79" s="57">
        <f t="shared" si="29"/>
        <v>0</v>
      </c>
      <c r="V79" s="57">
        <f t="shared" si="29"/>
        <v>0</v>
      </c>
      <c r="W79" s="57">
        <f t="shared" si="29"/>
        <v>0</v>
      </c>
      <c r="X79" s="57">
        <f t="shared" si="29"/>
        <v>0</v>
      </c>
      <c r="Y79" s="57">
        <f t="shared" si="29"/>
        <v>0</v>
      </c>
      <c r="Z79" s="57">
        <f t="shared" si="29"/>
        <v>0</v>
      </c>
      <c r="AA79" s="57">
        <f t="shared" si="29"/>
        <v>0</v>
      </c>
      <c r="AB79" s="57">
        <f t="shared" si="29"/>
        <v>0</v>
      </c>
      <c r="AC79" s="57">
        <f t="shared" si="29"/>
        <v>0</v>
      </c>
      <c r="AD79" s="57">
        <f t="shared" si="29"/>
        <v>0</v>
      </c>
      <c r="AE79" s="57">
        <f t="shared" si="29"/>
        <v>0</v>
      </c>
      <c r="AF79" s="57">
        <f t="shared" si="29"/>
        <v>0</v>
      </c>
      <c r="AG79" s="91"/>
      <c r="AH79" s="53">
        <f t="shared" si="22"/>
        <v>0</v>
      </c>
      <c r="AI79" s="54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 t="shared" ref="B80" si="30">IF(B57&lt;0,B57*-1,0)</f>
        <v>0</v>
      </c>
      <c r="C80" s="57">
        <f>IF(C57&lt;0,C57*-1,0)</f>
        <v>0</v>
      </c>
      <c r="D80" s="57">
        <f t="shared" ref="D80:AF80" si="31">IF(D57&lt;0,D57*-1,0)</f>
        <v>0</v>
      </c>
      <c r="E80" s="57">
        <f t="shared" si="31"/>
        <v>0</v>
      </c>
      <c r="F80" s="57">
        <f t="shared" si="31"/>
        <v>0</v>
      </c>
      <c r="G80" s="57">
        <f t="shared" si="31"/>
        <v>0</v>
      </c>
      <c r="H80" s="57">
        <f t="shared" si="31"/>
        <v>0</v>
      </c>
      <c r="I80" s="57">
        <f t="shared" si="31"/>
        <v>0</v>
      </c>
      <c r="J80" s="57">
        <f t="shared" si="31"/>
        <v>0</v>
      </c>
      <c r="K80" s="57">
        <f t="shared" si="31"/>
        <v>0</v>
      </c>
      <c r="L80" s="57">
        <f t="shared" si="31"/>
        <v>0</v>
      </c>
      <c r="M80" s="57">
        <f t="shared" si="31"/>
        <v>0</v>
      </c>
      <c r="N80" s="57">
        <f t="shared" si="31"/>
        <v>0</v>
      </c>
      <c r="O80" s="57">
        <f t="shared" si="31"/>
        <v>0</v>
      </c>
      <c r="P80" s="57">
        <f t="shared" si="31"/>
        <v>0</v>
      </c>
      <c r="Q80" s="57">
        <f t="shared" si="31"/>
        <v>0</v>
      </c>
      <c r="R80" s="57">
        <f t="shared" si="31"/>
        <v>0</v>
      </c>
      <c r="S80" s="57">
        <f t="shared" si="31"/>
        <v>0</v>
      </c>
      <c r="T80" s="57">
        <f t="shared" si="31"/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f t="shared" si="31"/>
        <v>0</v>
      </c>
      <c r="AA80" s="57">
        <f t="shared" si="31"/>
        <v>0</v>
      </c>
      <c r="AB80" s="57">
        <f t="shared" si="31"/>
        <v>0</v>
      </c>
      <c r="AC80" s="57">
        <f t="shared" si="31"/>
        <v>0</v>
      </c>
      <c r="AD80" s="57">
        <f t="shared" si="31"/>
        <v>0</v>
      </c>
      <c r="AE80" s="57">
        <f t="shared" si="31"/>
        <v>0</v>
      </c>
      <c r="AF80" s="57">
        <f t="shared" si="31"/>
        <v>0</v>
      </c>
      <c r="AG80" s="91"/>
      <c r="AH80" s="53">
        <f t="shared" si="22"/>
        <v>0</v>
      </c>
      <c r="AI80" s="54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22"/>
        <v>0</v>
      </c>
      <c r="AI81" s="54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 t="shared" ref="B82" si="32">SUM(B76:B81)</f>
        <v>0</v>
      </c>
      <c r="C82" s="71">
        <f t="shared" ref="C82:AG82" si="33">SUM(C76:C81)</f>
        <v>0</v>
      </c>
      <c r="D82" s="71">
        <f t="shared" si="33"/>
        <v>0</v>
      </c>
      <c r="E82" s="71">
        <f t="shared" si="33"/>
        <v>0</v>
      </c>
      <c r="F82" s="71">
        <f t="shared" si="33"/>
        <v>0</v>
      </c>
      <c r="G82" s="71">
        <f t="shared" si="33"/>
        <v>0</v>
      </c>
      <c r="H82" s="71">
        <f t="shared" si="33"/>
        <v>0</v>
      </c>
      <c r="I82" s="71">
        <f t="shared" si="33"/>
        <v>0</v>
      </c>
      <c r="J82" s="71">
        <f t="shared" si="33"/>
        <v>0</v>
      </c>
      <c r="K82" s="71">
        <f t="shared" si="33"/>
        <v>0</v>
      </c>
      <c r="L82" s="71">
        <f t="shared" si="33"/>
        <v>0</v>
      </c>
      <c r="M82" s="71">
        <f t="shared" si="33"/>
        <v>0</v>
      </c>
      <c r="N82" s="71">
        <f t="shared" si="33"/>
        <v>0</v>
      </c>
      <c r="O82" s="71">
        <f t="shared" si="33"/>
        <v>0</v>
      </c>
      <c r="P82" s="71">
        <f t="shared" si="33"/>
        <v>0</v>
      </c>
      <c r="Q82" s="71">
        <f t="shared" si="33"/>
        <v>0</v>
      </c>
      <c r="R82" s="71">
        <f t="shared" si="33"/>
        <v>0</v>
      </c>
      <c r="S82" s="71">
        <f t="shared" si="33"/>
        <v>0</v>
      </c>
      <c r="T82" s="71">
        <f t="shared" si="33"/>
        <v>0</v>
      </c>
      <c r="U82" s="71">
        <f t="shared" si="33"/>
        <v>0</v>
      </c>
      <c r="V82" s="71">
        <f t="shared" si="33"/>
        <v>0</v>
      </c>
      <c r="W82" s="71">
        <f t="shared" si="33"/>
        <v>0</v>
      </c>
      <c r="X82" s="71">
        <f t="shared" si="33"/>
        <v>0</v>
      </c>
      <c r="Y82" s="71">
        <f t="shared" si="33"/>
        <v>0</v>
      </c>
      <c r="Z82" s="71">
        <f t="shared" si="33"/>
        <v>0</v>
      </c>
      <c r="AA82" s="71">
        <f t="shared" si="33"/>
        <v>0</v>
      </c>
      <c r="AB82" s="71">
        <f t="shared" si="33"/>
        <v>0</v>
      </c>
      <c r="AC82" s="71">
        <f t="shared" si="33"/>
        <v>0</v>
      </c>
      <c r="AD82" s="71">
        <f t="shared" si="33"/>
        <v>0</v>
      </c>
      <c r="AE82" s="71">
        <f t="shared" si="33"/>
        <v>0</v>
      </c>
      <c r="AF82" s="71">
        <f t="shared" si="33"/>
        <v>0</v>
      </c>
      <c r="AG82" s="76">
        <f t="shared" si="33"/>
        <v>0</v>
      </c>
      <c r="AH82" s="53">
        <f t="shared" si="22"/>
        <v>0</v>
      </c>
      <c r="AI82" s="54">
        <f t="shared" si="23"/>
        <v>0</v>
      </c>
      <c r="AK82" s="55"/>
    </row>
    <row r="83" spans="1:88" s="1" customFormat="1" ht="15.75" thickBot="1" x14ac:dyDescent="0.3">
      <c r="A83" s="70" t="s">
        <v>88</v>
      </c>
      <c r="B83" s="71">
        <f t="shared" ref="B83" si="34">SUM(B70:B82)</f>
        <v>1957.2799999999997</v>
      </c>
      <c r="C83" s="71">
        <f t="shared" ref="C83:AG83" si="35">SUM(C70:C82)</f>
        <v>1925.6799999999998</v>
      </c>
      <c r="D83" s="71">
        <f t="shared" si="35"/>
        <v>1887.6799999999998</v>
      </c>
      <c r="E83" s="71">
        <f t="shared" si="35"/>
        <v>1863.08</v>
      </c>
      <c r="F83" s="71">
        <f t="shared" si="35"/>
        <v>1867.08</v>
      </c>
      <c r="G83" s="71">
        <f t="shared" si="35"/>
        <v>1941.08</v>
      </c>
      <c r="H83" s="71">
        <f t="shared" si="35"/>
        <v>2050.2799999999997</v>
      </c>
      <c r="I83" s="71">
        <f t="shared" si="35"/>
        <v>2218.6799999999998</v>
      </c>
      <c r="J83" s="71">
        <f t="shared" si="35"/>
        <v>2467.08</v>
      </c>
      <c r="K83" s="71">
        <f t="shared" si="35"/>
        <v>2718.88</v>
      </c>
      <c r="L83" s="71">
        <f t="shared" si="35"/>
        <v>3001.88</v>
      </c>
      <c r="M83" s="71">
        <f t="shared" si="35"/>
        <v>3086.2799999999997</v>
      </c>
      <c r="N83" s="71">
        <f t="shared" si="35"/>
        <v>3049.2780000000002</v>
      </c>
      <c r="O83" s="71">
        <f t="shared" si="35"/>
        <v>2830.2779999999998</v>
      </c>
      <c r="P83" s="71">
        <f t="shared" si="35"/>
        <v>2766.078</v>
      </c>
      <c r="Q83" s="71">
        <f t="shared" si="35"/>
        <v>2739.2779999999998</v>
      </c>
      <c r="R83" s="71">
        <f t="shared" si="35"/>
        <v>2607.4780000000001</v>
      </c>
      <c r="S83" s="71">
        <f t="shared" si="35"/>
        <v>2500.2800000000002</v>
      </c>
      <c r="T83" s="71">
        <f t="shared" si="35"/>
        <v>2442.48</v>
      </c>
      <c r="U83" s="71">
        <f t="shared" si="35"/>
        <v>2561.6799999999998</v>
      </c>
      <c r="V83" s="71">
        <f t="shared" si="35"/>
        <v>2619.08</v>
      </c>
      <c r="W83" s="71">
        <f t="shared" si="35"/>
        <v>2747.2799999999997</v>
      </c>
      <c r="X83" s="71">
        <f t="shared" si="35"/>
        <v>2985.88</v>
      </c>
      <c r="Y83" s="71">
        <f t="shared" si="35"/>
        <v>3187.08</v>
      </c>
      <c r="Z83" s="71">
        <f t="shared" si="35"/>
        <v>3154.6800000000003</v>
      </c>
      <c r="AA83" s="71">
        <f t="shared" si="35"/>
        <v>3104.08</v>
      </c>
      <c r="AB83" s="71">
        <f t="shared" si="35"/>
        <v>2964.48</v>
      </c>
      <c r="AC83" s="71">
        <f t="shared" si="35"/>
        <v>2941.4799999999996</v>
      </c>
      <c r="AD83" s="71">
        <f t="shared" si="35"/>
        <v>2776.6800000000003</v>
      </c>
      <c r="AE83" s="71">
        <f t="shared" si="35"/>
        <v>2374.48</v>
      </c>
      <c r="AF83" s="71">
        <f t="shared" si="35"/>
        <v>2100.2799999999997</v>
      </c>
      <c r="AG83" s="76">
        <f t="shared" si="35"/>
        <v>4360.08</v>
      </c>
      <c r="AH83" s="53">
        <f t="shared" si="22"/>
        <v>3187.08</v>
      </c>
      <c r="AI83" s="54">
        <f t="shared" si="23"/>
        <v>1863.08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50</v>
      </c>
      <c r="C84" s="95">
        <v>50</v>
      </c>
      <c r="D84" s="95">
        <v>49.99</v>
      </c>
      <c r="E84" s="95">
        <v>49.991999999999997</v>
      </c>
      <c r="F84" s="95">
        <v>50.01</v>
      </c>
      <c r="G84" s="95">
        <v>50.037999999999997</v>
      </c>
      <c r="H84" s="95">
        <v>49.75</v>
      </c>
      <c r="I84" s="95">
        <v>49.776000000000003</v>
      </c>
      <c r="J84" s="95">
        <v>50.036999999999999</v>
      </c>
      <c r="K84" s="95">
        <v>49.965000000000003</v>
      </c>
      <c r="L84" s="95">
        <v>49.965000000000003</v>
      </c>
      <c r="M84" s="95">
        <v>50.006999999999998</v>
      </c>
      <c r="N84" s="95">
        <v>49.927999999999997</v>
      </c>
      <c r="O84" s="95">
        <v>49.988</v>
      </c>
      <c r="P84" s="95">
        <v>50.024999999999999</v>
      </c>
      <c r="Q84" s="95">
        <v>50.058999999999997</v>
      </c>
      <c r="R84" s="95">
        <v>50.058999999999997</v>
      </c>
      <c r="S84" s="95">
        <v>50.04</v>
      </c>
      <c r="T84" s="95">
        <v>49.973999999999997</v>
      </c>
      <c r="U84" s="95">
        <v>49.957000000000001</v>
      </c>
      <c r="V84" s="95">
        <v>49.820999999999998</v>
      </c>
      <c r="W84" s="95">
        <v>49.94</v>
      </c>
      <c r="X84" s="95">
        <v>50.026000000000003</v>
      </c>
      <c r="Y84" s="95">
        <v>50.067</v>
      </c>
      <c r="Z84" s="95">
        <v>50.021999999999998</v>
      </c>
      <c r="AA84" s="95">
        <v>49.991999999999997</v>
      </c>
      <c r="AB84" s="95">
        <v>50.084000000000003</v>
      </c>
      <c r="AC84" s="95">
        <v>49.965000000000003</v>
      </c>
      <c r="AD84" s="95">
        <v>49.97</v>
      </c>
      <c r="AE84" s="95">
        <v>50.030999999999999</v>
      </c>
      <c r="AF84" s="95">
        <v>49.951000000000001</v>
      </c>
      <c r="AG84" s="96"/>
      <c r="AH84" s="53">
        <f t="shared" si="22"/>
        <v>50.084000000000003</v>
      </c>
      <c r="AI84" s="54">
        <f t="shared" si="23"/>
        <v>49.75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2">
        <v>125.1</v>
      </c>
      <c r="C85" s="72">
        <v>125.1</v>
      </c>
      <c r="D85" s="72">
        <v>125.1</v>
      </c>
      <c r="E85" s="72">
        <v>126</v>
      </c>
      <c r="F85" s="72">
        <v>126</v>
      </c>
      <c r="G85" s="72">
        <v>125</v>
      </c>
      <c r="H85" s="72">
        <v>124</v>
      </c>
      <c r="I85" s="72">
        <v>125</v>
      </c>
      <c r="J85" s="72">
        <v>124</v>
      </c>
      <c r="K85" s="72">
        <v>124.4</v>
      </c>
      <c r="L85" s="72">
        <v>124.4</v>
      </c>
      <c r="M85" s="72">
        <v>124.5</v>
      </c>
      <c r="N85" s="72">
        <v>123.1</v>
      </c>
      <c r="O85" s="72">
        <v>124.7</v>
      </c>
      <c r="P85" s="72">
        <v>124.9</v>
      </c>
      <c r="Q85" s="72">
        <v>123.7</v>
      </c>
      <c r="R85" s="72">
        <v>123.7</v>
      </c>
      <c r="S85" s="72">
        <v>124.8</v>
      </c>
      <c r="T85" s="72">
        <v>126.5</v>
      </c>
      <c r="U85" s="99">
        <v>125.1</v>
      </c>
      <c r="V85" s="99">
        <v>125.4</v>
      </c>
      <c r="W85" s="99">
        <v>126.8</v>
      </c>
      <c r="X85" s="99">
        <v>124.4</v>
      </c>
      <c r="Y85" s="99">
        <v>122.7</v>
      </c>
      <c r="Z85" s="99">
        <v>125.1</v>
      </c>
      <c r="AA85" s="99">
        <v>124.7</v>
      </c>
      <c r="AB85" s="99">
        <v>124.7</v>
      </c>
      <c r="AC85" s="72">
        <v>125.6</v>
      </c>
      <c r="AD85" s="72">
        <v>126.8</v>
      </c>
      <c r="AE85" s="72">
        <v>127.7</v>
      </c>
      <c r="AF85" s="72">
        <v>124.2</v>
      </c>
      <c r="AG85" s="100"/>
      <c r="AH85" s="53">
        <f t="shared" si="22"/>
        <v>127.7</v>
      </c>
      <c r="AI85" s="54">
        <f t="shared" si="23"/>
        <v>122.7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2">
        <v>129</v>
      </c>
      <c r="C86" s="72">
        <v>129</v>
      </c>
      <c r="D86" s="72">
        <v>129</v>
      </c>
      <c r="E86" s="72">
        <v>130</v>
      </c>
      <c r="F86" s="72">
        <v>130</v>
      </c>
      <c r="G86" s="72">
        <v>129</v>
      </c>
      <c r="H86" s="72">
        <v>128</v>
      </c>
      <c r="I86" s="72">
        <v>129</v>
      </c>
      <c r="J86" s="72">
        <v>128</v>
      </c>
      <c r="K86" s="72">
        <v>127.5</v>
      </c>
      <c r="L86" s="72">
        <v>127.5</v>
      </c>
      <c r="M86" s="72">
        <v>125.9</v>
      </c>
      <c r="N86" s="72">
        <v>124.8</v>
      </c>
      <c r="O86" s="72">
        <v>126</v>
      </c>
      <c r="P86" s="72">
        <v>126.4</v>
      </c>
      <c r="Q86" s="72">
        <v>125.9</v>
      </c>
      <c r="R86" s="72">
        <v>125.9</v>
      </c>
      <c r="S86" s="72">
        <v>127.1</v>
      </c>
      <c r="T86" s="72">
        <v>128.19999999999999</v>
      </c>
      <c r="U86" s="99">
        <v>127.3</v>
      </c>
      <c r="V86" s="99">
        <v>127.5</v>
      </c>
      <c r="W86" s="99">
        <v>127.9</v>
      </c>
      <c r="X86" s="99">
        <v>126.2</v>
      </c>
      <c r="Y86" s="99">
        <v>124.6</v>
      </c>
      <c r="Z86" s="99">
        <v>126.6</v>
      </c>
      <c r="AA86" s="99">
        <v>126.4</v>
      </c>
      <c r="AB86" s="99">
        <v>126.4</v>
      </c>
      <c r="AC86" s="72">
        <v>127.3</v>
      </c>
      <c r="AD86" s="72">
        <v>128.19999999999999</v>
      </c>
      <c r="AE86" s="72">
        <v>129.5</v>
      </c>
      <c r="AF86" s="72">
        <v>127.8</v>
      </c>
      <c r="AG86" s="100"/>
      <c r="AH86" s="53">
        <f t="shared" si="22"/>
        <v>130</v>
      </c>
      <c r="AI86" s="54">
        <f t="shared" si="23"/>
        <v>124.6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2">
        <v>129.1</v>
      </c>
      <c r="C87" s="72">
        <v>129.1</v>
      </c>
      <c r="D87" s="72">
        <v>129.1</v>
      </c>
      <c r="E87" s="72">
        <v>131</v>
      </c>
      <c r="F87" s="72">
        <v>132</v>
      </c>
      <c r="G87" s="72">
        <v>132</v>
      </c>
      <c r="H87" s="72">
        <v>130</v>
      </c>
      <c r="I87" s="72">
        <v>130</v>
      </c>
      <c r="J87" s="72">
        <v>130</v>
      </c>
      <c r="K87" s="72">
        <v>130.80000000000001</v>
      </c>
      <c r="L87" s="72">
        <v>130.80000000000001</v>
      </c>
      <c r="M87" s="72">
        <v>126.4</v>
      </c>
      <c r="N87" s="72">
        <v>126.1</v>
      </c>
      <c r="O87" s="72">
        <v>130.69999999999999</v>
      </c>
      <c r="P87" s="72">
        <v>130.6</v>
      </c>
      <c r="Q87" s="72">
        <v>126.6</v>
      </c>
      <c r="R87" s="72">
        <v>126.6</v>
      </c>
      <c r="S87" s="72">
        <v>128.6</v>
      </c>
      <c r="T87" s="72">
        <v>129.1</v>
      </c>
      <c r="U87" s="72">
        <v>127.2</v>
      </c>
      <c r="V87" s="72">
        <v>127.6</v>
      </c>
      <c r="W87" s="72">
        <v>130.80000000000001</v>
      </c>
      <c r="X87" s="99">
        <v>129.19999999999999</v>
      </c>
      <c r="Y87" s="99">
        <v>128.80000000000001</v>
      </c>
      <c r="Z87" s="99">
        <v>129.9</v>
      </c>
      <c r="AA87" s="99">
        <v>130.4</v>
      </c>
      <c r="AB87" s="99">
        <v>130.4</v>
      </c>
      <c r="AC87" s="72">
        <v>128.19999999999999</v>
      </c>
      <c r="AD87" s="72">
        <v>130.4</v>
      </c>
      <c r="AE87" s="72">
        <v>128.6</v>
      </c>
      <c r="AF87" s="72">
        <v>128.69999999999999</v>
      </c>
      <c r="AG87" s="100"/>
      <c r="AH87" s="53">
        <f t="shared" si="22"/>
        <v>132</v>
      </c>
      <c r="AI87" s="54">
        <f t="shared" si="23"/>
        <v>126.1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72">
        <v>132.6</v>
      </c>
      <c r="C88" s="72">
        <v>132.6</v>
      </c>
      <c r="D88" s="72">
        <v>132.6</v>
      </c>
      <c r="E88" s="72">
        <v>132</v>
      </c>
      <c r="F88" s="72">
        <v>133</v>
      </c>
      <c r="G88" s="72">
        <v>133</v>
      </c>
      <c r="H88" s="72">
        <v>132</v>
      </c>
      <c r="I88" s="72">
        <v>131</v>
      </c>
      <c r="J88" s="72">
        <v>130</v>
      </c>
      <c r="K88" s="72">
        <v>132</v>
      </c>
      <c r="L88" s="72">
        <v>132</v>
      </c>
      <c r="M88" s="72">
        <v>128.69999999999999</v>
      </c>
      <c r="N88" s="72">
        <v>129.6</v>
      </c>
      <c r="O88" s="72">
        <v>133</v>
      </c>
      <c r="P88" s="72">
        <v>133.80000000000001</v>
      </c>
      <c r="Q88" s="72">
        <v>130.69999999999999</v>
      </c>
      <c r="R88" s="72">
        <v>130.69999999999999</v>
      </c>
      <c r="S88" s="72">
        <v>132.69999999999999</v>
      </c>
      <c r="T88" s="72">
        <v>133.5</v>
      </c>
      <c r="U88" s="72">
        <v>130.6</v>
      </c>
      <c r="V88" s="72">
        <v>131</v>
      </c>
      <c r="W88" s="72">
        <v>133.5</v>
      </c>
      <c r="X88" s="99">
        <v>132</v>
      </c>
      <c r="Y88" s="99">
        <v>131.69999999999999</v>
      </c>
      <c r="Z88" s="99">
        <v>133.6</v>
      </c>
      <c r="AA88" s="99">
        <v>134</v>
      </c>
      <c r="AB88" s="99">
        <v>134</v>
      </c>
      <c r="AC88" s="72">
        <v>133.1</v>
      </c>
      <c r="AD88" s="72">
        <v>134.80000000000001</v>
      </c>
      <c r="AE88" s="72">
        <v>131.69999999999999</v>
      </c>
      <c r="AF88" s="72">
        <v>131.69999999999999</v>
      </c>
      <c r="AG88" s="100"/>
      <c r="AH88" s="53">
        <f t="shared" si="22"/>
        <v>134.80000000000001</v>
      </c>
      <c r="AI88" s="54">
        <f t="shared" si="23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3">
        <v>129.30000000000001</v>
      </c>
      <c r="C89" s="103">
        <v>129.30000000000001</v>
      </c>
      <c r="D89" s="103">
        <v>129.30000000000001</v>
      </c>
      <c r="E89" s="103">
        <v>130</v>
      </c>
      <c r="F89" s="103">
        <v>131</v>
      </c>
      <c r="G89" s="103">
        <v>129</v>
      </c>
      <c r="H89" s="103">
        <v>131</v>
      </c>
      <c r="I89" s="103">
        <v>134</v>
      </c>
      <c r="J89" s="103">
        <v>135</v>
      </c>
      <c r="K89" s="103">
        <v>136</v>
      </c>
      <c r="L89" s="103">
        <v>136</v>
      </c>
      <c r="M89" s="103">
        <v>131.80000000000001</v>
      </c>
      <c r="N89" s="103">
        <v>133.4</v>
      </c>
      <c r="O89" s="103">
        <v>132.69999999999999</v>
      </c>
      <c r="P89" s="103">
        <v>134.5</v>
      </c>
      <c r="Q89" s="103">
        <v>133.1</v>
      </c>
      <c r="R89" s="103">
        <v>133.1</v>
      </c>
      <c r="S89" s="103">
        <v>132.6</v>
      </c>
      <c r="T89" s="103">
        <v>132.4</v>
      </c>
      <c r="U89" s="103">
        <v>133.30000000000001</v>
      </c>
      <c r="V89" s="103">
        <v>135.80000000000001</v>
      </c>
      <c r="W89" s="103">
        <v>137.30000000000001</v>
      </c>
      <c r="X89" s="99">
        <v>135</v>
      </c>
      <c r="Y89" s="99">
        <v>134.4</v>
      </c>
      <c r="Z89" s="99">
        <v>135.5</v>
      </c>
      <c r="AA89" s="99">
        <v>133.6</v>
      </c>
      <c r="AB89" s="99">
        <v>133.6</v>
      </c>
      <c r="AC89" s="103">
        <v>135.80000000000001</v>
      </c>
      <c r="AD89" s="103">
        <v>135.1</v>
      </c>
      <c r="AE89" s="103">
        <v>130.1</v>
      </c>
      <c r="AF89" s="103">
        <v>129.6</v>
      </c>
      <c r="AG89" s="104"/>
      <c r="AH89" s="53">
        <f t="shared" si="22"/>
        <v>137.30000000000001</v>
      </c>
      <c r="AI89" s="54">
        <f t="shared" si="23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2">
        <v>134.6</v>
      </c>
      <c r="C90" s="72">
        <v>134.6</v>
      </c>
      <c r="D90" s="72">
        <v>134.6</v>
      </c>
      <c r="E90" s="72">
        <v>134.6</v>
      </c>
      <c r="F90" s="72">
        <v>135</v>
      </c>
      <c r="G90" s="72">
        <v>134</v>
      </c>
      <c r="H90" s="72">
        <v>134</v>
      </c>
      <c r="I90" s="72">
        <v>133</v>
      </c>
      <c r="J90" s="72">
        <v>131</v>
      </c>
      <c r="K90" s="72">
        <v>132</v>
      </c>
      <c r="L90" s="72">
        <v>132</v>
      </c>
      <c r="M90" s="72">
        <v>130.4</v>
      </c>
      <c r="N90" s="72">
        <v>134.69999999999999</v>
      </c>
      <c r="O90" s="72">
        <v>129.6</v>
      </c>
      <c r="P90" s="72">
        <v>130.69999999999999</v>
      </c>
      <c r="Q90" s="72">
        <v>136.69999999999999</v>
      </c>
      <c r="R90" s="72">
        <v>136.69999999999999</v>
      </c>
      <c r="S90" s="72">
        <v>137</v>
      </c>
      <c r="T90" s="72">
        <v>135.80000000000001</v>
      </c>
      <c r="U90" s="72">
        <v>134.6</v>
      </c>
      <c r="V90" s="72">
        <v>132.19999999999999</v>
      </c>
      <c r="W90" s="72">
        <v>129.80000000000001</v>
      </c>
      <c r="X90" s="99">
        <v>134.80000000000001</v>
      </c>
      <c r="Y90" s="99">
        <v>134.69999999999999</v>
      </c>
      <c r="Z90" s="99">
        <v>135</v>
      </c>
      <c r="AA90" s="99">
        <v>131.30000000000001</v>
      </c>
      <c r="AB90" s="99">
        <v>131.30000000000001</v>
      </c>
      <c r="AC90" s="72">
        <v>134</v>
      </c>
      <c r="AD90" s="72">
        <v>133.80000000000001</v>
      </c>
      <c r="AE90" s="72">
        <v>131.69999999999999</v>
      </c>
      <c r="AF90" s="72">
        <v>134.69999999999999</v>
      </c>
      <c r="AG90" s="100"/>
      <c r="AH90" s="53">
        <f t="shared" si="22"/>
        <v>137</v>
      </c>
      <c r="AI90" s="54">
        <f t="shared" si="23"/>
        <v>129.6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>
        <v>65.3</v>
      </c>
      <c r="C91" s="106">
        <v>65.3</v>
      </c>
      <c r="D91" s="106">
        <v>65.3</v>
      </c>
      <c r="E91" s="106">
        <v>65.900000000000006</v>
      </c>
      <c r="F91" s="106">
        <v>65.8</v>
      </c>
      <c r="G91" s="106">
        <v>65.400000000000006</v>
      </c>
      <c r="H91" s="106">
        <v>65</v>
      </c>
      <c r="I91" s="106">
        <v>65.2</v>
      </c>
      <c r="J91" s="106">
        <v>65</v>
      </c>
      <c r="K91" s="106">
        <v>64.8</v>
      </c>
      <c r="L91" s="106">
        <v>64.8</v>
      </c>
      <c r="M91" s="106">
        <v>63.4</v>
      </c>
      <c r="N91" s="106">
        <v>63.1</v>
      </c>
      <c r="O91" s="106">
        <v>63.4</v>
      </c>
      <c r="P91" s="106">
        <v>63.9</v>
      </c>
      <c r="Q91" s="106">
        <v>63.8</v>
      </c>
      <c r="R91" s="106">
        <v>63.8</v>
      </c>
      <c r="S91" s="106">
        <v>64.2</v>
      </c>
      <c r="T91" s="106">
        <v>64.599999999999994</v>
      </c>
      <c r="U91" s="106">
        <v>64.2</v>
      </c>
      <c r="V91" s="106">
        <v>64.599999999999994</v>
      </c>
      <c r="W91" s="106">
        <v>64.5</v>
      </c>
      <c r="X91" s="106">
        <v>63.5</v>
      </c>
      <c r="Y91" s="106">
        <v>62.9</v>
      </c>
      <c r="Z91" s="106">
        <v>63.8</v>
      </c>
      <c r="AA91" s="106">
        <v>63.9</v>
      </c>
      <c r="AB91" s="106">
        <v>64.7</v>
      </c>
      <c r="AC91" s="106">
        <v>64.400000000000006</v>
      </c>
      <c r="AD91" s="106">
        <v>64.7</v>
      </c>
      <c r="AE91" s="106">
        <v>65.099999999999994</v>
      </c>
      <c r="AF91" s="106">
        <v>64.7</v>
      </c>
      <c r="AG91" s="107"/>
      <c r="AH91" s="53">
        <f t="shared" si="22"/>
        <v>65.900000000000006</v>
      </c>
      <c r="AI91" s="54">
        <f t="shared" si="23"/>
        <v>62.9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 t="shared" ref="B93" si="36">SUM(B15,B18,B21:B22,B42,B44:B45,B47,B49,B94:B97,B102,B108,B114,B123,B125,B137,B144,B147:B148,B155,B157,B159,B163:B165,B167:B169,B174,B180:B181,B183:B185,B193,B198)</f>
        <v>207.64</v>
      </c>
      <c r="C93" s="113">
        <f>SUM(C15,C18,C21:C22,C42,C44:C45,C47,C49,C94:C97,C102,C108,C114,C123,C125,C137,C144,C147:C148,C155,C157,C159,C163:C165,C167:C169,C174,C180:C181,C183:C185,C193,C198)</f>
        <v>208.43999999999997</v>
      </c>
      <c r="D93" s="113">
        <f t="shared" ref="D93:AF93" si="37">SUM(D15,D18,D21:D22,D42,D44:D45,D47,D49,D94:D97,D102,D108,D114,D123,D125,D137,D144,D147:D148,D155,D157,D159,D163:D165,D167:D169,D174,D180:D181,D183:D185,D193,D198)</f>
        <v>207.23999999999995</v>
      </c>
      <c r="E93" s="113">
        <f t="shared" si="37"/>
        <v>192.13999999999996</v>
      </c>
      <c r="F93" s="113">
        <f t="shared" si="37"/>
        <v>194.94</v>
      </c>
      <c r="G93" s="112">
        <f t="shared" si="37"/>
        <v>214.64</v>
      </c>
      <c r="H93" s="112">
        <f t="shared" si="37"/>
        <v>236.14</v>
      </c>
      <c r="I93" s="112">
        <f t="shared" si="37"/>
        <v>266.94</v>
      </c>
      <c r="J93" s="112">
        <f t="shared" si="37"/>
        <v>315.04000000000008</v>
      </c>
      <c r="K93" s="112">
        <f t="shared" si="37"/>
        <v>373.34000000000003</v>
      </c>
      <c r="L93" s="112">
        <f t="shared" si="37"/>
        <v>177.03999999999996</v>
      </c>
      <c r="M93" s="112">
        <f t="shared" si="37"/>
        <v>459.04</v>
      </c>
      <c r="N93" s="112">
        <f t="shared" si="37"/>
        <v>430.33900000000006</v>
      </c>
      <c r="O93" s="112">
        <f t="shared" si="37"/>
        <v>445.73900000000003</v>
      </c>
      <c r="P93" s="112">
        <f t="shared" si="37"/>
        <v>434.73900000000003</v>
      </c>
      <c r="Q93" s="112">
        <f t="shared" si="37"/>
        <v>397.73900000000003</v>
      </c>
      <c r="R93" s="112">
        <f t="shared" si="37"/>
        <v>397.33900000000006</v>
      </c>
      <c r="S93" s="112">
        <f t="shared" si="37"/>
        <v>370.54</v>
      </c>
      <c r="T93" s="112">
        <f t="shared" si="37"/>
        <v>371.24</v>
      </c>
      <c r="U93" s="112">
        <f t="shared" si="37"/>
        <v>372.84000000000003</v>
      </c>
      <c r="V93" s="112">
        <f t="shared" si="37"/>
        <v>379.14</v>
      </c>
      <c r="W93" s="112">
        <f t="shared" si="37"/>
        <v>425.84000000000003</v>
      </c>
      <c r="X93" s="112">
        <f t="shared" si="37"/>
        <v>456.24</v>
      </c>
      <c r="Y93" s="112">
        <f t="shared" si="37"/>
        <v>498.54000000000008</v>
      </c>
      <c r="Z93" s="112">
        <f t="shared" si="37"/>
        <v>504.14</v>
      </c>
      <c r="AA93" s="112">
        <f t="shared" si="37"/>
        <v>492.04000000000008</v>
      </c>
      <c r="AB93" s="112">
        <f t="shared" si="37"/>
        <v>483.74</v>
      </c>
      <c r="AC93" s="112">
        <f t="shared" si="37"/>
        <v>458.14</v>
      </c>
      <c r="AD93" s="112">
        <f t="shared" si="37"/>
        <v>429.14</v>
      </c>
      <c r="AE93" s="112">
        <f t="shared" si="37"/>
        <v>331.74000000000007</v>
      </c>
      <c r="AF93" s="112">
        <f t="shared" si="37"/>
        <v>244.64</v>
      </c>
      <c r="AG93" s="114"/>
      <c r="AH93" s="53">
        <f>MAX(C93:AF93)</f>
        <v>504.14</v>
      </c>
      <c r="AI93" s="54">
        <f>MIN(C93:AF93)</f>
        <v>177.03999999999996</v>
      </c>
    </row>
    <row r="94" spans="1:88" x14ac:dyDescent="0.25">
      <c r="A94" s="115" t="s">
        <v>98</v>
      </c>
      <c r="B94" s="118">
        <v>-27.2</v>
      </c>
      <c r="C94" s="118">
        <v>-26</v>
      </c>
      <c r="D94" s="118">
        <v>-25.2</v>
      </c>
      <c r="E94" s="57">
        <v>-26.4</v>
      </c>
      <c r="F94" s="57">
        <v>-25.9</v>
      </c>
      <c r="G94" s="117">
        <v>-26.2</v>
      </c>
      <c r="H94" s="117">
        <v>-10</v>
      </c>
      <c r="I94" s="117">
        <v>15.7</v>
      </c>
      <c r="J94" s="117">
        <v>39.200000000000003</v>
      </c>
      <c r="K94" s="117">
        <v>54.9</v>
      </c>
      <c r="L94" s="117"/>
      <c r="M94" s="118">
        <v>50</v>
      </c>
      <c r="N94" s="117">
        <v>48.8</v>
      </c>
      <c r="O94" s="117">
        <v>38</v>
      </c>
      <c r="P94" s="117">
        <v>45</v>
      </c>
      <c r="Q94" s="117">
        <v>39</v>
      </c>
      <c r="R94" s="117">
        <v>39</v>
      </c>
      <c r="S94" s="117">
        <v>32.4</v>
      </c>
      <c r="T94" s="117">
        <v>4.4000000000000004</v>
      </c>
      <c r="U94" s="118">
        <v>12.6</v>
      </c>
      <c r="V94" s="118">
        <v>49.7</v>
      </c>
      <c r="W94" s="118">
        <v>55.9</v>
      </c>
      <c r="X94" s="117">
        <v>47.1</v>
      </c>
      <c r="Y94" s="117">
        <v>55.7</v>
      </c>
      <c r="Z94" s="117">
        <v>62.3</v>
      </c>
      <c r="AA94" s="117">
        <v>64.099999999999994</v>
      </c>
      <c r="AB94" s="118">
        <v>65.900000000000006</v>
      </c>
      <c r="AC94" s="118">
        <v>57.6</v>
      </c>
      <c r="AD94" s="118">
        <v>32.4</v>
      </c>
      <c r="AE94" s="118">
        <v>12.9</v>
      </c>
      <c r="AF94" s="118">
        <v>3.8</v>
      </c>
      <c r="AG94" s="119">
        <v>75</v>
      </c>
      <c r="AH94" s="53">
        <f t="shared" ref="AH94:AH99" si="38">IF(ABS(MAX(C94:AF94))&gt;ABS(MIN(C94:AF94)),MAX(C94:AF94),MIN(C94:AF94))</f>
        <v>65.900000000000006</v>
      </c>
      <c r="AI94" s="120">
        <f t="shared" ref="AI94:AI99" si="39">INDEX($C$9:$AF$9,1,MATCH(AH94,C94:AF94,0))</f>
        <v>0.83333333333333337</v>
      </c>
    </row>
    <row r="95" spans="1:88" x14ac:dyDescent="0.25">
      <c r="A95" s="121" t="s">
        <v>99</v>
      </c>
      <c r="B95" s="72">
        <f>-14.3-16</f>
        <v>-30.3</v>
      </c>
      <c r="C95" s="72">
        <v>-32</v>
      </c>
      <c r="D95" s="72">
        <v>-35</v>
      </c>
      <c r="E95" s="59">
        <v>-37</v>
      </c>
      <c r="F95" s="59">
        <v>-34</v>
      </c>
      <c r="G95" s="59">
        <v>-30</v>
      </c>
      <c r="H95" s="59">
        <v>-26</v>
      </c>
      <c r="I95" s="59">
        <v>-19.100000000000001</v>
      </c>
      <c r="J95" s="59">
        <v>-5.6</v>
      </c>
      <c r="K95" s="59">
        <v>13</v>
      </c>
      <c r="L95" s="59"/>
      <c r="M95" s="59">
        <v>62</v>
      </c>
      <c r="N95" s="59">
        <v>69</v>
      </c>
      <c r="O95" s="59">
        <v>65</v>
      </c>
      <c r="P95" s="59">
        <v>58</v>
      </c>
      <c r="Q95" s="59">
        <v>47</v>
      </c>
      <c r="R95" s="59">
        <v>47</v>
      </c>
      <c r="S95" s="59">
        <v>55.6</v>
      </c>
      <c r="T95" s="59">
        <v>50</v>
      </c>
      <c r="U95" s="59">
        <v>47</v>
      </c>
      <c r="V95" s="59">
        <v>60</v>
      </c>
      <c r="W95" s="59">
        <v>68</v>
      </c>
      <c r="X95" s="59">
        <v>80</v>
      </c>
      <c r="Y95" s="59">
        <v>99.7</v>
      </c>
      <c r="Z95" s="59">
        <v>94.9</v>
      </c>
      <c r="AA95" s="59">
        <v>84.7</v>
      </c>
      <c r="AB95" s="72">
        <v>85</v>
      </c>
      <c r="AC95" s="72">
        <v>79.3</v>
      </c>
      <c r="AD95" s="72">
        <v>57.2</v>
      </c>
      <c r="AE95" s="72">
        <v>28.4</v>
      </c>
      <c r="AF95" s="72">
        <v>-33.9</v>
      </c>
      <c r="AG95" s="119">
        <v>240</v>
      </c>
      <c r="AH95" s="53">
        <f t="shared" si="38"/>
        <v>99.7</v>
      </c>
      <c r="AI95" s="120">
        <f t="shared" si="39"/>
        <v>0.77083333333333337</v>
      </c>
    </row>
    <row r="96" spans="1:88" x14ac:dyDescent="0.25">
      <c r="A96" s="121" t="s">
        <v>100</v>
      </c>
      <c r="B96" s="72">
        <v>-11</v>
      </c>
      <c r="C96" s="72">
        <v>-10</v>
      </c>
      <c r="D96" s="72">
        <v>-10</v>
      </c>
      <c r="E96" s="59">
        <v>-9</v>
      </c>
      <c r="F96" s="59">
        <v>-9.3000000000000007</v>
      </c>
      <c r="G96" s="59">
        <v>-4.5999999999999996</v>
      </c>
      <c r="H96" s="59">
        <v>-3.8</v>
      </c>
      <c r="I96" s="59">
        <v>-4.2</v>
      </c>
      <c r="J96" s="59">
        <v>0</v>
      </c>
      <c r="K96" s="59">
        <v>17.899999999999999</v>
      </c>
      <c r="L96" s="59"/>
      <c r="M96" s="59">
        <v>52</v>
      </c>
      <c r="N96" s="59">
        <v>44.9</v>
      </c>
      <c r="O96" s="59">
        <v>54</v>
      </c>
      <c r="P96" s="59">
        <v>46</v>
      </c>
      <c r="Q96" s="59">
        <v>26</v>
      </c>
      <c r="R96" s="59">
        <v>26</v>
      </c>
      <c r="S96" s="59">
        <v>33.200000000000003</v>
      </c>
      <c r="T96" s="59">
        <v>52.8</v>
      </c>
      <c r="U96" s="59">
        <v>47</v>
      </c>
      <c r="V96" s="59">
        <v>43.5</v>
      </c>
      <c r="W96" s="59">
        <v>59.8</v>
      </c>
      <c r="X96" s="59">
        <v>61.4</v>
      </c>
      <c r="Y96" s="59">
        <v>59.8</v>
      </c>
      <c r="Z96" s="59">
        <v>61.7</v>
      </c>
      <c r="AA96" s="59">
        <v>62.1</v>
      </c>
      <c r="AB96" s="72">
        <v>60.1</v>
      </c>
      <c r="AC96" s="72">
        <v>60.7</v>
      </c>
      <c r="AD96" s="72">
        <v>51.2</v>
      </c>
      <c r="AE96" s="72">
        <v>11.9</v>
      </c>
      <c r="AF96" s="72">
        <v>12.2</v>
      </c>
      <c r="AG96" s="119">
        <v>60</v>
      </c>
      <c r="AH96" s="53">
        <f t="shared" si="38"/>
        <v>62.1</v>
      </c>
      <c r="AI96" s="120">
        <f t="shared" si="39"/>
        <v>0.8125</v>
      </c>
    </row>
    <row r="97" spans="1:37" x14ac:dyDescent="0.25">
      <c r="A97" s="123" t="s">
        <v>101</v>
      </c>
      <c r="B97" s="125">
        <v>94.7</v>
      </c>
      <c r="C97" s="125">
        <v>95</v>
      </c>
      <c r="D97" s="125">
        <v>96</v>
      </c>
      <c r="E97" s="62">
        <v>85.6</v>
      </c>
      <c r="F97" s="62">
        <v>87</v>
      </c>
      <c r="G97" s="62">
        <v>93.5</v>
      </c>
      <c r="H97" s="62">
        <v>94.4</v>
      </c>
      <c r="I97" s="62">
        <v>94.1</v>
      </c>
      <c r="J97" s="62">
        <v>101</v>
      </c>
      <c r="K97" s="62">
        <v>109</v>
      </c>
      <c r="L97" s="62"/>
      <c r="M97" s="62">
        <v>118</v>
      </c>
      <c r="N97" s="62">
        <v>89.9</v>
      </c>
      <c r="O97" s="62">
        <v>111</v>
      </c>
      <c r="P97" s="62">
        <v>108</v>
      </c>
      <c r="Q97" s="62">
        <v>108</v>
      </c>
      <c r="R97" s="62">
        <v>108</v>
      </c>
      <c r="S97" s="62">
        <v>90</v>
      </c>
      <c r="T97" s="62">
        <v>103.7</v>
      </c>
      <c r="U97" s="62">
        <v>105.7</v>
      </c>
      <c r="V97" s="62">
        <v>57.9</v>
      </c>
      <c r="W97" s="62">
        <v>74.099999999999994</v>
      </c>
      <c r="X97" s="62">
        <v>90</v>
      </c>
      <c r="Y97" s="62">
        <v>105.6</v>
      </c>
      <c r="Z97" s="62">
        <v>108.1</v>
      </c>
      <c r="AA97" s="62">
        <v>104.1</v>
      </c>
      <c r="AB97" s="125">
        <v>100.9</v>
      </c>
      <c r="AC97" s="125">
        <v>88.4</v>
      </c>
      <c r="AD97" s="125">
        <v>115.9</v>
      </c>
      <c r="AE97" s="125">
        <v>100.9</v>
      </c>
      <c r="AF97" s="125">
        <v>84.9</v>
      </c>
      <c r="AG97" s="126">
        <v>120</v>
      </c>
      <c r="AH97" s="53">
        <f t="shared" si="38"/>
        <v>118</v>
      </c>
      <c r="AI97" s="120">
        <f t="shared" si="39"/>
        <v>0.33333333333333331</v>
      </c>
    </row>
    <row r="98" spans="1:37" x14ac:dyDescent="0.25">
      <c r="A98" s="123" t="s">
        <v>102</v>
      </c>
      <c r="B98" s="125">
        <v>94.7</v>
      </c>
      <c r="C98" s="125">
        <v>94</v>
      </c>
      <c r="D98" s="125">
        <v>95</v>
      </c>
      <c r="E98" s="62">
        <v>88.2</v>
      </c>
      <c r="F98" s="62">
        <v>87.6</v>
      </c>
      <c r="G98" s="62">
        <v>94</v>
      </c>
      <c r="H98" s="62">
        <v>90</v>
      </c>
      <c r="I98" s="62">
        <v>88.4</v>
      </c>
      <c r="J98" s="62">
        <v>90.8</v>
      </c>
      <c r="K98" s="62">
        <v>92.4</v>
      </c>
      <c r="L98" s="62"/>
      <c r="M98" s="62">
        <v>78</v>
      </c>
      <c r="N98" s="62">
        <v>98</v>
      </c>
      <c r="O98" s="62">
        <v>78</v>
      </c>
      <c r="P98" s="62">
        <v>81</v>
      </c>
      <c r="Q98" s="62">
        <v>96</v>
      </c>
      <c r="R98" s="62">
        <v>96</v>
      </c>
      <c r="S98" s="62">
        <v>93.9</v>
      </c>
      <c r="T98" s="62">
        <v>85.7</v>
      </c>
      <c r="U98" s="62">
        <v>81.900000000000006</v>
      </c>
      <c r="V98" s="62">
        <v>67</v>
      </c>
      <c r="W98" s="62">
        <v>75.2</v>
      </c>
      <c r="X98" s="62">
        <v>99.3</v>
      </c>
      <c r="Y98" s="62">
        <v>106.9</v>
      </c>
      <c r="Z98" s="62">
        <v>93.4</v>
      </c>
      <c r="AA98" s="62">
        <v>92</v>
      </c>
      <c r="AB98" s="125">
        <v>83.4</v>
      </c>
      <c r="AC98" s="125">
        <v>88.4</v>
      </c>
      <c r="AD98" s="125">
        <v>85.5</v>
      </c>
      <c r="AE98" s="125">
        <v>84.4</v>
      </c>
      <c r="AF98" s="125">
        <v>91.3</v>
      </c>
      <c r="AG98" s="126"/>
      <c r="AH98" s="53">
        <f t="shared" si="38"/>
        <v>106.9</v>
      </c>
      <c r="AI98" s="120">
        <f t="shared" si="39"/>
        <v>0.77083333333333337</v>
      </c>
    </row>
    <row r="99" spans="1:37" ht="15.75" thickBot="1" x14ac:dyDescent="0.3">
      <c r="A99" s="123" t="s">
        <v>103</v>
      </c>
      <c r="B99" s="125">
        <v>72.5</v>
      </c>
      <c r="C99" s="62">
        <v>76</v>
      </c>
      <c r="D99" s="62">
        <v>81</v>
      </c>
      <c r="E99" s="62">
        <v>78.099999999999994</v>
      </c>
      <c r="F99" s="62">
        <v>75.3</v>
      </c>
      <c r="G99" s="62">
        <v>78</v>
      </c>
      <c r="H99" s="62">
        <v>68.900000000000006</v>
      </c>
      <c r="I99" s="62">
        <v>33</v>
      </c>
      <c r="J99" s="62">
        <v>31.5</v>
      </c>
      <c r="K99" s="62">
        <v>16.399999999999999</v>
      </c>
      <c r="L99" s="62"/>
      <c r="M99" s="62">
        <v>26</v>
      </c>
      <c r="N99" s="62">
        <v>22.4</v>
      </c>
      <c r="O99" s="62">
        <v>34</v>
      </c>
      <c r="P99" s="62">
        <v>28</v>
      </c>
      <c r="Q99" s="62">
        <v>33</v>
      </c>
      <c r="R99" s="62">
        <v>33</v>
      </c>
      <c r="S99" s="62">
        <v>32.299999999999997</v>
      </c>
      <c r="T99" s="62">
        <v>45.5</v>
      </c>
      <c r="U99" s="62">
        <v>38.1</v>
      </c>
      <c r="V99" s="62">
        <v>22.8</v>
      </c>
      <c r="W99" s="62">
        <v>19</v>
      </c>
      <c r="X99" s="62">
        <v>27.2</v>
      </c>
      <c r="Y99" s="62">
        <v>22.9</v>
      </c>
      <c r="Z99" s="62">
        <v>20.2</v>
      </c>
      <c r="AA99" s="62">
        <v>20.100000000000001</v>
      </c>
      <c r="AB99" s="125">
        <v>14.8</v>
      </c>
      <c r="AC99" s="125">
        <v>20.3</v>
      </c>
      <c r="AD99" s="125">
        <v>29.4</v>
      </c>
      <c r="AE99" s="125">
        <v>58.1</v>
      </c>
      <c r="AF99" s="125">
        <v>51.6</v>
      </c>
      <c r="AG99" s="127"/>
      <c r="AH99" s="53">
        <f t="shared" si="38"/>
        <v>81</v>
      </c>
      <c r="AI99" s="120">
        <f t="shared" si="39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40">AF101</f>
        <v>9.9</v>
      </c>
      <c r="C101" s="52">
        <v>9.9</v>
      </c>
      <c r="D101" s="133">
        <f t="shared" ref="D101:S106" si="41">C101</f>
        <v>9.9</v>
      </c>
      <c r="E101" s="133">
        <f t="shared" si="41"/>
        <v>9.9</v>
      </c>
      <c r="F101" s="133">
        <f t="shared" si="41"/>
        <v>9.9</v>
      </c>
      <c r="G101" s="133">
        <f t="shared" si="41"/>
        <v>9.9</v>
      </c>
      <c r="H101" s="133">
        <f t="shared" si="41"/>
        <v>9.9</v>
      </c>
      <c r="I101" s="133">
        <f t="shared" si="41"/>
        <v>9.9</v>
      </c>
      <c r="J101" s="133">
        <f t="shared" si="41"/>
        <v>9.9</v>
      </c>
      <c r="K101" s="133">
        <f t="shared" si="41"/>
        <v>9.9</v>
      </c>
      <c r="L101" s="133">
        <f t="shared" si="41"/>
        <v>9.9</v>
      </c>
      <c r="M101" s="133">
        <f t="shared" si="41"/>
        <v>9.9</v>
      </c>
      <c r="N101" s="133">
        <f t="shared" si="41"/>
        <v>9.9</v>
      </c>
      <c r="O101" s="133">
        <f t="shared" si="41"/>
        <v>9.9</v>
      </c>
      <c r="P101" s="133">
        <f t="shared" si="41"/>
        <v>9.9</v>
      </c>
      <c r="Q101" s="133">
        <f t="shared" si="41"/>
        <v>9.9</v>
      </c>
      <c r="R101" s="133">
        <f t="shared" si="41"/>
        <v>9.9</v>
      </c>
      <c r="S101" s="133">
        <f t="shared" si="41"/>
        <v>9.9</v>
      </c>
      <c r="T101" s="133">
        <f t="shared" ref="T101:AF106" si="42">S101</f>
        <v>9.9</v>
      </c>
      <c r="U101" s="133">
        <f t="shared" si="42"/>
        <v>9.9</v>
      </c>
      <c r="V101" s="133">
        <f t="shared" si="42"/>
        <v>9.9</v>
      </c>
      <c r="W101" s="133">
        <f t="shared" si="42"/>
        <v>9.9</v>
      </c>
      <c r="X101" s="133">
        <f t="shared" si="42"/>
        <v>9.9</v>
      </c>
      <c r="Y101" s="133">
        <f t="shared" si="42"/>
        <v>9.9</v>
      </c>
      <c r="Z101" s="133">
        <f t="shared" si="42"/>
        <v>9.9</v>
      </c>
      <c r="AA101" s="133">
        <f t="shared" si="42"/>
        <v>9.9</v>
      </c>
      <c r="AB101" s="133">
        <f t="shared" si="42"/>
        <v>9.9</v>
      </c>
      <c r="AC101" s="133">
        <f t="shared" si="42"/>
        <v>9.9</v>
      </c>
      <c r="AD101" s="133">
        <f t="shared" si="42"/>
        <v>9.9</v>
      </c>
      <c r="AE101" s="133">
        <f t="shared" si="42"/>
        <v>9.9</v>
      </c>
      <c r="AF101" s="133">
        <f t="shared" si="42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40"/>
        <v>9.6</v>
      </c>
      <c r="C102" s="136">
        <v>9.6</v>
      </c>
      <c r="D102" s="135">
        <f t="shared" si="41"/>
        <v>9.6</v>
      </c>
      <c r="E102" s="135">
        <f t="shared" si="41"/>
        <v>9.6</v>
      </c>
      <c r="F102" s="135">
        <f t="shared" si="41"/>
        <v>9.6</v>
      </c>
      <c r="G102" s="135">
        <f t="shared" si="41"/>
        <v>9.6</v>
      </c>
      <c r="H102" s="135">
        <f t="shared" si="41"/>
        <v>9.6</v>
      </c>
      <c r="I102" s="135">
        <f t="shared" si="41"/>
        <v>9.6</v>
      </c>
      <c r="J102" s="135">
        <f t="shared" si="41"/>
        <v>9.6</v>
      </c>
      <c r="K102" s="135">
        <f t="shared" si="41"/>
        <v>9.6</v>
      </c>
      <c r="L102" s="135">
        <f t="shared" si="41"/>
        <v>9.6</v>
      </c>
      <c r="M102" s="135">
        <f t="shared" si="41"/>
        <v>9.6</v>
      </c>
      <c r="N102" s="135">
        <f t="shared" si="41"/>
        <v>9.6</v>
      </c>
      <c r="O102" s="135">
        <f t="shared" si="41"/>
        <v>9.6</v>
      </c>
      <c r="P102" s="135">
        <f t="shared" si="41"/>
        <v>9.6</v>
      </c>
      <c r="Q102" s="135">
        <f t="shared" si="41"/>
        <v>9.6</v>
      </c>
      <c r="R102" s="135">
        <f t="shared" si="41"/>
        <v>9.6</v>
      </c>
      <c r="S102" s="135">
        <f t="shared" si="41"/>
        <v>9.6</v>
      </c>
      <c r="T102" s="135">
        <f t="shared" si="42"/>
        <v>9.6</v>
      </c>
      <c r="U102" s="135">
        <f t="shared" si="42"/>
        <v>9.6</v>
      </c>
      <c r="V102" s="135">
        <f t="shared" si="42"/>
        <v>9.6</v>
      </c>
      <c r="W102" s="135">
        <f t="shared" si="42"/>
        <v>9.6</v>
      </c>
      <c r="X102" s="135">
        <f t="shared" si="42"/>
        <v>9.6</v>
      </c>
      <c r="Y102" s="135">
        <f t="shared" si="42"/>
        <v>9.6</v>
      </c>
      <c r="Z102" s="135">
        <f t="shared" si="42"/>
        <v>9.6</v>
      </c>
      <c r="AA102" s="135">
        <f t="shared" si="42"/>
        <v>9.6</v>
      </c>
      <c r="AB102" s="135">
        <f t="shared" si="42"/>
        <v>9.6</v>
      </c>
      <c r="AC102" s="135">
        <f t="shared" si="42"/>
        <v>9.6</v>
      </c>
      <c r="AD102" s="135">
        <f t="shared" si="42"/>
        <v>9.6</v>
      </c>
      <c r="AE102" s="135">
        <f t="shared" si="42"/>
        <v>9.6</v>
      </c>
      <c r="AF102" s="135">
        <f t="shared" si="42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40"/>
        <v>9.98</v>
      </c>
      <c r="C103" s="136">
        <v>9.98</v>
      </c>
      <c r="D103" s="135">
        <f t="shared" si="41"/>
        <v>9.98</v>
      </c>
      <c r="E103" s="135">
        <f t="shared" si="41"/>
        <v>9.98</v>
      </c>
      <c r="F103" s="135">
        <f t="shared" si="41"/>
        <v>9.98</v>
      </c>
      <c r="G103" s="135">
        <f t="shared" si="41"/>
        <v>9.98</v>
      </c>
      <c r="H103" s="135">
        <f t="shared" si="41"/>
        <v>9.98</v>
      </c>
      <c r="I103" s="135">
        <f t="shared" si="41"/>
        <v>9.98</v>
      </c>
      <c r="J103" s="135">
        <f t="shared" si="41"/>
        <v>9.98</v>
      </c>
      <c r="K103" s="135">
        <f t="shared" si="41"/>
        <v>9.98</v>
      </c>
      <c r="L103" s="135">
        <f t="shared" si="41"/>
        <v>9.98</v>
      </c>
      <c r="M103" s="135">
        <f t="shared" si="41"/>
        <v>9.98</v>
      </c>
      <c r="N103" s="135">
        <f t="shared" si="41"/>
        <v>9.98</v>
      </c>
      <c r="O103" s="135">
        <f t="shared" si="41"/>
        <v>9.98</v>
      </c>
      <c r="P103" s="135">
        <f t="shared" si="41"/>
        <v>9.98</v>
      </c>
      <c r="Q103" s="135">
        <f t="shared" si="41"/>
        <v>9.98</v>
      </c>
      <c r="R103" s="135">
        <f t="shared" si="41"/>
        <v>9.98</v>
      </c>
      <c r="S103" s="135">
        <f t="shared" si="41"/>
        <v>9.98</v>
      </c>
      <c r="T103" s="135">
        <f t="shared" si="42"/>
        <v>9.98</v>
      </c>
      <c r="U103" s="135">
        <f t="shared" si="42"/>
        <v>9.98</v>
      </c>
      <c r="V103" s="135">
        <f t="shared" si="42"/>
        <v>9.98</v>
      </c>
      <c r="W103" s="135">
        <f t="shared" si="42"/>
        <v>9.98</v>
      </c>
      <c r="X103" s="135">
        <f t="shared" si="42"/>
        <v>9.98</v>
      </c>
      <c r="Y103" s="135">
        <f t="shared" si="42"/>
        <v>9.98</v>
      </c>
      <c r="Z103" s="135">
        <f t="shared" si="42"/>
        <v>9.98</v>
      </c>
      <c r="AA103" s="135">
        <f t="shared" si="42"/>
        <v>9.98</v>
      </c>
      <c r="AB103" s="135">
        <f t="shared" si="42"/>
        <v>9.98</v>
      </c>
      <c r="AC103" s="135">
        <f t="shared" si="42"/>
        <v>9.98</v>
      </c>
      <c r="AD103" s="135">
        <f t="shared" si="42"/>
        <v>9.98</v>
      </c>
      <c r="AE103" s="135">
        <f t="shared" si="42"/>
        <v>9.98</v>
      </c>
      <c r="AF103" s="135">
        <f t="shared" si="42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40"/>
        <v>9.1</v>
      </c>
      <c r="C104" s="136">
        <v>9.1</v>
      </c>
      <c r="D104" s="135">
        <f t="shared" si="41"/>
        <v>9.1</v>
      </c>
      <c r="E104" s="135">
        <f t="shared" si="41"/>
        <v>9.1</v>
      </c>
      <c r="F104" s="135">
        <f t="shared" si="41"/>
        <v>9.1</v>
      </c>
      <c r="G104" s="135">
        <f t="shared" si="41"/>
        <v>9.1</v>
      </c>
      <c r="H104" s="135">
        <f t="shared" si="41"/>
        <v>9.1</v>
      </c>
      <c r="I104" s="135">
        <f t="shared" si="41"/>
        <v>9.1</v>
      </c>
      <c r="J104" s="135">
        <f t="shared" si="41"/>
        <v>9.1</v>
      </c>
      <c r="K104" s="135">
        <f t="shared" si="41"/>
        <v>9.1</v>
      </c>
      <c r="L104" s="135">
        <f t="shared" si="41"/>
        <v>9.1</v>
      </c>
      <c r="M104" s="135">
        <f t="shared" si="41"/>
        <v>9.1</v>
      </c>
      <c r="N104" s="135">
        <f t="shared" si="41"/>
        <v>9.1</v>
      </c>
      <c r="O104" s="135">
        <f t="shared" si="41"/>
        <v>9.1</v>
      </c>
      <c r="P104" s="135">
        <f t="shared" si="41"/>
        <v>9.1</v>
      </c>
      <c r="Q104" s="135">
        <f t="shared" si="41"/>
        <v>9.1</v>
      </c>
      <c r="R104" s="135">
        <f t="shared" si="41"/>
        <v>9.1</v>
      </c>
      <c r="S104" s="135">
        <f t="shared" si="41"/>
        <v>9.1</v>
      </c>
      <c r="T104" s="135">
        <f t="shared" si="42"/>
        <v>9.1</v>
      </c>
      <c r="U104" s="135">
        <f t="shared" si="42"/>
        <v>9.1</v>
      </c>
      <c r="V104" s="135">
        <f t="shared" si="42"/>
        <v>9.1</v>
      </c>
      <c r="W104" s="135">
        <f t="shared" si="42"/>
        <v>9.1</v>
      </c>
      <c r="X104" s="135">
        <f t="shared" si="42"/>
        <v>9.1</v>
      </c>
      <c r="Y104" s="135">
        <f t="shared" si="42"/>
        <v>9.1</v>
      </c>
      <c r="Z104" s="135">
        <f t="shared" si="42"/>
        <v>9.1</v>
      </c>
      <c r="AA104" s="135">
        <f t="shared" si="42"/>
        <v>9.1</v>
      </c>
      <c r="AB104" s="135">
        <f t="shared" si="42"/>
        <v>9.1</v>
      </c>
      <c r="AC104" s="135">
        <f t="shared" si="42"/>
        <v>9.1</v>
      </c>
      <c r="AD104" s="135">
        <f t="shared" si="42"/>
        <v>9.1</v>
      </c>
      <c r="AE104" s="135">
        <f t="shared" si="42"/>
        <v>9.1</v>
      </c>
      <c r="AF104" s="135">
        <f t="shared" si="42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40"/>
        <v>9.18</v>
      </c>
      <c r="C105" s="136">
        <v>9.18</v>
      </c>
      <c r="D105" s="135">
        <f t="shared" si="41"/>
        <v>9.18</v>
      </c>
      <c r="E105" s="135">
        <f t="shared" si="41"/>
        <v>9.18</v>
      </c>
      <c r="F105" s="135">
        <f t="shared" si="41"/>
        <v>9.18</v>
      </c>
      <c r="G105" s="135">
        <f t="shared" si="41"/>
        <v>9.18</v>
      </c>
      <c r="H105" s="135">
        <f t="shared" si="41"/>
        <v>9.18</v>
      </c>
      <c r="I105" s="135">
        <f t="shared" si="41"/>
        <v>9.18</v>
      </c>
      <c r="J105" s="135">
        <f t="shared" si="41"/>
        <v>9.18</v>
      </c>
      <c r="K105" s="135">
        <f t="shared" si="41"/>
        <v>9.18</v>
      </c>
      <c r="L105" s="135">
        <f t="shared" si="41"/>
        <v>9.18</v>
      </c>
      <c r="M105" s="135">
        <f t="shared" si="41"/>
        <v>9.18</v>
      </c>
      <c r="N105" s="135">
        <f t="shared" si="41"/>
        <v>9.18</v>
      </c>
      <c r="O105" s="135">
        <f t="shared" si="41"/>
        <v>9.18</v>
      </c>
      <c r="P105" s="135">
        <f t="shared" si="41"/>
        <v>9.18</v>
      </c>
      <c r="Q105" s="135">
        <f t="shared" si="41"/>
        <v>9.18</v>
      </c>
      <c r="R105" s="135">
        <f t="shared" si="41"/>
        <v>9.18</v>
      </c>
      <c r="S105" s="135">
        <f t="shared" si="41"/>
        <v>9.18</v>
      </c>
      <c r="T105" s="135">
        <f t="shared" si="42"/>
        <v>9.18</v>
      </c>
      <c r="U105" s="135">
        <f t="shared" si="42"/>
        <v>9.18</v>
      </c>
      <c r="V105" s="135">
        <f t="shared" si="42"/>
        <v>9.18</v>
      </c>
      <c r="W105" s="135">
        <f t="shared" si="42"/>
        <v>9.18</v>
      </c>
      <c r="X105" s="135">
        <f t="shared" si="42"/>
        <v>9.18</v>
      </c>
      <c r="Y105" s="135">
        <f t="shared" si="42"/>
        <v>9.18</v>
      </c>
      <c r="Z105" s="135">
        <f t="shared" si="42"/>
        <v>9.18</v>
      </c>
      <c r="AA105" s="135">
        <f t="shared" si="42"/>
        <v>9.18</v>
      </c>
      <c r="AB105" s="135">
        <f t="shared" si="42"/>
        <v>9.18</v>
      </c>
      <c r="AC105" s="135">
        <f t="shared" si="42"/>
        <v>9.18</v>
      </c>
      <c r="AD105" s="135">
        <f t="shared" si="42"/>
        <v>9.18</v>
      </c>
      <c r="AE105" s="135">
        <f t="shared" si="42"/>
        <v>9.18</v>
      </c>
      <c r="AF105" s="135">
        <f t="shared" si="42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40"/>
        <v>7</v>
      </c>
      <c r="C106" s="136">
        <v>7</v>
      </c>
      <c r="D106" s="135">
        <f t="shared" si="41"/>
        <v>7</v>
      </c>
      <c r="E106" s="135">
        <f t="shared" si="41"/>
        <v>7</v>
      </c>
      <c r="F106" s="135">
        <f t="shared" si="41"/>
        <v>7</v>
      </c>
      <c r="G106" s="135">
        <f t="shared" si="41"/>
        <v>7</v>
      </c>
      <c r="H106" s="135">
        <f t="shared" si="41"/>
        <v>7</v>
      </c>
      <c r="I106" s="135">
        <f t="shared" si="41"/>
        <v>7</v>
      </c>
      <c r="J106" s="135">
        <f t="shared" si="41"/>
        <v>7</v>
      </c>
      <c r="K106" s="135">
        <f t="shared" si="41"/>
        <v>7</v>
      </c>
      <c r="L106" s="135">
        <f t="shared" si="41"/>
        <v>7</v>
      </c>
      <c r="M106" s="135">
        <f t="shared" si="41"/>
        <v>7</v>
      </c>
      <c r="N106" s="135">
        <f t="shared" si="41"/>
        <v>7</v>
      </c>
      <c r="O106" s="135">
        <f t="shared" si="41"/>
        <v>7</v>
      </c>
      <c r="P106" s="135">
        <f t="shared" si="41"/>
        <v>7</v>
      </c>
      <c r="Q106" s="135">
        <f t="shared" si="41"/>
        <v>7</v>
      </c>
      <c r="R106" s="135">
        <f t="shared" si="41"/>
        <v>7</v>
      </c>
      <c r="S106" s="135">
        <f t="shared" si="41"/>
        <v>7</v>
      </c>
      <c r="T106" s="135">
        <f t="shared" si="42"/>
        <v>7</v>
      </c>
      <c r="U106" s="135">
        <f t="shared" si="42"/>
        <v>7</v>
      </c>
      <c r="V106" s="135">
        <f t="shared" si="42"/>
        <v>7</v>
      </c>
      <c r="W106" s="135">
        <f t="shared" si="42"/>
        <v>7</v>
      </c>
      <c r="X106" s="135">
        <f t="shared" si="42"/>
        <v>7</v>
      </c>
      <c r="Y106" s="135">
        <f t="shared" si="42"/>
        <v>7</v>
      </c>
      <c r="Z106" s="135">
        <f t="shared" si="42"/>
        <v>7</v>
      </c>
      <c r="AA106" s="135">
        <f t="shared" si="42"/>
        <v>7</v>
      </c>
      <c r="AB106" s="135">
        <f t="shared" si="42"/>
        <v>7</v>
      </c>
      <c r="AC106" s="135">
        <f t="shared" si="42"/>
        <v>7</v>
      </c>
      <c r="AD106" s="135">
        <f t="shared" si="42"/>
        <v>7</v>
      </c>
      <c r="AE106" s="135">
        <f t="shared" si="42"/>
        <v>7</v>
      </c>
      <c r="AF106" s="135">
        <f t="shared" si="42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43">C108</f>
        <v>2.25</v>
      </c>
      <c r="E108" s="135">
        <f t="shared" si="43"/>
        <v>2.25</v>
      </c>
      <c r="F108" s="135">
        <f t="shared" si="43"/>
        <v>2.25</v>
      </c>
      <c r="G108" s="135">
        <f t="shared" si="43"/>
        <v>2.25</v>
      </c>
      <c r="H108" s="135">
        <f t="shared" si="43"/>
        <v>2.25</v>
      </c>
      <c r="I108" s="135">
        <f t="shared" si="43"/>
        <v>2.25</v>
      </c>
      <c r="J108" s="135">
        <f t="shared" si="43"/>
        <v>2.25</v>
      </c>
      <c r="K108" s="135">
        <f t="shared" si="43"/>
        <v>2.25</v>
      </c>
      <c r="L108" s="135">
        <f t="shared" si="43"/>
        <v>2.25</v>
      </c>
      <c r="M108" s="135">
        <f t="shared" si="43"/>
        <v>2.25</v>
      </c>
      <c r="N108" s="135">
        <f t="shared" si="43"/>
        <v>2.25</v>
      </c>
      <c r="O108" s="135">
        <f t="shared" si="43"/>
        <v>2.25</v>
      </c>
      <c r="P108" s="135">
        <f t="shared" si="43"/>
        <v>2.25</v>
      </c>
      <c r="Q108" s="135">
        <f t="shared" si="43"/>
        <v>2.25</v>
      </c>
      <c r="R108" s="135">
        <f t="shared" si="43"/>
        <v>2.25</v>
      </c>
      <c r="S108" s="135">
        <f t="shared" si="43"/>
        <v>2.25</v>
      </c>
      <c r="T108" s="135">
        <f t="shared" ref="T108:AF109" si="44">S108</f>
        <v>2.25</v>
      </c>
      <c r="U108" s="135">
        <f t="shared" si="44"/>
        <v>2.25</v>
      </c>
      <c r="V108" s="135">
        <f t="shared" si="44"/>
        <v>2.25</v>
      </c>
      <c r="W108" s="135">
        <f t="shared" si="44"/>
        <v>2.25</v>
      </c>
      <c r="X108" s="135">
        <f t="shared" si="44"/>
        <v>2.25</v>
      </c>
      <c r="Y108" s="135">
        <f t="shared" si="44"/>
        <v>2.25</v>
      </c>
      <c r="Z108" s="135">
        <f t="shared" si="44"/>
        <v>2.25</v>
      </c>
      <c r="AA108" s="135">
        <f t="shared" si="44"/>
        <v>2.25</v>
      </c>
      <c r="AB108" s="135">
        <f t="shared" si="44"/>
        <v>2.25</v>
      </c>
      <c r="AC108" s="135">
        <f t="shared" si="44"/>
        <v>2.25</v>
      </c>
      <c r="AD108" s="135">
        <f t="shared" si="44"/>
        <v>2.25</v>
      </c>
      <c r="AE108" s="135">
        <f t="shared" si="44"/>
        <v>2.25</v>
      </c>
      <c r="AF108" s="135">
        <f t="shared" si="44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43"/>
        <v>1.64</v>
      </c>
      <c r="E109" s="135">
        <f t="shared" si="43"/>
        <v>1.64</v>
      </c>
      <c r="F109" s="135">
        <f t="shared" si="43"/>
        <v>1.64</v>
      </c>
      <c r="G109" s="135">
        <f t="shared" si="43"/>
        <v>1.64</v>
      </c>
      <c r="H109" s="135">
        <f t="shared" si="43"/>
        <v>1.64</v>
      </c>
      <c r="I109" s="135">
        <f t="shared" si="43"/>
        <v>1.64</v>
      </c>
      <c r="J109" s="135">
        <f t="shared" si="43"/>
        <v>1.64</v>
      </c>
      <c r="K109" s="135">
        <f t="shared" si="43"/>
        <v>1.64</v>
      </c>
      <c r="L109" s="135">
        <f t="shared" si="43"/>
        <v>1.64</v>
      </c>
      <c r="M109" s="135">
        <f t="shared" si="43"/>
        <v>1.64</v>
      </c>
      <c r="N109" s="135">
        <f t="shared" si="43"/>
        <v>1.64</v>
      </c>
      <c r="O109" s="135">
        <f t="shared" si="43"/>
        <v>1.64</v>
      </c>
      <c r="P109" s="135">
        <f t="shared" si="43"/>
        <v>1.64</v>
      </c>
      <c r="Q109" s="135">
        <f t="shared" si="43"/>
        <v>1.64</v>
      </c>
      <c r="R109" s="135">
        <f t="shared" si="43"/>
        <v>1.64</v>
      </c>
      <c r="S109" s="135">
        <f t="shared" si="43"/>
        <v>1.64</v>
      </c>
      <c r="T109" s="135">
        <f t="shared" si="44"/>
        <v>1.64</v>
      </c>
      <c r="U109" s="135">
        <f t="shared" si="44"/>
        <v>1.64</v>
      </c>
      <c r="V109" s="135">
        <f t="shared" si="44"/>
        <v>1.64</v>
      </c>
      <c r="W109" s="135">
        <f t="shared" si="44"/>
        <v>1.64</v>
      </c>
      <c r="X109" s="135">
        <f t="shared" si="44"/>
        <v>1.64</v>
      </c>
      <c r="Y109" s="135">
        <f t="shared" si="44"/>
        <v>1.64</v>
      </c>
      <c r="Z109" s="135">
        <f t="shared" si="44"/>
        <v>1.64</v>
      </c>
      <c r="AA109" s="135">
        <f t="shared" si="44"/>
        <v>1.64</v>
      </c>
      <c r="AB109" s="135">
        <f t="shared" si="44"/>
        <v>1.64</v>
      </c>
      <c r="AC109" s="135">
        <f t="shared" si="44"/>
        <v>1.64</v>
      </c>
      <c r="AD109" s="135">
        <f t="shared" si="44"/>
        <v>1.64</v>
      </c>
      <c r="AE109" s="135">
        <f t="shared" si="44"/>
        <v>1.64</v>
      </c>
      <c r="AF109" s="135">
        <f t="shared" si="44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45">AF111</f>
        <v>1.62</v>
      </c>
      <c r="C111" s="136">
        <v>1.62</v>
      </c>
      <c r="D111" s="135">
        <f t="shared" ref="D111:S118" si="46">C111</f>
        <v>1.62</v>
      </c>
      <c r="E111" s="135">
        <f t="shared" si="46"/>
        <v>1.62</v>
      </c>
      <c r="F111" s="135">
        <f t="shared" si="46"/>
        <v>1.62</v>
      </c>
      <c r="G111" s="135">
        <f t="shared" si="46"/>
        <v>1.62</v>
      </c>
      <c r="H111" s="135">
        <f t="shared" si="46"/>
        <v>1.62</v>
      </c>
      <c r="I111" s="135">
        <f t="shared" si="46"/>
        <v>1.62</v>
      </c>
      <c r="J111" s="135">
        <f t="shared" si="46"/>
        <v>1.62</v>
      </c>
      <c r="K111" s="135">
        <f t="shared" si="46"/>
        <v>1.62</v>
      </c>
      <c r="L111" s="135">
        <f t="shared" si="46"/>
        <v>1.62</v>
      </c>
      <c r="M111" s="135">
        <f t="shared" si="46"/>
        <v>1.62</v>
      </c>
      <c r="N111" s="135">
        <f t="shared" si="46"/>
        <v>1.62</v>
      </c>
      <c r="O111" s="135">
        <f t="shared" si="46"/>
        <v>1.62</v>
      </c>
      <c r="P111" s="135">
        <f t="shared" si="46"/>
        <v>1.62</v>
      </c>
      <c r="Q111" s="135">
        <f t="shared" si="46"/>
        <v>1.62</v>
      </c>
      <c r="R111" s="135">
        <f t="shared" si="46"/>
        <v>1.62</v>
      </c>
      <c r="S111" s="135">
        <f t="shared" si="46"/>
        <v>1.62</v>
      </c>
      <c r="T111" s="135">
        <f t="shared" ref="T111:AF126" si="47">S111</f>
        <v>1.62</v>
      </c>
      <c r="U111" s="135">
        <f t="shared" si="47"/>
        <v>1.62</v>
      </c>
      <c r="V111" s="135">
        <f t="shared" si="47"/>
        <v>1.62</v>
      </c>
      <c r="W111" s="135">
        <f t="shared" si="47"/>
        <v>1.62</v>
      </c>
      <c r="X111" s="135">
        <f t="shared" si="47"/>
        <v>1.62</v>
      </c>
      <c r="Y111" s="135">
        <f t="shared" si="47"/>
        <v>1.62</v>
      </c>
      <c r="Z111" s="135">
        <f t="shared" si="47"/>
        <v>1.62</v>
      </c>
      <c r="AA111" s="135">
        <f t="shared" si="47"/>
        <v>1.62</v>
      </c>
      <c r="AB111" s="135">
        <f t="shared" si="47"/>
        <v>1.62</v>
      </c>
      <c r="AC111" s="135">
        <f t="shared" si="47"/>
        <v>1.62</v>
      </c>
      <c r="AD111" s="135">
        <f t="shared" si="47"/>
        <v>1.62</v>
      </c>
      <c r="AE111" s="135">
        <f t="shared" si="47"/>
        <v>1.62</v>
      </c>
      <c r="AF111" s="135">
        <f t="shared" si="47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45"/>
        <v>8.36</v>
      </c>
      <c r="C112" s="136">
        <v>8.36</v>
      </c>
      <c r="D112" s="135">
        <f t="shared" si="46"/>
        <v>8.36</v>
      </c>
      <c r="E112" s="135">
        <f t="shared" si="46"/>
        <v>8.36</v>
      </c>
      <c r="F112" s="135">
        <f t="shared" si="46"/>
        <v>8.36</v>
      </c>
      <c r="G112" s="135">
        <f t="shared" si="46"/>
        <v>8.36</v>
      </c>
      <c r="H112" s="135">
        <f t="shared" si="46"/>
        <v>8.36</v>
      </c>
      <c r="I112" s="135">
        <f t="shared" si="46"/>
        <v>8.36</v>
      </c>
      <c r="J112" s="135">
        <f t="shared" si="46"/>
        <v>8.36</v>
      </c>
      <c r="K112" s="135">
        <f t="shared" si="46"/>
        <v>8.36</v>
      </c>
      <c r="L112" s="135">
        <f t="shared" si="46"/>
        <v>8.36</v>
      </c>
      <c r="M112" s="135">
        <f t="shared" si="46"/>
        <v>8.36</v>
      </c>
      <c r="N112" s="135">
        <f t="shared" si="46"/>
        <v>8.36</v>
      </c>
      <c r="O112" s="135">
        <f t="shared" si="46"/>
        <v>8.36</v>
      </c>
      <c r="P112" s="135">
        <f t="shared" si="46"/>
        <v>8.36</v>
      </c>
      <c r="Q112" s="135">
        <f t="shared" si="46"/>
        <v>8.36</v>
      </c>
      <c r="R112" s="135">
        <f t="shared" si="46"/>
        <v>8.36</v>
      </c>
      <c r="S112" s="135">
        <f t="shared" si="46"/>
        <v>8.36</v>
      </c>
      <c r="T112" s="135">
        <f t="shared" si="47"/>
        <v>8.36</v>
      </c>
      <c r="U112" s="135">
        <f t="shared" si="47"/>
        <v>8.36</v>
      </c>
      <c r="V112" s="135">
        <f t="shared" si="47"/>
        <v>8.36</v>
      </c>
      <c r="W112" s="135">
        <f t="shared" si="47"/>
        <v>8.36</v>
      </c>
      <c r="X112" s="135">
        <f t="shared" si="47"/>
        <v>8.36</v>
      </c>
      <c r="Y112" s="135">
        <f t="shared" si="47"/>
        <v>8.36</v>
      </c>
      <c r="Z112" s="135">
        <f t="shared" si="47"/>
        <v>8.36</v>
      </c>
      <c r="AA112" s="135">
        <f t="shared" si="47"/>
        <v>8.36</v>
      </c>
      <c r="AB112" s="135">
        <f t="shared" si="47"/>
        <v>8.36</v>
      </c>
      <c r="AC112" s="135">
        <f t="shared" si="47"/>
        <v>8.36</v>
      </c>
      <c r="AD112" s="135">
        <f t="shared" si="47"/>
        <v>8.36</v>
      </c>
      <c r="AE112" s="135">
        <f t="shared" si="47"/>
        <v>8.36</v>
      </c>
      <c r="AF112" s="135">
        <f t="shared" si="47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45"/>
        <v>5.4</v>
      </c>
      <c r="C113" s="136">
        <v>8</v>
      </c>
      <c r="D113" s="135">
        <f t="shared" si="46"/>
        <v>8</v>
      </c>
      <c r="E113" s="135">
        <f t="shared" si="46"/>
        <v>8</v>
      </c>
      <c r="F113" s="135">
        <f t="shared" si="46"/>
        <v>8</v>
      </c>
      <c r="G113" s="135">
        <f t="shared" si="46"/>
        <v>8</v>
      </c>
      <c r="H113" s="135">
        <f t="shared" si="46"/>
        <v>8</v>
      </c>
      <c r="I113" s="135">
        <f t="shared" si="46"/>
        <v>8</v>
      </c>
      <c r="J113" s="135">
        <v>5.4</v>
      </c>
      <c r="K113" s="135">
        <f t="shared" si="46"/>
        <v>5.4</v>
      </c>
      <c r="L113" s="135">
        <f t="shared" si="46"/>
        <v>5.4</v>
      </c>
      <c r="M113" s="135">
        <f t="shared" si="46"/>
        <v>5.4</v>
      </c>
      <c r="N113" s="135">
        <f t="shared" si="46"/>
        <v>5.4</v>
      </c>
      <c r="O113" s="135">
        <f t="shared" si="46"/>
        <v>5.4</v>
      </c>
      <c r="P113" s="135">
        <f t="shared" si="46"/>
        <v>5.4</v>
      </c>
      <c r="Q113" s="135">
        <f t="shared" si="46"/>
        <v>5.4</v>
      </c>
      <c r="R113" s="135">
        <f t="shared" si="46"/>
        <v>5.4</v>
      </c>
      <c r="S113" s="135">
        <f t="shared" si="46"/>
        <v>5.4</v>
      </c>
      <c r="T113" s="135">
        <f t="shared" si="47"/>
        <v>5.4</v>
      </c>
      <c r="U113" s="135">
        <f t="shared" si="47"/>
        <v>5.4</v>
      </c>
      <c r="V113" s="135">
        <f t="shared" si="47"/>
        <v>5.4</v>
      </c>
      <c r="W113" s="135">
        <f t="shared" si="47"/>
        <v>5.4</v>
      </c>
      <c r="X113" s="135">
        <f t="shared" si="47"/>
        <v>5.4</v>
      </c>
      <c r="Y113" s="135">
        <f t="shared" si="47"/>
        <v>5.4</v>
      </c>
      <c r="Z113" s="135">
        <f t="shared" si="47"/>
        <v>5.4</v>
      </c>
      <c r="AA113" s="135">
        <f t="shared" si="47"/>
        <v>5.4</v>
      </c>
      <c r="AB113" s="135">
        <f t="shared" si="47"/>
        <v>5.4</v>
      </c>
      <c r="AC113" s="135">
        <f t="shared" si="47"/>
        <v>5.4</v>
      </c>
      <c r="AD113" s="135">
        <f t="shared" si="47"/>
        <v>5.4</v>
      </c>
      <c r="AE113" s="135">
        <f t="shared" si="47"/>
        <v>5.4</v>
      </c>
      <c r="AF113" s="135">
        <f t="shared" si="47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45"/>
        <v>6.57</v>
      </c>
      <c r="C114" s="136">
        <v>6.57</v>
      </c>
      <c r="D114" s="135">
        <f t="shared" si="46"/>
        <v>6.57</v>
      </c>
      <c r="E114" s="135">
        <f t="shared" si="46"/>
        <v>6.57</v>
      </c>
      <c r="F114" s="135">
        <f t="shared" si="46"/>
        <v>6.57</v>
      </c>
      <c r="G114" s="135">
        <f t="shared" si="46"/>
        <v>6.57</v>
      </c>
      <c r="H114" s="135">
        <f t="shared" si="46"/>
        <v>6.57</v>
      </c>
      <c r="I114" s="135">
        <f t="shared" si="46"/>
        <v>6.57</v>
      </c>
      <c r="J114" s="135">
        <f t="shared" si="46"/>
        <v>6.57</v>
      </c>
      <c r="K114" s="135">
        <f t="shared" si="46"/>
        <v>6.57</v>
      </c>
      <c r="L114" s="135">
        <f t="shared" si="46"/>
        <v>6.57</v>
      </c>
      <c r="M114" s="135">
        <f t="shared" si="46"/>
        <v>6.57</v>
      </c>
      <c r="N114" s="135">
        <f t="shared" si="46"/>
        <v>6.57</v>
      </c>
      <c r="O114" s="135">
        <f t="shared" si="46"/>
        <v>6.57</v>
      </c>
      <c r="P114" s="135">
        <f t="shared" si="46"/>
        <v>6.57</v>
      </c>
      <c r="Q114" s="135">
        <f t="shared" si="46"/>
        <v>6.57</v>
      </c>
      <c r="R114" s="135">
        <f t="shared" si="46"/>
        <v>6.57</v>
      </c>
      <c r="S114" s="135">
        <f t="shared" si="46"/>
        <v>6.57</v>
      </c>
      <c r="T114" s="135">
        <f t="shared" si="47"/>
        <v>6.57</v>
      </c>
      <c r="U114" s="135">
        <f t="shared" si="47"/>
        <v>6.57</v>
      </c>
      <c r="V114" s="135">
        <f t="shared" si="47"/>
        <v>6.57</v>
      </c>
      <c r="W114" s="135">
        <f t="shared" si="47"/>
        <v>6.57</v>
      </c>
      <c r="X114" s="135">
        <f t="shared" si="47"/>
        <v>6.57</v>
      </c>
      <c r="Y114" s="135">
        <f t="shared" si="47"/>
        <v>6.57</v>
      </c>
      <c r="Z114" s="135">
        <f t="shared" si="47"/>
        <v>6.57</v>
      </c>
      <c r="AA114" s="135">
        <f t="shared" si="47"/>
        <v>6.57</v>
      </c>
      <c r="AB114" s="135">
        <f t="shared" si="47"/>
        <v>6.57</v>
      </c>
      <c r="AC114" s="135">
        <f t="shared" si="47"/>
        <v>6.57</v>
      </c>
      <c r="AD114" s="135">
        <f t="shared" si="47"/>
        <v>6.57</v>
      </c>
      <c r="AE114" s="135">
        <f t="shared" si="47"/>
        <v>6.57</v>
      </c>
      <c r="AF114" s="135">
        <f t="shared" si="47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45"/>
        <v>3.43</v>
      </c>
      <c r="C115" s="136">
        <v>3.43</v>
      </c>
      <c r="D115" s="135">
        <f t="shared" si="46"/>
        <v>3.43</v>
      </c>
      <c r="E115" s="135">
        <f t="shared" si="46"/>
        <v>3.43</v>
      </c>
      <c r="F115" s="135">
        <f t="shared" si="46"/>
        <v>3.43</v>
      </c>
      <c r="G115" s="135">
        <f t="shared" si="46"/>
        <v>3.43</v>
      </c>
      <c r="H115" s="135">
        <f t="shared" si="46"/>
        <v>3.43</v>
      </c>
      <c r="I115" s="135">
        <f t="shared" si="46"/>
        <v>3.43</v>
      </c>
      <c r="J115" s="135">
        <f t="shared" si="46"/>
        <v>3.43</v>
      </c>
      <c r="K115" s="135">
        <f t="shared" si="46"/>
        <v>3.43</v>
      </c>
      <c r="L115" s="135">
        <f t="shared" si="46"/>
        <v>3.43</v>
      </c>
      <c r="M115" s="135">
        <f t="shared" si="46"/>
        <v>3.43</v>
      </c>
      <c r="N115" s="135">
        <f t="shared" si="46"/>
        <v>3.43</v>
      </c>
      <c r="O115" s="135">
        <f t="shared" si="46"/>
        <v>3.43</v>
      </c>
      <c r="P115" s="135">
        <f t="shared" si="46"/>
        <v>3.43</v>
      </c>
      <c r="Q115" s="135">
        <f t="shared" si="46"/>
        <v>3.43</v>
      </c>
      <c r="R115" s="135">
        <f t="shared" si="46"/>
        <v>3.43</v>
      </c>
      <c r="S115" s="135">
        <f t="shared" si="46"/>
        <v>3.43</v>
      </c>
      <c r="T115" s="135">
        <f t="shared" si="47"/>
        <v>3.43</v>
      </c>
      <c r="U115" s="135">
        <f t="shared" si="47"/>
        <v>3.43</v>
      </c>
      <c r="V115" s="135">
        <f t="shared" si="47"/>
        <v>3.43</v>
      </c>
      <c r="W115" s="135">
        <f t="shared" si="47"/>
        <v>3.43</v>
      </c>
      <c r="X115" s="135">
        <f t="shared" si="47"/>
        <v>3.43</v>
      </c>
      <c r="Y115" s="135">
        <f t="shared" si="47"/>
        <v>3.43</v>
      </c>
      <c r="Z115" s="135">
        <f t="shared" si="47"/>
        <v>3.43</v>
      </c>
      <c r="AA115" s="135">
        <f t="shared" si="47"/>
        <v>3.43</v>
      </c>
      <c r="AB115" s="135">
        <f t="shared" si="47"/>
        <v>3.43</v>
      </c>
      <c r="AC115" s="135">
        <f t="shared" si="47"/>
        <v>3.43</v>
      </c>
      <c r="AD115" s="135">
        <f t="shared" si="47"/>
        <v>3.43</v>
      </c>
      <c r="AE115" s="135">
        <f t="shared" si="47"/>
        <v>3.43</v>
      </c>
      <c r="AF115" s="135">
        <f t="shared" si="47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45"/>
        <v>2.96</v>
      </c>
      <c r="C116" s="136">
        <v>2.96</v>
      </c>
      <c r="D116" s="135">
        <f t="shared" si="46"/>
        <v>2.96</v>
      </c>
      <c r="E116" s="135">
        <f t="shared" si="46"/>
        <v>2.96</v>
      </c>
      <c r="F116" s="135">
        <f t="shared" si="46"/>
        <v>2.96</v>
      </c>
      <c r="G116" s="135">
        <f t="shared" si="46"/>
        <v>2.96</v>
      </c>
      <c r="H116" s="135">
        <f t="shared" si="46"/>
        <v>2.96</v>
      </c>
      <c r="I116" s="135">
        <f t="shared" si="46"/>
        <v>2.96</v>
      </c>
      <c r="J116" s="135">
        <f t="shared" si="46"/>
        <v>2.96</v>
      </c>
      <c r="K116" s="135">
        <f t="shared" si="46"/>
        <v>2.96</v>
      </c>
      <c r="L116" s="135">
        <f t="shared" si="46"/>
        <v>2.96</v>
      </c>
      <c r="M116" s="135">
        <f t="shared" si="46"/>
        <v>2.96</v>
      </c>
      <c r="N116" s="135">
        <f t="shared" si="46"/>
        <v>2.96</v>
      </c>
      <c r="O116" s="135">
        <f t="shared" si="46"/>
        <v>2.96</v>
      </c>
      <c r="P116" s="135">
        <f t="shared" si="46"/>
        <v>2.96</v>
      </c>
      <c r="Q116" s="135">
        <f t="shared" si="46"/>
        <v>2.96</v>
      </c>
      <c r="R116" s="135">
        <f t="shared" si="46"/>
        <v>2.96</v>
      </c>
      <c r="S116" s="135">
        <f t="shared" si="46"/>
        <v>2.96</v>
      </c>
      <c r="T116" s="135">
        <f t="shared" si="47"/>
        <v>2.96</v>
      </c>
      <c r="U116" s="135">
        <f t="shared" si="47"/>
        <v>2.96</v>
      </c>
      <c r="V116" s="135">
        <f t="shared" si="47"/>
        <v>2.96</v>
      </c>
      <c r="W116" s="135">
        <f t="shared" si="47"/>
        <v>2.96</v>
      </c>
      <c r="X116" s="135">
        <f t="shared" si="47"/>
        <v>2.96</v>
      </c>
      <c r="Y116" s="135">
        <f t="shared" si="47"/>
        <v>2.96</v>
      </c>
      <c r="Z116" s="135">
        <f t="shared" si="47"/>
        <v>2.96</v>
      </c>
      <c r="AA116" s="135">
        <f t="shared" si="47"/>
        <v>2.96</v>
      </c>
      <c r="AB116" s="135">
        <f t="shared" si="47"/>
        <v>2.96</v>
      </c>
      <c r="AC116" s="135">
        <f t="shared" si="47"/>
        <v>2.96</v>
      </c>
      <c r="AD116" s="135">
        <f t="shared" si="47"/>
        <v>2.96</v>
      </c>
      <c r="AE116" s="135">
        <f t="shared" si="47"/>
        <v>2.96</v>
      </c>
      <c r="AF116" s="135">
        <f t="shared" si="47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45"/>
        <v>8</v>
      </c>
      <c r="C117" s="136">
        <v>8</v>
      </c>
      <c r="D117" s="135">
        <f t="shared" si="46"/>
        <v>8</v>
      </c>
      <c r="E117" s="135">
        <f t="shared" si="46"/>
        <v>8</v>
      </c>
      <c r="F117" s="135">
        <f t="shared" si="46"/>
        <v>8</v>
      </c>
      <c r="G117" s="135">
        <f t="shared" si="46"/>
        <v>8</v>
      </c>
      <c r="H117" s="135">
        <f t="shared" si="46"/>
        <v>8</v>
      </c>
      <c r="I117" s="135">
        <f t="shared" si="46"/>
        <v>8</v>
      </c>
      <c r="J117" s="135">
        <f t="shared" si="46"/>
        <v>8</v>
      </c>
      <c r="K117" s="135">
        <f t="shared" si="46"/>
        <v>8</v>
      </c>
      <c r="L117" s="135">
        <f t="shared" si="46"/>
        <v>8</v>
      </c>
      <c r="M117" s="135">
        <f t="shared" si="46"/>
        <v>8</v>
      </c>
      <c r="N117" s="135">
        <f t="shared" si="46"/>
        <v>8</v>
      </c>
      <c r="O117" s="135">
        <f t="shared" si="46"/>
        <v>8</v>
      </c>
      <c r="P117" s="135">
        <f t="shared" si="46"/>
        <v>8</v>
      </c>
      <c r="Q117" s="135">
        <f t="shared" si="46"/>
        <v>8</v>
      </c>
      <c r="R117" s="135">
        <f t="shared" si="46"/>
        <v>8</v>
      </c>
      <c r="S117" s="135">
        <f t="shared" si="46"/>
        <v>8</v>
      </c>
      <c r="T117" s="135">
        <f t="shared" si="47"/>
        <v>8</v>
      </c>
      <c r="U117" s="135">
        <f t="shared" si="47"/>
        <v>8</v>
      </c>
      <c r="V117" s="135">
        <f t="shared" si="47"/>
        <v>8</v>
      </c>
      <c r="W117" s="135">
        <f t="shared" si="47"/>
        <v>8</v>
      </c>
      <c r="X117" s="135">
        <f t="shared" si="47"/>
        <v>8</v>
      </c>
      <c r="Y117" s="135">
        <f t="shared" si="47"/>
        <v>8</v>
      </c>
      <c r="Z117" s="135">
        <f t="shared" si="47"/>
        <v>8</v>
      </c>
      <c r="AA117" s="135">
        <f t="shared" si="47"/>
        <v>8</v>
      </c>
      <c r="AB117" s="135">
        <f t="shared" si="47"/>
        <v>8</v>
      </c>
      <c r="AC117" s="135">
        <f t="shared" si="47"/>
        <v>8</v>
      </c>
      <c r="AD117" s="135">
        <f t="shared" si="47"/>
        <v>8</v>
      </c>
      <c r="AE117" s="135">
        <f t="shared" si="47"/>
        <v>8</v>
      </c>
      <c r="AF117" s="135">
        <f t="shared" si="47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45"/>
        <v>7</v>
      </c>
      <c r="C118" s="136">
        <v>7</v>
      </c>
      <c r="D118" s="135">
        <f>C118</f>
        <v>7</v>
      </c>
      <c r="E118" s="135">
        <f t="shared" si="46"/>
        <v>7</v>
      </c>
      <c r="F118" s="135">
        <f t="shared" si="46"/>
        <v>7</v>
      </c>
      <c r="G118" s="135">
        <f t="shared" si="46"/>
        <v>7</v>
      </c>
      <c r="H118" s="135">
        <f t="shared" si="46"/>
        <v>7</v>
      </c>
      <c r="I118" s="135">
        <f t="shared" si="46"/>
        <v>7</v>
      </c>
      <c r="J118" s="135">
        <f t="shared" si="46"/>
        <v>7</v>
      </c>
      <c r="K118" s="135">
        <f t="shared" si="46"/>
        <v>7</v>
      </c>
      <c r="L118" s="135">
        <f t="shared" si="46"/>
        <v>7</v>
      </c>
      <c r="M118" s="135">
        <f t="shared" si="46"/>
        <v>7</v>
      </c>
      <c r="N118" s="135">
        <f t="shared" si="46"/>
        <v>7</v>
      </c>
      <c r="O118" s="135">
        <f t="shared" si="46"/>
        <v>7</v>
      </c>
      <c r="P118" s="135">
        <f t="shared" si="46"/>
        <v>7</v>
      </c>
      <c r="Q118" s="135">
        <f t="shared" si="46"/>
        <v>7</v>
      </c>
      <c r="R118" s="135">
        <f t="shared" si="46"/>
        <v>7</v>
      </c>
      <c r="S118" s="135">
        <f t="shared" si="46"/>
        <v>7</v>
      </c>
      <c r="T118" s="135">
        <f t="shared" si="47"/>
        <v>7</v>
      </c>
      <c r="U118" s="135">
        <f t="shared" si="47"/>
        <v>7</v>
      </c>
      <c r="V118" s="135">
        <f t="shared" si="47"/>
        <v>7</v>
      </c>
      <c r="W118" s="135">
        <f t="shared" si="47"/>
        <v>7</v>
      </c>
      <c r="X118" s="135">
        <f t="shared" si="47"/>
        <v>7</v>
      </c>
      <c r="Y118" s="135">
        <f t="shared" si="47"/>
        <v>7</v>
      </c>
      <c r="Z118" s="135">
        <f t="shared" si="47"/>
        <v>7</v>
      </c>
      <c r="AA118" s="135">
        <f t="shared" si="47"/>
        <v>7</v>
      </c>
      <c r="AB118" s="135">
        <f t="shared" si="47"/>
        <v>7</v>
      </c>
      <c r="AC118" s="135">
        <f t="shared" si="47"/>
        <v>7</v>
      </c>
      <c r="AD118" s="135">
        <f t="shared" si="47"/>
        <v>7</v>
      </c>
      <c r="AE118" s="135">
        <f t="shared" si="47"/>
        <v>7</v>
      </c>
      <c r="AF118" s="135">
        <f t="shared" si="47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45"/>
        <v>3.47</v>
      </c>
      <c r="C119" s="136">
        <v>3.47</v>
      </c>
      <c r="D119" s="135">
        <f t="shared" ref="D119:S128" si="48">C119</f>
        <v>3.47</v>
      </c>
      <c r="E119" s="135">
        <f t="shared" si="48"/>
        <v>3.47</v>
      </c>
      <c r="F119" s="135">
        <f t="shared" si="48"/>
        <v>3.47</v>
      </c>
      <c r="G119" s="135">
        <f t="shared" si="48"/>
        <v>3.47</v>
      </c>
      <c r="H119" s="135">
        <f t="shared" si="48"/>
        <v>3.47</v>
      </c>
      <c r="I119" s="135">
        <f t="shared" si="48"/>
        <v>3.47</v>
      </c>
      <c r="J119" s="135">
        <f t="shared" si="48"/>
        <v>3.47</v>
      </c>
      <c r="K119" s="135">
        <f t="shared" si="48"/>
        <v>3.47</v>
      </c>
      <c r="L119" s="135">
        <f t="shared" si="48"/>
        <v>3.47</v>
      </c>
      <c r="M119" s="135">
        <f t="shared" si="48"/>
        <v>3.47</v>
      </c>
      <c r="N119" s="135">
        <f t="shared" si="48"/>
        <v>3.47</v>
      </c>
      <c r="O119" s="135">
        <f t="shared" si="48"/>
        <v>3.47</v>
      </c>
      <c r="P119" s="135">
        <f t="shared" si="48"/>
        <v>3.47</v>
      </c>
      <c r="Q119" s="135">
        <f t="shared" si="48"/>
        <v>3.47</v>
      </c>
      <c r="R119" s="135">
        <f t="shared" si="48"/>
        <v>3.47</v>
      </c>
      <c r="S119" s="135">
        <f t="shared" si="48"/>
        <v>3.47</v>
      </c>
      <c r="T119" s="135">
        <f t="shared" si="47"/>
        <v>3.47</v>
      </c>
      <c r="U119" s="135">
        <f t="shared" si="47"/>
        <v>3.47</v>
      </c>
      <c r="V119" s="135">
        <f t="shared" si="47"/>
        <v>3.47</v>
      </c>
      <c r="W119" s="135">
        <f t="shared" si="47"/>
        <v>3.47</v>
      </c>
      <c r="X119" s="135">
        <f t="shared" si="47"/>
        <v>3.47</v>
      </c>
      <c r="Y119" s="135">
        <f t="shared" si="47"/>
        <v>3.47</v>
      </c>
      <c r="Z119" s="135">
        <f t="shared" si="47"/>
        <v>3.47</v>
      </c>
      <c r="AA119" s="135">
        <f t="shared" si="47"/>
        <v>3.47</v>
      </c>
      <c r="AB119" s="135">
        <f t="shared" si="47"/>
        <v>3.47</v>
      </c>
      <c r="AC119" s="135">
        <f t="shared" si="47"/>
        <v>3.47</v>
      </c>
      <c r="AD119" s="135">
        <f t="shared" si="47"/>
        <v>3.47</v>
      </c>
      <c r="AE119" s="135">
        <f t="shared" si="47"/>
        <v>3.47</v>
      </c>
      <c r="AF119" s="135">
        <f t="shared" si="47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45"/>
        <v>2.1</v>
      </c>
      <c r="C120" s="136">
        <v>2.1</v>
      </c>
      <c r="D120" s="135">
        <f t="shared" si="48"/>
        <v>2.1</v>
      </c>
      <c r="E120" s="135">
        <f t="shared" si="48"/>
        <v>2.1</v>
      </c>
      <c r="F120" s="135">
        <f t="shared" si="48"/>
        <v>2.1</v>
      </c>
      <c r="G120" s="135">
        <f t="shared" si="48"/>
        <v>2.1</v>
      </c>
      <c r="H120" s="135">
        <f t="shared" si="48"/>
        <v>2.1</v>
      </c>
      <c r="I120" s="135">
        <f t="shared" si="48"/>
        <v>2.1</v>
      </c>
      <c r="J120" s="135">
        <f t="shared" si="48"/>
        <v>2.1</v>
      </c>
      <c r="K120" s="135">
        <f t="shared" si="48"/>
        <v>2.1</v>
      </c>
      <c r="L120" s="135">
        <f t="shared" si="48"/>
        <v>2.1</v>
      </c>
      <c r="M120" s="135">
        <f t="shared" si="48"/>
        <v>2.1</v>
      </c>
      <c r="N120" s="135">
        <f t="shared" si="48"/>
        <v>2.1</v>
      </c>
      <c r="O120" s="135">
        <f t="shared" si="48"/>
        <v>2.1</v>
      </c>
      <c r="P120" s="135">
        <f t="shared" si="48"/>
        <v>2.1</v>
      </c>
      <c r="Q120" s="135">
        <f t="shared" si="48"/>
        <v>2.1</v>
      </c>
      <c r="R120" s="135">
        <f t="shared" si="48"/>
        <v>2.1</v>
      </c>
      <c r="S120" s="135">
        <f t="shared" si="48"/>
        <v>2.1</v>
      </c>
      <c r="T120" s="135">
        <f t="shared" si="47"/>
        <v>2.1</v>
      </c>
      <c r="U120" s="135">
        <f t="shared" si="47"/>
        <v>2.1</v>
      </c>
      <c r="V120" s="135">
        <f t="shared" si="47"/>
        <v>2.1</v>
      </c>
      <c r="W120" s="135">
        <f t="shared" si="47"/>
        <v>2.1</v>
      </c>
      <c r="X120" s="135">
        <f t="shared" si="47"/>
        <v>2.1</v>
      </c>
      <c r="Y120" s="135">
        <f t="shared" si="47"/>
        <v>2.1</v>
      </c>
      <c r="Z120" s="135">
        <f t="shared" si="47"/>
        <v>2.1</v>
      </c>
      <c r="AA120" s="135">
        <f t="shared" si="47"/>
        <v>2.1</v>
      </c>
      <c r="AB120" s="135">
        <f t="shared" si="47"/>
        <v>2.1</v>
      </c>
      <c r="AC120" s="135">
        <f t="shared" si="47"/>
        <v>2.1</v>
      </c>
      <c r="AD120" s="135">
        <f t="shared" si="47"/>
        <v>2.1</v>
      </c>
      <c r="AE120" s="135">
        <f t="shared" si="47"/>
        <v>2.1</v>
      </c>
      <c r="AF120" s="135">
        <f t="shared" si="47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45"/>
        <v>9.3000000000000007</v>
      </c>
      <c r="C121" s="136">
        <v>9.3000000000000007</v>
      </c>
      <c r="D121" s="135">
        <f t="shared" si="48"/>
        <v>9.3000000000000007</v>
      </c>
      <c r="E121" s="135">
        <f t="shared" si="48"/>
        <v>9.3000000000000007</v>
      </c>
      <c r="F121" s="135">
        <f t="shared" si="48"/>
        <v>9.3000000000000007</v>
      </c>
      <c r="G121" s="135">
        <f t="shared" si="48"/>
        <v>9.3000000000000007</v>
      </c>
      <c r="H121" s="135">
        <f t="shared" si="48"/>
        <v>9.3000000000000007</v>
      </c>
      <c r="I121" s="135">
        <f t="shared" si="48"/>
        <v>9.3000000000000007</v>
      </c>
      <c r="J121" s="135">
        <f t="shared" si="48"/>
        <v>9.3000000000000007</v>
      </c>
      <c r="K121" s="135">
        <f t="shared" si="48"/>
        <v>9.3000000000000007</v>
      </c>
      <c r="L121" s="135">
        <f t="shared" si="48"/>
        <v>9.3000000000000007</v>
      </c>
      <c r="M121" s="135">
        <f t="shared" si="48"/>
        <v>9.3000000000000007</v>
      </c>
      <c r="N121" s="135">
        <f t="shared" si="48"/>
        <v>9.3000000000000007</v>
      </c>
      <c r="O121" s="135">
        <f t="shared" si="48"/>
        <v>9.3000000000000007</v>
      </c>
      <c r="P121" s="135">
        <f t="shared" si="48"/>
        <v>9.3000000000000007</v>
      </c>
      <c r="Q121" s="135">
        <f t="shared" si="48"/>
        <v>9.3000000000000007</v>
      </c>
      <c r="R121" s="135">
        <f t="shared" si="48"/>
        <v>9.3000000000000007</v>
      </c>
      <c r="S121" s="135">
        <f t="shared" si="48"/>
        <v>9.3000000000000007</v>
      </c>
      <c r="T121" s="135">
        <f t="shared" si="47"/>
        <v>9.3000000000000007</v>
      </c>
      <c r="U121" s="135">
        <f t="shared" si="47"/>
        <v>9.3000000000000007</v>
      </c>
      <c r="V121" s="135">
        <f t="shared" si="47"/>
        <v>9.3000000000000007</v>
      </c>
      <c r="W121" s="135">
        <f t="shared" si="47"/>
        <v>9.3000000000000007</v>
      </c>
      <c r="X121" s="135">
        <f t="shared" si="47"/>
        <v>9.3000000000000007</v>
      </c>
      <c r="Y121" s="135">
        <f t="shared" si="47"/>
        <v>9.3000000000000007</v>
      </c>
      <c r="Z121" s="135">
        <f t="shared" si="47"/>
        <v>9.3000000000000007</v>
      </c>
      <c r="AA121" s="135">
        <f t="shared" si="47"/>
        <v>9.3000000000000007</v>
      </c>
      <c r="AB121" s="135">
        <f t="shared" si="47"/>
        <v>9.3000000000000007</v>
      </c>
      <c r="AC121" s="135">
        <f t="shared" si="47"/>
        <v>9.3000000000000007</v>
      </c>
      <c r="AD121" s="135">
        <f t="shared" si="47"/>
        <v>9.3000000000000007</v>
      </c>
      <c r="AE121" s="135">
        <f t="shared" si="47"/>
        <v>9.3000000000000007</v>
      </c>
      <c r="AF121" s="135">
        <f t="shared" si="47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45"/>
        <v>0</v>
      </c>
      <c r="C122" s="136">
        <v>0</v>
      </c>
      <c r="D122" s="135">
        <f t="shared" si="48"/>
        <v>0</v>
      </c>
      <c r="E122" s="135">
        <f t="shared" si="48"/>
        <v>0</v>
      </c>
      <c r="F122" s="135">
        <f t="shared" si="48"/>
        <v>0</v>
      </c>
      <c r="G122" s="135">
        <f t="shared" si="48"/>
        <v>0</v>
      </c>
      <c r="H122" s="135">
        <f t="shared" si="48"/>
        <v>0</v>
      </c>
      <c r="I122" s="135">
        <f t="shared" si="48"/>
        <v>0</v>
      </c>
      <c r="J122" s="135">
        <f t="shared" si="48"/>
        <v>0</v>
      </c>
      <c r="K122" s="135">
        <f t="shared" si="48"/>
        <v>0</v>
      </c>
      <c r="L122" s="135">
        <f t="shared" si="48"/>
        <v>0</v>
      </c>
      <c r="M122" s="135">
        <f t="shared" si="48"/>
        <v>0</v>
      </c>
      <c r="N122" s="135">
        <f t="shared" si="48"/>
        <v>0</v>
      </c>
      <c r="O122" s="135">
        <f t="shared" si="48"/>
        <v>0</v>
      </c>
      <c r="P122" s="135">
        <f t="shared" si="48"/>
        <v>0</v>
      </c>
      <c r="Q122" s="135">
        <f t="shared" si="48"/>
        <v>0</v>
      </c>
      <c r="R122" s="135">
        <f t="shared" si="48"/>
        <v>0</v>
      </c>
      <c r="S122" s="135">
        <f t="shared" si="48"/>
        <v>0</v>
      </c>
      <c r="T122" s="135">
        <f t="shared" si="47"/>
        <v>0</v>
      </c>
      <c r="U122" s="135">
        <f t="shared" si="47"/>
        <v>0</v>
      </c>
      <c r="V122" s="135">
        <f t="shared" si="47"/>
        <v>0</v>
      </c>
      <c r="W122" s="135">
        <f t="shared" si="47"/>
        <v>0</v>
      </c>
      <c r="X122" s="135">
        <f t="shared" si="47"/>
        <v>0</v>
      </c>
      <c r="Y122" s="135">
        <f t="shared" si="47"/>
        <v>0</v>
      </c>
      <c r="Z122" s="135">
        <f t="shared" si="47"/>
        <v>0</v>
      </c>
      <c r="AA122" s="135">
        <f t="shared" si="47"/>
        <v>0</v>
      </c>
      <c r="AB122" s="135">
        <f t="shared" si="47"/>
        <v>0</v>
      </c>
      <c r="AC122" s="135">
        <f t="shared" si="47"/>
        <v>0</v>
      </c>
      <c r="AD122" s="135">
        <f t="shared" si="47"/>
        <v>0</v>
      </c>
      <c r="AE122" s="135">
        <f t="shared" si="47"/>
        <v>0</v>
      </c>
      <c r="AF122" s="135">
        <f t="shared" si="47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45"/>
        <v>0</v>
      </c>
      <c r="C123" s="136">
        <v>0</v>
      </c>
      <c r="D123" s="135">
        <f t="shared" si="48"/>
        <v>0</v>
      </c>
      <c r="E123" s="135">
        <f t="shared" si="48"/>
        <v>0</v>
      </c>
      <c r="F123" s="135">
        <f t="shared" si="48"/>
        <v>0</v>
      </c>
      <c r="G123" s="135">
        <f t="shared" si="48"/>
        <v>0</v>
      </c>
      <c r="H123" s="135">
        <f t="shared" si="48"/>
        <v>0</v>
      </c>
      <c r="I123" s="135">
        <f t="shared" si="48"/>
        <v>0</v>
      </c>
      <c r="J123" s="135">
        <f t="shared" si="48"/>
        <v>0</v>
      </c>
      <c r="K123" s="135">
        <f t="shared" si="48"/>
        <v>0</v>
      </c>
      <c r="L123" s="135">
        <f t="shared" si="48"/>
        <v>0</v>
      </c>
      <c r="M123" s="135">
        <f t="shared" si="48"/>
        <v>0</v>
      </c>
      <c r="N123" s="135">
        <f t="shared" si="48"/>
        <v>0</v>
      </c>
      <c r="O123" s="135">
        <f t="shared" si="48"/>
        <v>0</v>
      </c>
      <c r="P123" s="135">
        <f t="shared" si="48"/>
        <v>0</v>
      </c>
      <c r="Q123" s="135">
        <f t="shared" si="48"/>
        <v>0</v>
      </c>
      <c r="R123" s="135">
        <f t="shared" si="48"/>
        <v>0</v>
      </c>
      <c r="S123" s="135">
        <f t="shared" si="48"/>
        <v>0</v>
      </c>
      <c r="T123" s="135">
        <f t="shared" si="47"/>
        <v>0</v>
      </c>
      <c r="U123" s="135">
        <f t="shared" si="47"/>
        <v>0</v>
      </c>
      <c r="V123" s="135">
        <f t="shared" si="47"/>
        <v>0</v>
      </c>
      <c r="W123" s="135">
        <f t="shared" si="47"/>
        <v>0</v>
      </c>
      <c r="X123" s="135">
        <f t="shared" si="47"/>
        <v>0</v>
      </c>
      <c r="Y123" s="135">
        <f t="shared" si="47"/>
        <v>0</v>
      </c>
      <c r="Z123" s="135">
        <f t="shared" si="47"/>
        <v>0</v>
      </c>
      <c r="AA123" s="135">
        <f t="shared" si="47"/>
        <v>0</v>
      </c>
      <c r="AB123" s="135">
        <f t="shared" si="47"/>
        <v>0</v>
      </c>
      <c r="AC123" s="135">
        <f t="shared" si="47"/>
        <v>0</v>
      </c>
      <c r="AD123" s="135">
        <f t="shared" si="47"/>
        <v>0</v>
      </c>
      <c r="AE123" s="135">
        <f t="shared" si="47"/>
        <v>0</v>
      </c>
      <c r="AF123" s="135">
        <f t="shared" si="47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45"/>
        <v>5</v>
      </c>
      <c r="C124" s="136">
        <v>5</v>
      </c>
      <c r="D124" s="135">
        <f t="shared" si="48"/>
        <v>5</v>
      </c>
      <c r="E124" s="135">
        <f t="shared" si="48"/>
        <v>5</v>
      </c>
      <c r="F124" s="135">
        <f t="shared" si="48"/>
        <v>5</v>
      </c>
      <c r="G124" s="135">
        <f t="shared" si="48"/>
        <v>5</v>
      </c>
      <c r="H124" s="135">
        <f t="shared" si="48"/>
        <v>5</v>
      </c>
      <c r="I124" s="135">
        <f t="shared" si="48"/>
        <v>5</v>
      </c>
      <c r="J124" s="135">
        <f t="shared" si="48"/>
        <v>5</v>
      </c>
      <c r="K124" s="135">
        <f t="shared" si="48"/>
        <v>5</v>
      </c>
      <c r="L124" s="135">
        <f t="shared" si="48"/>
        <v>5</v>
      </c>
      <c r="M124" s="135">
        <f t="shared" si="48"/>
        <v>5</v>
      </c>
      <c r="N124" s="135">
        <f t="shared" si="48"/>
        <v>5</v>
      </c>
      <c r="O124" s="135">
        <f t="shared" si="48"/>
        <v>5</v>
      </c>
      <c r="P124" s="135">
        <f t="shared" si="48"/>
        <v>5</v>
      </c>
      <c r="Q124" s="135">
        <f t="shared" si="48"/>
        <v>5</v>
      </c>
      <c r="R124" s="135">
        <f t="shared" si="48"/>
        <v>5</v>
      </c>
      <c r="S124" s="135">
        <f t="shared" si="48"/>
        <v>5</v>
      </c>
      <c r="T124" s="135">
        <f t="shared" si="47"/>
        <v>5</v>
      </c>
      <c r="U124" s="135">
        <f t="shared" si="47"/>
        <v>5</v>
      </c>
      <c r="V124" s="135">
        <f t="shared" si="47"/>
        <v>5</v>
      </c>
      <c r="W124" s="135">
        <f t="shared" si="47"/>
        <v>5</v>
      </c>
      <c r="X124" s="135">
        <f t="shared" si="47"/>
        <v>5</v>
      </c>
      <c r="Y124" s="135">
        <f t="shared" si="47"/>
        <v>5</v>
      </c>
      <c r="Z124" s="135">
        <f t="shared" si="47"/>
        <v>5</v>
      </c>
      <c r="AA124" s="135">
        <f t="shared" si="47"/>
        <v>5</v>
      </c>
      <c r="AB124" s="135">
        <f t="shared" si="47"/>
        <v>5</v>
      </c>
      <c r="AC124" s="135">
        <f t="shared" si="47"/>
        <v>5</v>
      </c>
      <c r="AD124" s="135">
        <f t="shared" si="47"/>
        <v>5</v>
      </c>
      <c r="AE124" s="135">
        <f t="shared" si="47"/>
        <v>5</v>
      </c>
      <c r="AF124" s="135">
        <f t="shared" si="47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45"/>
        <v>1</v>
      </c>
      <c r="C125" s="136">
        <v>1</v>
      </c>
      <c r="D125" s="135">
        <f t="shared" si="48"/>
        <v>1</v>
      </c>
      <c r="E125" s="135">
        <f t="shared" si="48"/>
        <v>1</v>
      </c>
      <c r="F125" s="135">
        <f t="shared" si="48"/>
        <v>1</v>
      </c>
      <c r="G125" s="135">
        <f t="shared" si="48"/>
        <v>1</v>
      </c>
      <c r="H125" s="135">
        <f t="shared" si="48"/>
        <v>1</v>
      </c>
      <c r="I125" s="135">
        <f t="shared" si="48"/>
        <v>1</v>
      </c>
      <c r="J125" s="135">
        <f t="shared" si="48"/>
        <v>1</v>
      </c>
      <c r="K125" s="135">
        <f t="shared" si="48"/>
        <v>1</v>
      </c>
      <c r="L125" s="135">
        <f t="shared" si="48"/>
        <v>1</v>
      </c>
      <c r="M125" s="135">
        <f t="shared" si="48"/>
        <v>1</v>
      </c>
      <c r="N125" s="135">
        <f t="shared" si="48"/>
        <v>1</v>
      </c>
      <c r="O125" s="135">
        <f t="shared" si="48"/>
        <v>1</v>
      </c>
      <c r="P125" s="135">
        <f t="shared" si="48"/>
        <v>1</v>
      </c>
      <c r="Q125" s="135">
        <f t="shared" si="48"/>
        <v>1</v>
      </c>
      <c r="R125" s="135">
        <f t="shared" si="48"/>
        <v>1</v>
      </c>
      <c r="S125" s="135">
        <f t="shared" si="48"/>
        <v>1</v>
      </c>
      <c r="T125" s="135">
        <f t="shared" si="47"/>
        <v>1</v>
      </c>
      <c r="U125" s="135">
        <f t="shared" si="47"/>
        <v>1</v>
      </c>
      <c r="V125" s="135">
        <f t="shared" si="47"/>
        <v>1</v>
      </c>
      <c r="W125" s="135">
        <f t="shared" si="47"/>
        <v>1</v>
      </c>
      <c r="X125" s="135">
        <f t="shared" si="47"/>
        <v>1</v>
      </c>
      <c r="Y125" s="135">
        <f t="shared" si="47"/>
        <v>1</v>
      </c>
      <c r="Z125" s="135">
        <f t="shared" si="47"/>
        <v>1</v>
      </c>
      <c r="AA125" s="135">
        <f t="shared" si="47"/>
        <v>1</v>
      </c>
      <c r="AB125" s="135">
        <f t="shared" si="47"/>
        <v>1</v>
      </c>
      <c r="AC125" s="135">
        <f t="shared" si="47"/>
        <v>1</v>
      </c>
      <c r="AD125" s="135">
        <f t="shared" si="47"/>
        <v>1</v>
      </c>
      <c r="AE125" s="135">
        <f t="shared" si="47"/>
        <v>1</v>
      </c>
      <c r="AF125" s="135">
        <f t="shared" si="47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45"/>
        <v>1.58</v>
      </c>
      <c r="C126" s="136">
        <v>1.58</v>
      </c>
      <c r="D126" s="135">
        <f t="shared" si="48"/>
        <v>1.58</v>
      </c>
      <c r="E126" s="135">
        <f t="shared" si="48"/>
        <v>1.58</v>
      </c>
      <c r="F126" s="135">
        <f t="shared" si="48"/>
        <v>1.58</v>
      </c>
      <c r="G126" s="135">
        <f t="shared" si="48"/>
        <v>1.58</v>
      </c>
      <c r="H126" s="135">
        <f t="shared" si="48"/>
        <v>1.58</v>
      </c>
      <c r="I126" s="135">
        <f t="shared" si="48"/>
        <v>1.58</v>
      </c>
      <c r="J126" s="135">
        <f t="shared" si="48"/>
        <v>1.58</v>
      </c>
      <c r="K126" s="135">
        <f t="shared" si="48"/>
        <v>1.58</v>
      </c>
      <c r="L126" s="135">
        <f t="shared" si="48"/>
        <v>1.58</v>
      </c>
      <c r="M126" s="135">
        <f t="shared" si="48"/>
        <v>1.58</v>
      </c>
      <c r="N126" s="135">
        <f t="shared" si="48"/>
        <v>1.58</v>
      </c>
      <c r="O126" s="135">
        <f t="shared" si="48"/>
        <v>1.58</v>
      </c>
      <c r="P126" s="135">
        <f t="shared" si="48"/>
        <v>1.58</v>
      </c>
      <c r="Q126" s="135">
        <f t="shared" si="48"/>
        <v>1.58</v>
      </c>
      <c r="R126" s="135">
        <f t="shared" si="48"/>
        <v>1.58</v>
      </c>
      <c r="S126" s="135">
        <f t="shared" si="48"/>
        <v>1.58</v>
      </c>
      <c r="T126" s="135">
        <f t="shared" si="47"/>
        <v>1.58</v>
      </c>
      <c r="U126" s="135">
        <f t="shared" si="47"/>
        <v>1.58</v>
      </c>
      <c r="V126" s="135">
        <f t="shared" si="47"/>
        <v>1.58</v>
      </c>
      <c r="W126" s="135">
        <f t="shared" si="47"/>
        <v>1.58</v>
      </c>
      <c r="X126" s="135">
        <f t="shared" si="47"/>
        <v>1.58</v>
      </c>
      <c r="Y126" s="135">
        <f t="shared" si="47"/>
        <v>1.58</v>
      </c>
      <c r="Z126" s="135">
        <f t="shared" si="47"/>
        <v>1.58</v>
      </c>
      <c r="AA126" s="135">
        <f t="shared" si="47"/>
        <v>1.58</v>
      </c>
      <c r="AB126" s="135">
        <f t="shared" si="47"/>
        <v>1.58</v>
      </c>
      <c r="AC126" s="135">
        <f t="shared" si="47"/>
        <v>1.58</v>
      </c>
      <c r="AD126" s="135">
        <f t="shared" si="47"/>
        <v>1.58</v>
      </c>
      <c r="AE126" s="135">
        <f t="shared" si="47"/>
        <v>1.58</v>
      </c>
      <c r="AF126" s="135">
        <f t="shared" si="47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45"/>
        <v>1.46</v>
      </c>
      <c r="C127" s="136">
        <v>1.46</v>
      </c>
      <c r="D127" s="135">
        <f t="shared" si="48"/>
        <v>1.46</v>
      </c>
      <c r="E127" s="135">
        <f t="shared" si="48"/>
        <v>1.46</v>
      </c>
      <c r="F127" s="135">
        <f t="shared" si="48"/>
        <v>1.46</v>
      </c>
      <c r="G127" s="135">
        <f t="shared" si="48"/>
        <v>1.46</v>
      </c>
      <c r="H127" s="135">
        <f t="shared" si="48"/>
        <v>1.46</v>
      </c>
      <c r="I127" s="135">
        <f t="shared" si="48"/>
        <v>1.46</v>
      </c>
      <c r="J127" s="135">
        <f t="shared" si="48"/>
        <v>1.46</v>
      </c>
      <c r="K127" s="135">
        <f t="shared" si="48"/>
        <v>1.46</v>
      </c>
      <c r="L127" s="135">
        <f t="shared" si="48"/>
        <v>1.46</v>
      </c>
      <c r="M127" s="135">
        <f t="shared" si="48"/>
        <v>1.46</v>
      </c>
      <c r="N127" s="135">
        <f t="shared" si="48"/>
        <v>1.46</v>
      </c>
      <c r="O127" s="135">
        <f t="shared" si="48"/>
        <v>1.46</v>
      </c>
      <c r="P127" s="135">
        <f t="shared" si="48"/>
        <v>1.46</v>
      </c>
      <c r="Q127" s="135">
        <f t="shared" si="48"/>
        <v>1.46</v>
      </c>
      <c r="R127" s="135">
        <f t="shared" si="48"/>
        <v>1.46</v>
      </c>
      <c r="S127" s="135">
        <f t="shared" si="48"/>
        <v>1.46</v>
      </c>
      <c r="T127" s="135">
        <f t="shared" ref="T127:AF128" si="49">S127</f>
        <v>1.46</v>
      </c>
      <c r="U127" s="135">
        <f t="shared" si="49"/>
        <v>1.46</v>
      </c>
      <c r="V127" s="135">
        <f t="shared" si="49"/>
        <v>1.46</v>
      </c>
      <c r="W127" s="135">
        <f t="shared" si="49"/>
        <v>1.46</v>
      </c>
      <c r="X127" s="135">
        <f t="shared" si="49"/>
        <v>1.46</v>
      </c>
      <c r="Y127" s="135">
        <f t="shared" si="49"/>
        <v>1.46</v>
      </c>
      <c r="Z127" s="135">
        <f t="shared" si="49"/>
        <v>1.46</v>
      </c>
      <c r="AA127" s="135">
        <f t="shared" si="49"/>
        <v>1.46</v>
      </c>
      <c r="AB127" s="135">
        <f t="shared" si="49"/>
        <v>1.46</v>
      </c>
      <c r="AC127" s="135">
        <f t="shared" si="49"/>
        <v>1.46</v>
      </c>
      <c r="AD127" s="135">
        <f t="shared" si="49"/>
        <v>1.46</v>
      </c>
      <c r="AE127" s="135">
        <f t="shared" si="49"/>
        <v>1.46</v>
      </c>
      <c r="AF127" s="135">
        <f t="shared" si="49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45"/>
        <v>1.48</v>
      </c>
      <c r="C128" s="136">
        <v>1.48</v>
      </c>
      <c r="D128" s="135">
        <f t="shared" si="48"/>
        <v>1.48</v>
      </c>
      <c r="E128" s="135">
        <f t="shared" si="48"/>
        <v>1.48</v>
      </c>
      <c r="F128" s="135">
        <f t="shared" si="48"/>
        <v>1.48</v>
      </c>
      <c r="G128" s="135">
        <f t="shared" si="48"/>
        <v>1.48</v>
      </c>
      <c r="H128" s="135">
        <f t="shared" si="48"/>
        <v>1.48</v>
      </c>
      <c r="I128" s="135">
        <f t="shared" si="48"/>
        <v>1.48</v>
      </c>
      <c r="J128" s="135">
        <f t="shared" si="48"/>
        <v>1.48</v>
      </c>
      <c r="K128" s="135">
        <f t="shared" si="48"/>
        <v>1.48</v>
      </c>
      <c r="L128" s="135">
        <f t="shared" si="48"/>
        <v>1.48</v>
      </c>
      <c r="M128" s="135">
        <f t="shared" si="48"/>
        <v>1.48</v>
      </c>
      <c r="N128" s="135">
        <f t="shared" si="48"/>
        <v>1.48</v>
      </c>
      <c r="O128" s="135">
        <f t="shared" si="48"/>
        <v>1.48</v>
      </c>
      <c r="P128" s="135">
        <f t="shared" si="48"/>
        <v>1.48</v>
      </c>
      <c r="Q128" s="135">
        <f t="shared" si="48"/>
        <v>1.48</v>
      </c>
      <c r="R128" s="135">
        <f t="shared" si="48"/>
        <v>1.48</v>
      </c>
      <c r="S128" s="135">
        <f t="shared" si="48"/>
        <v>1.48</v>
      </c>
      <c r="T128" s="135">
        <f t="shared" si="49"/>
        <v>1.48</v>
      </c>
      <c r="U128" s="135">
        <f t="shared" si="49"/>
        <v>1.48</v>
      </c>
      <c r="V128" s="135">
        <f t="shared" si="49"/>
        <v>1.48</v>
      </c>
      <c r="W128" s="135">
        <f t="shared" si="49"/>
        <v>1.48</v>
      </c>
      <c r="X128" s="135">
        <f t="shared" si="49"/>
        <v>1.48</v>
      </c>
      <c r="Y128" s="135">
        <f t="shared" si="49"/>
        <v>1.48</v>
      </c>
      <c r="Z128" s="135">
        <f t="shared" si="49"/>
        <v>1.48</v>
      </c>
      <c r="AA128" s="135">
        <f t="shared" si="49"/>
        <v>1.48</v>
      </c>
      <c r="AB128" s="135">
        <f t="shared" si="49"/>
        <v>1.48</v>
      </c>
      <c r="AC128" s="135">
        <f t="shared" si="49"/>
        <v>1.48</v>
      </c>
      <c r="AD128" s="135">
        <f t="shared" si="49"/>
        <v>1.48</v>
      </c>
      <c r="AE128" s="135">
        <f t="shared" si="49"/>
        <v>1.48</v>
      </c>
      <c r="AF128" s="135">
        <f t="shared" si="49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50">AF130</f>
        <v>2.2000000000000002</v>
      </c>
      <c r="C130" s="136">
        <v>2.2000000000000002</v>
      </c>
      <c r="D130" s="135">
        <f t="shared" ref="D130:S137" si="51">C130</f>
        <v>2.2000000000000002</v>
      </c>
      <c r="E130" s="135">
        <f t="shared" si="51"/>
        <v>2.2000000000000002</v>
      </c>
      <c r="F130" s="135">
        <f t="shared" si="51"/>
        <v>2.2000000000000002</v>
      </c>
      <c r="G130" s="135">
        <f t="shared" si="51"/>
        <v>2.2000000000000002</v>
      </c>
      <c r="H130" s="135">
        <f t="shared" si="51"/>
        <v>2.2000000000000002</v>
      </c>
      <c r="I130" s="135">
        <f t="shared" si="51"/>
        <v>2.2000000000000002</v>
      </c>
      <c r="J130" s="135">
        <f t="shared" si="51"/>
        <v>2.2000000000000002</v>
      </c>
      <c r="K130" s="135">
        <f t="shared" si="51"/>
        <v>2.2000000000000002</v>
      </c>
      <c r="L130" s="135">
        <f t="shared" si="51"/>
        <v>2.2000000000000002</v>
      </c>
      <c r="M130" s="135">
        <f t="shared" si="51"/>
        <v>2.2000000000000002</v>
      </c>
      <c r="N130" s="135">
        <f t="shared" si="51"/>
        <v>2.2000000000000002</v>
      </c>
      <c r="O130" s="135">
        <f t="shared" si="51"/>
        <v>2.2000000000000002</v>
      </c>
      <c r="P130" s="135">
        <f t="shared" si="51"/>
        <v>2.2000000000000002</v>
      </c>
      <c r="Q130" s="135">
        <f t="shared" si="51"/>
        <v>2.2000000000000002</v>
      </c>
      <c r="R130" s="135">
        <f t="shared" si="51"/>
        <v>2.2000000000000002</v>
      </c>
      <c r="S130" s="135">
        <f t="shared" si="51"/>
        <v>2.2000000000000002</v>
      </c>
      <c r="T130" s="135">
        <f t="shared" ref="T130:AF137" si="52">S130</f>
        <v>2.2000000000000002</v>
      </c>
      <c r="U130" s="135">
        <f t="shared" si="52"/>
        <v>2.2000000000000002</v>
      </c>
      <c r="V130" s="135">
        <f t="shared" si="52"/>
        <v>2.2000000000000002</v>
      </c>
      <c r="W130" s="135">
        <f t="shared" si="52"/>
        <v>2.2000000000000002</v>
      </c>
      <c r="X130" s="135">
        <f t="shared" si="52"/>
        <v>2.2000000000000002</v>
      </c>
      <c r="Y130" s="135">
        <f t="shared" si="52"/>
        <v>2.2000000000000002</v>
      </c>
      <c r="Z130" s="135">
        <f t="shared" si="52"/>
        <v>2.2000000000000002</v>
      </c>
      <c r="AA130" s="135">
        <f t="shared" si="52"/>
        <v>2.2000000000000002</v>
      </c>
      <c r="AB130" s="135">
        <f t="shared" si="52"/>
        <v>2.2000000000000002</v>
      </c>
      <c r="AC130" s="135">
        <f t="shared" si="52"/>
        <v>2.2000000000000002</v>
      </c>
      <c r="AD130" s="135">
        <f t="shared" si="52"/>
        <v>2.2000000000000002</v>
      </c>
      <c r="AE130" s="135">
        <f t="shared" si="52"/>
        <v>2.2000000000000002</v>
      </c>
      <c r="AF130" s="135">
        <f t="shared" si="52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50"/>
        <v>2</v>
      </c>
      <c r="C131" s="136">
        <v>2</v>
      </c>
      <c r="D131" s="135">
        <f t="shared" si="51"/>
        <v>2</v>
      </c>
      <c r="E131" s="135">
        <f t="shared" si="51"/>
        <v>2</v>
      </c>
      <c r="F131" s="135">
        <f t="shared" si="51"/>
        <v>2</v>
      </c>
      <c r="G131" s="135">
        <f t="shared" si="51"/>
        <v>2</v>
      </c>
      <c r="H131" s="135">
        <f t="shared" si="51"/>
        <v>2</v>
      </c>
      <c r="I131" s="135">
        <f t="shared" si="51"/>
        <v>2</v>
      </c>
      <c r="J131" s="135">
        <f t="shared" si="51"/>
        <v>2</v>
      </c>
      <c r="K131" s="135">
        <f t="shared" si="51"/>
        <v>2</v>
      </c>
      <c r="L131" s="135">
        <f t="shared" si="51"/>
        <v>2</v>
      </c>
      <c r="M131" s="135">
        <f t="shared" si="51"/>
        <v>2</v>
      </c>
      <c r="N131" s="135">
        <f t="shared" si="51"/>
        <v>2</v>
      </c>
      <c r="O131" s="135">
        <f t="shared" si="51"/>
        <v>2</v>
      </c>
      <c r="P131" s="135">
        <f t="shared" si="51"/>
        <v>2</v>
      </c>
      <c r="Q131" s="135">
        <f t="shared" si="51"/>
        <v>2</v>
      </c>
      <c r="R131" s="135">
        <f t="shared" si="51"/>
        <v>2</v>
      </c>
      <c r="S131" s="135">
        <f t="shared" si="51"/>
        <v>2</v>
      </c>
      <c r="T131" s="135">
        <f t="shared" si="52"/>
        <v>2</v>
      </c>
      <c r="U131" s="135">
        <f t="shared" si="52"/>
        <v>2</v>
      </c>
      <c r="V131" s="135">
        <f t="shared" si="52"/>
        <v>2</v>
      </c>
      <c r="W131" s="135">
        <f t="shared" si="52"/>
        <v>2</v>
      </c>
      <c r="X131" s="135">
        <f t="shared" si="52"/>
        <v>2</v>
      </c>
      <c r="Y131" s="135">
        <f t="shared" si="52"/>
        <v>2</v>
      </c>
      <c r="Z131" s="135">
        <f t="shared" si="52"/>
        <v>2</v>
      </c>
      <c r="AA131" s="135">
        <f t="shared" si="52"/>
        <v>2</v>
      </c>
      <c r="AB131" s="135">
        <f t="shared" si="52"/>
        <v>2</v>
      </c>
      <c r="AC131" s="135">
        <f t="shared" si="52"/>
        <v>2</v>
      </c>
      <c r="AD131" s="135">
        <f t="shared" si="52"/>
        <v>2</v>
      </c>
      <c r="AE131" s="135">
        <f t="shared" si="52"/>
        <v>2</v>
      </c>
      <c r="AF131" s="135">
        <f t="shared" si="52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50"/>
        <v>1.25</v>
      </c>
      <c r="C132" s="136">
        <v>1.25</v>
      </c>
      <c r="D132" s="135">
        <f t="shared" si="51"/>
        <v>1.25</v>
      </c>
      <c r="E132" s="135">
        <f t="shared" si="51"/>
        <v>1.25</v>
      </c>
      <c r="F132" s="135">
        <f t="shared" si="51"/>
        <v>1.25</v>
      </c>
      <c r="G132" s="135">
        <f t="shared" si="51"/>
        <v>1.25</v>
      </c>
      <c r="H132" s="135">
        <f t="shared" si="51"/>
        <v>1.25</v>
      </c>
      <c r="I132" s="135">
        <f t="shared" si="51"/>
        <v>1.25</v>
      </c>
      <c r="J132" s="135">
        <f t="shared" si="51"/>
        <v>1.25</v>
      </c>
      <c r="K132" s="135">
        <f t="shared" si="51"/>
        <v>1.25</v>
      </c>
      <c r="L132" s="135">
        <f t="shared" si="51"/>
        <v>1.25</v>
      </c>
      <c r="M132" s="135">
        <f t="shared" si="51"/>
        <v>1.25</v>
      </c>
      <c r="N132" s="135">
        <f t="shared" si="51"/>
        <v>1.25</v>
      </c>
      <c r="O132" s="135">
        <f t="shared" si="51"/>
        <v>1.25</v>
      </c>
      <c r="P132" s="135">
        <f t="shared" si="51"/>
        <v>1.25</v>
      </c>
      <c r="Q132" s="135">
        <f t="shared" si="51"/>
        <v>1.25</v>
      </c>
      <c r="R132" s="135">
        <f t="shared" si="51"/>
        <v>1.25</v>
      </c>
      <c r="S132" s="135">
        <f t="shared" si="51"/>
        <v>1.25</v>
      </c>
      <c r="T132" s="135">
        <f t="shared" si="52"/>
        <v>1.25</v>
      </c>
      <c r="U132" s="135">
        <f t="shared" si="52"/>
        <v>1.25</v>
      </c>
      <c r="V132" s="135">
        <f t="shared" si="52"/>
        <v>1.25</v>
      </c>
      <c r="W132" s="135">
        <f t="shared" si="52"/>
        <v>1.25</v>
      </c>
      <c r="X132" s="135">
        <f t="shared" si="52"/>
        <v>1.25</v>
      </c>
      <c r="Y132" s="135">
        <f t="shared" si="52"/>
        <v>1.25</v>
      </c>
      <c r="Z132" s="135">
        <f t="shared" si="52"/>
        <v>1.25</v>
      </c>
      <c r="AA132" s="135">
        <f t="shared" si="52"/>
        <v>1.25</v>
      </c>
      <c r="AB132" s="135">
        <f t="shared" si="52"/>
        <v>1.25</v>
      </c>
      <c r="AC132" s="135">
        <f t="shared" si="52"/>
        <v>1.25</v>
      </c>
      <c r="AD132" s="135">
        <f t="shared" si="52"/>
        <v>1.25</v>
      </c>
      <c r="AE132" s="135">
        <f t="shared" si="52"/>
        <v>1.25</v>
      </c>
      <c r="AF132" s="135">
        <f t="shared" si="52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50"/>
        <v>1.1499999999999999</v>
      </c>
      <c r="C133" s="136">
        <v>1.1499999999999999</v>
      </c>
      <c r="D133" s="135">
        <f t="shared" si="51"/>
        <v>1.1499999999999999</v>
      </c>
      <c r="E133" s="135">
        <f t="shared" si="51"/>
        <v>1.1499999999999999</v>
      </c>
      <c r="F133" s="135">
        <f t="shared" si="51"/>
        <v>1.1499999999999999</v>
      </c>
      <c r="G133" s="135">
        <f t="shared" si="51"/>
        <v>1.1499999999999999</v>
      </c>
      <c r="H133" s="135">
        <f t="shared" si="51"/>
        <v>1.1499999999999999</v>
      </c>
      <c r="I133" s="135">
        <f t="shared" si="51"/>
        <v>1.1499999999999999</v>
      </c>
      <c r="J133" s="135">
        <f t="shared" si="51"/>
        <v>1.1499999999999999</v>
      </c>
      <c r="K133" s="135">
        <f t="shared" si="51"/>
        <v>1.1499999999999999</v>
      </c>
      <c r="L133" s="135">
        <f t="shared" si="51"/>
        <v>1.1499999999999999</v>
      </c>
      <c r="M133" s="135">
        <f t="shared" si="51"/>
        <v>1.1499999999999999</v>
      </c>
      <c r="N133" s="135">
        <f t="shared" si="51"/>
        <v>1.1499999999999999</v>
      </c>
      <c r="O133" s="135">
        <f t="shared" si="51"/>
        <v>1.1499999999999999</v>
      </c>
      <c r="P133" s="135">
        <f t="shared" si="51"/>
        <v>1.1499999999999999</v>
      </c>
      <c r="Q133" s="135">
        <f t="shared" si="51"/>
        <v>1.1499999999999999</v>
      </c>
      <c r="R133" s="135">
        <f t="shared" si="51"/>
        <v>1.1499999999999999</v>
      </c>
      <c r="S133" s="135">
        <f t="shared" si="51"/>
        <v>1.1499999999999999</v>
      </c>
      <c r="T133" s="135">
        <f t="shared" si="52"/>
        <v>1.1499999999999999</v>
      </c>
      <c r="U133" s="135">
        <f t="shared" si="52"/>
        <v>1.1499999999999999</v>
      </c>
      <c r="V133" s="135">
        <f t="shared" si="52"/>
        <v>1.1499999999999999</v>
      </c>
      <c r="W133" s="135">
        <f t="shared" si="52"/>
        <v>1.1499999999999999</v>
      </c>
      <c r="X133" s="135">
        <f t="shared" si="52"/>
        <v>1.1499999999999999</v>
      </c>
      <c r="Y133" s="135">
        <f t="shared" si="52"/>
        <v>1.1499999999999999</v>
      </c>
      <c r="Z133" s="135">
        <f t="shared" si="52"/>
        <v>1.1499999999999999</v>
      </c>
      <c r="AA133" s="135">
        <f t="shared" si="52"/>
        <v>1.1499999999999999</v>
      </c>
      <c r="AB133" s="135">
        <f t="shared" si="52"/>
        <v>1.1499999999999999</v>
      </c>
      <c r="AC133" s="135">
        <f t="shared" si="52"/>
        <v>1.1499999999999999</v>
      </c>
      <c r="AD133" s="135">
        <f t="shared" si="52"/>
        <v>1.1499999999999999</v>
      </c>
      <c r="AE133" s="135">
        <f t="shared" si="52"/>
        <v>1.1499999999999999</v>
      </c>
      <c r="AF133" s="135">
        <f t="shared" si="52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50"/>
        <v>2.133</v>
      </c>
      <c r="C134" s="136">
        <v>2.133</v>
      </c>
      <c r="D134" s="135">
        <f t="shared" si="51"/>
        <v>2.133</v>
      </c>
      <c r="E134" s="135">
        <f t="shared" si="51"/>
        <v>2.133</v>
      </c>
      <c r="F134" s="135">
        <f t="shared" si="51"/>
        <v>2.133</v>
      </c>
      <c r="G134" s="135">
        <f t="shared" si="51"/>
        <v>2.133</v>
      </c>
      <c r="H134" s="135">
        <f t="shared" si="51"/>
        <v>2.133</v>
      </c>
      <c r="I134" s="135">
        <f t="shared" si="51"/>
        <v>2.133</v>
      </c>
      <c r="J134" s="135">
        <f t="shared" si="51"/>
        <v>2.133</v>
      </c>
      <c r="K134" s="135">
        <f t="shared" si="51"/>
        <v>2.133</v>
      </c>
      <c r="L134" s="135">
        <f t="shared" si="51"/>
        <v>2.133</v>
      </c>
      <c r="M134" s="135">
        <f t="shared" si="51"/>
        <v>2.133</v>
      </c>
      <c r="N134" s="135">
        <f t="shared" si="51"/>
        <v>2.133</v>
      </c>
      <c r="O134" s="135">
        <f t="shared" si="51"/>
        <v>2.133</v>
      </c>
      <c r="P134" s="135">
        <f t="shared" si="51"/>
        <v>2.133</v>
      </c>
      <c r="Q134" s="135">
        <f t="shared" si="51"/>
        <v>2.133</v>
      </c>
      <c r="R134" s="135">
        <f t="shared" si="51"/>
        <v>2.133</v>
      </c>
      <c r="S134" s="135">
        <f t="shared" si="51"/>
        <v>2.133</v>
      </c>
      <c r="T134" s="135">
        <f t="shared" si="52"/>
        <v>2.133</v>
      </c>
      <c r="U134" s="135">
        <f t="shared" si="52"/>
        <v>2.133</v>
      </c>
      <c r="V134" s="135">
        <f t="shared" si="52"/>
        <v>2.133</v>
      </c>
      <c r="W134" s="135">
        <f t="shared" si="52"/>
        <v>2.133</v>
      </c>
      <c r="X134" s="135">
        <f t="shared" si="52"/>
        <v>2.133</v>
      </c>
      <c r="Y134" s="135">
        <f t="shared" si="52"/>
        <v>2.133</v>
      </c>
      <c r="Z134" s="135">
        <f t="shared" si="52"/>
        <v>2.133</v>
      </c>
      <c r="AA134" s="135">
        <f t="shared" si="52"/>
        <v>2.133</v>
      </c>
      <c r="AB134" s="135">
        <f t="shared" si="52"/>
        <v>2.133</v>
      </c>
      <c r="AC134" s="135">
        <f t="shared" si="52"/>
        <v>2.133</v>
      </c>
      <c r="AD134" s="135">
        <f t="shared" si="52"/>
        <v>2.133</v>
      </c>
      <c r="AE134" s="135">
        <f t="shared" si="52"/>
        <v>2.133</v>
      </c>
      <c r="AF134" s="135">
        <f t="shared" si="52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50"/>
        <v>2.09</v>
      </c>
      <c r="C135" s="136">
        <v>2.09</v>
      </c>
      <c r="D135" s="135">
        <f t="shared" si="51"/>
        <v>2.09</v>
      </c>
      <c r="E135" s="135">
        <f t="shared" si="51"/>
        <v>2.09</v>
      </c>
      <c r="F135" s="135">
        <f t="shared" si="51"/>
        <v>2.09</v>
      </c>
      <c r="G135" s="135">
        <f t="shared" si="51"/>
        <v>2.09</v>
      </c>
      <c r="H135" s="135">
        <f t="shared" si="51"/>
        <v>2.09</v>
      </c>
      <c r="I135" s="135">
        <f t="shared" si="51"/>
        <v>2.09</v>
      </c>
      <c r="J135" s="135">
        <f t="shared" si="51"/>
        <v>2.09</v>
      </c>
      <c r="K135" s="135">
        <f t="shared" si="51"/>
        <v>2.09</v>
      </c>
      <c r="L135" s="135">
        <f t="shared" si="51"/>
        <v>2.09</v>
      </c>
      <c r="M135" s="135">
        <f t="shared" si="51"/>
        <v>2.09</v>
      </c>
      <c r="N135" s="135">
        <f t="shared" si="51"/>
        <v>2.09</v>
      </c>
      <c r="O135" s="135">
        <f t="shared" si="51"/>
        <v>2.09</v>
      </c>
      <c r="P135" s="135">
        <f t="shared" si="51"/>
        <v>2.09</v>
      </c>
      <c r="Q135" s="135">
        <f t="shared" si="51"/>
        <v>2.09</v>
      </c>
      <c r="R135" s="135">
        <f t="shared" si="51"/>
        <v>2.09</v>
      </c>
      <c r="S135" s="135">
        <f t="shared" si="51"/>
        <v>2.09</v>
      </c>
      <c r="T135" s="135">
        <f t="shared" si="52"/>
        <v>2.09</v>
      </c>
      <c r="U135" s="135">
        <f t="shared" si="52"/>
        <v>2.09</v>
      </c>
      <c r="V135" s="135">
        <f t="shared" si="52"/>
        <v>2.09</v>
      </c>
      <c r="W135" s="135">
        <f t="shared" si="52"/>
        <v>2.09</v>
      </c>
      <c r="X135" s="135">
        <f t="shared" si="52"/>
        <v>2.09</v>
      </c>
      <c r="Y135" s="135">
        <f t="shared" si="52"/>
        <v>2.09</v>
      </c>
      <c r="Z135" s="135">
        <f t="shared" si="52"/>
        <v>2.09</v>
      </c>
      <c r="AA135" s="135">
        <f t="shared" si="52"/>
        <v>2.09</v>
      </c>
      <c r="AB135" s="135">
        <f t="shared" si="52"/>
        <v>2.09</v>
      </c>
      <c r="AC135" s="135">
        <f t="shared" si="52"/>
        <v>2.09</v>
      </c>
      <c r="AD135" s="135">
        <f t="shared" si="52"/>
        <v>2.09</v>
      </c>
      <c r="AE135" s="135">
        <f t="shared" si="52"/>
        <v>2.09</v>
      </c>
      <c r="AF135" s="135">
        <f t="shared" si="52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50"/>
        <v>1.1399999999999999</v>
      </c>
      <c r="C136" s="136">
        <v>1.1399999999999999</v>
      </c>
      <c r="D136" s="135">
        <f t="shared" si="51"/>
        <v>1.1399999999999999</v>
      </c>
      <c r="E136" s="135">
        <f t="shared" si="51"/>
        <v>1.1399999999999999</v>
      </c>
      <c r="F136" s="135">
        <f t="shared" si="51"/>
        <v>1.1399999999999999</v>
      </c>
      <c r="G136" s="135">
        <f t="shared" si="51"/>
        <v>1.1399999999999999</v>
      </c>
      <c r="H136" s="135">
        <f t="shared" si="51"/>
        <v>1.1399999999999999</v>
      </c>
      <c r="I136" s="135">
        <f t="shared" si="51"/>
        <v>1.1399999999999999</v>
      </c>
      <c r="J136" s="135">
        <f t="shared" si="51"/>
        <v>1.1399999999999999</v>
      </c>
      <c r="K136" s="135">
        <f t="shared" si="51"/>
        <v>1.1399999999999999</v>
      </c>
      <c r="L136" s="135">
        <f t="shared" si="51"/>
        <v>1.1399999999999999</v>
      </c>
      <c r="M136" s="135">
        <f t="shared" si="51"/>
        <v>1.1399999999999999</v>
      </c>
      <c r="N136" s="135">
        <f t="shared" si="51"/>
        <v>1.1399999999999999</v>
      </c>
      <c r="O136" s="135">
        <f t="shared" si="51"/>
        <v>1.1399999999999999</v>
      </c>
      <c r="P136" s="135">
        <f t="shared" si="51"/>
        <v>1.1399999999999999</v>
      </c>
      <c r="Q136" s="135">
        <f t="shared" si="51"/>
        <v>1.1399999999999999</v>
      </c>
      <c r="R136" s="135">
        <f t="shared" si="51"/>
        <v>1.1399999999999999</v>
      </c>
      <c r="S136" s="135">
        <f t="shared" si="51"/>
        <v>1.1399999999999999</v>
      </c>
      <c r="T136" s="135">
        <f t="shared" si="52"/>
        <v>1.1399999999999999</v>
      </c>
      <c r="U136" s="135">
        <f t="shared" si="52"/>
        <v>1.1399999999999999</v>
      </c>
      <c r="V136" s="135">
        <f t="shared" si="52"/>
        <v>1.1399999999999999</v>
      </c>
      <c r="W136" s="135">
        <f t="shared" si="52"/>
        <v>1.1399999999999999</v>
      </c>
      <c r="X136" s="135">
        <f t="shared" si="52"/>
        <v>1.1399999999999999</v>
      </c>
      <c r="Y136" s="135">
        <f t="shared" si="52"/>
        <v>1.1399999999999999</v>
      </c>
      <c r="Z136" s="135">
        <f t="shared" si="52"/>
        <v>1.1399999999999999</v>
      </c>
      <c r="AA136" s="135">
        <f t="shared" si="52"/>
        <v>1.1399999999999999</v>
      </c>
      <c r="AB136" s="135">
        <f t="shared" si="52"/>
        <v>1.1399999999999999</v>
      </c>
      <c r="AC136" s="135">
        <f t="shared" si="52"/>
        <v>1.1399999999999999</v>
      </c>
      <c r="AD136" s="135">
        <f t="shared" si="52"/>
        <v>1.1399999999999999</v>
      </c>
      <c r="AE136" s="135">
        <f t="shared" si="52"/>
        <v>1.1399999999999999</v>
      </c>
      <c r="AF136" s="135">
        <f t="shared" si="52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50"/>
        <v>0.82</v>
      </c>
      <c r="C137" s="136">
        <v>0.82</v>
      </c>
      <c r="D137" s="135">
        <f t="shared" si="51"/>
        <v>0.82</v>
      </c>
      <c r="E137" s="135">
        <f t="shared" si="51"/>
        <v>0.82</v>
      </c>
      <c r="F137" s="135">
        <f t="shared" si="51"/>
        <v>0.82</v>
      </c>
      <c r="G137" s="135">
        <f t="shared" si="51"/>
        <v>0.82</v>
      </c>
      <c r="H137" s="135">
        <f t="shared" si="51"/>
        <v>0.82</v>
      </c>
      <c r="I137" s="135">
        <f t="shared" si="51"/>
        <v>0.82</v>
      </c>
      <c r="J137" s="135">
        <f t="shared" si="51"/>
        <v>0.82</v>
      </c>
      <c r="K137" s="135">
        <f t="shared" si="51"/>
        <v>0.82</v>
      </c>
      <c r="L137" s="135">
        <f t="shared" si="51"/>
        <v>0.82</v>
      </c>
      <c r="M137" s="135">
        <f t="shared" si="51"/>
        <v>0.82</v>
      </c>
      <c r="N137" s="135">
        <f t="shared" si="51"/>
        <v>0.82</v>
      </c>
      <c r="O137" s="135">
        <f t="shared" si="51"/>
        <v>0.82</v>
      </c>
      <c r="P137" s="135">
        <f t="shared" si="51"/>
        <v>0.82</v>
      </c>
      <c r="Q137" s="135">
        <f t="shared" si="51"/>
        <v>0.82</v>
      </c>
      <c r="R137" s="135">
        <f t="shared" si="51"/>
        <v>0.82</v>
      </c>
      <c r="S137" s="135">
        <f t="shared" si="51"/>
        <v>0.82</v>
      </c>
      <c r="T137" s="135">
        <f t="shared" si="52"/>
        <v>0.82</v>
      </c>
      <c r="U137" s="135">
        <f t="shared" si="52"/>
        <v>0.82</v>
      </c>
      <c r="V137" s="135">
        <f t="shared" si="52"/>
        <v>0.82</v>
      </c>
      <c r="W137" s="135">
        <f t="shared" si="52"/>
        <v>0.82</v>
      </c>
      <c r="X137" s="135">
        <f t="shared" si="52"/>
        <v>0.82</v>
      </c>
      <c r="Y137" s="135">
        <f t="shared" si="52"/>
        <v>0.82</v>
      </c>
      <c r="Z137" s="135">
        <f t="shared" si="52"/>
        <v>0.82</v>
      </c>
      <c r="AA137" s="135">
        <f t="shared" si="52"/>
        <v>0.82</v>
      </c>
      <c r="AB137" s="135">
        <f t="shared" si="52"/>
        <v>0.82</v>
      </c>
      <c r="AC137" s="135">
        <f t="shared" si="52"/>
        <v>0.82</v>
      </c>
      <c r="AD137" s="135">
        <f t="shared" si="52"/>
        <v>0.82</v>
      </c>
      <c r="AE137" s="135">
        <f t="shared" si="52"/>
        <v>0.82</v>
      </c>
      <c r="AF137" s="135">
        <f t="shared" si="52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53">AF139</f>
        <v>2</v>
      </c>
      <c r="C139" s="136">
        <v>2</v>
      </c>
      <c r="D139" s="135">
        <f t="shared" ref="D139:S145" si="54">C139</f>
        <v>2</v>
      </c>
      <c r="E139" s="135">
        <f t="shared" si="54"/>
        <v>2</v>
      </c>
      <c r="F139" s="135">
        <f t="shared" si="54"/>
        <v>2</v>
      </c>
      <c r="G139" s="135">
        <f t="shared" si="54"/>
        <v>2</v>
      </c>
      <c r="H139" s="135">
        <f t="shared" si="54"/>
        <v>2</v>
      </c>
      <c r="I139" s="135">
        <f t="shared" si="54"/>
        <v>2</v>
      </c>
      <c r="J139" s="135">
        <f t="shared" si="54"/>
        <v>2</v>
      </c>
      <c r="K139" s="135">
        <f t="shared" si="54"/>
        <v>2</v>
      </c>
      <c r="L139" s="135">
        <f t="shared" si="54"/>
        <v>2</v>
      </c>
      <c r="M139" s="135">
        <f t="shared" si="54"/>
        <v>2</v>
      </c>
      <c r="N139" s="135">
        <f t="shared" si="54"/>
        <v>2</v>
      </c>
      <c r="O139" s="135">
        <f t="shared" si="54"/>
        <v>2</v>
      </c>
      <c r="P139" s="135">
        <f t="shared" si="54"/>
        <v>2</v>
      </c>
      <c r="Q139" s="135">
        <f t="shared" si="54"/>
        <v>2</v>
      </c>
      <c r="R139" s="135">
        <f t="shared" si="54"/>
        <v>2</v>
      </c>
      <c r="S139" s="135">
        <f t="shared" si="54"/>
        <v>2</v>
      </c>
      <c r="T139" s="135">
        <f t="shared" ref="T139:AF145" si="55">S139</f>
        <v>2</v>
      </c>
      <c r="U139" s="135">
        <f t="shared" si="55"/>
        <v>2</v>
      </c>
      <c r="V139" s="135">
        <f t="shared" si="55"/>
        <v>2</v>
      </c>
      <c r="W139" s="135">
        <f t="shared" si="55"/>
        <v>2</v>
      </c>
      <c r="X139" s="135">
        <f t="shared" si="55"/>
        <v>2</v>
      </c>
      <c r="Y139" s="135">
        <f t="shared" si="55"/>
        <v>2</v>
      </c>
      <c r="Z139" s="135">
        <f t="shared" si="55"/>
        <v>2</v>
      </c>
      <c r="AA139" s="135">
        <f t="shared" si="55"/>
        <v>2</v>
      </c>
      <c r="AB139" s="135">
        <f t="shared" si="55"/>
        <v>2</v>
      </c>
      <c r="AC139" s="135">
        <f t="shared" si="55"/>
        <v>2</v>
      </c>
      <c r="AD139" s="135">
        <f t="shared" si="55"/>
        <v>2</v>
      </c>
      <c r="AE139" s="135">
        <f t="shared" si="55"/>
        <v>2</v>
      </c>
      <c r="AF139" s="135">
        <f t="shared" si="55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53"/>
        <v>5.61</v>
      </c>
      <c r="C140" s="136">
        <v>5.61</v>
      </c>
      <c r="D140" s="135">
        <f t="shared" si="54"/>
        <v>5.61</v>
      </c>
      <c r="E140" s="135">
        <f t="shared" si="54"/>
        <v>5.61</v>
      </c>
      <c r="F140" s="135">
        <f t="shared" si="54"/>
        <v>5.61</v>
      </c>
      <c r="G140" s="135">
        <f t="shared" si="54"/>
        <v>5.61</v>
      </c>
      <c r="H140" s="135">
        <f t="shared" si="54"/>
        <v>5.61</v>
      </c>
      <c r="I140" s="135">
        <f t="shared" si="54"/>
        <v>5.61</v>
      </c>
      <c r="J140" s="135">
        <f t="shared" si="54"/>
        <v>5.61</v>
      </c>
      <c r="K140" s="135">
        <f t="shared" si="54"/>
        <v>5.61</v>
      </c>
      <c r="L140" s="135">
        <f t="shared" si="54"/>
        <v>5.61</v>
      </c>
      <c r="M140" s="135">
        <f t="shared" si="54"/>
        <v>5.61</v>
      </c>
      <c r="N140" s="135">
        <f t="shared" si="54"/>
        <v>5.61</v>
      </c>
      <c r="O140" s="135">
        <f t="shared" si="54"/>
        <v>5.61</v>
      </c>
      <c r="P140" s="135">
        <f t="shared" si="54"/>
        <v>5.61</v>
      </c>
      <c r="Q140" s="135">
        <f t="shared" si="54"/>
        <v>5.61</v>
      </c>
      <c r="R140" s="135">
        <f t="shared" si="54"/>
        <v>5.61</v>
      </c>
      <c r="S140" s="135">
        <f t="shared" si="54"/>
        <v>5.61</v>
      </c>
      <c r="T140" s="135">
        <f t="shared" si="55"/>
        <v>5.61</v>
      </c>
      <c r="U140" s="135">
        <f t="shared" si="55"/>
        <v>5.61</v>
      </c>
      <c r="V140" s="135">
        <f t="shared" si="55"/>
        <v>5.61</v>
      </c>
      <c r="W140" s="135">
        <f t="shared" si="55"/>
        <v>5.61</v>
      </c>
      <c r="X140" s="135">
        <f t="shared" si="55"/>
        <v>5.61</v>
      </c>
      <c r="Y140" s="135">
        <f t="shared" si="55"/>
        <v>5.61</v>
      </c>
      <c r="Z140" s="135">
        <f t="shared" si="55"/>
        <v>5.61</v>
      </c>
      <c r="AA140" s="135">
        <f t="shared" si="55"/>
        <v>5.61</v>
      </c>
      <c r="AB140" s="135">
        <f t="shared" si="55"/>
        <v>5.61</v>
      </c>
      <c r="AC140" s="135">
        <f t="shared" si="55"/>
        <v>5.61</v>
      </c>
      <c r="AD140" s="135">
        <f t="shared" si="55"/>
        <v>5.61</v>
      </c>
      <c r="AE140" s="135">
        <f t="shared" si="55"/>
        <v>5.61</v>
      </c>
      <c r="AF140" s="135">
        <f t="shared" si="55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53"/>
        <v>1.25</v>
      </c>
      <c r="C141" s="136">
        <v>1.25</v>
      </c>
      <c r="D141" s="135">
        <f t="shared" si="54"/>
        <v>1.25</v>
      </c>
      <c r="E141" s="135">
        <f t="shared" si="54"/>
        <v>1.25</v>
      </c>
      <c r="F141" s="135">
        <f t="shared" si="54"/>
        <v>1.25</v>
      </c>
      <c r="G141" s="135">
        <f t="shared" si="54"/>
        <v>1.25</v>
      </c>
      <c r="H141" s="135">
        <f t="shared" si="54"/>
        <v>1.25</v>
      </c>
      <c r="I141" s="135">
        <f t="shared" si="54"/>
        <v>1.25</v>
      </c>
      <c r="J141" s="135">
        <f t="shared" si="54"/>
        <v>1.25</v>
      </c>
      <c r="K141" s="135">
        <f t="shared" si="54"/>
        <v>1.25</v>
      </c>
      <c r="L141" s="135">
        <f t="shared" si="54"/>
        <v>1.25</v>
      </c>
      <c r="M141" s="135">
        <f t="shared" si="54"/>
        <v>1.25</v>
      </c>
      <c r="N141" s="135">
        <f t="shared" si="54"/>
        <v>1.25</v>
      </c>
      <c r="O141" s="135">
        <f t="shared" si="54"/>
        <v>1.25</v>
      </c>
      <c r="P141" s="135">
        <f t="shared" si="54"/>
        <v>1.25</v>
      </c>
      <c r="Q141" s="135">
        <f t="shared" si="54"/>
        <v>1.25</v>
      </c>
      <c r="R141" s="135">
        <f t="shared" si="54"/>
        <v>1.25</v>
      </c>
      <c r="S141" s="135">
        <f t="shared" si="54"/>
        <v>1.25</v>
      </c>
      <c r="T141" s="135">
        <f t="shared" si="55"/>
        <v>1.25</v>
      </c>
      <c r="U141" s="135">
        <f t="shared" si="55"/>
        <v>1.25</v>
      </c>
      <c r="V141" s="135">
        <f t="shared" si="55"/>
        <v>1.25</v>
      </c>
      <c r="W141" s="135">
        <f t="shared" si="55"/>
        <v>1.25</v>
      </c>
      <c r="X141" s="135">
        <f t="shared" si="55"/>
        <v>1.25</v>
      </c>
      <c r="Y141" s="135">
        <f t="shared" si="55"/>
        <v>1.25</v>
      </c>
      <c r="Z141" s="135">
        <f t="shared" si="55"/>
        <v>1.25</v>
      </c>
      <c r="AA141" s="135">
        <f t="shared" si="55"/>
        <v>1.25</v>
      </c>
      <c r="AB141" s="135">
        <f t="shared" si="55"/>
        <v>1.25</v>
      </c>
      <c r="AC141" s="135">
        <f t="shared" si="55"/>
        <v>1.25</v>
      </c>
      <c r="AD141" s="135">
        <f t="shared" si="55"/>
        <v>1.25</v>
      </c>
      <c r="AE141" s="135">
        <f t="shared" si="55"/>
        <v>1.25</v>
      </c>
      <c r="AF141" s="135">
        <f t="shared" si="55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53"/>
        <v>1.25</v>
      </c>
      <c r="C142" s="136">
        <v>1.25</v>
      </c>
      <c r="D142" s="135">
        <f t="shared" si="54"/>
        <v>1.25</v>
      </c>
      <c r="E142" s="135">
        <f t="shared" si="54"/>
        <v>1.25</v>
      </c>
      <c r="F142" s="135">
        <f t="shared" si="54"/>
        <v>1.25</v>
      </c>
      <c r="G142" s="135">
        <f t="shared" si="54"/>
        <v>1.25</v>
      </c>
      <c r="H142" s="135">
        <f t="shared" si="54"/>
        <v>1.25</v>
      </c>
      <c r="I142" s="135">
        <f t="shared" si="54"/>
        <v>1.25</v>
      </c>
      <c r="J142" s="135">
        <f t="shared" si="54"/>
        <v>1.25</v>
      </c>
      <c r="K142" s="135">
        <f t="shared" si="54"/>
        <v>1.25</v>
      </c>
      <c r="L142" s="135">
        <f t="shared" si="54"/>
        <v>1.25</v>
      </c>
      <c r="M142" s="135">
        <f t="shared" si="54"/>
        <v>1.25</v>
      </c>
      <c r="N142" s="135">
        <f t="shared" si="54"/>
        <v>1.25</v>
      </c>
      <c r="O142" s="135">
        <f t="shared" si="54"/>
        <v>1.25</v>
      </c>
      <c r="P142" s="135">
        <f t="shared" si="54"/>
        <v>1.25</v>
      </c>
      <c r="Q142" s="135">
        <f t="shared" si="54"/>
        <v>1.25</v>
      </c>
      <c r="R142" s="135">
        <f t="shared" si="54"/>
        <v>1.25</v>
      </c>
      <c r="S142" s="135">
        <f t="shared" si="54"/>
        <v>1.25</v>
      </c>
      <c r="T142" s="135">
        <f t="shared" si="55"/>
        <v>1.25</v>
      </c>
      <c r="U142" s="135">
        <f t="shared" si="55"/>
        <v>1.25</v>
      </c>
      <c r="V142" s="135">
        <f t="shared" si="55"/>
        <v>1.25</v>
      </c>
      <c r="W142" s="135">
        <f t="shared" si="55"/>
        <v>1.25</v>
      </c>
      <c r="X142" s="135">
        <f t="shared" si="55"/>
        <v>1.25</v>
      </c>
      <c r="Y142" s="135">
        <f t="shared" si="55"/>
        <v>1.25</v>
      </c>
      <c r="Z142" s="135">
        <f t="shared" si="55"/>
        <v>1.25</v>
      </c>
      <c r="AA142" s="135">
        <f t="shared" si="55"/>
        <v>1.25</v>
      </c>
      <c r="AB142" s="135">
        <f t="shared" si="55"/>
        <v>1.25</v>
      </c>
      <c r="AC142" s="135">
        <f t="shared" si="55"/>
        <v>1.25</v>
      </c>
      <c r="AD142" s="135">
        <f t="shared" si="55"/>
        <v>1.25</v>
      </c>
      <c r="AE142" s="135">
        <f t="shared" si="55"/>
        <v>1.25</v>
      </c>
      <c r="AF142" s="135">
        <f t="shared" si="55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53"/>
        <v>1.46</v>
      </c>
      <c r="C143" s="136">
        <v>1.46</v>
      </c>
      <c r="D143" s="135">
        <f t="shared" si="54"/>
        <v>1.46</v>
      </c>
      <c r="E143" s="135">
        <f t="shared" si="54"/>
        <v>1.46</v>
      </c>
      <c r="F143" s="135">
        <f t="shared" si="54"/>
        <v>1.46</v>
      </c>
      <c r="G143" s="135">
        <f t="shared" si="54"/>
        <v>1.46</v>
      </c>
      <c r="H143" s="135">
        <f t="shared" si="54"/>
        <v>1.46</v>
      </c>
      <c r="I143" s="135">
        <f t="shared" si="54"/>
        <v>1.46</v>
      </c>
      <c r="J143" s="135">
        <f t="shared" si="54"/>
        <v>1.46</v>
      </c>
      <c r="K143" s="135">
        <f t="shared" si="54"/>
        <v>1.46</v>
      </c>
      <c r="L143" s="135">
        <f t="shared" si="54"/>
        <v>1.46</v>
      </c>
      <c r="M143" s="135">
        <f t="shared" si="54"/>
        <v>1.46</v>
      </c>
      <c r="N143" s="135">
        <f t="shared" si="54"/>
        <v>1.46</v>
      </c>
      <c r="O143" s="135">
        <f t="shared" si="54"/>
        <v>1.46</v>
      </c>
      <c r="P143" s="135">
        <f t="shared" si="54"/>
        <v>1.46</v>
      </c>
      <c r="Q143" s="135">
        <f t="shared" si="54"/>
        <v>1.46</v>
      </c>
      <c r="R143" s="135">
        <f t="shared" si="54"/>
        <v>1.46</v>
      </c>
      <c r="S143" s="135">
        <f t="shared" si="54"/>
        <v>1.46</v>
      </c>
      <c r="T143" s="135">
        <f t="shared" si="55"/>
        <v>1.46</v>
      </c>
      <c r="U143" s="135">
        <f t="shared" si="55"/>
        <v>1.46</v>
      </c>
      <c r="V143" s="135">
        <f t="shared" si="55"/>
        <v>1.46</v>
      </c>
      <c r="W143" s="135">
        <f t="shared" si="55"/>
        <v>1.46</v>
      </c>
      <c r="X143" s="135">
        <f t="shared" si="55"/>
        <v>1.46</v>
      </c>
      <c r="Y143" s="135">
        <f t="shared" si="55"/>
        <v>1.46</v>
      </c>
      <c r="Z143" s="135">
        <f t="shared" si="55"/>
        <v>1.46</v>
      </c>
      <c r="AA143" s="135">
        <f t="shared" si="55"/>
        <v>1.46</v>
      </c>
      <c r="AB143" s="135">
        <f t="shared" si="55"/>
        <v>1.46</v>
      </c>
      <c r="AC143" s="135">
        <f t="shared" si="55"/>
        <v>1.46</v>
      </c>
      <c r="AD143" s="135">
        <f t="shared" si="55"/>
        <v>1.46</v>
      </c>
      <c r="AE143" s="135">
        <f t="shared" si="55"/>
        <v>1.46</v>
      </c>
      <c r="AF143" s="135">
        <f t="shared" si="55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53"/>
        <v>3</v>
      </c>
      <c r="C144" s="136">
        <v>3</v>
      </c>
      <c r="D144" s="135">
        <f t="shared" si="54"/>
        <v>3</v>
      </c>
      <c r="E144" s="135">
        <f t="shared" si="54"/>
        <v>3</v>
      </c>
      <c r="F144" s="135">
        <f t="shared" si="54"/>
        <v>3</v>
      </c>
      <c r="G144" s="135">
        <f t="shared" si="54"/>
        <v>3</v>
      </c>
      <c r="H144" s="135">
        <f t="shared" si="54"/>
        <v>3</v>
      </c>
      <c r="I144" s="135">
        <f t="shared" si="54"/>
        <v>3</v>
      </c>
      <c r="J144" s="135">
        <f t="shared" si="54"/>
        <v>3</v>
      </c>
      <c r="K144" s="135">
        <f t="shared" si="54"/>
        <v>3</v>
      </c>
      <c r="L144" s="135">
        <f t="shared" si="54"/>
        <v>3</v>
      </c>
      <c r="M144" s="135">
        <f t="shared" si="54"/>
        <v>3</v>
      </c>
      <c r="N144" s="135">
        <f t="shared" si="54"/>
        <v>3</v>
      </c>
      <c r="O144" s="135">
        <f t="shared" si="54"/>
        <v>3</v>
      </c>
      <c r="P144" s="135">
        <f t="shared" si="54"/>
        <v>3</v>
      </c>
      <c r="Q144" s="135">
        <f t="shared" si="54"/>
        <v>3</v>
      </c>
      <c r="R144" s="135">
        <f t="shared" si="54"/>
        <v>3</v>
      </c>
      <c r="S144" s="135">
        <f t="shared" si="54"/>
        <v>3</v>
      </c>
      <c r="T144" s="135">
        <f t="shared" si="55"/>
        <v>3</v>
      </c>
      <c r="U144" s="135">
        <f t="shared" si="55"/>
        <v>3</v>
      </c>
      <c r="V144" s="135">
        <f t="shared" si="55"/>
        <v>3</v>
      </c>
      <c r="W144" s="135">
        <f t="shared" si="55"/>
        <v>3</v>
      </c>
      <c r="X144" s="135">
        <f t="shared" si="55"/>
        <v>3</v>
      </c>
      <c r="Y144" s="135">
        <f t="shared" si="55"/>
        <v>3</v>
      </c>
      <c r="Z144" s="135">
        <f t="shared" si="55"/>
        <v>3</v>
      </c>
      <c r="AA144" s="135">
        <f t="shared" si="55"/>
        <v>3</v>
      </c>
      <c r="AB144" s="135">
        <f t="shared" si="55"/>
        <v>3</v>
      </c>
      <c r="AC144" s="135">
        <f t="shared" si="55"/>
        <v>3</v>
      </c>
      <c r="AD144" s="135">
        <f t="shared" si="55"/>
        <v>3</v>
      </c>
      <c r="AE144" s="135">
        <f t="shared" si="55"/>
        <v>3</v>
      </c>
      <c r="AF144" s="135">
        <f t="shared" si="55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53"/>
        <v>3.3</v>
      </c>
      <c r="C145" s="136">
        <v>3.3</v>
      </c>
      <c r="D145" s="135">
        <f t="shared" si="54"/>
        <v>3.3</v>
      </c>
      <c r="E145" s="135">
        <f t="shared" si="54"/>
        <v>3.3</v>
      </c>
      <c r="F145" s="135">
        <f t="shared" si="54"/>
        <v>3.3</v>
      </c>
      <c r="G145" s="135">
        <f t="shared" si="54"/>
        <v>3.3</v>
      </c>
      <c r="H145" s="135">
        <f t="shared" si="54"/>
        <v>3.3</v>
      </c>
      <c r="I145" s="135">
        <f t="shared" si="54"/>
        <v>3.3</v>
      </c>
      <c r="J145" s="135">
        <f t="shared" si="54"/>
        <v>3.3</v>
      </c>
      <c r="K145" s="135">
        <f t="shared" si="54"/>
        <v>3.3</v>
      </c>
      <c r="L145" s="135">
        <f t="shared" si="54"/>
        <v>3.3</v>
      </c>
      <c r="M145" s="135">
        <f t="shared" si="54"/>
        <v>3.3</v>
      </c>
      <c r="N145" s="135">
        <f t="shared" si="54"/>
        <v>3.3</v>
      </c>
      <c r="O145" s="135">
        <f t="shared" si="54"/>
        <v>3.3</v>
      </c>
      <c r="P145" s="135">
        <f t="shared" si="54"/>
        <v>3.3</v>
      </c>
      <c r="Q145" s="135">
        <f t="shared" si="54"/>
        <v>3.3</v>
      </c>
      <c r="R145" s="135">
        <f t="shared" si="54"/>
        <v>3.3</v>
      </c>
      <c r="S145" s="135">
        <f t="shared" si="54"/>
        <v>3.3</v>
      </c>
      <c r="T145" s="135">
        <f t="shared" si="55"/>
        <v>3.3</v>
      </c>
      <c r="U145" s="135">
        <f t="shared" si="55"/>
        <v>3.3</v>
      </c>
      <c r="V145" s="135">
        <f t="shared" si="55"/>
        <v>3.3</v>
      </c>
      <c r="W145" s="135">
        <f t="shared" si="55"/>
        <v>3.3</v>
      </c>
      <c r="X145" s="135">
        <f t="shared" si="55"/>
        <v>3.3</v>
      </c>
      <c r="Y145" s="135">
        <f t="shared" si="55"/>
        <v>3.3</v>
      </c>
      <c r="Z145" s="135">
        <f t="shared" si="55"/>
        <v>3.3</v>
      </c>
      <c r="AA145" s="135">
        <f t="shared" si="55"/>
        <v>3.3</v>
      </c>
      <c r="AB145" s="135">
        <f t="shared" si="55"/>
        <v>3.3</v>
      </c>
      <c r="AC145" s="135">
        <f t="shared" si="55"/>
        <v>3.3</v>
      </c>
      <c r="AD145" s="135">
        <f t="shared" si="55"/>
        <v>3.3</v>
      </c>
      <c r="AE145" s="135">
        <f t="shared" si="55"/>
        <v>3.3</v>
      </c>
      <c r="AF145" s="135">
        <f t="shared" si="55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56">C147</f>
        <v>1.76</v>
      </c>
      <c r="E147" s="135">
        <f t="shared" si="56"/>
        <v>1.76</v>
      </c>
      <c r="F147" s="135">
        <f t="shared" si="56"/>
        <v>1.76</v>
      </c>
      <c r="G147" s="135">
        <f t="shared" si="56"/>
        <v>1.76</v>
      </c>
      <c r="H147" s="135">
        <f t="shared" si="56"/>
        <v>1.76</v>
      </c>
      <c r="I147" s="135">
        <f t="shared" si="56"/>
        <v>1.76</v>
      </c>
      <c r="J147" s="135">
        <f t="shared" si="56"/>
        <v>1.76</v>
      </c>
      <c r="K147" s="135">
        <f t="shared" si="56"/>
        <v>1.76</v>
      </c>
      <c r="L147" s="135">
        <f t="shared" si="56"/>
        <v>1.76</v>
      </c>
      <c r="M147" s="135">
        <f t="shared" si="56"/>
        <v>1.76</v>
      </c>
      <c r="N147" s="135">
        <f t="shared" si="56"/>
        <v>1.76</v>
      </c>
      <c r="O147" s="135">
        <f t="shared" si="56"/>
        <v>1.76</v>
      </c>
      <c r="P147" s="135">
        <f t="shared" si="56"/>
        <v>1.76</v>
      </c>
      <c r="Q147" s="135">
        <f t="shared" si="56"/>
        <v>1.76</v>
      </c>
      <c r="R147" s="135">
        <f t="shared" si="56"/>
        <v>1.76</v>
      </c>
      <c r="S147" s="135">
        <f t="shared" si="56"/>
        <v>1.76</v>
      </c>
      <c r="T147" s="135">
        <f t="shared" ref="T147:AF148" si="57">S147</f>
        <v>1.76</v>
      </c>
      <c r="U147" s="135">
        <f t="shared" si="57"/>
        <v>1.76</v>
      </c>
      <c r="V147" s="135">
        <f t="shared" si="57"/>
        <v>1.76</v>
      </c>
      <c r="W147" s="135">
        <f t="shared" si="57"/>
        <v>1.76</v>
      </c>
      <c r="X147" s="135">
        <f t="shared" si="57"/>
        <v>1.76</v>
      </c>
      <c r="Y147" s="135">
        <f t="shared" si="57"/>
        <v>1.76</v>
      </c>
      <c r="Z147" s="135">
        <f t="shared" si="57"/>
        <v>1.76</v>
      </c>
      <c r="AA147" s="135">
        <f t="shared" si="57"/>
        <v>1.76</v>
      </c>
      <c r="AB147" s="135">
        <f t="shared" si="57"/>
        <v>1.76</v>
      </c>
      <c r="AC147" s="135">
        <f t="shared" si="57"/>
        <v>1.76</v>
      </c>
      <c r="AD147" s="135">
        <f t="shared" si="57"/>
        <v>1.76</v>
      </c>
      <c r="AE147" s="135">
        <f t="shared" si="57"/>
        <v>1.76</v>
      </c>
      <c r="AF147" s="135">
        <f t="shared" si="57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56"/>
        <v>0</v>
      </c>
      <c r="E148" s="135">
        <f t="shared" si="56"/>
        <v>0</v>
      </c>
      <c r="F148" s="135">
        <f t="shared" si="56"/>
        <v>0</v>
      </c>
      <c r="G148" s="135">
        <f t="shared" si="56"/>
        <v>0</v>
      </c>
      <c r="H148" s="135">
        <f t="shared" si="56"/>
        <v>0</v>
      </c>
      <c r="I148" s="135">
        <f t="shared" si="56"/>
        <v>0</v>
      </c>
      <c r="J148" s="135">
        <f t="shared" si="56"/>
        <v>0</v>
      </c>
      <c r="K148" s="135">
        <f t="shared" si="56"/>
        <v>0</v>
      </c>
      <c r="L148" s="135">
        <f t="shared" si="56"/>
        <v>0</v>
      </c>
      <c r="M148" s="135">
        <f t="shared" si="56"/>
        <v>0</v>
      </c>
      <c r="N148" s="135">
        <f t="shared" si="56"/>
        <v>0</v>
      </c>
      <c r="O148" s="135">
        <f t="shared" si="56"/>
        <v>0</v>
      </c>
      <c r="P148" s="135">
        <f t="shared" si="56"/>
        <v>0</v>
      </c>
      <c r="Q148" s="135">
        <f t="shared" si="56"/>
        <v>0</v>
      </c>
      <c r="R148" s="135">
        <f t="shared" si="56"/>
        <v>0</v>
      </c>
      <c r="S148" s="135">
        <f t="shared" si="56"/>
        <v>0</v>
      </c>
      <c r="T148" s="135">
        <f t="shared" si="57"/>
        <v>0</v>
      </c>
      <c r="U148" s="135">
        <f t="shared" si="57"/>
        <v>0</v>
      </c>
      <c r="V148" s="135">
        <f t="shared" si="57"/>
        <v>0</v>
      </c>
      <c r="W148" s="135">
        <f t="shared" si="57"/>
        <v>0</v>
      </c>
      <c r="X148" s="135">
        <f t="shared" si="57"/>
        <v>0</v>
      </c>
      <c r="Y148" s="135">
        <f t="shared" si="57"/>
        <v>0</v>
      </c>
      <c r="Z148" s="135">
        <f t="shared" si="57"/>
        <v>0</v>
      </c>
      <c r="AA148" s="135">
        <f t="shared" si="57"/>
        <v>0</v>
      </c>
      <c r="AB148" s="135">
        <f t="shared" si="57"/>
        <v>0</v>
      </c>
      <c r="AC148" s="135">
        <f t="shared" si="57"/>
        <v>0</v>
      </c>
      <c r="AD148" s="135">
        <f t="shared" si="57"/>
        <v>0</v>
      </c>
      <c r="AE148" s="135">
        <f t="shared" si="57"/>
        <v>0</v>
      </c>
      <c r="AF148" s="135">
        <f t="shared" si="57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58">C150</f>
        <v>0.1</v>
      </c>
      <c r="E150" s="135">
        <f t="shared" si="58"/>
        <v>0.1</v>
      </c>
      <c r="F150" s="135">
        <f t="shared" si="58"/>
        <v>0.1</v>
      </c>
      <c r="G150" s="135">
        <f t="shared" si="58"/>
        <v>0.1</v>
      </c>
      <c r="H150" s="135">
        <f t="shared" si="58"/>
        <v>0.1</v>
      </c>
      <c r="I150" s="135">
        <f t="shared" si="58"/>
        <v>0.1</v>
      </c>
      <c r="J150" s="135">
        <f t="shared" si="58"/>
        <v>0.1</v>
      </c>
      <c r="K150" s="135">
        <f t="shared" si="58"/>
        <v>0.1</v>
      </c>
      <c r="L150" s="135">
        <f t="shared" si="58"/>
        <v>0.1</v>
      </c>
      <c r="M150" s="135">
        <f t="shared" si="58"/>
        <v>0.1</v>
      </c>
      <c r="N150" s="135">
        <f t="shared" si="58"/>
        <v>0.1</v>
      </c>
      <c r="O150" s="135">
        <f t="shared" si="58"/>
        <v>0.1</v>
      </c>
      <c r="P150" s="135">
        <f t="shared" si="58"/>
        <v>0.1</v>
      </c>
      <c r="Q150" s="135">
        <f t="shared" si="58"/>
        <v>0.1</v>
      </c>
      <c r="R150" s="135">
        <f t="shared" si="58"/>
        <v>0.1</v>
      </c>
      <c r="S150" s="135">
        <f t="shared" si="58"/>
        <v>0.1</v>
      </c>
      <c r="T150" s="135">
        <f t="shared" ref="T150:AF153" si="59">S150</f>
        <v>0.1</v>
      </c>
      <c r="U150" s="135">
        <f t="shared" si="59"/>
        <v>0.1</v>
      </c>
      <c r="V150" s="135">
        <f t="shared" si="59"/>
        <v>0.1</v>
      </c>
      <c r="W150" s="135">
        <f t="shared" si="59"/>
        <v>0.1</v>
      </c>
      <c r="X150" s="135">
        <f t="shared" si="59"/>
        <v>0.1</v>
      </c>
      <c r="Y150" s="135">
        <f t="shared" si="59"/>
        <v>0.1</v>
      </c>
      <c r="Z150" s="135">
        <f t="shared" si="59"/>
        <v>0.1</v>
      </c>
      <c r="AA150" s="135">
        <f t="shared" si="59"/>
        <v>0.1</v>
      </c>
      <c r="AB150" s="135">
        <f t="shared" si="59"/>
        <v>0.1</v>
      </c>
      <c r="AC150" s="135">
        <f t="shared" si="59"/>
        <v>0.1</v>
      </c>
      <c r="AD150" s="135">
        <f t="shared" si="59"/>
        <v>0.1</v>
      </c>
      <c r="AE150" s="135">
        <f t="shared" si="59"/>
        <v>0.1</v>
      </c>
      <c r="AF150" s="135">
        <f t="shared" si="59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58"/>
        <v>2.0499999999999998</v>
      </c>
      <c r="E151" s="135">
        <f t="shared" si="58"/>
        <v>2.0499999999999998</v>
      </c>
      <c r="F151" s="135">
        <f t="shared" si="58"/>
        <v>2.0499999999999998</v>
      </c>
      <c r="G151" s="135">
        <f t="shared" si="58"/>
        <v>2.0499999999999998</v>
      </c>
      <c r="H151" s="135">
        <f t="shared" si="58"/>
        <v>2.0499999999999998</v>
      </c>
      <c r="I151" s="135">
        <f t="shared" si="58"/>
        <v>2.0499999999999998</v>
      </c>
      <c r="J151" s="135">
        <f t="shared" si="58"/>
        <v>2.0499999999999998</v>
      </c>
      <c r="K151" s="135">
        <f t="shared" si="58"/>
        <v>2.0499999999999998</v>
      </c>
      <c r="L151" s="135">
        <f t="shared" si="58"/>
        <v>2.0499999999999998</v>
      </c>
      <c r="M151" s="135">
        <f t="shared" si="58"/>
        <v>2.0499999999999998</v>
      </c>
      <c r="N151" s="135">
        <f t="shared" si="58"/>
        <v>2.0499999999999998</v>
      </c>
      <c r="O151" s="135">
        <f t="shared" si="58"/>
        <v>2.0499999999999998</v>
      </c>
      <c r="P151" s="135">
        <f t="shared" si="58"/>
        <v>2.0499999999999998</v>
      </c>
      <c r="Q151" s="135">
        <f t="shared" si="58"/>
        <v>2.0499999999999998</v>
      </c>
      <c r="R151" s="135">
        <f t="shared" si="58"/>
        <v>2.0499999999999998</v>
      </c>
      <c r="S151" s="135">
        <f t="shared" si="58"/>
        <v>2.0499999999999998</v>
      </c>
      <c r="T151" s="135">
        <f t="shared" si="59"/>
        <v>2.0499999999999998</v>
      </c>
      <c r="U151" s="135">
        <f t="shared" si="59"/>
        <v>2.0499999999999998</v>
      </c>
      <c r="V151" s="135">
        <f t="shared" si="59"/>
        <v>2.0499999999999998</v>
      </c>
      <c r="W151" s="135">
        <f t="shared" si="59"/>
        <v>2.0499999999999998</v>
      </c>
      <c r="X151" s="135">
        <f t="shared" si="59"/>
        <v>2.0499999999999998</v>
      </c>
      <c r="Y151" s="135">
        <f t="shared" si="59"/>
        <v>2.0499999999999998</v>
      </c>
      <c r="Z151" s="135">
        <f t="shared" si="59"/>
        <v>2.0499999999999998</v>
      </c>
      <c r="AA151" s="135">
        <f t="shared" si="59"/>
        <v>2.0499999999999998</v>
      </c>
      <c r="AB151" s="135">
        <f t="shared" si="59"/>
        <v>2.0499999999999998</v>
      </c>
      <c r="AC151" s="135">
        <f t="shared" si="59"/>
        <v>2.0499999999999998</v>
      </c>
      <c r="AD151" s="135">
        <f t="shared" si="59"/>
        <v>2.0499999999999998</v>
      </c>
      <c r="AE151" s="135">
        <f t="shared" si="59"/>
        <v>2.0499999999999998</v>
      </c>
      <c r="AF151" s="135">
        <f t="shared" si="59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58"/>
        <v>2.7</v>
      </c>
      <c r="E152" s="135">
        <f t="shared" si="58"/>
        <v>2.7</v>
      </c>
      <c r="F152" s="135">
        <f t="shared" si="58"/>
        <v>2.7</v>
      </c>
      <c r="G152" s="135">
        <f t="shared" si="58"/>
        <v>2.7</v>
      </c>
      <c r="H152" s="135">
        <f t="shared" si="58"/>
        <v>2.7</v>
      </c>
      <c r="I152" s="135">
        <f t="shared" si="58"/>
        <v>2.7</v>
      </c>
      <c r="J152" s="135">
        <f t="shared" si="58"/>
        <v>2.7</v>
      </c>
      <c r="K152" s="135">
        <f t="shared" si="58"/>
        <v>2.7</v>
      </c>
      <c r="L152" s="135">
        <f t="shared" si="58"/>
        <v>2.7</v>
      </c>
      <c r="M152" s="135">
        <f t="shared" si="58"/>
        <v>2.7</v>
      </c>
      <c r="N152" s="135">
        <f t="shared" si="58"/>
        <v>2.7</v>
      </c>
      <c r="O152" s="135">
        <f t="shared" si="58"/>
        <v>2.7</v>
      </c>
      <c r="P152" s="135">
        <f t="shared" si="58"/>
        <v>2.7</v>
      </c>
      <c r="Q152" s="135">
        <f t="shared" si="58"/>
        <v>2.7</v>
      </c>
      <c r="R152" s="135">
        <f t="shared" si="58"/>
        <v>2.7</v>
      </c>
      <c r="S152" s="135">
        <f t="shared" si="58"/>
        <v>2.7</v>
      </c>
      <c r="T152" s="135">
        <f t="shared" si="59"/>
        <v>2.7</v>
      </c>
      <c r="U152" s="135">
        <f t="shared" si="59"/>
        <v>2.7</v>
      </c>
      <c r="V152" s="135">
        <f t="shared" si="59"/>
        <v>2.7</v>
      </c>
      <c r="W152" s="135">
        <f t="shared" si="59"/>
        <v>2.7</v>
      </c>
      <c r="X152" s="135">
        <f t="shared" si="59"/>
        <v>2.7</v>
      </c>
      <c r="Y152" s="135">
        <f t="shared" si="59"/>
        <v>2.7</v>
      </c>
      <c r="Z152" s="135">
        <f t="shared" si="59"/>
        <v>2.7</v>
      </c>
      <c r="AA152" s="135">
        <f t="shared" si="59"/>
        <v>2.7</v>
      </c>
      <c r="AB152" s="135">
        <f t="shared" si="59"/>
        <v>2.7</v>
      </c>
      <c r="AC152" s="135">
        <f t="shared" si="59"/>
        <v>2.7</v>
      </c>
      <c r="AD152" s="135">
        <f t="shared" si="59"/>
        <v>2.7</v>
      </c>
      <c r="AE152" s="135">
        <f t="shared" si="59"/>
        <v>2.7</v>
      </c>
      <c r="AF152" s="135">
        <f t="shared" si="59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58"/>
        <v>2.15</v>
      </c>
      <c r="E153" s="135">
        <f t="shared" si="58"/>
        <v>2.15</v>
      </c>
      <c r="F153" s="135">
        <f t="shared" si="58"/>
        <v>2.15</v>
      </c>
      <c r="G153" s="135">
        <f t="shared" si="58"/>
        <v>2.15</v>
      </c>
      <c r="H153" s="135">
        <f t="shared" si="58"/>
        <v>2.15</v>
      </c>
      <c r="I153" s="135">
        <f t="shared" si="58"/>
        <v>2.15</v>
      </c>
      <c r="J153" s="135">
        <f t="shared" si="58"/>
        <v>2.15</v>
      </c>
      <c r="K153" s="135">
        <f t="shared" si="58"/>
        <v>2.15</v>
      </c>
      <c r="L153" s="135">
        <f t="shared" si="58"/>
        <v>2.15</v>
      </c>
      <c r="M153" s="135">
        <f t="shared" si="58"/>
        <v>2.15</v>
      </c>
      <c r="N153" s="135">
        <f t="shared" si="58"/>
        <v>2.15</v>
      </c>
      <c r="O153" s="135">
        <f t="shared" si="58"/>
        <v>2.15</v>
      </c>
      <c r="P153" s="135">
        <f t="shared" si="58"/>
        <v>2.15</v>
      </c>
      <c r="Q153" s="135">
        <f t="shared" si="58"/>
        <v>2.15</v>
      </c>
      <c r="R153" s="135">
        <f t="shared" si="58"/>
        <v>2.15</v>
      </c>
      <c r="S153" s="135">
        <f t="shared" si="58"/>
        <v>2.15</v>
      </c>
      <c r="T153" s="135">
        <f t="shared" si="59"/>
        <v>2.15</v>
      </c>
      <c r="U153" s="135">
        <f t="shared" si="59"/>
        <v>2.15</v>
      </c>
      <c r="V153" s="135">
        <f t="shared" si="59"/>
        <v>2.15</v>
      </c>
      <c r="W153" s="135">
        <f t="shared" si="59"/>
        <v>2.15</v>
      </c>
      <c r="X153" s="135">
        <f t="shared" si="59"/>
        <v>2.15</v>
      </c>
      <c r="Y153" s="135">
        <f t="shared" si="59"/>
        <v>2.15</v>
      </c>
      <c r="Z153" s="135">
        <f t="shared" si="59"/>
        <v>2.15</v>
      </c>
      <c r="AA153" s="135">
        <f t="shared" si="59"/>
        <v>2.15</v>
      </c>
      <c r="AB153" s="135">
        <f t="shared" si="59"/>
        <v>2.15</v>
      </c>
      <c r="AC153" s="135">
        <f t="shared" si="59"/>
        <v>2.15</v>
      </c>
      <c r="AD153" s="135">
        <f t="shared" si="59"/>
        <v>2.15</v>
      </c>
      <c r="AE153" s="135">
        <f t="shared" si="59"/>
        <v>2.15</v>
      </c>
      <c r="AF153" s="135">
        <f t="shared" si="59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60">AF155</f>
        <v>0.9</v>
      </c>
      <c r="C155" s="136">
        <v>0.9</v>
      </c>
      <c r="D155" s="135">
        <f t="shared" ref="D155:S167" si="61">C155</f>
        <v>0.9</v>
      </c>
      <c r="E155" s="135">
        <f t="shared" si="61"/>
        <v>0.9</v>
      </c>
      <c r="F155" s="135">
        <f t="shared" si="61"/>
        <v>0.9</v>
      </c>
      <c r="G155" s="135">
        <f t="shared" si="61"/>
        <v>0.9</v>
      </c>
      <c r="H155" s="135">
        <f t="shared" si="61"/>
        <v>0.9</v>
      </c>
      <c r="I155" s="135">
        <f t="shared" si="61"/>
        <v>0.9</v>
      </c>
      <c r="J155" s="135">
        <f t="shared" si="61"/>
        <v>0.9</v>
      </c>
      <c r="K155" s="135">
        <f t="shared" si="61"/>
        <v>0.9</v>
      </c>
      <c r="L155" s="135">
        <f t="shared" si="61"/>
        <v>0.9</v>
      </c>
      <c r="M155" s="135">
        <f t="shared" si="61"/>
        <v>0.9</v>
      </c>
      <c r="N155" s="135">
        <f t="shared" si="61"/>
        <v>0.9</v>
      </c>
      <c r="O155" s="135">
        <f t="shared" si="61"/>
        <v>0.9</v>
      </c>
      <c r="P155" s="135">
        <f t="shared" si="61"/>
        <v>0.9</v>
      </c>
      <c r="Q155" s="135">
        <f t="shared" si="61"/>
        <v>0.9</v>
      </c>
      <c r="R155" s="135">
        <f t="shared" si="61"/>
        <v>0.9</v>
      </c>
      <c r="S155" s="135">
        <f t="shared" si="61"/>
        <v>0.9</v>
      </c>
      <c r="T155" s="135">
        <f t="shared" ref="S155:AF167" si="62">S155</f>
        <v>0.9</v>
      </c>
      <c r="U155" s="135">
        <f t="shared" si="62"/>
        <v>0.9</v>
      </c>
      <c r="V155" s="135">
        <f t="shared" si="62"/>
        <v>0.9</v>
      </c>
      <c r="W155" s="135">
        <f t="shared" si="62"/>
        <v>0.9</v>
      </c>
      <c r="X155" s="135">
        <f t="shared" si="62"/>
        <v>0.9</v>
      </c>
      <c r="Y155" s="135">
        <f t="shared" si="62"/>
        <v>0.9</v>
      </c>
      <c r="Z155" s="135">
        <f t="shared" si="62"/>
        <v>0.9</v>
      </c>
      <c r="AA155" s="135">
        <f t="shared" si="62"/>
        <v>0.9</v>
      </c>
      <c r="AB155" s="135">
        <f t="shared" si="62"/>
        <v>0.9</v>
      </c>
      <c r="AC155" s="135">
        <f t="shared" si="62"/>
        <v>0.9</v>
      </c>
      <c r="AD155" s="135">
        <f t="shared" si="62"/>
        <v>0.9</v>
      </c>
      <c r="AE155" s="135">
        <f t="shared" si="62"/>
        <v>0.9</v>
      </c>
      <c r="AF155" s="135">
        <f t="shared" si="62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60"/>
        <v>1.08</v>
      </c>
      <c r="C156" s="136">
        <v>1.08</v>
      </c>
      <c r="D156" s="135">
        <f t="shared" si="61"/>
        <v>1.08</v>
      </c>
      <c r="E156" s="135">
        <f t="shared" si="61"/>
        <v>1.08</v>
      </c>
      <c r="F156" s="135">
        <f t="shared" si="61"/>
        <v>1.08</v>
      </c>
      <c r="G156" s="135">
        <f t="shared" si="61"/>
        <v>1.08</v>
      </c>
      <c r="H156" s="135">
        <f t="shared" si="61"/>
        <v>1.08</v>
      </c>
      <c r="I156" s="135">
        <f t="shared" si="61"/>
        <v>1.08</v>
      </c>
      <c r="J156" s="135">
        <f t="shared" si="61"/>
        <v>1.08</v>
      </c>
      <c r="K156" s="135">
        <f t="shared" si="61"/>
        <v>1.08</v>
      </c>
      <c r="L156" s="135">
        <f t="shared" si="61"/>
        <v>1.08</v>
      </c>
      <c r="M156" s="135">
        <f t="shared" si="61"/>
        <v>1.08</v>
      </c>
      <c r="N156" s="135">
        <f t="shared" si="61"/>
        <v>1.08</v>
      </c>
      <c r="O156" s="135">
        <f t="shared" si="61"/>
        <v>1.08</v>
      </c>
      <c r="P156" s="135">
        <f t="shared" si="61"/>
        <v>1.08</v>
      </c>
      <c r="Q156" s="135">
        <f t="shared" si="61"/>
        <v>1.08</v>
      </c>
      <c r="R156" s="135">
        <f t="shared" si="61"/>
        <v>1.08</v>
      </c>
      <c r="S156" s="135">
        <f t="shared" si="61"/>
        <v>1.08</v>
      </c>
      <c r="T156" s="135">
        <f t="shared" si="62"/>
        <v>1.08</v>
      </c>
      <c r="U156" s="135">
        <f t="shared" si="62"/>
        <v>1.08</v>
      </c>
      <c r="V156" s="135">
        <f t="shared" si="62"/>
        <v>1.08</v>
      </c>
      <c r="W156" s="135">
        <f t="shared" si="62"/>
        <v>1.08</v>
      </c>
      <c r="X156" s="135">
        <f t="shared" si="62"/>
        <v>1.08</v>
      </c>
      <c r="Y156" s="135">
        <f t="shared" si="62"/>
        <v>1.08</v>
      </c>
      <c r="Z156" s="135">
        <f t="shared" si="62"/>
        <v>1.08</v>
      </c>
      <c r="AA156" s="135">
        <f t="shared" si="62"/>
        <v>1.08</v>
      </c>
      <c r="AB156" s="135">
        <f t="shared" si="62"/>
        <v>1.08</v>
      </c>
      <c r="AC156" s="135">
        <f t="shared" si="62"/>
        <v>1.08</v>
      </c>
      <c r="AD156" s="135">
        <f t="shared" si="62"/>
        <v>1.08</v>
      </c>
      <c r="AE156" s="135">
        <f t="shared" si="62"/>
        <v>1.08</v>
      </c>
      <c r="AF156" s="135">
        <f t="shared" si="62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60"/>
        <v>2.37</v>
      </c>
      <c r="C157" s="136">
        <v>2.37</v>
      </c>
      <c r="D157" s="135">
        <f t="shared" si="61"/>
        <v>2.37</v>
      </c>
      <c r="E157" s="135">
        <f t="shared" si="61"/>
        <v>2.37</v>
      </c>
      <c r="F157" s="135">
        <f t="shared" si="61"/>
        <v>2.37</v>
      </c>
      <c r="G157" s="135">
        <f t="shared" si="61"/>
        <v>2.37</v>
      </c>
      <c r="H157" s="135">
        <f t="shared" si="61"/>
        <v>2.37</v>
      </c>
      <c r="I157" s="135">
        <f t="shared" si="61"/>
        <v>2.37</v>
      </c>
      <c r="J157" s="135">
        <f t="shared" si="61"/>
        <v>2.37</v>
      </c>
      <c r="K157" s="135">
        <f t="shared" si="61"/>
        <v>2.37</v>
      </c>
      <c r="L157" s="135">
        <f t="shared" si="61"/>
        <v>2.37</v>
      </c>
      <c r="M157" s="135">
        <f t="shared" si="61"/>
        <v>2.37</v>
      </c>
      <c r="N157" s="135">
        <f t="shared" si="61"/>
        <v>2.37</v>
      </c>
      <c r="O157" s="135">
        <f t="shared" si="61"/>
        <v>2.37</v>
      </c>
      <c r="P157" s="135">
        <f t="shared" si="61"/>
        <v>2.37</v>
      </c>
      <c r="Q157" s="135">
        <f t="shared" si="61"/>
        <v>2.37</v>
      </c>
      <c r="R157" s="135">
        <f t="shared" si="61"/>
        <v>2.37</v>
      </c>
      <c r="S157" s="135">
        <f t="shared" si="61"/>
        <v>2.37</v>
      </c>
      <c r="T157" s="135">
        <f t="shared" si="62"/>
        <v>2.37</v>
      </c>
      <c r="U157" s="135">
        <f t="shared" si="62"/>
        <v>2.37</v>
      </c>
      <c r="V157" s="135">
        <f t="shared" si="62"/>
        <v>2.37</v>
      </c>
      <c r="W157" s="135">
        <f t="shared" si="62"/>
        <v>2.37</v>
      </c>
      <c r="X157" s="135">
        <f t="shared" si="62"/>
        <v>2.37</v>
      </c>
      <c r="Y157" s="135">
        <f t="shared" si="62"/>
        <v>2.37</v>
      </c>
      <c r="Z157" s="135">
        <f t="shared" si="62"/>
        <v>2.37</v>
      </c>
      <c r="AA157" s="135">
        <f t="shared" si="62"/>
        <v>2.37</v>
      </c>
      <c r="AB157" s="135">
        <f t="shared" si="62"/>
        <v>2.37</v>
      </c>
      <c r="AC157" s="135">
        <f t="shared" si="62"/>
        <v>2.37</v>
      </c>
      <c r="AD157" s="135">
        <f t="shared" si="62"/>
        <v>2.37</v>
      </c>
      <c r="AE157" s="135">
        <f t="shared" si="62"/>
        <v>2.37</v>
      </c>
      <c r="AF157" s="135">
        <f t="shared" si="62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60"/>
        <v>1.81</v>
      </c>
      <c r="C158" s="136">
        <v>1.81</v>
      </c>
      <c r="D158" s="135">
        <f t="shared" si="61"/>
        <v>1.81</v>
      </c>
      <c r="E158" s="135">
        <f t="shared" si="61"/>
        <v>1.81</v>
      </c>
      <c r="F158" s="135">
        <f t="shared" si="61"/>
        <v>1.81</v>
      </c>
      <c r="G158" s="135">
        <f t="shared" si="61"/>
        <v>1.81</v>
      </c>
      <c r="H158" s="135">
        <f t="shared" si="61"/>
        <v>1.81</v>
      </c>
      <c r="I158" s="135">
        <f t="shared" si="61"/>
        <v>1.81</v>
      </c>
      <c r="J158" s="135">
        <f t="shared" si="61"/>
        <v>1.81</v>
      </c>
      <c r="K158" s="135">
        <f t="shared" si="61"/>
        <v>1.81</v>
      </c>
      <c r="L158" s="135">
        <f t="shared" si="61"/>
        <v>1.81</v>
      </c>
      <c r="M158" s="135">
        <f t="shared" si="61"/>
        <v>1.81</v>
      </c>
      <c r="N158" s="135">
        <f t="shared" si="61"/>
        <v>1.81</v>
      </c>
      <c r="O158" s="135">
        <f t="shared" si="61"/>
        <v>1.81</v>
      </c>
      <c r="P158" s="135">
        <f t="shared" si="61"/>
        <v>1.81</v>
      </c>
      <c r="Q158" s="135">
        <f t="shared" si="61"/>
        <v>1.81</v>
      </c>
      <c r="R158" s="135">
        <f t="shared" si="61"/>
        <v>1.81</v>
      </c>
      <c r="S158" s="135">
        <f t="shared" si="61"/>
        <v>1.81</v>
      </c>
      <c r="T158" s="135">
        <f t="shared" si="62"/>
        <v>1.81</v>
      </c>
      <c r="U158" s="135">
        <f t="shared" si="62"/>
        <v>1.81</v>
      </c>
      <c r="V158" s="135">
        <f t="shared" si="62"/>
        <v>1.81</v>
      </c>
      <c r="W158" s="135">
        <f t="shared" si="62"/>
        <v>1.81</v>
      </c>
      <c r="X158" s="135">
        <f t="shared" si="62"/>
        <v>1.81</v>
      </c>
      <c r="Y158" s="135">
        <f t="shared" si="62"/>
        <v>1.81</v>
      </c>
      <c r="Z158" s="135">
        <f t="shared" si="62"/>
        <v>1.81</v>
      </c>
      <c r="AA158" s="135">
        <f t="shared" si="62"/>
        <v>1.81</v>
      </c>
      <c r="AB158" s="135">
        <f t="shared" si="62"/>
        <v>1.81</v>
      </c>
      <c r="AC158" s="135">
        <f t="shared" si="62"/>
        <v>1.81</v>
      </c>
      <c r="AD158" s="135">
        <f t="shared" si="62"/>
        <v>1.81</v>
      </c>
      <c r="AE158" s="135">
        <f t="shared" si="62"/>
        <v>1.81</v>
      </c>
      <c r="AF158" s="135">
        <f t="shared" si="62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60"/>
        <v>1.0900000000000001</v>
      </c>
      <c r="C159" s="136">
        <v>1.0900000000000001</v>
      </c>
      <c r="D159" s="135">
        <f t="shared" si="61"/>
        <v>1.0900000000000001</v>
      </c>
      <c r="E159" s="135">
        <f t="shared" si="61"/>
        <v>1.0900000000000001</v>
      </c>
      <c r="F159" s="135">
        <f t="shared" si="61"/>
        <v>1.0900000000000001</v>
      </c>
      <c r="G159" s="135">
        <f t="shared" si="61"/>
        <v>1.0900000000000001</v>
      </c>
      <c r="H159" s="135">
        <f t="shared" si="61"/>
        <v>1.0900000000000001</v>
      </c>
      <c r="I159" s="135">
        <f t="shared" si="61"/>
        <v>1.0900000000000001</v>
      </c>
      <c r="J159" s="135">
        <f t="shared" si="61"/>
        <v>1.0900000000000001</v>
      </c>
      <c r="K159" s="135">
        <f t="shared" si="61"/>
        <v>1.0900000000000001</v>
      </c>
      <c r="L159" s="135">
        <f t="shared" si="61"/>
        <v>1.0900000000000001</v>
      </c>
      <c r="M159" s="135">
        <f t="shared" si="61"/>
        <v>1.0900000000000001</v>
      </c>
      <c r="N159" s="135">
        <f t="shared" si="61"/>
        <v>1.0900000000000001</v>
      </c>
      <c r="O159" s="135">
        <f t="shared" si="61"/>
        <v>1.0900000000000001</v>
      </c>
      <c r="P159" s="135">
        <f t="shared" si="61"/>
        <v>1.0900000000000001</v>
      </c>
      <c r="Q159" s="135">
        <f t="shared" si="61"/>
        <v>1.0900000000000001</v>
      </c>
      <c r="R159" s="135">
        <f t="shared" si="61"/>
        <v>1.0900000000000001</v>
      </c>
      <c r="S159" s="135">
        <f t="shared" si="61"/>
        <v>1.0900000000000001</v>
      </c>
      <c r="T159" s="135">
        <f t="shared" si="62"/>
        <v>1.0900000000000001</v>
      </c>
      <c r="U159" s="135">
        <f t="shared" si="62"/>
        <v>1.0900000000000001</v>
      </c>
      <c r="V159" s="135">
        <f t="shared" si="62"/>
        <v>1.0900000000000001</v>
      </c>
      <c r="W159" s="135">
        <f t="shared" si="62"/>
        <v>1.0900000000000001</v>
      </c>
      <c r="X159" s="135">
        <f t="shared" si="62"/>
        <v>1.0900000000000001</v>
      </c>
      <c r="Y159" s="135">
        <f t="shared" si="62"/>
        <v>1.0900000000000001</v>
      </c>
      <c r="Z159" s="135">
        <f t="shared" si="62"/>
        <v>1.0900000000000001</v>
      </c>
      <c r="AA159" s="135">
        <f t="shared" si="62"/>
        <v>1.0900000000000001</v>
      </c>
      <c r="AB159" s="135">
        <f t="shared" si="62"/>
        <v>1.0900000000000001</v>
      </c>
      <c r="AC159" s="135">
        <f t="shared" si="62"/>
        <v>1.0900000000000001</v>
      </c>
      <c r="AD159" s="135">
        <f t="shared" si="62"/>
        <v>1.0900000000000001</v>
      </c>
      <c r="AE159" s="135">
        <f t="shared" si="62"/>
        <v>1.0900000000000001</v>
      </c>
      <c r="AF159" s="135">
        <f t="shared" si="62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60"/>
        <v>1.58</v>
      </c>
      <c r="C160" s="136">
        <v>1.58</v>
      </c>
      <c r="D160" s="135">
        <f t="shared" si="61"/>
        <v>1.58</v>
      </c>
      <c r="E160" s="135">
        <f t="shared" si="61"/>
        <v>1.58</v>
      </c>
      <c r="F160" s="135">
        <f t="shared" si="61"/>
        <v>1.58</v>
      </c>
      <c r="G160" s="135">
        <f t="shared" si="61"/>
        <v>1.58</v>
      </c>
      <c r="H160" s="135">
        <f t="shared" si="61"/>
        <v>1.58</v>
      </c>
      <c r="I160" s="135">
        <f t="shared" si="61"/>
        <v>1.58</v>
      </c>
      <c r="J160" s="135">
        <f t="shared" si="61"/>
        <v>1.58</v>
      </c>
      <c r="K160" s="135">
        <f t="shared" si="61"/>
        <v>1.58</v>
      </c>
      <c r="L160" s="135">
        <f t="shared" si="61"/>
        <v>1.58</v>
      </c>
      <c r="M160" s="135">
        <f t="shared" si="61"/>
        <v>1.58</v>
      </c>
      <c r="N160" s="135">
        <f t="shared" si="61"/>
        <v>1.58</v>
      </c>
      <c r="O160" s="135">
        <f t="shared" si="61"/>
        <v>1.58</v>
      </c>
      <c r="P160" s="135">
        <f t="shared" si="61"/>
        <v>1.58</v>
      </c>
      <c r="Q160" s="135">
        <f t="shared" si="61"/>
        <v>1.58</v>
      </c>
      <c r="R160" s="135">
        <f t="shared" si="61"/>
        <v>1.58</v>
      </c>
      <c r="S160" s="135">
        <f t="shared" si="61"/>
        <v>1.58</v>
      </c>
      <c r="T160" s="135">
        <f t="shared" si="62"/>
        <v>1.58</v>
      </c>
      <c r="U160" s="135">
        <f t="shared" si="62"/>
        <v>1.58</v>
      </c>
      <c r="V160" s="135">
        <f t="shared" si="62"/>
        <v>1.58</v>
      </c>
      <c r="W160" s="135">
        <f t="shared" si="62"/>
        <v>1.58</v>
      </c>
      <c r="X160" s="135">
        <f t="shared" si="62"/>
        <v>1.58</v>
      </c>
      <c r="Y160" s="135">
        <f t="shared" si="62"/>
        <v>1.58</v>
      </c>
      <c r="Z160" s="135">
        <f t="shared" si="62"/>
        <v>1.58</v>
      </c>
      <c r="AA160" s="135">
        <f t="shared" si="62"/>
        <v>1.58</v>
      </c>
      <c r="AB160" s="135">
        <f t="shared" si="62"/>
        <v>1.58</v>
      </c>
      <c r="AC160" s="135">
        <f t="shared" si="62"/>
        <v>1.58</v>
      </c>
      <c r="AD160" s="135">
        <f t="shared" si="62"/>
        <v>1.58</v>
      </c>
      <c r="AE160" s="135">
        <f t="shared" si="62"/>
        <v>1.58</v>
      </c>
      <c r="AF160" s="135">
        <f t="shared" si="62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60"/>
        <v>2</v>
      </c>
      <c r="C161" s="136">
        <v>2</v>
      </c>
      <c r="D161" s="135">
        <f t="shared" si="61"/>
        <v>2</v>
      </c>
      <c r="E161" s="135">
        <f t="shared" si="61"/>
        <v>2</v>
      </c>
      <c r="F161" s="135">
        <f t="shared" si="61"/>
        <v>2</v>
      </c>
      <c r="G161" s="135">
        <f t="shared" si="61"/>
        <v>2</v>
      </c>
      <c r="H161" s="135">
        <f t="shared" si="61"/>
        <v>2</v>
      </c>
      <c r="I161" s="135">
        <f t="shared" si="61"/>
        <v>2</v>
      </c>
      <c r="J161" s="135">
        <f t="shared" si="61"/>
        <v>2</v>
      </c>
      <c r="K161" s="135">
        <f t="shared" si="61"/>
        <v>2</v>
      </c>
      <c r="L161" s="135">
        <f t="shared" si="61"/>
        <v>2</v>
      </c>
      <c r="M161" s="135">
        <f t="shared" si="61"/>
        <v>2</v>
      </c>
      <c r="N161" s="135">
        <f t="shared" si="61"/>
        <v>2</v>
      </c>
      <c r="O161" s="135">
        <f t="shared" si="61"/>
        <v>2</v>
      </c>
      <c r="P161" s="135">
        <f t="shared" si="61"/>
        <v>2</v>
      </c>
      <c r="Q161" s="135">
        <f t="shared" si="61"/>
        <v>2</v>
      </c>
      <c r="R161" s="135">
        <f t="shared" si="61"/>
        <v>2</v>
      </c>
      <c r="S161" s="135">
        <f t="shared" si="61"/>
        <v>2</v>
      </c>
      <c r="T161" s="135">
        <f t="shared" si="62"/>
        <v>2</v>
      </c>
      <c r="U161" s="135">
        <f t="shared" si="62"/>
        <v>2</v>
      </c>
      <c r="V161" s="135">
        <f t="shared" si="62"/>
        <v>2</v>
      </c>
      <c r="W161" s="135">
        <f t="shared" si="62"/>
        <v>2</v>
      </c>
      <c r="X161" s="135">
        <f t="shared" si="62"/>
        <v>2</v>
      </c>
      <c r="Y161" s="135">
        <f t="shared" si="62"/>
        <v>2</v>
      </c>
      <c r="Z161" s="135">
        <f t="shared" si="62"/>
        <v>2</v>
      </c>
      <c r="AA161" s="135">
        <f t="shared" si="62"/>
        <v>2</v>
      </c>
      <c r="AB161" s="135">
        <f t="shared" si="62"/>
        <v>2</v>
      </c>
      <c r="AC161" s="135">
        <f t="shared" si="62"/>
        <v>2</v>
      </c>
      <c r="AD161" s="135">
        <f t="shared" si="62"/>
        <v>2</v>
      </c>
      <c r="AE161" s="135">
        <f t="shared" si="62"/>
        <v>2</v>
      </c>
      <c r="AF161" s="135">
        <f t="shared" si="62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60"/>
        <v>0.47</v>
      </c>
      <c r="C162" s="136">
        <v>0.47</v>
      </c>
      <c r="D162" s="135">
        <f t="shared" si="61"/>
        <v>0.47</v>
      </c>
      <c r="E162" s="135">
        <f t="shared" si="61"/>
        <v>0.47</v>
      </c>
      <c r="F162" s="135">
        <f t="shared" si="61"/>
        <v>0.47</v>
      </c>
      <c r="G162" s="135">
        <f t="shared" si="61"/>
        <v>0.47</v>
      </c>
      <c r="H162" s="135">
        <f t="shared" si="61"/>
        <v>0.47</v>
      </c>
      <c r="I162" s="135">
        <f t="shared" si="61"/>
        <v>0.47</v>
      </c>
      <c r="J162" s="135">
        <f t="shared" si="61"/>
        <v>0.47</v>
      </c>
      <c r="K162" s="135">
        <f t="shared" si="61"/>
        <v>0.47</v>
      </c>
      <c r="L162" s="135">
        <f t="shared" si="61"/>
        <v>0.47</v>
      </c>
      <c r="M162" s="135">
        <f t="shared" si="61"/>
        <v>0.47</v>
      </c>
      <c r="N162" s="135">
        <f t="shared" si="61"/>
        <v>0.47</v>
      </c>
      <c r="O162" s="135">
        <f t="shared" si="61"/>
        <v>0.47</v>
      </c>
      <c r="P162" s="135">
        <f t="shared" si="61"/>
        <v>0.47</v>
      </c>
      <c r="Q162" s="135">
        <f t="shared" si="61"/>
        <v>0.47</v>
      </c>
      <c r="R162" s="135">
        <f t="shared" si="61"/>
        <v>0.47</v>
      </c>
      <c r="S162" s="135">
        <f t="shared" si="61"/>
        <v>0.47</v>
      </c>
      <c r="T162" s="135">
        <f t="shared" si="62"/>
        <v>0.47</v>
      </c>
      <c r="U162" s="135">
        <f t="shared" si="62"/>
        <v>0.47</v>
      </c>
      <c r="V162" s="135">
        <f t="shared" si="62"/>
        <v>0.47</v>
      </c>
      <c r="W162" s="135">
        <f t="shared" si="62"/>
        <v>0.47</v>
      </c>
      <c r="X162" s="135">
        <f t="shared" si="62"/>
        <v>0.47</v>
      </c>
      <c r="Y162" s="135">
        <f t="shared" si="62"/>
        <v>0.47</v>
      </c>
      <c r="Z162" s="135">
        <f t="shared" si="62"/>
        <v>0.47</v>
      </c>
      <c r="AA162" s="135">
        <f t="shared" si="62"/>
        <v>0.47</v>
      </c>
      <c r="AB162" s="135">
        <f t="shared" si="62"/>
        <v>0.47</v>
      </c>
      <c r="AC162" s="135">
        <f t="shared" si="62"/>
        <v>0.47</v>
      </c>
      <c r="AD162" s="135">
        <f t="shared" si="62"/>
        <v>0.47</v>
      </c>
      <c r="AE162" s="135">
        <f t="shared" si="62"/>
        <v>0.47</v>
      </c>
      <c r="AF162" s="135">
        <f t="shared" si="62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60"/>
        <v>0</v>
      </c>
      <c r="C163" s="136">
        <v>0</v>
      </c>
      <c r="D163" s="135">
        <f t="shared" si="61"/>
        <v>0</v>
      </c>
      <c r="E163" s="135">
        <f t="shared" si="61"/>
        <v>0</v>
      </c>
      <c r="F163" s="135">
        <f t="shared" si="61"/>
        <v>0</v>
      </c>
      <c r="G163" s="135">
        <f t="shared" si="61"/>
        <v>0</v>
      </c>
      <c r="H163" s="135">
        <f t="shared" si="61"/>
        <v>0</v>
      </c>
      <c r="I163" s="135">
        <f t="shared" si="61"/>
        <v>0</v>
      </c>
      <c r="J163" s="135">
        <f t="shared" si="61"/>
        <v>0</v>
      </c>
      <c r="K163" s="135">
        <f t="shared" si="61"/>
        <v>0</v>
      </c>
      <c r="L163" s="135">
        <f t="shared" si="61"/>
        <v>0</v>
      </c>
      <c r="M163" s="135">
        <f t="shared" si="61"/>
        <v>0</v>
      </c>
      <c r="N163" s="135">
        <f t="shared" si="61"/>
        <v>0</v>
      </c>
      <c r="O163" s="135">
        <f t="shared" si="61"/>
        <v>0</v>
      </c>
      <c r="P163" s="135">
        <f t="shared" si="61"/>
        <v>0</v>
      </c>
      <c r="Q163" s="135">
        <f t="shared" si="61"/>
        <v>0</v>
      </c>
      <c r="R163" s="135">
        <f t="shared" si="61"/>
        <v>0</v>
      </c>
      <c r="S163" s="135">
        <f t="shared" si="61"/>
        <v>0</v>
      </c>
      <c r="T163" s="135">
        <f t="shared" si="62"/>
        <v>0</v>
      </c>
      <c r="U163" s="135">
        <f t="shared" si="62"/>
        <v>0</v>
      </c>
      <c r="V163" s="135">
        <f t="shared" si="62"/>
        <v>0</v>
      </c>
      <c r="W163" s="135">
        <f t="shared" si="62"/>
        <v>0</v>
      </c>
      <c r="X163" s="135">
        <f t="shared" si="62"/>
        <v>0</v>
      </c>
      <c r="Y163" s="135">
        <f t="shared" si="62"/>
        <v>0</v>
      </c>
      <c r="Z163" s="135">
        <f t="shared" si="62"/>
        <v>0</v>
      </c>
      <c r="AA163" s="135">
        <f t="shared" si="62"/>
        <v>0</v>
      </c>
      <c r="AB163" s="135">
        <f t="shared" si="62"/>
        <v>0</v>
      </c>
      <c r="AC163" s="135">
        <f t="shared" si="62"/>
        <v>0</v>
      </c>
      <c r="AD163" s="135">
        <f t="shared" si="62"/>
        <v>0</v>
      </c>
      <c r="AE163" s="135">
        <f t="shared" si="62"/>
        <v>0</v>
      </c>
      <c r="AF163" s="135">
        <f t="shared" si="62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60"/>
        <v>0</v>
      </c>
      <c r="C164" s="136">
        <v>0</v>
      </c>
      <c r="D164" s="135">
        <f t="shared" si="61"/>
        <v>0</v>
      </c>
      <c r="E164" s="135">
        <f t="shared" si="61"/>
        <v>0</v>
      </c>
      <c r="F164" s="135">
        <f t="shared" si="61"/>
        <v>0</v>
      </c>
      <c r="G164" s="135">
        <f t="shared" si="61"/>
        <v>0</v>
      </c>
      <c r="H164" s="135">
        <f t="shared" si="61"/>
        <v>0</v>
      </c>
      <c r="I164" s="135">
        <f t="shared" si="61"/>
        <v>0</v>
      </c>
      <c r="J164" s="135">
        <f t="shared" si="61"/>
        <v>0</v>
      </c>
      <c r="K164" s="135">
        <f t="shared" si="61"/>
        <v>0</v>
      </c>
      <c r="L164" s="135">
        <f t="shared" si="61"/>
        <v>0</v>
      </c>
      <c r="M164" s="135">
        <f t="shared" si="61"/>
        <v>0</v>
      </c>
      <c r="N164" s="135">
        <f t="shared" si="61"/>
        <v>0</v>
      </c>
      <c r="O164" s="135">
        <f t="shared" si="61"/>
        <v>0</v>
      </c>
      <c r="P164" s="135">
        <f t="shared" si="61"/>
        <v>0</v>
      </c>
      <c r="Q164" s="135">
        <f t="shared" si="61"/>
        <v>0</v>
      </c>
      <c r="R164" s="135">
        <f t="shared" si="61"/>
        <v>0</v>
      </c>
      <c r="S164" s="135">
        <f t="shared" si="62"/>
        <v>0</v>
      </c>
      <c r="T164" s="135">
        <f t="shared" si="62"/>
        <v>0</v>
      </c>
      <c r="U164" s="135">
        <f t="shared" si="62"/>
        <v>0</v>
      </c>
      <c r="V164" s="135">
        <f t="shared" si="62"/>
        <v>0</v>
      </c>
      <c r="W164" s="135">
        <f t="shared" si="62"/>
        <v>0</v>
      </c>
      <c r="X164" s="135">
        <f t="shared" si="62"/>
        <v>0</v>
      </c>
      <c r="Y164" s="135">
        <f t="shared" si="62"/>
        <v>0</v>
      </c>
      <c r="Z164" s="135">
        <f t="shared" si="62"/>
        <v>0</v>
      </c>
      <c r="AA164" s="135">
        <f t="shared" si="62"/>
        <v>0</v>
      </c>
      <c r="AB164" s="135">
        <f t="shared" si="62"/>
        <v>0</v>
      </c>
      <c r="AC164" s="135">
        <f t="shared" si="62"/>
        <v>0</v>
      </c>
      <c r="AD164" s="135">
        <f t="shared" si="62"/>
        <v>0</v>
      </c>
      <c r="AE164" s="135">
        <f t="shared" si="62"/>
        <v>0</v>
      </c>
      <c r="AF164" s="135">
        <f t="shared" si="62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60"/>
        <v>0.8</v>
      </c>
      <c r="C165" s="136">
        <v>0.8</v>
      </c>
      <c r="D165" s="135">
        <f t="shared" si="61"/>
        <v>0.8</v>
      </c>
      <c r="E165" s="135">
        <f t="shared" si="61"/>
        <v>0.8</v>
      </c>
      <c r="F165" s="135">
        <f t="shared" si="61"/>
        <v>0.8</v>
      </c>
      <c r="G165" s="135">
        <f t="shared" si="61"/>
        <v>0.8</v>
      </c>
      <c r="H165" s="135">
        <f t="shared" si="61"/>
        <v>0.8</v>
      </c>
      <c r="I165" s="135">
        <f t="shared" si="61"/>
        <v>0.8</v>
      </c>
      <c r="J165" s="135">
        <f t="shared" si="61"/>
        <v>0.8</v>
      </c>
      <c r="K165" s="135">
        <f t="shared" si="61"/>
        <v>0.8</v>
      </c>
      <c r="L165" s="135">
        <f t="shared" si="61"/>
        <v>0.8</v>
      </c>
      <c r="M165" s="135">
        <f t="shared" si="61"/>
        <v>0.8</v>
      </c>
      <c r="N165" s="135">
        <f t="shared" si="61"/>
        <v>0.8</v>
      </c>
      <c r="O165" s="135">
        <f t="shared" si="61"/>
        <v>0.8</v>
      </c>
      <c r="P165" s="135">
        <f t="shared" si="61"/>
        <v>0.8</v>
      </c>
      <c r="Q165" s="135">
        <f t="shared" si="61"/>
        <v>0.8</v>
      </c>
      <c r="R165" s="135">
        <f t="shared" si="61"/>
        <v>0.8</v>
      </c>
      <c r="S165" s="135">
        <f t="shared" si="62"/>
        <v>0.8</v>
      </c>
      <c r="T165" s="135">
        <f t="shared" si="62"/>
        <v>0.8</v>
      </c>
      <c r="U165" s="135">
        <f t="shared" si="62"/>
        <v>0.8</v>
      </c>
      <c r="V165" s="135">
        <f t="shared" si="62"/>
        <v>0.8</v>
      </c>
      <c r="W165" s="135">
        <f t="shared" si="62"/>
        <v>0.8</v>
      </c>
      <c r="X165" s="135">
        <f t="shared" si="62"/>
        <v>0.8</v>
      </c>
      <c r="Y165" s="135">
        <f t="shared" si="62"/>
        <v>0.8</v>
      </c>
      <c r="Z165" s="135">
        <f t="shared" si="62"/>
        <v>0.8</v>
      </c>
      <c r="AA165" s="135">
        <f t="shared" si="62"/>
        <v>0.8</v>
      </c>
      <c r="AB165" s="135">
        <f t="shared" si="62"/>
        <v>0.8</v>
      </c>
      <c r="AC165" s="135">
        <f t="shared" si="62"/>
        <v>0.8</v>
      </c>
      <c r="AD165" s="135">
        <f t="shared" si="62"/>
        <v>0.8</v>
      </c>
      <c r="AE165" s="135">
        <f t="shared" si="62"/>
        <v>0.8</v>
      </c>
      <c r="AF165" s="135">
        <f t="shared" si="62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60"/>
        <v>1.5</v>
      </c>
      <c r="C166" s="136">
        <v>1.5</v>
      </c>
      <c r="D166" s="135">
        <f t="shared" si="61"/>
        <v>1.5</v>
      </c>
      <c r="E166" s="135">
        <f t="shared" si="61"/>
        <v>1.5</v>
      </c>
      <c r="F166" s="135">
        <f t="shared" si="61"/>
        <v>1.5</v>
      </c>
      <c r="G166" s="135">
        <f t="shared" si="61"/>
        <v>1.5</v>
      </c>
      <c r="H166" s="135">
        <f t="shared" si="61"/>
        <v>1.5</v>
      </c>
      <c r="I166" s="135">
        <f t="shared" si="61"/>
        <v>1.5</v>
      </c>
      <c r="J166" s="135">
        <f t="shared" si="61"/>
        <v>1.5</v>
      </c>
      <c r="K166" s="135">
        <f t="shared" si="61"/>
        <v>1.5</v>
      </c>
      <c r="L166" s="135">
        <f t="shared" si="61"/>
        <v>1.5</v>
      </c>
      <c r="M166" s="135">
        <f t="shared" si="61"/>
        <v>1.5</v>
      </c>
      <c r="N166" s="135">
        <f t="shared" si="61"/>
        <v>1.5</v>
      </c>
      <c r="O166" s="135">
        <f t="shared" si="61"/>
        <v>1.5</v>
      </c>
      <c r="P166" s="135">
        <f t="shared" si="61"/>
        <v>1.5</v>
      </c>
      <c r="Q166" s="135">
        <f t="shared" si="61"/>
        <v>1.5</v>
      </c>
      <c r="R166" s="135">
        <f t="shared" si="61"/>
        <v>1.5</v>
      </c>
      <c r="S166" s="135">
        <f t="shared" si="62"/>
        <v>1.5</v>
      </c>
      <c r="T166" s="135">
        <f t="shared" si="62"/>
        <v>1.5</v>
      </c>
      <c r="U166" s="135">
        <f t="shared" si="62"/>
        <v>1.5</v>
      </c>
      <c r="V166" s="135">
        <f t="shared" si="62"/>
        <v>1.5</v>
      </c>
      <c r="W166" s="135">
        <f t="shared" si="62"/>
        <v>1.5</v>
      </c>
      <c r="X166" s="135">
        <f t="shared" si="62"/>
        <v>1.5</v>
      </c>
      <c r="Y166" s="135">
        <f t="shared" si="62"/>
        <v>1.5</v>
      </c>
      <c r="Z166" s="135">
        <f t="shared" si="62"/>
        <v>1.5</v>
      </c>
      <c r="AA166" s="135">
        <f t="shared" si="62"/>
        <v>1.5</v>
      </c>
      <c r="AB166" s="135">
        <f t="shared" si="62"/>
        <v>1.5</v>
      </c>
      <c r="AC166" s="135">
        <f t="shared" si="62"/>
        <v>1.5</v>
      </c>
      <c r="AD166" s="135">
        <f t="shared" si="62"/>
        <v>1.5</v>
      </c>
      <c r="AE166" s="135">
        <f t="shared" si="62"/>
        <v>1.5</v>
      </c>
      <c r="AF166" s="135">
        <f t="shared" si="62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60"/>
        <v>1</v>
      </c>
      <c r="C167" s="136">
        <v>1</v>
      </c>
      <c r="D167" s="135">
        <f t="shared" si="61"/>
        <v>1</v>
      </c>
      <c r="E167" s="135">
        <f t="shared" si="61"/>
        <v>1</v>
      </c>
      <c r="F167" s="135">
        <f t="shared" si="61"/>
        <v>1</v>
      </c>
      <c r="G167" s="135">
        <f t="shared" si="61"/>
        <v>1</v>
      </c>
      <c r="H167" s="135">
        <f t="shared" si="61"/>
        <v>1</v>
      </c>
      <c r="I167" s="135">
        <f t="shared" si="61"/>
        <v>1</v>
      </c>
      <c r="J167" s="135">
        <f t="shared" si="61"/>
        <v>1</v>
      </c>
      <c r="K167" s="135">
        <f t="shared" si="61"/>
        <v>1</v>
      </c>
      <c r="L167" s="135">
        <f t="shared" si="61"/>
        <v>1</v>
      </c>
      <c r="M167" s="135">
        <f t="shared" si="61"/>
        <v>1</v>
      </c>
      <c r="N167" s="135">
        <f t="shared" si="61"/>
        <v>1</v>
      </c>
      <c r="O167" s="135">
        <f t="shared" si="61"/>
        <v>1</v>
      </c>
      <c r="P167" s="135">
        <f t="shared" si="61"/>
        <v>1</v>
      </c>
      <c r="Q167" s="135">
        <f t="shared" si="61"/>
        <v>1</v>
      </c>
      <c r="R167" s="135">
        <f t="shared" si="61"/>
        <v>1</v>
      </c>
      <c r="S167" s="135">
        <f t="shared" si="62"/>
        <v>1</v>
      </c>
      <c r="T167" s="135">
        <f t="shared" si="62"/>
        <v>1</v>
      </c>
      <c r="U167" s="135">
        <f t="shared" si="62"/>
        <v>1</v>
      </c>
      <c r="V167" s="135">
        <f t="shared" si="62"/>
        <v>1</v>
      </c>
      <c r="W167" s="135">
        <f t="shared" si="62"/>
        <v>1</v>
      </c>
      <c r="X167" s="135">
        <f t="shared" si="62"/>
        <v>1</v>
      </c>
      <c r="Y167" s="135">
        <f t="shared" si="62"/>
        <v>1</v>
      </c>
      <c r="Z167" s="135">
        <f t="shared" si="62"/>
        <v>1</v>
      </c>
      <c r="AA167" s="135">
        <f t="shared" si="62"/>
        <v>1</v>
      </c>
      <c r="AB167" s="135">
        <f t="shared" si="62"/>
        <v>1</v>
      </c>
      <c r="AC167" s="135">
        <f t="shared" si="62"/>
        <v>1</v>
      </c>
      <c r="AD167" s="135">
        <f t="shared" si="62"/>
        <v>1</v>
      </c>
      <c r="AE167" s="135">
        <f t="shared" si="62"/>
        <v>1</v>
      </c>
      <c r="AF167" s="135">
        <f t="shared" si="62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63">AF169</f>
        <v>1</v>
      </c>
      <c r="C169" s="136">
        <v>1</v>
      </c>
      <c r="D169" s="135">
        <f t="shared" ref="D169:S176" si="64">C169</f>
        <v>1</v>
      </c>
      <c r="E169" s="135">
        <f t="shared" si="64"/>
        <v>1</v>
      </c>
      <c r="F169" s="135">
        <f t="shared" si="64"/>
        <v>1</v>
      </c>
      <c r="G169" s="135">
        <f t="shared" si="64"/>
        <v>1</v>
      </c>
      <c r="H169" s="135">
        <f t="shared" si="64"/>
        <v>1</v>
      </c>
      <c r="I169" s="135">
        <f t="shared" si="64"/>
        <v>1</v>
      </c>
      <c r="J169" s="135">
        <f t="shared" si="64"/>
        <v>1</v>
      </c>
      <c r="K169" s="135">
        <f t="shared" si="64"/>
        <v>1</v>
      </c>
      <c r="L169" s="135">
        <f t="shared" si="64"/>
        <v>1</v>
      </c>
      <c r="M169" s="135">
        <f t="shared" si="64"/>
        <v>1</v>
      </c>
      <c r="N169" s="135">
        <f t="shared" si="64"/>
        <v>1</v>
      </c>
      <c r="O169" s="135">
        <f t="shared" si="64"/>
        <v>1</v>
      </c>
      <c r="P169" s="135">
        <f t="shared" si="64"/>
        <v>1</v>
      </c>
      <c r="Q169" s="135">
        <f t="shared" si="64"/>
        <v>1</v>
      </c>
      <c r="R169" s="135">
        <f t="shared" si="64"/>
        <v>1</v>
      </c>
      <c r="S169" s="135">
        <f t="shared" si="64"/>
        <v>1</v>
      </c>
      <c r="T169" s="135">
        <f t="shared" ref="S169:AF176" si="65">S169</f>
        <v>1</v>
      </c>
      <c r="U169" s="135">
        <f t="shared" si="65"/>
        <v>1</v>
      </c>
      <c r="V169" s="135">
        <f t="shared" si="65"/>
        <v>1</v>
      </c>
      <c r="W169" s="135">
        <f t="shared" si="65"/>
        <v>1</v>
      </c>
      <c r="X169" s="135">
        <f t="shared" si="65"/>
        <v>1</v>
      </c>
      <c r="Y169" s="135">
        <f t="shared" si="65"/>
        <v>1</v>
      </c>
      <c r="Z169" s="135">
        <f t="shared" si="65"/>
        <v>1</v>
      </c>
      <c r="AA169" s="135">
        <f t="shared" si="65"/>
        <v>1</v>
      </c>
      <c r="AB169" s="135">
        <f t="shared" si="65"/>
        <v>1</v>
      </c>
      <c r="AC169" s="135">
        <f t="shared" si="65"/>
        <v>1</v>
      </c>
      <c r="AD169" s="135">
        <f t="shared" si="65"/>
        <v>1</v>
      </c>
      <c r="AE169" s="135">
        <f t="shared" si="65"/>
        <v>1</v>
      </c>
      <c r="AF169" s="135">
        <f t="shared" si="65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63"/>
        <v>0.42</v>
      </c>
      <c r="C170" s="136">
        <v>0.42</v>
      </c>
      <c r="D170" s="135">
        <f t="shared" si="64"/>
        <v>0.42</v>
      </c>
      <c r="E170" s="135">
        <f t="shared" si="64"/>
        <v>0.42</v>
      </c>
      <c r="F170" s="135">
        <f t="shared" si="64"/>
        <v>0.42</v>
      </c>
      <c r="G170" s="135">
        <f t="shared" si="64"/>
        <v>0.42</v>
      </c>
      <c r="H170" s="135">
        <f t="shared" si="64"/>
        <v>0.42</v>
      </c>
      <c r="I170" s="135">
        <f t="shared" si="64"/>
        <v>0.42</v>
      </c>
      <c r="J170" s="135">
        <f t="shared" si="64"/>
        <v>0.42</v>
      </c>
      <c r="K170" s="135">
        <f t="shared" si="64"/>
        <v>0.42</v>
      </c>
      <c r="L170" s="135">
        <f t="shared" si="64"/>
        <v>0.42</v>
      </c>
      <c r="M170" s="135">
        <f t="shared" si="64"/>
        <v>0.42</v>
      </c>
      <c r="N170" s="135">
        <f t="shared" si="64"/>
        <v>0.42</v>
      </c>
      <c r="O170" s="135">
        <f t="shared" si="64"/>
        <v>0.42</v>
      </c>
      <c r="P170" s="135">
        <f t="shared" si="64"/>
        <v>0.42</v>
      </c>
      <c r="Q170" s="135">
        <f t="shared" si="64"/>
        <v>0.42</v>
      </c>
      <c r="R170" s="135">
        <f t="shared" si="64"/>
        <v>0.42</v>
      </c>
      <c r="S170" s="135">
        <f t="shared" si="65"/>
        <v>0.42</v>
      </c>
      <c r="T170" s="135">
        <f t="shared" si="65"/>
        <v>0.42</v>
      </c>
      <c r="U170" s="135">
        <f t="shared" si="65"/>
        <v>0.42</v>
      </c>
      <c r="V170" s="135">
        <f t="shared" si="65"/>
        <v>0.42</v>
      </c>
      <c r="W170" s="135">
        <f t="shared" si="65"/>
        <v>0.42</v>
      </c>
      <c r="X170" s="135">
        <f t="shared" si="65"/>
        <v>0.42</v>
      </c>
      <c r="Y170" s="135">
        <f t="shared" si="65"/>
        <v>0.42</v>
      </c>
      <c r="Z170" s="135">
        <f t="shared" si="65"/>
        <v>0.42</v>
      </c>
      <c r="AA170" s="135">
        <f t="shared" si="65"/>
        <v>0.42</v>
      </c>
      <c r="AB170" s="135">
        <f t="shared" si="65"/>
        <v>0.42</v>
      </c>
      <c r="AC170" s="135">
        <f t="shared" si="65"/>
        <v>0.42</v>
      </c>
      <c r="AD170" s="135">
        <f t="shared" si="65"/>
        <v>0.42</v>
      </c>
      <c r="AE170" s="135">
        <f t="shared" si="65"/>
        <v>0.42</v>
      </c>
      <c r="AF170" s="135">
        <f t="shared" si="65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63"/>
        <v>0.46</v>
      </c>
      <c r="C171" s="136">
        <v>0.46</v>
      </c>
      <c r="D171" s="135">
        <f t="shared" si="64"/>
        <v>0.46</v>
      </c>
      <c r="E171" s="135">
        <f t="shared" si="64"/>
        <v>0.46</v>
      </c>
      <c r="F171" s="135">
        <f t="shared" si="64"/>
        <v>0.46</v>
      </c>
      <c r="G171" s="135">
        <f t="shared" si="64"/>
        <v>0.46</v>
      </c>
      <c r="H171" s="135">
        <f t="shared" si="64"/>
        <v>0.46</v>
      </c>
      <c r="I171" s="135">
        <f t="shared" si="64"/>
        <v>0.46</v>
      </c>
      <c r="J171" s="135">
        <f t="shared" si="64"/>
        <v>0.46</v>
      </c>
      <c r="K171" s="135">
        <f t="shared" si="64"/>
        <v>0.46</v>
      </c>
      <c r="L171" s="135">
        <f t="shared" si="64"/>
        <v>0.46</v>
      </c>
      <c r="M171" s="135">
        <f t="shared" si="64"/>
        <v>0.46</v>
      </c>
      <c r="N171" s="135">
        <f t="shared" si="64"/>
        <v>0.46</v>
      </c>
      <c r="O171" s="135">
        <f t="shared" si="64"/>
        <v>0.46</v>
      </c>
      <c r="P171" s="135">
        <f t="shared" si="64"/>
        <v>0.46</v>
      </c>
      <c r="Q171" s="135">
        <f t="shared" si="64"/>
        <v>0.46</v>
      </c>
      <c r="R171" s="135">
        <f t="shared" si="64"/>
        <v>0.46</v>
      </c>
      <c r="S171" s="135">
        <f t="shared" si="65"/>
        <v>0.46</v>
      </c>
      <c r="T171" s="135">
        <f t="shared" si="65"/>
        <v>0.46</v>
      </c>
      <c r="U171" s="135">
        <f t="shared" si="65"/>
        <v>0.46</v>
      </c>
      <c r="V171" s="135">
        <f t="shared" si="65"/>
        <v>0.46</v>
      </c>
      <c r="W171" s="135">
        <f t="shared" si="65"/>
        <v>0.46</v>
      </c>
      <c r="X171" s="135">
        <f t="shared" si="65"/>
        <v>0.46</v>
      </c>
      <c r="Y171" s="135">
        <f t="shared" si="65"/>
        <v>0.46</v>
      </c>
      <c r="Z171" s="135">
        <f t="shared" si="65"/>
        <v>0.46</v>
      </c>
      <c r="AA171" s="135">
        <f t="shared" si="65"/>
        <v>0.46</v>
      </c>
      <c r="AB171" s="135">
        <f t="shared" si="65"/>
        <v>0.46</v>
      </c>
      <c r="AC171" s="135">
        <f t="shared" si="65"/>
        <v>0.46</v>
      </c>
      <c r="AD171" s="135">
        <f t="shared" si="65"/>
        <v>0.46</v>
      </c>
      <c r="AE171" s="135">
        <f t="shared" si="65"/>
        <v>0.46</v>
      </c>
      <c r="AF171" s="135">
        <f t="shared" si="65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63"/>
        <v>0.85</v>
      </c>
      <c r="C172" s="136">
        <v>0.85</v>
      </c>
      <c r="D172" s="135">
        <f t="shared" si="64"/>
        <v>0.85</v>
      </c>
      <c r="E172" s="135">
        <f t="shared" si="64"/>
        <v>0.85</v>
      </c>
      <c r="F172" s="135">
        <f t="shared" si="64"/>
        <v>0.85</v>
      </c>
      <c r="G172" s="135">
        <f t="shared" si="64"/>
        <v>0.85</v>
      </c>
      <c r="H172" s="135">
        <f t="shared" si="64"/>
        <v>0.85</v>
      </c>
      <c r="I172" s="135">
        <f t="shared" si="64"/>
        <v>0.85</v>
      </c>
      <c r="J172" s="135">
        <f t="shared" si="64"/>
        <v>0.85</v>
      </c>
      <c r="K172" s="135">
        <f t="shared" si="64"/>
        <v>0.85</v>
      </c>
      <c r="L172" s="135">
        <f t="shared" si="64"/>
        <v>0.85</v>
      </c>
      <c r="M172" s="135">
        <f t="shared" si="64"/>
        <v>0.85</v>
      </c>
      <c r="N172" s="135">
        <f t="shared" si="64"/>
        <v>0.85</v>
      </c>
      <c r="O172" s="135">
        <f t="shared" si="64"/>
        <v>0.85</v>
      </c>
      <c r="P172" s="135">
        <f t="shared" si="64"/>
        <v>0.85</v>
      </c>
      <c r="Q172" s="135">
        <f t="shared" si="64"/>
        <v>0.85</v>
      </c>
      <c r="R172" s="135">
        <f t="shared" si="64"/>
        <v>0.85</v>
      </c>
      <c r="S172" s="135">
        <f t="shared" si="65"/>
        <v>0.85</v>
      </c>
      <c r="T172" s="135">
        <f t="shared" si="65"/>
        <v>0.85</v>
      </c>
      <c r="U172" s="135">
        <f t="shared" si="65"/>
        <v>0.85</v>
      </c>
      <c r="V172" s="135">
        <f t="shared" si="65"/>
        <v>0.85</v>
      </c>
      <c r="W172" s="135">
        <f t="shared" si="65"/>
        <v>0.85</v>
      </c>
      <c r="X172" s="135">
        <f t="shared" si="65"/>
        <v>0.85</v>
      </c>
      <c r="Y172" s="135">
        <f t="shared" si="65"/>
        <v>0.85</v>
      </c>
      <c r="Z172" s="135">
        <f t="shared" si="65"/>
        <v>0.85</v>
      </c>
      <c r="AA172" s="135">
        <f t="shared" si="65"/>
        <v>0.85</v>
      </c>
      <c r="AB172" s="135">
        <f t="shared" si="65"/>
        <v>0.85</v>
      </c>
      <c r="AC172" s="135">
        <f t="shared" si="65"/>
        <v>0.85</v>
      </c>
      <c r="AD172" s="135">
        <f t="shared" si="65"/>
        <v>0.85</v>
      </c>
      <c r="AE172" s="135">
        <f t="shared" si="65"/>
        <v>0.85</v>
      </c>
      <c r="AF172" s="135">
        <f t="shared" si="65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63"/>
        <v>0.9</v>
      </c>
      <c r="C173" s="136">
        <v>0.9</v>
      </c>
      <c r="D173" s="135">
        <f t="shared" si="64"/>
        <v>0.9</v>
      </c>
      <c r="E173" s="135">
        <f t="shared" si="64"/>
        <v>0.9</v>
      </c>
      <c r="F173" s="135">
        <f t="shared" si="64"/>
        <v>0.9</v>
      </c>
      <c r="G173" s="135">
        <f t="shared" si="64"/>
        <v>0.9</v>
      </c>
      <c r="H173" s="135">
        <f t="shared" si="64"/>
        <v>0.9</v>
      </c>
      <c r="I173" s="135">
        <f t="shared" si="64"/>
        <v>0.9</v>
      </c>
      <c r="J173" s="135">
        <f t="shared" si="64"/>
        <v>0.9</v>
      </c>
      <c r="K173" s="135">
        <f t="shared" si="64"/>
        <v>0.9</v>
      </c>
      <c r="L173" s="135">
        <f t="shared" si="64"/>
        <v>0.9</v>
      </c>
      <c r="M173" s="135">
        <f t="shared" si="64"/>
        <v>0.9</v>
      </c>
      <c r="N173" s="135">
        <f t="shared" si="64"/>
        <v>0.9</v>
      </c>
      <c r="O173" s="135">
        <f t="shared" si="64"/>
        <v>0.9</v>
      </c>
      <c r="P173" s="135">
        <f t="shared" si="64"/>
        <v>0.9</v>
      </c>
      <c r="Q173" s="135">
        <f t="shared" si="64"/>
        <v>0.9</v>
      </c>
      <c r="R173" s="135">
        <f t="shared" si="64"/>
        <v>0.9</v>
      </c>
      <c r="S173" s="135">
        <f t="shared" si="65"/>
        <v>0.9</v>
      </c>
      <c r="T173" s="135">
        <f t="shared" si="65"/>
        <v>0.9</v>
      </c>
      <c r="U173" s="135">
        <f t="shared" si="65"/>
        <v>0.9</v>
      </c>
      <c r="V173" s="135">
        <f t="shared" si="65"/>
        <v>0.9</v>
      </c>
      <c r="W173" s="135">
        <f t="shared" si="65"/>
        <v>0.9</v>
      </c>
      <c r="X173" s="135">
        <f t="shared" si="65"/>
        <v>0.9</v>
      </c>
      <c r="Y173" s="135">
        <f t="shared" si="65"/>
        <v>0.9</v>
      </c>
      <c r="Z173" s="135">
        <f t="shared" si="65"/>
        <v>0.9</v>
      </c>
      <c r="AA173" s="135">
        <f t="shared" si="65"/>
        <v>0.9</v>
      </c>
      <c r="AB173" s="135">
        <f t="shared" si="65"/>
        <v>0.9</v>
      </c>
      <c r="AC173" s="135">
        <f t="shared" si="65"/>
        <v>0.9</v>
      </c>
      <c r="AD173" s="135">
        <f t="shared" si="65"/>
        <v>0.9</v>
      </c>
      <c r="AE173" s="135">
        <f t="shared" si="65"/>
        <v>0.9</v>
      </c>
      <c r="AF173" s="135">
        <f t="shared" si="65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63"/>
        <v>0.44</v>
      </c>
      <c r="C174" s="136">
        <v>0.44</v>
      </c>
      <c r="D174" s="135">
        <f t="shared" si="64"/>
        <v>0.44</v>
      </c>
      <c r="E174" s="135">
        <f t="shared" si="64"/>
        <v>0.44</v>
      </c>
      <c r="F174" s="135">
        <f t="shared" si="64"/>
        <v>0.44</v>
      </c>
      <c r="G174" s="135">
        <f t="shared" si="64"/>
        <v>0.44</v>
      </c>
      <c r="H174" s="135">
        <f t="shared" si="64"/>
        <v>0.44</v>
      </c>
      <c r="I174" s="135">
        <f t="shared" si="64"/>
        <v>0.44</v>
      </c>
      <c r="J174" s="135">
        <f t="shared" si="64"/>
        <v>0.44</v>
      </c>
      <c r="K174" s="135">
        <f t="shared" si="64"/>
        <v>0.44</v>
      </c>
      <c r="L174" s="135">
        <f t="shared" si="64"/>
        <v>0.44</v>
      </c>
      <c r="M174" s="135">
        <f t="shared" si="64"/>
        <v>0.44</v>
      </c>
      <c r="N174" s="135">
        <f t="shared" si="64"/>
        <v>0.44</v>
      </c>
      <c r="O174" s="135">
        <f t="shared" si="64"/>
        <v>0.44</v>
      </c>
      <c r="P174" s="135">
        <f t="shared" si="64"/>
        <v>0.44</v>
      </c>
      <c r="Q174" s="135">
        <f t="shared" si="64"/>
        <v>0.44</v>
      </c>
      <c r="R174" s="135">
        <f t="shared" si="64"/>
        <v>0.44</v>
      </c>
      <c r="S174" s="135">
        <f t="shared" si="65"/>
        <v>0.44</v>
      </c>
      <c r="T174" s="135">
        <f t="shared" si="65"/>
        <v>0.44</v>
      </c>
      <c r="U174" s="135">
        <f t="shared" si="65"/>
        <v>0.44</v>
      </c>
      <c r="V174" s="135">
        <f t="shared" si="65"/>
        <v>0.44</v>
      </c>
      <c r="W174" s="135">
        <f t="shared" si="65"/>
        <v>0.44</v>
      </c>
      <c r="X174" s="135">
        <f t="shared" si="65"/>
        <v>0.44</v>
      </c>
      <c r="Y174" s="135">
        <f t="shared" si="65"/>
        <v>0.44</v>
      </c>
      <c r="Z174" s="135">
        <f t="shared" si="65"/>
        <v>0.44</v>
      </c>
      <c r="AA174" s="135">
        <f t="shared" si="65"/>
        <v>0.44</v>
      </c>
      <c r="AB174" s="135">
        <f t="shared" si="65"/>
        <v>0.44</v>
      </c>
      <c r="AC174" s="135">
        <f t="shared" si="65"/>
        <v>0.44</v>
      </c>
      <c r="AD174" s="135">
        <f t="shared" si="65"/>
        <v>0.44</v>
      </c>
      <c r="AE174" s="135">
        <f t="shared" si="65"/>
        <v>0.44</v>
      </c>
      <c r="AF174" s="135">
        <f t="shared" si="65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63"/>
        <v>2.1</v>
      </c>
      <c r="C175" s="136">
        <v>2.1</v>
      </c>
      <c r="D175" s="135">
        <f t="shared" si="64"/>
        <v>2.1</v>
      </c>
      <c r="E175" s="135">
        <f t="shared" si="64"/>
        <v>2.1</v>
      </c>
      <c r="F175" s="135">
        <f t="shared" si="64"/>
        <v>2.1</v>
      </c>
      <c r="G175" s="135">
        <f t="shared" si="64"/>
        <v>2.1</v>
      </c>
      <c r="H175" s="135">
        <f t="shared" si="64"/>
        <v>2.1</v>
      </c>
      <c r="I175" s="135">
        <f t="shared" si="64"/>
        <v>2.1</v>
      </c>
      <c r="J175" s="135">
        <f t="shared" si="64"/>
        <v>2.1</v>
      </c>
      <c r="K175" s="135">
        <f t="shared" si="64"/>
        <v>2.1</v>
      </c>
      <c r="L175" s="135">
        <f t="shared" si="64"/>
        <v>2.1</v>
      </c>
      <c r="M175" s="135">
        <f t="shared" si="64"/>
        <v>2.1</v>
      </c>
      <c r="N175" s="135">
        <f t="shared" si="64"/>
        <v>2.1</v>
      </c>
      <c r="O175" s="135">
        <f t="shared" si="64"/>
        <v>2.1</v>
      </c>
      <c r="P175" s="135">
        <f t="shared" si="64"/>
        <v>2.1</v>
      </c>
      <c r="Q175" s="135">
        <f t="shared" si="64"/>
        <v>2.1</v>
      </c>
      <c r="R175" s="135">
        <f t="shared" si="64"/>
        <v>2.1</v>
      </c>
      <c r="S175" s="135">
        <f t="shared" si="65"/>
        <v>2.1</v>
      </c>
      <c r="T175" s="135">
        <f t="shared" si="65"/>
        <v>2.1</v>
      </c>
      <c r="U175" s="135">
        <f t="shared" si="65"/>
        <v>2.1</v>
      </c>
      <c r="V175" s="135">
        <f t="shared" si="65"/>
        <v>2.1</v>
      </c>
      <c r="W175" s="135">
        <f t="shared" si="65"/>
        <v>2.1</v>
      </c>
      <c r="X175" s="135">
        <f t="shared" si="65"/>
        <v>2.1</v>
      </c>
      <c r="Y175" s="135">
        <f t="shared" si="65"/>
        <v>2.1</v>
      </c>
      <c r="Z175" s="135">
        <f t="shared" si="65"/>
        <v>2.1</v>
      </c>
      <c r="AA175" s="135">
        <f t="shared" si="65"/>
        <v>2.1</v>
      </c>
      <c r="AB175" s="135">
        <f t="shared" si="65"/>
        <v>2.1</v>
      </c>
      <c r="AC175" s="135">
        <f t="shared" si="65"/>
        <v>2.1</v>
      </c>
      <c r="AD175" s="135">
        <f t="shared" si="65"/>
        <v>2.1</v>
      </c>
      <c r="AE175" s="135">
        <f t="shared" si="65"/>
        <v>2.1</v>
      </c>
      <c r="AF175" s="135">
        <f t="shared" si="65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63"/>
        <v>0.9</v>
      </c>
      <c r="C176" s="136">
        <v>0.9</v>
      </c>
      <c r="D176" s="135">
        <f t="shared" si="64"/>
        <v>0.9</v>
      </c>
      <c r="E176" s="135">
        <f t="shared" si="64"/>
        <v>0.9</v>
      </c>
      <c r="F176" s="135">
        <f t="shared" si="64"/>
        <v>0.9</v>
      </c>
      <c r="G176" s="135">
        <f t="shared" si="64"/>
        <v>0.9</v>
      </c>
      <c r="H176" s="135">
        <f t="shared" si="64"/>
        <v>0.9</v>
      </c>
      <c r="I176" s="135">
        <f t="shared" si="64"/>
        <v>0.9</v>
      </c>
      <c r="J176" s="135">
        <f t="shared" si="64"/>
        <v>0.9</v>
      </c>
      <c r="K176" s="135">
        <f t="shared" si="64"/>
        <v>0.9</v>
      </c>
      <c r="L176" s="135">
        <f t="shared" si="64"/>
        <v>0.9</v>
      </c>
      <c r="M176" s="135">
        <f t="shared" si="64"/>
        <v>0.9</v>
      </c>
      <c r="N176" s="135">
        <f t="shared" si="64"/>
        <v>0.9</v>
      </c>
      <c r="O176" s="135">
        <f t="shared" si="64"/>
        <v>0.9</v>
      </c>
      <c r="P176" s="135">
        <f t="shared" si="64"/>
        <v>0.9</v>
      </c>
      <c r="Q176" s="135">
        <f t="shared" si="64"/>
        <v>0.9</v>
      </c>
      <c r="R176" s="135">
        <f t="shared" si="64"/>
        <v>0.9</v>
      </c>
      <c r="S176" s="135">
        <f t="shared" si="65"/>
        <v>0.9</v>
      </c>
      <c r="T176" s="135">
        <f t="shared" si="65"/>
        <v>0.9</v>
      </c>
      <c r="U176" s="135">
        <f t="shared" si="65"/>
        <v>0.9</v>
      </c>
      <c r="V176" s="135">
        <f t="shared" si="65"/>
        <v>0.9</v>
      </c>
      <c r="W176" s="135">
        <f t="shared" si="65"/>
        <v>0.9</v>
      </c>
      <c r="X176" s="135">
        <f t="shared" si="65"/>
        <v>0.9</v>
      </c>
      <c r="Y176" s="135">
        <f t="shared" si="65"/>
        <v>0.9</v>
      </c>
      <c r="Z176" s="135">
        <f t="shared" si="65"/>
        <v>0.9</v>
      </c>
      <c r="AA176" s="135">
        <f t="shared" si="65"/>
        <v>0.9</v>
      </c>
      <c r="AB176" s="135">
        <f t="shared" si="65"/>
        <v>0.9</v>
      </c>
      <c r="AC176" s="135">
        <f t="shared" si="65"/>
        <v>0.9</v>
      </c>
      <c r="AD176" s="135">
        <f t="shared" si="65"/>
        <v>0.9</v>
      </c>
      <c r="AE176" s="135">
        <f t="shared" si="65"/>
        <v>0.9</v>
      </c>
      <c r="AF176" s="135">
        <f t="shared" si="65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66">AF178</f>
        <v>0.57999999999999996</v>
      </c>
      <c r="C178" s="136">
        <v>0.57999999999999996</v>
      </c>
      <c r="D178" s="135">
        <f t="shared" ref="D178:S190" si="67">C178</f>
        <v>0.57999999999999996</v>
      </c>
      <c r="E178" s="135">
        <f t="shared" si="67"/>
        <v>0.57999999999999996</v>
      </c>
      <c r="F178" s="135">
        <f t="shared" si="67"/>
        <v>0.57999999999999996</v>
      </c>
      <c r="G178" s="135">
        <f t="shared" si="67"/>
        <v>0.57999999999999996</v>
      </c>
      <c r="H178" s="135">
        <f t="shared" si="67"/>
        <v>0.57999999999999996</v>
      </c>
      <c r="I178" s="135">
        <f t="shared" si="67"/>
        <v>0.57999999999999996</v>
      </c>
      <c r="J178" s="135">
        <f t="shared" si="67"/>
        <v>0.57999999999999996</v>
      </c>
      <c r="K178" s="135">
        <f t="shared" si="67"/>
        <v>0.57999999999999996</v>
      </c>
      <c r="L178" s="135">
        <f t="shared" si="67"/>
        <v>0.57999999999999996</v>
      </c>
      <c r="M178" s="135">
        <f t="shared" si="67"/>
        <v>0.57999999999999996</v>
      </c>
      <c r="N178" s="135">
        <f t="shared" si="67"/>
        <v>0.57999999999999996</v>
      </c>
      <c r="O178" s="135">
        <f t="shared" si="67"/>
        <v>0.57999999999999996</v>
      </c>
      <c r="P178" s="135">
        <f t="shared" si="67"/>
        <v>0.57999999999999996</v>
      </c>
      <c r="Q178" s="135">
        <f t="shared" si="67"/>
        <v>0.57999999999999996</v>
      </c>
      <c r="R178" s="135">
        <f t="shared" si="67"/>
        <v>0.57999999999999996</v>
      </c>
      <c r="S178" s="135">
        <f t="shared" si="67"/>
        <v>0.57999999999999996</v>
      </c>
      <c r="T178" s="135">
        <f t="shared" ref="S178:AF190" si="68">S178</f>
        <v>0.57999999999999996</v>
      </c>
      <c r="U178" s="135">
        <f t="shared" si="68"/>
        <v>0.57999999999999996</v>
      </c>
      <c r="V178" s="135">
        <f t="shared" si="68"/>
        <v>0.57999999999999996</v>
      </c>
      <c r="W178" s="135">
        <f t="shared" si="68"/>
        <v>0.57999999999999996</v>
      </c>
      <c r="X178" s="135">
        <f t="shared" si="68"/>
        <v>0.57999999999999996</v>
      </c>
      <c r="Y178" s="135">
        <f t="shared" si="68"/>
        <v>0.57999999999999996</v>
      </c>
      <c r="Z178" s="135">
        <f t="shared" si="68"/>
        <v>0.57999999999999996</v>
      </c>
      <c r="AA178" s="135">
        <f t="shared" si="68"/>
        <v>0.57999999999999996</v>
      </c>
      <c r="AB178" s="135">
        <f t="shared" si="68"/>
        <v>0.57999999999999996</v>
      </c>
      <c r="AC178" s="135">
        <f t="shared" si="68"/>
        <v>0.57999999999999996</v>
      </c>
      <c r="AD178" s="135">
        <f t="shared" si="68"/>
        <v>0.57999999999999996</v>
      </c>
      <c r="AE178" s="135">
        <f t="shared" si="68"/>
        <v>0.57999999999999996</v>
      </c>
      <c r="AF178" s="135">
        <f t="shared" si="68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66"/>
        <v>0.8</v>
      </c>
      <c r="C179" s="136">
        <v>0.8</v>
      </c>
      <c r="D179" s="135">
        <f t="shared" si="67"/>
        <v>0.8</v>
      </c>
      <c r="E179" s="135">
        <f t="shared" si="67"/>
        <v>0.8</v>
      </c>
      <c r="F179" s="135">
        <f t="shared" si="67"/>
        <v>0.8</v>
      </c>
      <c r="G179" s="135">
        <f t="shared" si="67"/>
        <v>0.8</v>
      </c>
      <c r="H179" s="135">
        <f t="shared" si="67"/>
        <v>0.8</v>
      </c>
      <c r="I179" s="135">
        <f t="shared" si="67"/>
        <v>0.8</v>
      </c>
      <c r="J179" s="135">
        <f t="shared" si="67"/>
        <v>0.8</v>
      </c>
      <c r="K179" s="135">
        <f t="shared" si="67"/>
        <v>0.8</v>
      </c>
      <c r="L179" s="135">
        <f t="shared" si="67"/>
        <v>0.8</v>
      </c>
      <c r="M179" s="135">
        <f t="shared" si="67"/>
        <v>0.8</v>
      </c>
      <c r="N179" s="135">
        <f t="shared" si="67"/>
        <v>0.8</v>
      </c>
      <c r="O179" s="135">
        <f t="shared" si="67"/>
        <v>0.8</v>
      </c>
      <c r="P179" s="135">
        <f t="shared" si="67"/>
        <v>0.8</v>
      </c>
      <c r="Q179" s="135">
        <f t="shared" si="67"/>
        <v>0.8</v>
      </c>
      <c r="R179" s="135">
        <f t="shared" si="67"/>
        <v>0.8</v>
      </c>
      <c r="S179" s="135">
        <f t="shared" si="67"/>
        <v>0.8</v>
      </c>
      <c r="T179" s="135">
        <f t="shared" si="68"/>
        <v>0.8</v>
      </c>
      <c r="U179" s="135">
        <f t="shared" si="68"/>
        <v>0.8</v>
      </c>
      <c r="V179" s="135">
        <f t="shared" si="68"/>
        <v>0.8</v>
      </c>
      <c r="W179" s="135">
        <f t="shared" si="68"/>
        <v>0.8</v>
      </c>
      <c r="X179" s="135">
        <f t="shared" si="68"/>
        <v>0.8</v>
      </c>
      <c r="Y179" s="135">
        <f t="shared" si="68"/>
        <v>0.8</v>
      </c>
      <c r="Z179" s="135">
        <f t="shared" si="68"/>
        <v>0.8</v>
      </c>
      <c r="AA179" s="135">
        <f t="shared" si="68"/>
        <v>0.8</v>
      </c>
      <c r="AB179" s="135">
        <f t="shared" si="68"/>
        <v>0.8</v>
      </c>
      <c r="AC179" s="135">
        <f t="shared" si="68"/>
        <v>0.8</v>
      </c>
      <c r="AD179" s="135">
        <f t="shared" si="68"/>
        <v>0.8</v>
      </c>
      <c r="AE179" s="135">
        <f t="shared" si="68"/>
        <v>0.8</v>
      </c>
      <c r="AF179" s="135">
        <f t="shared" si="68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66"/>
        <v>0</v>
      </c>
      <c r="C180" s="136">
        <v>0</v>
      </c>
      <c r="D180" s="135">
        <f t="shared" si="67"/>
        <v>0</v>
      </c>
      <c r="E180" s="135">
        <f t="shared" si="67"/>
        <v>0</v>
      </c>
      <c r="F180" s="135">
        <f t="shared" si="67"/>
        <v>0</v>
      </c>
      <c r="G180" s="135">
        <f t="shared" si="67"/>
        <v>0</v>
      </c>
      <c r="H180" s="135">
        <f t="shared" si="67"/>
        <v>0</v>
      </c>
      <c r="I180" s="135">
        <f t="shared" si="67"/>
        <v>0</v>
      </c>
      <c r="J180" s="135">
        <f t="shared" si="67"/>
        <v>0</v>
      </c>
      <c r="K180" s="135">
        <f t="shared" si="67"/>
        <v>0</v>
      </c>
      <c r="L180" s="135">
        <f t="shared" si="67"/>
        <v>0</v>
      </c>
      <c r="M180" s="135">
        <f t="shared" si="67"/>
        <v>0</v>
      </c>
      <c r="N180" s="135">
        <f t="shared" si="67"/>
        <v>0</v>
      </c>
      <c r="O180" s="135">
        <f t="shared" si="67"/>
        <v>0</v>
      </c>
      <c r="P180" s="135">
        <f t="shared" si="67"/>
        <v>0</v>
      </c>
      <c r="Q180" s="135">
        <f t="shared" si="67"/>
        <v>0</v>
      </c>
      <c r="R180" s="135">
        <f t="shared" si="67"/>
        <v>0</v>
      </c>
      <c r="S180" s="135">
        <f t="shared" si="67"/>
        <v>0</v>
      </c>
      <c r="T180" s="135">
        <f t="shared" si="68"/>
        <v>0</v>
      </c>
      <c r="U180" s="135">
        <f t="shared" si="68"/>
        <v>0</v>
      </c>
      <c r="V180" s="135">
        <f t="shared" si="68"/>
        <v>0</v>
      </c>
      <c r="W180" s="135">
        <f t="shared" si="68"/>
        <v>0</v>
      </c>
      <c r="X180" s="135">
        <f t="shared" si="68"/>
        <v>0</v>
      </c>
      <c r="Y180" s="135">
        <f t="shared" si="68"/>
        <v>0</v>
      </c>
      <c r="Z180" s="135">
        <f t="shared" si="68"/>
        <v>0</v>
      </c>
      <c r="AA180" s="135">
        <f t="shared" si="68"/>
        <v>0</v>
      </c>
      <c r="AB180" s="135">
        <f t="shared" si="68"/>
        <v>0</v>
      </c>
      <c r="AC180" s="135">
        <f t="shared" si="68"/>
        <v>0</v>
      </c>
      <c r="AD180" s="135">
        <f t="shared" si="68"/>
        <v>0</v>
      </c>
      <c r="AE180" s="135">
        <f t="shared" si="68"/>
        <v>0</v>
      </c>
      <c r="AF180" s="135">
        <f t="shared" si="68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66"/>
        <v>0.6</v>
      </c>
      <c r="C181" s="136">
        <v>0.6</v>
      </c>
      <c r="D181" s="135">
        <f t="shared" si="67"/>
        <v>0.6</v>
      </c>
      <c r="E181" s="135">
        <f t="shared" si="67"/>
        <v>0.6</v>
      </c>
      <c r="F181" s="135">
        <f t="shared" si="67"/>
        <v>0.6</v>
      </c>
      <c r="G181" s="135">
        <f t="shared" si="67"/>
        <v>0.6</v>
      </c>
      <c r="H181" s="135">
        <f t="shared" si="67"/>
        <v>0.6</v>
      </c>
      <c r="I181" s="135">
        <f t="shared" si="67"/>
        <v>0.6</v>
      </c>
      <c r="J181" s="135">
        <f t="shared" si="67"/>
        <v>0.6</v>
      </c>
      <c r="K181" s="135">
        <f t="shared" si="67"/>
        <v>0.6</v>
      </c>
      <c r="L181" s="135">
        <f t="shared" si="67"/>
        <v>0.6</v>
      </c>
      <c r="M181" s="135">
        <f t="shared" si="67"/>
        <v>0.6</v>
      </c>
      <c r="N181" s="135">
        <f t="shared" si="67"/>
        <v>0.6</v>
      </c>
      <c r="O181" s="135">
        <f t="shared" si="67"/>
        <v>0.6</v>
      </c>
      <c r="P181" s="135">
        <f t="shared" si="67"/>
        <v>0.6</v>
      </c>
      <c r="Q181" s="135">
        <f t="shared" si="67"/>
        <v>0.6</v>
      </c>
      <c r="R181" s="135">
        <f t="shared" si="67"/>
        <v>0.6</v>
      </c>
      <c r="S181" s="135">
        <f t="shared" si="67"/>
        <v>0.6</v>
      </c>
      <c r="T181" s="135">
        <f t="shared" si="68"/>
        <v>0.6</v>
      </c>
      <c r="U181" s="135">
        <f t="shared" si="68"/>
        <v>0.6</v>
      </c>
      <c r="V181" s="135">
        <f t="shared" si="68"/>
        <v>0.6</v>
      </c>
      <c r="W181" s="135">
        <f t="shared" si="68"/>
        <v>0.6</v>
      </c>
      <c r="X181" s="135">
        <f t="shared" si="68"/>
        <v>0.6</v>
      </c>
      <c r="Y181" s="135">
        <f t="shared" si="68"/>
        <v>0.6</v>
      </c>
      <c r="Z181" s="135">
        <f t="shared" si="68"/>
        <v>0.6</v>
      </c>
      <c r="AA181" s="135">
        <f t="shared" si="68"/>
        <v>0.6</v>
      </c>
      <c r="AB181" s="135">
        <f t="shared" si="68"/>
        <v>0.6</v>
      </c>
      <c r="AC181" s="135">
        <f t="shared" si="68"/>
        <v>0.6</v>
      </c>
      <c r="AD181" s="135">
        <f t="shared" si="68"/>
        <v>0.6</v>
      </c>
      <c r="AE181" s="135">
        <f t="shared" si="68"/>
        <v>0.6</v>
      </c>
      <c r="AF181" s="135">
        <f t="shared" si="68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66"/>
        <v>0.6</v>
      </c>
      <c r="C182" s="136">
        <v>0.6</v>
      </c>
      <c r="D182" s="135">
        <f t="shared" si="67"/>
        <v>0.6</v>
      </c>
      <c r="E182" s="135">
        <f t="shared" si="67"/>
        <v>0.6</v>
      </c>
      <c r="F182" s="135">
        <f t="shared" si="67"/>
        <v>0.6</v>
      </c>
      <c r="G182" s="135">
        <f t="shared" si="67"/>
        <v>0.6</v>
      </c>
      <c r="H182" s="135">
        <f t="shared" si="67"/>
        <v>0.6</v>
      </c>
      <c r="I182" s="135">
        <f t="shared" si="67"/>
        <v>0.6</v>
      </c>
      <c r="J182" s="135">
        <f t="shared" si="67"/>
        <v>0.6</v>
      </c>
      <c r="K182" s="135">
        <f t="shared" si="67"/>
        <v>0.6</v>
      </c>
      <c r="L182" s="135">
        <f t="shared" si="67"/>
        <v>0.6</v>
      </c>
      <c r="M182" s="135">
        <f t="shared" si="67"/>
        <v>0.6</v>
      </c>
      <c r="N182" s="135">
        <f t="shared" si="67"/>
        <v>0.6</v>
      </c>
      <c r="O182" s="135">
        <f t="shared" si="67"/>
        <v>0.6</v>
      </c>
      <c r="P182" s="135">
        <f t="shared" si="67"/>
        <v>0.6</v>
      </c>
      <c r="Q182" s="135">
        <f t="shared" si="67"/>
        <v>0.6</v>
      </c>
      <c r="R182" s="135">
        <f t="shared" si="67"/>
        <v>0.6</v>
      </c>
      <c r="S182" s="135">
        <f t="shared" si="67"/>
        <v>0.6</v>
      </c>
      <c r="T182" s="135">
        <f t="shared" si="68"/>
        <v>0.6</v>
      </c>
      <c r="U182" s="135">
        <f t="shared" si="68"/>
        <v>0.6</v>
      </c>
      <c r="V182" s="135">
        <f t="shared" si="68"/>
        <v>0.6</v>
      </c>
      <c r="W182" s="135">
        <f t="shared" si="68"/>
        <v>0.6</v>
      </c>
      <c r="X182" s="135">
        <f t="shared" si="68"/>
        <v>0.6</v>
      </c>
      <c r="Y182" s="135">
        <f t="shared" si="68"/>
        <v>0.6</v>
      </c>
      <c r="Z182" s="135">
        <f t="shared" si="68"/>
        <v>0.6</v>
      </c>
      <c r="AA182" s="135">
        <f t="shared" si="68"/>
        <v>0.6</v>
      </c>
      <c r="AB182" s="135">
        <f t="shared" si="68"/>
        <v>0.6</v>
      </c>
      <c r="AC182" s="135">
        <f t="shared" si="68"/>
        <v>0.6</v>
      </c>
      <c r="AD182" s="135">
        <f t="shared" si="68"/>
        <v>0.6</v>
      </c>
      <c r="AE182" s="135">
        <f t="shared" si="68"/>
        <v>0.6</v>
      </c>
      <c r="AF182" s="135">
        <f t="shared" si="68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66"/>
        <v>0.35</v>
      </c>
      <c r="C183" s="136">
        <v>0.35</v>
      </c>
      <c r="D183" s="135">
        <f t="shared" si="67"/>
        <v>0.35</v>
      </c>
      <c r="E183" s="135">
        <f t="shared" si="67"/>
        <v>0.35</v>
      </c>
      <c r="F183" s="135">
        <f t="shared" si="67"/>
        <v>0.35</v>
      </c>
      <c r="G183" s="135">
        <f t="shared" si="67"/>
        <v>0.35</v>
      </c>
      <c r="H183" s="135">
        <f t="shared" si="67"/>
        <v>0.35</v>
      </c>
      <c r="I183" s="135">
        <f t="shared" si="67"/>
        <v>0.35</v>
      </c>
      <c r="J183" s="135">
        <f t="shared" si="67"/>
        <v>0.35</v>
      </c>
      <c r="K183" s="135">
        <f t="shared" si="67"/>
        <v>0.35</v>
      </c>
      <c r="L183" s="135">
        <f t="shared" si="67"/>
        <v>0.35</v>
      </c>
      <c r="M183" s="135">
        <f t="shared" si="67"/>
        <v>0.35</v>
      </c>
      <c r="N183" s="135">
        <f t="shared" si="67"/>
        <v>0.35</v>
      </c>
      <c r="O183" s="135">
        <f t="shared" si="67"/>
        <v>0.35</v>
      </c>
      <c r="P183" s="135">
        <f t="shared" si="67"/>
        <v>0.35</v>
      </c>
      <c r="Q183" s="135">
        <f t="shared" si="67"/>
        <v>0.35</v>
      </c>
      <c r="R183" s="135">
        <f t="shared" si="67"/>
        <v>0.35</v>
      </c>
      <c r="S183" s="135">
        <f t="shared" si="67"/>
        <v>0.35</v>
      </c>
      <c r="T183" s="135">
        <f t="shared" si="68"/>
        <v>0.35</v>
      </c>
      <c r="U183" s="135">
        <f t="shared" si="68"/>
        <v>0.35</v>
      </c>
      <c r="V183" s="135">
        <f t="shared" si="68"/>
        <v>0.35</v>
      </c>
      <c r="W183" s="135">
        <f t="shared" si="68"/>
        <v>0.35</v>
      </c>
      <c r="X183" s="135">
        <f t="shared" si="68"/>
        <v>0.35</v>
      </c>
      <c r="Y183" s="135">
        <f t="shared" si="68"/>
        <v>0.35</v>
      </c>
      <c r="Z183" s="135">
        <f t="shared" si="68"/>
        <v>0.35</v>
      </c>
      <c r="AA183" s="135">
        <f t="shared" si="68"/>
        <v>0.35</v>
      </c>
      <c r="AB183" s="135">
        <f t="shared" si="68"/>
        <v>0.35</v>
      </c>
      <c r="AC183" s="135">
        <f t="shared" si="68"/>
        <v>0.35</v>
      </c>
      <c r="AD183" s="135">
        <f t="shared" si="68"/>
        <v>0.35</v>
      </c>
      <c r="AE183" s="135">
        <f t="shared" si="68"/>
        <v>0.35</v>
      </c>
      <c r="AF183" s="135">
        <f t="shared" si="68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66"/>
        <v>0.28999999999999998</v>
      </c>
      <c r="C184" s="136">
        <v>0.28999999999999998</v>
      </c>
      <c r="D184" s="135">
        <f t="shared" si="67"/>
        <v>0.28999999999999998</v>
      </c>
      <c r="E184" s="135">
        <f t="shared" si="67"/>
        <v>0.28999999999999998</v>
      </c>
      <c r="F184" s="135">
        <f t="shared" si="67"/>
        <v>0.28999999999999998</v>
      </c>
      <c r="G184" s="135">
        <f t="shared" si="67"/>
        <v>0.28999999999999998</v>
      </c>
      <c r="H184" s="135">
        <f t="shared" si="67"/>
        <v>0.28999999999999998</v>
      </c>
      <c r="I184" s="135">
        <f t="shared" si="67"/>
        <v>0.28999999999999998</v>
      </c>
      <c r="J184" s="135">
        <f t="shared" si="67"/>
        <v>0.28999999999999998</v>
      </c>
      <c r="K184" s="135">
        <f t="shared" si="67"/>
        <v>0.28999999999999998</v>
      </c>
      <c r="L184" s="135">
        <f t="shared" si="67"/>
        <v>0.28999999999999998</v>
      </c>
      <c r="M184" s="135">
        <f t="shared" si="67"/>
        <v>0.28999999999999998</v>
      </c>
      <c r="N184" s="135">
        <f t="shared" si="67"/>
        <v>0.28999999999999998</v>
      </c>
      <c r="O184" s="135">
        <f t="shared" si="67"/>
        <v>0.28999999999999998</v>
      </c>
      <c r="P184" s="135">
        <f t="shared" si="67"/>
        <v>0.28999999999999998</v>
      </c>
      <c r="Q184" s="135">
        <f t="shared" si="67"/>
        <v>0.28999999999999998</v>
      </c>
      <c r="R184" s="135">
        <f t="shared" si="67"/>
        <v>0.28999999999999998</v>
      </c>
      <c r="S184" s="135">
        <f t="shared" si="67"/>
        <v>0.28999999999999998</v>
      </c>
      <c r="T184" s="135">
        <f t="shared" si="68"/>
        <v>0.28999999999999998</v>
      </c>
      <c r="U184" s="135">
        <f t="shared" si="68"/>
        <v>0.28999999999999998</v>
      </c>
      <c r="V184" s="135">
        <f t="shared" si="68"/>
        <v>0.28999999999999998</v>
      </c>
      <c r="W184" s="135">
        <f t="shared" si="68"/>
        <v>0.28999999999999998</v>
      </c>
      <c r="X184" s="135">
        <f t="shared" si="68"/>
        <v>0.28999999999999998</v>
      </c>
      <c r="Y184" s="135">
        <f t="shared" si="68"/>
        <v>0.28999999999999998</v>
      </c>
      <c r="Z184" s="135">
        <f t="shared" si="68"/>
        <v>0.28999999999999998</v>
      </c>
      <c r="AA184" s="135">
        <f t="shared" si="68"/>
        <v>0.28999999999999998</v>
      </c>
      <c r="AB184" s="135">
        <f t="shared" si="68"/>
        <v>0.28999999999999998</v>
      </c>
      <c r="AC184" s="135">
        <f t="shared" si="68"/>
        <v>0.28999999999999998</v>
      </c>
      <c r="AD184" s="135">
        <f t="shared" si="68"/>
        <v>0.28999999999999998</v>
      </c>
      <c r="AE184" s="135">
        <f t="shared" si="68"/>
        <v>0.28999999999999998</v>
      </c>
      <c r="AF184" s="135">
        <f t="shared" si="68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66"/>
        <v>0.06</v>
      </c>
      <c r="C185" s="136">
        <v>0.06</v>
      </c>
      <c r="D185" s="135">
        <f t="shared" si="67"/>
        <v>0.06</v>
      </c>
      <c r="E185" s="135">
        <f t="shared" si="67"/>
        <v>0.06</v>
      </c>
      <c r="F185" s="135">
        <f t="shared" si="67"/>
        <v>0.06</v>
      </c>
      <c r="G185" s="135">
        <f t="shared" si="67"/>
        <v>0.06</v>
      </c>
      <c r="H185" s="135">
        <f t="shared" si="67"/>
        <v>0.06</v>
      </c>
      <c r="I185" s="135">
        <f t="shared" si="67"/>
        <v>0.06</v>
      </c>
      <c r="J185" s="135">
        <f t="shared" si="67"/>
        <v>0.06</v>
      </c>
      <c r="K185" s="135">
        <f t="shared" si="67"/>
        <v>0.06</v>
      </c>
      <c r="L185" s="135">
        <f t="shared" si="67"/>
        <v>0.06</v>
      </c>
      <c r="M185" s="135">
        <f t="shared" si="67"/>
        <v>0.06</v>
      </c>
      <c r="N185" s="135">
        <f t="shared" si="67"/>
        <v>0.06</v>
      </c>
      <c r="O185" s="135">
        <f t="shared" si="67"/>
        <v>0.06</v>
      </c>
      <c r="P185" s="135">
        <f t="shared" si="67"/>
        <v>0.06</v>
      </c>
      <c r="Q185" s="135">
        <f t="shared" si="67"/>
        <v>0.06</v>
      </c>
      <c r="R185" s="135">
        <f t="shared" si="67"/>
        <v>0.06</v>
      </c>
      <c r="S185" s="135">
        <f t="shared" si="67"/>
        <v>0.06</v>
      </c>
      <c r="T185" s="135">
        <f t="shared" si="68"/>
        <v>0.06</v>
      </c>
      <c r="U185" s="135">
        <f t="shared" si="68"/>
        <v>0.06</v>
      </c>
      <c r="V185" s="135">
        <f t="shared" si="68"/>
        <v>0.06</v>
      </c>
      <c r="W185" s="135">
        <f t="shared" si="68"/>
        <v>0.06</v>
      </c>
      <c r="X185" s="135">
        <f t="shared" si="68"/>
        <v>0.06</v>
      </c>
      <c r="Y185" s="135">
        <f t="shared" si="68"/>
        <v>0.06</v>
      </c>
      <c r="Z185" s="135">
        <f t="shared" si="68"/>
        <v>0.06</v>
      </c>
      <c r="AA185" s="135">
        <f t="shared" si="68"/>
        <v>0.06</v>
      </c>
      <c r="AB185" s="135">
        <f t="shared" si="68"/>
        <v>0.06</v>
      </c>
      <c r="AC185" s="135">
        <f t="shared" si="68"/>
        <v>0.06</v>
      </c>
      <c r="AD185" s="135">
        <f t="shared" si="68"/>
        <v>0.06</v>
      </c>
      <c r="AE185" s="135">
        <f t="shared" si="68"/>
        <v>0.06</v>
      </c>
      <c r="AF185" s="135">
        <f t="shared" si="68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66"/>
        <v>0.11</v>
      </c>
      <c r="C186" s="136">
        <v>0.11</v>
      </c>
      <c r="D186" s="135">
        <f t="shared" si="67"/>
        <v>0.11</v>
      </c>
      <c r="E186" s="135">
        <f t="shared" si="67"/>
        <v>0.11</v>
      </c>
      <c r="F186" s="135">
        <f t="shared" si="67"/>
        <v>0.11</v>
      </c>
      <c r="G186" s="135">
        <f t="shared" si="67"/>
        <v>0.11</v>
      </c>
      <c r="H186" s="135">
        <f t="shared" si="67"/>
        <v>0.11</v>
      </c>
      <c r="I186" s="135">
        <f t="shared" si="67"/>
        <v>0.11</v>
      </c>
      <c r="J186" s="135">
        <f t="shared" si="67"/>
        <v>0.11</v>
      </c>
      <c r="K186" s="135">
        <f t="shared" si="67"/>
        <v>0.11</v>
      </c>
      <c r="L186" s="135">
        <f t="shared" si="67"/>
        <v>0.11</v>
      </c>
      <c r="M186" s="135">
        <f t="shared" si="67"/>
        <v>0.11</v>
      </c>
      <c r="N186" s="135">
        <f t="shared" si="67"/>
        <v>0.11</v>
      </c>
      <c r="O186" s="135">
        <f t="shared" si="67"/>
        <v>0.11</v>
      </c>
      <c r="P186" s="135">
        <f t="shared" si="67"/>
        <v>0.11</v>
      </c>
      <c r="Q186" s="135">
        <f t="shared" si="67"/>
        <v>0.11</v>
      </c>
      <c r="R186" s="135">
        <f t="shared" si="67"/>
        <v>0.11</v>
      </c>
      <c r="S186" s="135">
        <f t="shared" si="67"/>
        <v>0.11</v>
      </c>
      <c r="T186" s="135">
        <f t="shared" si="68"/>
        <v>0.11</v>
      </c>
      <c r="U186" s="135">
        <f t="shared" si="68"/>
        <v>0.11</v>
      </c>
      <c r="V186" s="135">
        <f t="shared" si="68"/>
        <v>0.11</v>
      </c>
      <c r="W186" s="135">
        <f t="shared" si="68"/>
        <v>0.11</v>
      </c>
      <c r="X186" s="135">
        <f t="shared" si="68"/>
        <v>0.11</v>
      </c>
      <c r="Y186" s="135">
        <f t="shared" si="68"/>
        <v>0.11</v>
      </c>
      <c r="Z186" s="135">
        <f t="shared" si="68"/>
        <v>0.11</v>
      </c>
      <c r="AA186" s="135">
        <f t="shared" si="68"/>
        <v>0.11</v>
      </c>
      <c r="AB186" s="135">
        <f t="shared" si="68"/>
        <v>0.11</v>
      </c>
      <c r="AC186" s="135">
        <f t="shared" si="68"/>
        <v>0.11</v>
      </c>
      <c r="AD186" s="135">
        <f t="shared" si="68"/>
        <v>0.11</v>
      </c>
      <c r="AE186" s="135">
        <f t="shared" si="68"/>
        <v>0.11</v>
      </c>
      <c r="AF186" s="135">
        <f t="shared" si="68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66"/>
        <v>0.1</v>
      </c>
      <c r="C187" s="136">
        <v>0.1</v>
      </c>
      <c r="D187" s="135">
        <f t="shared" si="67"/>
        <v>0.1</v>
      </c>
      <c r="E187" s="135">
        <f t="shared" si="67"/>
        <v>0.1</v>
      </c>
      <c r="F187" s="135">
        <f t="shared" si="67"/>
        <v>0.1</v>
      </c>
      <c r="G187" s="135">
        <f t="shared" si="67"/>
        <v>0.1</v>
      </c>
      <c r="H187" s="135">
        <f t="shared" si="67"/>
        <v>0.1</v>
      </c>
      <c r="I187" s="135">
        <f t="shared" si="67"/>
        <v>0.1</v>
      </c>
      <c r="J187" s="135">
        <f t="shared" si="67"/>
        <v>0.1</v>
      </c>
      <c r="K187" s="135">
        <f t="shared" si="67"/>
        <v>0.1</v>
      </c>
      <c r="L187" s="135">
        <f t="shared" si="67"/>
        <v>0.1</v>
      </c>
      <c r="M187" s="135">
        <f t="shared" si="67"/>
        <v>0.1</v>
      </c>
      <c r="N187" s="135">
        <f t="shared" si="67"/>
        <v>0.1</v>
      </c>
      <c r="O187" s="135">
        <f t="shared" si="67"/>
        <v>0.1</v>
      </c>
      <c r="P187" s="135">
        <f t="shared" si="67"/>
        <v>0.1</v>
      </c>
      <c r="Q187" s="135">
        <f t="shared" si="67"/>
        <v>0.1</v>
      </c>
      <c r="R187" s="135">
        <f t="shared" si="67"/>
        <v>0.1</v>
      </c>
      <c r="S187" s="135">
        <f t="shared" si="68"/>
        <v>0.1</v>
      </c>
      <c r="T187" s="135">
        <f t="shared" si="68"/>
        <v>0.1</v>
      </c>
      <c r="U187" s="135">
        <f t="shared" si="68"/>
        <v>0.1</v>
      </c>
      <c r="V187" s="135">
        <f t="shared" si="68"/>
        <v>0.1</v>
      </c>
      <c r="W187" s="135">
        <f t="shared" si="68"/>
        <v>0.1</v>
      </c>
      <c r="X187" s="135">
        <f t="shared" si="68"/>
        <v>0.1</v>
      </c>
      <c r="Y187" s="135">
        <f t="shared" si="68"/>
        <v>0.1</v>
      </c>
      <c r="Z187" s="135">
        <f t="shared" si="68"/>
        <v>0.1</v>
      </c>
      <c r="AA187" s="135">
        <f t="shared" si="68"/>
        <v>0.1</v>
      </c>
      <c r="AB187" s="135">
        <f t="shared" si="68"/>
        <v>0.1</v>
      </c>
      <c r="AC187" s="135">
        <f t="shared" si="68"/>
        <v>0.1</v>
      </c>
      <c r="AD187" s="135">
        <f t="shared" si="68"/>
        <v>0.1</v>
      </c>
      <c r="AE187" s="135">
        <f t="shared" si="68"/>
        <v>0.1</v>
      </c>
      <c r="AF187" s="135">
        <f t="shared" si="68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66"/>
        <v>0.09</v>
      </c>
      <c r="C188" s="136">
        <v>0.09</v>
      </c>
      <c r="D188" s="135">
        <f t="shared" si="67"/>
        <v>0.09</v>
      </c>
      <c r="E188" s="135">
        <f t="shared" si="67"/>
        <v>0.09</v>
      </c>
      <c r="F188" s="135">
        <f t="shared" si="67"/>
        <v>0.09</v>
      </c>
      <c r="G188" s="135">
        <f t="shared" si="67"/>
        <v>0.09</v>
      </c>
      <c r="H188" s="135">
        <f t="shared" si="67"/>
        <v>0.09</v>
      </c>
      <c r="I188" s="135">
        <f t="shared" si="67"/>
        <v>0.09</v>
      </c>
      <c r="J188" s="135">
        <f t="shared" si="67"/>
        <v>0.09</v>
      </c>
      <c r="K188" s="135">
        <f t="shared" si="67"/>
        <v>0.09</v>
      </c>
      <c r="L188" s="135">
        <f t="shared" si="67"/>
        <v>0.09</v>
      </c>
      <c r="M188" s="135">
        <f t="shared" si="67"/>
        <v>0.09</v>
      </c>
      <c r="N188" s="135">
        <f t="shared" si="67"/>
        <v>0.09</v>
      </c>
      <c r="O188" s="135">
        <f t="shared" si="67"/>
        <v>0.09</v>
      </c>
      <c r="P188" s="135">
        <f t="shared" si="67"/>
        <v>0.09</v>
      </c>
      <c r="Q188" s="135">
        <f t="shared" si="67"/>
        <v>0.09</v>
      </c>
      <c r="R188" s="135">
        <f t="shared" si="67"/>
        <v>0.09</v>
      </c>
      <c r="S188" s="135">
        <f t="shared" si="68"/>
        <v>0.09</v>
      </c>
      <c r="T188" s="135">
        <f t="shared" si="68"/>
        <v>0.09</v>
      </c>
      <c r="U188" s="135">
        <f t="shared" si="68"/>
        <v>0.09</v>
      </c>
      <c r="V188" s="135">
        <f t="shared" si="68"/>
        <v>0.09</v>
      </c>
      <c r="W188" s="135">
        <f t="shared" si="68"/>
        <v>0.09</v>
      </c>
      <c r="X188" s="135">
        <f t="shared" si="68"/>
        <v>0.09</v>
      </c>
      <c r="Y188" s="135">
        <f t="shared" si="68"/>
        <v>0.09</v>
      </c>
      <c r="Z188" s="135">
        <f t="shared" si="68"/>
        <v>0.09</v>
      </c>
      <c r="AA188" s="135">
        <f t="shared" si="68"/>
        <v>0.09</v>
      </c>
      <c r="AB188" s="135">
        <f t="shared" si="68"/>
        <v>0.09</v>
      </c>
      <c r="AC188" s="135">
        <f t="shared" si="68"/>
        <v>0.09</v>
      </c>
      <c r="AD188" s="135">
        <f t="shared" si="68"/>
        <v>0.09</v>
      </c>
      <c r="AE188" s="135">
        <f t="shared" si="68"/>
        <v>0.09</v>
      </c>
      <c r="AF188" s="135">
        <f t="shared" si="68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66"/>
        <v>0.04</v>
      </c>
      <c r="C189" s="52">
        <v>0.04</v>
      </c>
      <c r="D189" s="135">
        <f t="shared" si="67"/>
        <v>0.04</v>
      </c>
      <c r="E189" s="135">
        <f t="shared" si="67"/>
        <v>0.04</v>
      </c>
      <c r="F189" s="135">
        <f t="shared" si="67"/>
        <v>0.04</v>
      </c>
      <c r="G189" s="135">
        <f t="shared" si="67"/>
        <v>0.04</v>
      </c>
      <c r="H189" s="135">
        <f t="shared" si="67"/>
        <v>0.04</v>
      </c>
      <c r="I189" s="135">
        <f t="shared" si="67"/>
        <v>0.04</v>
      </c>
      <c r="J189" s="135">
        <f t="shared" si="67"/>
        <v>0.04</v>
      </c>
      <c r="K189" s="135">
        <f t="shared" si="67"/>
        <v>0.04</v>
      </c>
      <c r="L189" s="135">
        <f t="shared" si="67"/>
        <v>0.04</v>
      </c>
      <c r="M189" s="135">
        <f t="shared" si="67"/>
        <v>0.04</v>
      </c>
      <c r="N189" s="135">
        <f t="shared" si="67"/>
        <v>0.04</v>
      </c>
      <c r="O189" s="135">
        <f t="shared" si="67"/>
        <v>0.04</v>
      </c>
      <c r="P189" s="135">
        <f t="shared" si="67"/>
        <v>0.04</v>
      </c>
      <c r="Q189" s="135">
        <f t="shared" si="67"/>
        <v>0.04</v>
      </c>
      <c r="R189" s="135">
        <f t="shared" si="67"/>
        <v>0.04</v>
      </c>
      <c r="S189" s="135">
        <f t="shared" si="68"/>
        <v>0.04</v>
      </c>
      <c r="T189" s="135">
        <f t="shared" si="68"/>
        <v>0.04</v>
      </c>
      <c r="U189" s="135">
        <f t="shared" si="68"/>
        <v>0.04</v>
      </c>
      <c r="V189" s="135">
        <f t="shared" si="68"/>
        <v>0.04</v>
      </c>
      <c r="W189" s="135">
        <f t="shared" si="68"/>
        <v>0.04</v>
      </c>
      <c r="X189" s="135">
        <f t="shared" si="68"/>
        <v>0.04</v>
      </c>
      <c r="Y189" s="135">
        <f t="shared" si="68"/>
        <v>0.04</v>
      </c>
      <c r="Z189" s="135">
        <f t="shared" si="68"/>
        <v>0.04</v>
      </c>
      <c r="AA189" s="135">
        <f t="shared" si="68"/>
        <v>0.04</v>
      </c>
      <c r="AB189" s="135">
        <f t="shared" si="68"/>
        <v>0.04</v>
      </c>
      <c r="AC189" s="135">
        <f t="shared" si="68"/>
        <v>0.04</v>
      </c>
      <c r="AD189" s="135">
        <f t="shared" si="68"/>
        <v>0.04</v>
      </c>
      <c r="AE189" s="135">
        <f t="shared" si="68"/>
        <v>0.04</v>
      </c>
      <c r="AF189" s="135">
        <f t="shared" si="68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66"/>
        <v>2.3E-2</v>
      </c>
      <c r="C190" s="52">
        <v>2.3E-2</v>
      </c>
      <c r="D190" s="135">
        <f>C190</f>
        <v>2.3E-2</v>
      </c>
      <c r="E190" s="135">
        <f t="shared" si="67"/>
        <v>2.3E-2</v>
      </c>
      <c r="F190" s="135">
        <f t="shared" si="67"/>
        <v>2.3E-2</v>
      </c>
      <c r="G190" s="135">
        <f t="shared" si="67"/>
        <v>2.3E-2</v>
      </c>
      <c r="H190" s="135">
        <f t="shared" si="67"/>
        <v>2.3E-2</v>
      </c>
      <c r="I190" s="135">
        <f t="shared" si="67"/>
        <v>2.3E-2</v>
      </c>
      <c r="J190" s="135">
        <f t="shared" si="67"/>
        <v>2.3E-2</v>
      </c>
      <c r="K190" s="135">
        <f t="shared" si="67"/>
        <v>2.3E-2</v>
      </c>
      <c r="L190" s="135">
        <f t="shared" si="67"/>
        <v>2.3E-2</v>
      </c>
      <c r="M190" s="135">
        <f t="shared" si="67"/>
        <v>2.3E-2</v>
      </c>
      <c r="N190" s="135">
        <f t="shared" si="67"/>
        <v>2.3E-2</v>
      </c>
      <c r="O190" s="135">
        <f t="shared" si="67"/>
        <v>2.3E-2</v>
      </c>
      <c r="P190" s="135">
        <f t="shared" si="67"/>
        <v>2.3E-2</v>
      </c>
      <c r="Q190" s="135">
        <f t="shared" si="67"/>
        <v>2.3E-2</v>
      </c>
      <c r="R190" s="135">
        <f t="shared" si="67"/>
        <v>2.3E-2</v>
      </c>
      <c r="S190" s="135">
        <f t="shared" si="68"/>
        <v>2.3E-2</v>
      </c>
      <c r="T190" s="135">
        <f t="shared" si="68"/>
        <v>2.3E-2</v>
      </c>
      <c r="U190" s="135">
        <f t="shared" si="68"/>
        <v>2.3E-2</v>
      </c>
      <c r="V190" s="135">
        <f t="shared" si="68"/>
        <v>2.3E-2</v>
      </c>
      <c r="W190" s="135">
        <f t="shared" si="68"/>
        <v>2.3E-2</v>
      </c>
      <c r="X190" s="135">
        <f t="shared" si="68"/>
        <v>2.3E-2</v>
      </c>
      <c r="Y190" s="135">
        <f t="shared" si="68"/>
        <v>2.3E-2</v>
      </c>
      <c r="Z190" s="135">
        <f t="shared" si="68"/>
        <v>2.3E-2</v>
      </c>
      <c r="AA190" s="135">
        <f t="shared" si="68"/>
        <v>2.3E-2</v>
      </c>
      <c r="AB190" s="135">
        <f t="shared" si="68"/>
        <v>2.3E-2</v>
      </c>
      <c r="AC190" s="135">
        <f t="shared" si="68"/>
        <v>2.3E-2</v>
      </c>
      <c r="AD190" s="135">
        <f t="shared" si="68"/>
        <v>2.3E-2</v>
      </c>
      <c r="AE190" s="135">
        <f t="shared" si="68"/>
        <v>2.3E-2</v>
      </c>
      <c r="AF190" s="135">
        <f t="shared" si="68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69">SUM(C101:C190)</f>
        <v>194.70600000000002</v>
      </c>
      <c r="D191" s="140">
        <f t="shared" si="69"/>
        <v>194.70600000000002</v>
      </c>
      <c r="E191" s="140">
        <f t="shared" si="69"/>
        <v>194.70600000000002</v>
      </c>
      <c r="F191" s="140">
        <f t="shared" si="69"/>
        <v>194.70600000000002</v>
      </c>
      <c r="G191" s="140">
        <f t="shared" si="69"/>
        <v>194.70600000000002</v>
      </c>
      <c r="H191" s="140">
        <f t="shared" si="69"/>
        <v>194.70600000000002</v>
      </c>
      <c r="I191" s="140">
        <f t="shared" si="69"/>
        <v>194.70600000000002</v>
      </c>
      <c r="J191" s="140">
        <f t="shared" si="69"/>
        <v>192.10600000000005</v>
      </c>
      <c r="K191" s="140">
        <f t="shared" si="69"/>
        <v>192.10600000000005</v>
      </c>
      <c r="L191" s="140">
        <f t="shared" si="69"/>
        <v>192.10600000000005</v>
      </c>
      <c r="M191" s="140">
        <f t="shared" si="69"/>
        <v>192.10600000000005</v>
      </c>
      <c r="N191" s="140">
        <f t="shared" si="69"/>
        <v>192.10600000000005</v>
      </c>
      <c r="O191" s="140">
        <f t="shared" si="69"/>
        <v>192.10600000000005</v>
      </c>
      <c r="P191" s="140">
        <f t="shared" si="69"/>
        <v>192.10600000000005</v>
      </c>
      <c r="Q191" s="140">
        <f t="shared" si="69"/>
        <v>192.10600000000005</v>
      </c>
      <c r="R191" s="140">
        <f t="shared" si="69"/>
        <v>192.10600000000005</v>
      </c>
      <c r="S191" s="140">
        <f t="shared" si="69"/>
        <v>192.10600000000005</v>
      </c>
      <c r="T191" s="140">
        <f t="shared" si="69"/>
        <v>192.10600000000005</v>
      </c>
      <c r="U191" s="140">
        <f t="shared" si="69"/>
        <v>192.10600000000005</v>
      </c>
      <c r="V191" s="140">
        <f t="shared" si="69"/>
        <v>192.10600000000005</v>
      </c>
      <c r="W191" s="140">
        <f t="shared" si="69"/>
        <v>192.10600000000005</v>
      </c>
      <c r="X191" s="140">
        <f t="shared" si="69"/>
        <v>192.10600000000005</v>
      </c>
      <c r="Y191" s="140">
        <f t="shared" si="69"/>
        <v>192.10600000000005</v>
      </c>
      <c r="Z191" s="140">
        <f t="shared" si="69"/>
        <v>192.10600000000005</v>
      </c>
      <c r="AA191" s="140">
        <f t="shared" si="69"/>
        <v>192.10600000000005</v>
      </c>
      <c r="AB191" s="140">
        <f t="shared" si="69"/>
        <v>192.10600000000005</v>
      </c>
      <c r="AC191" s="140">
        <f t="shared" si="69"/>
        <v>192.10600000000005</v>
      </c>
      <c r="AD191" s="140">
        <f t="shared" si="69"/>
        <v>192.10600000000005</v>
      </c>
      <c r="AE191" s="140">
        <f t="shared" si="69"/>
        <v>192.10600000000005</v>
      </c>
      <c r="AF191" s="140">
        <f t="shared" si="69"/>
        <v>192.10600000000005</v>
      </c>
      <c r="AG191" s="141">
        <f t="shared" si="69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70">AF193</f>
        <v>0.3</v>
      </c>
      <c r="C193" s="142">
        <v>0.3</v>
      </c>
      <c r="D193" s="142">
        <f t="shared" ref="D193:S198" si="71">C193</f>
        <v>0.3</v>
      </c>
      <c r="E193" s="142">
        <f t="shared" si="71"/>
        <v>0.3</v>
      </c>
      <c r="F193" s="142">
        <f t="shared" si="71"/>
        <v>0.3</v>
      </c>
      <c r="G193" s="142">
        <f t="shared" si="71"/>
        <v>0.3</v>
      </c>
      <c r="H193" s="142">
        <f t="shared" si="71"/>
        <v>0.3</v>
      </c>
      <c r="I193" s="142">
        <f t="shared" si="71"/>
        <v>0.3</v>
      </c>
      <c r="J193" s="142">
        <f t="shared" si="71"/>
        <v>0.3</v>
      </c>
      <c r="K193" s="142">
        <f t="shared" si="71"/>
        <v>0.3</v>
      </c>
      <c r="L193" s="142">
        <f t="shared" si="71"/>
        <v>0.3</v>
      </c>
      <c r="M193" s="142">
        <f t="shared" si="71"/>
        <v>0.3</v>
      </c>
      <c r="N193" s="142">
        <f t="shared" si="71"/>
        <v>0.3</v>
      </c>
      <c r="O193" s="142">
        <f t="shared" si="71"/>
        <v>0.3</v>
      </c>
      <c r="P193" s="142">
        <f t="shared" si="71"/>
        <v>0.3</v>
      </c>
      <c r="Q193" s="142">
        <f t="shared" si="71"/>
        <v>0.3</v>
      </c>
      <c r="R193" s="142">
        <f t="shared" si="71"/>
        <v>0.3</v>
      </c>
      <c r="S193" s="142">
        <f t="shared" si="71"/>
        <v>0.3</v>
      </c>
      <c r="T193" s="142">
        <f t="shared" ref="T193:AF198" si="72">S193</f>
        <v>0.3</v>
      </c>
      <c r="U193" s="142">
        <f t="shared" si="72"/>
        <v>0.3</v>
      </c>
      <c r="V193" s="142">
        <f t="shared" si="72"/>
        <v>0.3</v>
      </c>
      <c r="W193" s="142">
        <f t="shared" si="72"/>
        <v>0.3</v>
      </c>
      <c r="X193" s="142">
        <f t="shared" si="72"/>
        <v>0.3</v>
      </c>
      <c r="Y193" s="142">
        <f t="shared" si="72"/>
        <v>0.3</v>
      </c>
      <c r="Z193" s="142">
        <f t="shared" si="72"/>
        <v>0.3</v>
      </c>
      <c r="AA193" s="142">
        <f t="shared" si="72"/>
        <v>0.3</v>
      </c>
      <c r="AB193" s="142">
        <f t="shared" si="72"/>
        <v>0.3</v>
      </c>
      <c r="AC193" s="142">
        <f t="shared" si="72"/>
        <v>0.3</v>
      </c>
      <c r="AD193" s="142">
        <f t="shared" si="72"/>
        <v>0.3</v>
      </c>
      <c r="AE193" s="142">
        <f t="shared" si="72"/>
        <v>0.3</v>
      </c>
      <c r="AF193" s="142">
        <f t="shared" si="72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70"/>
        <v>0.4</v>
      </c>
      <c r="C194" s="135">
        <v>0.4</v>
      </c>
      <c r="D194" s="135">
        <f t="shared" si="71"/>
        <v>0.4</v>
      </c>
      <c r="E194" s="135">
        <f t="shared" si="71"/>
        <v>0.4</v>
      </c>
      <c r="F194" s="135">
        <f t="shared" si="71"/>
        <v>0.4</v>
      </c>
      <c r="G194" s="135">
        <f t="shared" si="71"/>
        <v>0.4</v>
      </c>
      <c r="H194" s="135">
        <f t="shared" si="71"/>
        <v>0.4</v>
      </c>
      <c r="I194" s="135">
        <f t="shared" si="71"/>
        <v>0.4</v>
      </c>
      <c r="J194" s="135">
        <f t="shared" si="71"/>
        <v>0.4</v>
      </c>
      <c r="K194" s="135">
        <f t="shared" si="71"/>
        <v>0.4</v>
      </c>
      <c r="L194" s="135">
        <f t="shared" si="71"/>
        <v>0.4</v>
      </c>
      <c r="M194" s="135">
        <f t="shared" si="71"/>
        <v>0.4</v>
      </c>
      <c r="N194" s="135">
        <f t="shared" si="71"/>
        <v>0.4</v>
      </c>
      <c r="O194" s="135">
        <f t="shared" si="71"/>
        <v>0.4</v>
      </c>
      <c r="P194" s="135">
        <f t="shared" si="71"/>
        <v>0.4</v>
      </c>
      <c r="Q194" s="135">
        <f t="shared" si="71"/>
        <v>0.4</v>
      </c>
      <c r="R194" s="135">
        <f t="shared" si="71"/>
        <v>0.4</v>
      </c>
      <c r="S194" s="135">
        <f t="shared" si="71"/>
        <v>0.4</v>
      </c>
      <c r="T194" s="135">
        <f t="shared" si="72"/>
        <v>0.4</v>
      </c>
      <c r="U194" s="135">
        <f t="shared" si="72"/>
        <v>0.4</v>
      </c>
      <c r="V194" s="135">
        <f t="shared" si="72"/>
        <v>0.4</v>
      </c>
      <c r="W194" s="135">
        <f>V194</f>
        <v>0.4</v>
      </c>
      <c r="X194" s="135">
        <f>W194</f>
        <v>0.4</v>
      </c>
      <c r="Y194" s="135">
        <f t="shared" si="72"/>
        <v>0.4</v>
      </c>
      <c r="Z194" s="135">
        <f t="shared" si="72"/>
        <v>0.4</v>
      </c>
      <c r="AA194" s="135">
        <f t="shared" si="72"/>
        <v>0.4</v>
      </c>
      <c r="AB194" s="135">
        <f t="shared" si="72"/>
        <v>0.4</v>
      </c>
      <c r="AC194" s="135">
        <f t="shared" si="72"/>
        <v>0.4</v>
      </c>
      <c r="AD194" s="135">
        <f t="shared" si="72"/>
        <v>0.4</v>
      </c>
      <c r="AE194" s="135">
        <f t="shared" si="72"/>
        <v>0.4</v>
      </c>
      <c r="AF194" s="135">
        <f t="shared" si="72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70"/>
        <v>1.5</v>
      </c>
      <c r="C195" s="135">
        <v>1.5</v>
      </c>
      <c r="D195" s="135">
        <f t="shared" si="71"/>
        <v>1.5</v>
      </c>
      <c r="E195" s="135">
        <f t="shared" si="71"/>
        <v>1.5</v>
      </c>
      <c r="F195" s="135">
        <f t="shared" si="71"/>
        <v>1.5</v>
      </c>
      <c r="G195" s="135">
        <f t="shared" si="71"/>
        <v>1.5</v>
      </c>
      <c r="H195" s="135">
        <f t="shared" si="71"/>
        <v>1.5</v>
      </c>
      <c r="I195" s="135">
        <f t="shared" si="71"/>
        <v>1.5</v>
      </c>
      <c r="J195" s="135">
        <f t="shared" si="71"/>
        <v>1.5</v>
      </c>
      <c r="K195" s="135">
        <f t="shared" si="71"/>
        <v>1.5</v>
      </c>
      <c r="L195" s="135">
        <f t="shared" si="71"/>
        <v>1.5</v>
      </c>
      <c r="M195" s="135">
        <f t="shared" si="71"/>
        <v>1.5</v>
      </c>
      <c r="N195" s="135">
        <f t="shared" si="71"/>
        <v>1.5</v>
      </c>
      <c r="O195" s="135">
        <f t="shared" si="71"/>
        <v>1.5</v>
      </c>
      <c r="P195" s="135">
        <f t="shared" si="71"/>
        <v>1.5</v>
      </c>
      <c r="Q195" s="135">
        <f t="shared" si="71"/>
        <v>1.5</v>
      </c>
      <c r="R195" s="135">
        <f t="shared" si="71"/>
        <v>1.5</v>
      </c>
      <c r="S195" s="135">
        <f t="shared" si="71"/>
        <v>1.5</v>
      </c>
      <c r="T195" s="135">
        <f t="shared" si="72"/>
        <v>1.5</v>
      </c>
      <c r="U195" s="135">
        <f t="shared" si="72"/>
        <v>1.5</v>
      </c>
      <c r="V195" s="135">
        <f t="shared" si="72"/>
        <v>1.5</v>
      </c>
      <c r="W195" s="135">
        <f t="shared" si="72"/>
        <v>1.5</v>
      </c>
      <c r="X195" s="135">
        <f t="shared" si="72"/>
        <v>1.5</v>
      </c>
      <c r="Y195" s="135">
        <f t="shared" si="72"/>
        <v>1.5</v>
      </c>
      <c r="Z195" s="135">
        <f t="shared" si="72"/>
        <v>1.5</v>
      </c>
      <c r="AA195" s="135">
        <f t="shared" si="72"/>
        <v>1.5</v>
      </c>
      <c r="AB195" s="135">
        <f t="shared" si="72"/>
        <v>1.5</v>
      </c>
      <c r="AC195" s="135">
        <f t="shared" si="72"/>
        <v>1.5</v>
      </c>
      <c r="AD195" s="135">
        <f t="shared" si="72"/>
        <v>1.5</v>
      </c>
      <c r="AE195" s="135">
        <f t="shared" si="72"/>
        <v>1.5</v>
      </c>
      <c r="AF195" s="135">
        <f t="shared" si="72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70"/>
        <v>0.3</v>
      </c>
      <c r="C196" s="135">
        <v>0.3</v>
      </c>
      <c r="D196" s="135">
        <f t="shared" si="71"/>
        <v>0.3</v>
      </c>
      <c r="E196" s="135">
        <f t="shared" si="71"/>
        <v>0.3</v>
      </c>
      <c r="F196" s="135">
        <f t="shared" si="71"/>
        <v>0.3</v>
      </c>
      <c r="G196" s="135">
        <f t="shared" si="71"/>
        <v>0.3</v>
      </c>
      <c r="H196" s="135">
        <f t="shared" si="71"/>
        <v>0.3</v>
      </c>
      <c r="I196" s="135">
        <f t="shared" si="71"/>
        <v>0.3</v>
      </c>
      <c r="J196" s="135">
        <f t="shared" si="71"/>
        <v>0.3</v>
      </c>
      <c r="K196" s="135">
        <f t="shared" si="71"/>
        <v>0.3</v>
      </c>
      <c r="L196" s="135">
        <f t="shared" si="71"/>
        <v>0.3</v>
      </c>
      <c r="M196" s="135">
        <f t="shared" si="71"/>
        <v>0.3</v>
      </c>
      <c r="N196" s="135">
        <f t="shared" si="71"/>
        <v>0.3</v>
      </c>
      <c r="O196" s="135">
        <f t="shared" si="71"/>
        <v>0.3</v>
      </c>
      <c r="P196" s="135">
        <f t="shared" si="71"/>
        <v>0.3</v>
      </c>
      <c r="Q196" s="135">
        <f t="shared" si="71"/>
        <v>0.3</v>
      </c>
      <c r="R196" s="135">
        <f t="shared" si="71"/>
        <v>0.3</v>
      </c>
      <c r="S196" s="135">
        <f t="shared" si="71"/>
        <v>0.3</v>
      </c>
      <c r="T196" s="135">
        <f t="shared" si="72"/>
        <v>0.3</v>
      </c>
      <c r="U196" s="135">
        <f t="shared" si="72"/>
        <v>0.3</v>
      </c>
      <c r="V196" s="135">
        <f t="shared" si="72"/>
        <v>0.3</v>
      </c>
      <c r="W196" s="135">
        <f t="shared" si="72"/>
        <v>0.3</v>
      </c>
      <c r="X196" s="135">
        <f t="shared" si="72"/>
        <v>0.3</v>
      </c>
      <c r="Y196" s="135">
        <f t="shared" si="72"/>
        <v>0.3</v>
      </c>
      <c r="Z196" s="135">
        <f t="shared" si="72"/>
        <v>0.3</v>
      </c>
      <c r="AA196" s="135">
        <f t="shared" si="72"/>
        <v>0.3</v>
      </c>
      <c r="AB196" s="135">
        <f t="shared" si="72"/>
        <v>0.3</v>
      </c>
      <c r="AC196" s="135">
        <f t="shared" si="72"/>
        <v>0.3</v>
      </c>
      <c r="AD196" s="135">
        <f t="shared" si="72"/>
        <v>0.3</v>
      </c>
      <c r="AE196" s="135">
        <f t="shared" si="72"/>
        <v>0.3</v>
      </c>
      <c r="AF196" s="135">
        <f t="shared" si="72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70"/>
        <v>0.4</v>
      </c>
      <c r="C197" s="135">
        <v>0.4</v>
      </c>
      <c r="D197" s="135">
        <f t="shared" si="71"/>
        <v>0.4</v>
      </c>
      <c r="E197" s="135">
        <f t="shared" si="71"/>
        <v>0.4</v>
      </c>
      <c r="F197" s="135">
        <f t="shared" si="71"/>
        <v>0.4</v>
      </c>
      <c r="G197" s="135">
        <f t="shared" si="71"/>
        <v>0.4</v>
      </c>
      <c r="H197" s="135">
        <f t="shared" si="71"/>
        <v>0.4</v>
      </c>
      <c r="I197" s="135">
        <f t="shared" si="71"/>
        <v>0.4</v>
      </c>
      <c r="J197" s="135">
        <f t="shared" si="71"/>
        <v>0.4</v>
      </c>
      <c r="K197" s="135">
        <f t="shared" si="71"/>
        <v>0.4</v>
      </c>
      <c r="L197" s="135">
        <f t="shared" si="71"/>
        <v>0.4</v>
      </c>
      <c r="M197" s="135">
        <f t="shared" si="71"/>
        <v>0.4</v>
      </c>
      <c r="N197" s="135">
        <f t="shared" si="71"/>
        <v>0.4</v>
      </c>
      <c r="O197" s="135">
        <f t="shared" si="71"/>
        <v>0.4</v>
      </c>
      <c r="P197" s="135">
        <f t="shared" si="71"/>
        <v>0.4</v>
      </c>
      <c r="Q197" s="135">
        <f t="shared" si="71"/>
        <v>0.4</v>
      </c>
      <c r="R197" s="135">
        <f t="shared" si="71"/>
        <v>0.4</v>
      </c>
      <c r="S197" s="135">
        <f t="shared" si="71"/>
        <v>0.4</v>
      </c>
      <c r="T197" s="135">
        <f t="shared" si="72"/>
        <v>0.4</v>
      </c>
      <c r="U197" s="135">
        <f t="shared" si="72"/>
        <v>0.4</v>
      </c>
      <c r="V197" s="135">
        <f t="shared" si="72"/>
        <v>0.4</v>
      </c>
      <c r="W197" s="135">
        <f t="shared" si="72"/>
        <v>0.4</v>
      </c>
      <c r="X197" s="135">
        <f t="shared" si="72"/>
        <v>0.4</v>
      </c>
      <c r="Y197" s="135">
        <f t="shared" si="72"/>
        <v>0.4</v>
      </c>
      <c r="Z197" s="135">
        <f t="shared" si="72"/>
        <v>0.4</v>
      </c>
      <c r="AA197" s="135">
        <f t="shared" si="72"/>
        <v>0.4</v>
      </c>
      <c r="AB197" s="135">
        <f t="shared" si="72"/>
        <v>0.4</v>
      </c>
      <c r="AC197" s="135">
        <f t="shared" si="72"/>
        <v>0.4</v>
      </c>
      <c r="AD197" s="135">
        <f t="shared" si="72"/>
        <v>0.4</v>
      </c>
      <c r="AE197" s="135">
        <f t="shared" si="72"/>
        <v>0.4</v>
      </c>
      <c r="AF197" s="135">
        <f t="shared" si="72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70"/>
        <v>0.64</v>
      </c>
      <c r="C198" s="145">
        <v>0.64</v>
      </c>
      <c r="D198" s="145">
        <f t="shared" si="71"/>
        <v>0.64</v>
      </c>
      <c r="E198" s="145">
        <f t="shared" si="71"/>
        <v>0.64</v>
      </c>
      <c r="F198" s="145">
        <f t="shared" si="71"/>
        <v>0.64</v>
      </c>
      <c r="G198" s="145">
        <f t="shared" si="71"/>
        <v>0.64</v>
      </c>
      <c r="H198" s="145">
        <f t="shared" si="71"/>
        <v>0.64</v>
      </c>
      <c r="I198" s="145">
        <f t="shared" si="71"/>
        <v>0.64</v>
      </c>
      <c r="J198" s="145">
        <f t="shared" si="71"/>
        <v>0.64</v>
      </c>
      <c r="K198" s="145">
        <f t="shared" si="71"/>
        <v>0.64</v>
      </c>
      <c r="L198" s="145">
        <f t="shared" si="71"/>
        <v>0.64</v>
      </c>
      <c r="M198" s="145">
        <f t="shared" si="71"/>
        <v>0.64</v>
      </c>
      <c r="N198" s="145">
        <f t="shared" si="71"/>
        <v>0.64</v>
      </c>
      <c r="O198" s="145">
        <f t="shared" si="71"/>
        <v>0.64</v>
      </c>
      <c r="P198" s="145">
        <f t="shared" si="71"/>
        <v>0.64</v>
      </c>
      <c r="Q198" s="145">
        <f t="shared" si="71"/>
        <v>0.64</v>
      </c>
      <c r="R198" s="145">
        <f t="shared" si="71"/>
        <v>0.64</v>
      </c>
      <c r="S198" s="145">
        <f t="shared" si="71"/>
        <v>0.64</v>
      </c>
      <c r="T198" s="145">
        <f t="shared" si="72"/>
        <v>0.64</v>
      </c>
      <c r="U198" s="145">
        <f t="shared" si="72"/>
        <v>0.64</v>
      </c>
      <c r="V198" s="145">
        <f t="shared" si="72"/>
        <v>0.64</v>
      </c>
      <c r="W198" s="145">
        <f t="shared" si="72"/>
        <v>0.64</v>
      </c>
      <c r="X198" s="145">
        <f t="shared" si="72"/>
        <v>0.64</v>
      </c>
      <c r="Y198" s="145">
        <f t="shared" si="72"/>
        <v>0.64</v>
      </c>
      <c r="Z198" s="145">
        <f t="shared" si="72"/>
        <v>0.64</v>
      </c>
      <c r="AA198" s="145">
        <f t="shared" si="72"/>
        <v>0.64</v>
      </c>
      <c r="AB198" s="145">
        <f t="shared" si="72"/>
        <v>0.64</v>
      </c>
      <c r="AC198" s="145">
        <f t="shared" si="72"/>
        <v>0.64</v>
      </c>
      <c r="AD198" s="145">
        <f t="shared" si="72"/>
        <v>0.64</v>
      </c>
      <c r="AE198" s="145">
        <f t="shared" si="72"/>
        <v>0.64</v>
      </c>
      <c r="AF198" s="145">
        <f t="shared" si="72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73">SUM(D193:D198)</f>
        <v>3.54</v>
      </c>
      <c r="E199" s="148">
        <f t="shared" si="73"/>
        <v>3.54</v>
      </c>
      <c r="F199" s="148">
        <f t="shared" si="73"/>
        <v>3.54</v>
      </c>
      <c r="G199" s="148">
        <f t="shared" si="73"/>
        <v>3.54</v>
      </c>
      <c r="H199" s="148">
        <f t="shared" si="73"/>
        <v>3.54</v>
      </c>
      <c r="I199" s="148">
        <f t="shared" si="73"/>
        <v>3.54</v>
      </c>
      <c r="J199" s="148">
        <f t="shared" si="73"/>
        <v>3.54</v>
      </c>
      <c r="K199" s="148">
        <f t="shared" si="73"/>
        <v>3.54</v>
      </c>
      <c r="L199" s="148">
        <f t="shared" si="73"/>
        <v>3.54</v>
      </c>
      <c r="M199" s="148">
        <f>SUM(M193:M198)</f>
        <v>3.54</v>
      </c>
      <c r="N199" s="148">
        <f t="shared" ref="N199:S199" si="74">SUM(N193:N198)</f>
        <v>3.54</v>
      </c>
      <c r="O199" s="148">
        <f t="shared" si="74"/>
        <v>3.54</v>
      </c>
      <c r="P199" s="148">
        <f t="shared" si="74"/>
        <v>3.54</v>
      </c>
      <c r="Q199" s="148">
        <f t="shared" si="74"/>
        <v>3.54</v>
      </c>
      <c r="R199" s="148">
        <f t="shared" si="74"/>
        <v>3.54</v>
      </c>
      <c r="S199" s="148">
        <f t="shared" si="74"/>
        <v>3.54</v>
      </c>
      <c r="T199" s="148">
        <f>SUM(T193:T198)</f>
        <v>3.54</v>
      </c>
      <c r="U199" s="148">
        <f t="shared" ref="U199:AG199" si="75">SUM(U193:U198)</f>
        <v>3.54</v>
      </c>
      <c r="V199" s="148">
        <f t="shared" si="75"/>
        <v>3.54</v>
      </c>
      <c r="W199" s="148">
        <f t="shared" si="75"/>
        <v>3.54</v>
      </c>
      <c r="X199" s="148">
        <f t="shared" si="75"/>
        <v>3.54</v>
      </c>
      <c r="Y199" s="148">
        <f t="shared" si="75"/>
        <v>3.54</v>
      </c>
      <c r="Z199" s="148">
        <f t="shared" si="75"/>
        <v>3.54</v>
      </c>
      <c r="AA199" s="148">
        <f t="shared" si="75"/>
        <v>3.54</v>
      </c>
      <c r="AB199" s="148">
        <f t="shared" si="75"/>
        <v>3.54</v>
      </c>
      <c r="AC199" s="148">
        <f t="shared" si="75"/>
        <v>3.54</v>
      </c>
      <c r="AD199" s="148">
        <f t="shared" si="75"/>
        <v>3.54</v>
      </c>
      <c r="AE199" s="148">
        <f t="shared" si="75"/>
        <v>3.54</v>
      </c>
      <c r="AF199" s="148">
        <f t="shared" si="75"/>
        <v>3.54</v>
      </c>
      <c r="AG199" s="149">
        <f t="shared" si="75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1543.1399999999999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2078/10/24)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76">B75</f>
        <v>978.63999999999987</v>
      </c>
      <c r="U213" s="173">
        <f t="shared" si="76"/>
        <v>962.83999999999992</v>
      </c>
      <c r="V213" s="173">
        <f t="shared" si="76"/>
        <v>943.83999999999992</v>
      </c>
      <c r="W213" s="173">
        <f t="shared" si="76"/>
        <v>931.54</v>
      </c>
      <c r="X213" s="173">
        <f t="shared" si="76"/>
        <v>933.54</v>
      </c>
      <c r="Y213" s="173">
        <f t="shared" si="76"/>
        <v>970.54</v>
      </c>
      <c r="Z213" s="173">
        <f t="shared" si="76"/>
        <v>1025.1399999999999</v>
      </c>
      <c r="AA213" s="173">
        <f t="shared" si="76"/>
        <v>1109.3399999999999</v>
      </c>
      <c r="AB213" s="173">
        <f t="shared" si="76"/>
        <v>1233.54</v>
      </c>
      <c r="AC213" s="173">
        <f t="shared" si="76"/>
        <v>1359.44</v>
      </c>
      <c r="AD213" s="173">
        <f t="shared" si="76"/>
        <v>1500.94</v>
      </c>
      <c r="AE213" s="173">
        <f t="shared" si="76"/>
        <v>1543.1399999999999</v>
      </c>
      <c r="AF213" s="173">
        <f t="shared" si="76"/>
        <v>1524.6390000000001</v>
      </c>
      <c r="AG213" s="173">
        <f t="shared" si="76"/>
        <v>1415.1389999999999</v>
      </c>
      <c r="AH213" s="173">
        <f t="shared" si="76"/>
        <v>1383.039</v>
      </c>
      <c r="AI213" s="173">
        <f t="shared" si="76"/>
        <v>1369.6389999999999</v>
      </c>
      <c r="AJ213" s="173">
        <f t="shared" si="76"/>
        <v>1303.739</v>
      </c>
      <c r="AK213" s="173">
        <f t="shared" si="76"/>
        <v>1250.1400000000001</v>
      </c>
      <c r="AL213" s="173">
        <f t="shared" si="76"/>
        <v>1221.24</v>
      </c>
      <c r="AM213" s="173">
        <f t="shared" si="76"/>
        <v>1280.8399999999999</v>
      </c>
      <c r="AN213" s="173">
        <f t="shared" si="76"/>
        <v>1309.54</v>
      </c>
      <c r="AO213" s="173">
        <f t="shared" si="76"/>
        <v>1373.6399999999999</v>
      </c>
      <c r="AP213" s="173">
        <f t="shared" si="76"/>
        <v>1492.94</v>
      </c>
      <c r="AQ213" s="173">
        <f t="shared" si="76"/>
        <v>1593.54</v>
      </c>
      <c r="AR213" s="173">
        <f t="shared" si="76"/>
        <v>1577.3400000000001</v>
      </c>
      <c r="AS213" s="173">
        <f t="shared" si="76"/>
        <v>1552.04</v>
      </c>
      <c r="AT213" s="173">
        <f t="shared" si="76"/>
        <v>1482.24</v>
      </c>
      <c r="AU213" s="173">
        <f t="shared" si="76"/>
        <v>1470.7399999999998</v>
      </c>
      <c r="AV213" s="173">
        <f t="shared" si="76"/>
        <v>1388.3400000000001</v>
      </c>
      <c r="AW213" s="173">
        <f t="shared" si="76"/>
        <v>1187.24</v>
      </c>
      <c r="AX213" s="173">
        <f t="shared" si="76"/>
        <v>1050.1399999999999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77">C198</f>
        <v>0.64</v>
      </c>
      <c r="C234" s="176">
        <f t="shared" si="77"/>
        <v>0.64</v>
      </c>
      <c r="D234" s="176">
        <f t="shared" si="77"/>
        <v>0.64</v>
      </c>
      <c r="E234" s="176">
        <f t="shared" si="77"/>
        <v>0.64</v>
      </c>
      <c r="F234" s="176">
        <f t="shared" si="77"/>
        <v>0.64</v>
      </c>
      <c r="G234" s="176">
        <f t="shared" si="77"/>
        <v>0.64</v>
      </c>
      <c r="H234" s="176">
        <f t="shared" si="77"/>
        <v>0.64</v>
      </c>
      <c r="I234" s="176">
        <f t="shared" si="77"/>
        <v>0.64</v>
      </c>
      <c r="J234" s="176">
        <f t="shared" si="77"/>
        <v>0.64</v>
      </c>
      <c r="K234" s="176">
        <f t="shared" si="77"/>
        <v>0.64</v>
      </c>
      <c r="L234" s="176">
        <f t="shared" si="77"/>
        <v>0.64</v>
      </c>
      <c r="M234" s="176">
        <f t="shared" si="77"/>
        <v>0.64</v>
      </c>
      <c r="N234" s="176">
        <f t="shared" si="77"/>
        <v>0.64</v>
      </c>
      <c r="O234" s="176">
        <f t="shared" si="77"/>
        <v>0.64</v>
      </c>
      <c r="P234" s="176">
        <f t="shared" si="77"/>
        <v>0.64</v>
      </c>
      <c r="Q234" s="176">
        <f t="shared" si="77"/>
        <v>0.64</v>
      </c>
      <c r="R234" s="176">
        <f t="shared" si="77"/>
        <v>0.64</v>
      </c>
      <c r="S234" s="176">
        <f t="shared" si="77"/>
        <v>0.64</v>
      </c>
      <c r="T234" s="176">
        <f t="shared" si="77"/>
        <v>0.64</v>
      </c>
      <c r="U234" s="176">
        <f t="shared" si="77"/>
        <v>0.64</v>
      </c>
      <c r="V234" s="176">
        <f t="shared" si="77"/>
        <v>0.64</v>
      </c>
      <c r="W234" s="176">
        <f t="shared" si="77"/>
        <v>0.64</v>
      </c>
      <c r="X234" s="176">
        <f t="shared" si="77"/>
        <v>0.64</v>
      </c>
      <c r="Y234" s="176">
        <f t="shared" si="77"/>
        <v>0.64</v>
      </c>
      <c r="Z234" s="176">
        <f t="shared" si="77"/>
        <v>0.64</v>
      </c>
      <c r="AA234" s="176">
        <f t="shared" si="77"/>
        <v>0.64</v>
      </c>
      <c r="AB234" s="176">
        <f t="shared" si="77"/>
        <v>0.64</v>
      </c>
      <c r="AC234" s="176">
        <f t="shared" si="77"/>
        <v>0.64</v>
      </c>
      <c r="AD234" s="176">
        <f t="shared" si="77"/>
        <v>0.64</v>
      </c>
      <c r="AE234" s="176">
        <f t="shared" si="77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78">IF(C202&lt;100,"",C202-520)</f>
        <v/>
      </c>
      <c r="D235" s="119" t="str">
        <f t="shared" si="78"/>
        <v/>
      </c>
      <c r="E235" s="119" t="str">
        <f t="shared" si="78"/>
        <v/>
      </c>
      <c r="F235" s="119" t="str">
        <f t="shared" si="78"/>
        <v/>
      </c>
      <c r="G235" s="119" t="str">
        <f t="shared" si="78"/>
        <v/>
      </c>
      <c r="H235" s="119" t="str">
        <f t="shared" si="78"/>
        <v/>
      </c>
      <c r="I235" s="119" t="str">
        <f t="shared" si="78"/>
        <v/>
      </c>
      <c r="J235" s="119" t="str">
        <f t="shared" si="78"/>
        <v/>
      </c>
      <c r="K235" s="119" t="str">
        <f t="shared" si="78"/>
        <v/>
      </c>
      <c r="L235" s="119" t="str">
        <f t="shared" si="78"/>
        <v/>
      </c>
      <c r="M235" s="119" t="str">
        <f t="shared" si="78"/>
        <v/>
      </c>
      <c r="N235" s="119" t="str">
        <f t="shared" si="78"/>
        <v/>
      </c>
      <c r="O235" s="119" t="str">
        <f t="shared" si="78"/>
        <v/>
      </c>
      <c r="P235" s="119" t="str">
        <f t="shared" si="78"/>
        <v/>
      </c>
      <c r="Q235" s="119" t="str">
        <f t="shared" si="78"/>
        <v/>
      </c>
      <c r="R235" s="119" t="str">
        <f t="shared" si="78"/>
        <v/>
      </c>
      <c r="S235" s="119" t="str">
        <f t="shared" si="78"/>
        <v/>
      </c>
      <c r="T235" s="119" t="str">
        <f t="shared" si="78"/>
        <v/>
      </c>
      <c r="U235" s="119" t="str">
        <f t="shared" si="78"/>
        <v/>
      </c>
      <c r="V235" s="119" t="str">
        <f t="shared" si="78"/>
        <v/>
      </c>
      <c r="W235" s="119" t="str">
        <f t="shared" si="78"/>
        <v/>
      </c>
      <c r="X235" s="119" t="str">
        <f t="shared" si="78"/>
        <v/>
      </c>
      <c r="Y235" s="119" t="str">
        <f t="shared" si="78"/>
        <v/>
      </c>
      <c r="Z235" s="119" t="str">
        <f t="shared" si="78"/>
        <v/>
      </c>
      <c r="AA235" s="119" t="str">
        <f t="shared" si="78"/>
        <v/>
      </c>
      <c r="AB235" s="119" t="str">
        <f t="shared" si="78"/>
        <v/>
      </c>
      <c r="AC235" s="119" t="str">
        <f t="shared" si="78"/>
        <v/>
      </c>
      <c r="AD235" s="119" t="str">
        <f t="shared" si="78"/>
        <v/>
      </c>
      <c r="AE235" s="119" t="str">
        <f t="shared" si="78"/>
        <v/>
      </c>
      <c r="AF235" s="119" t="str">
        <f t="shared" si="78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79">IF(B203&lt;100,"",B203-620)</f>
        <v/>
      </c>
      <c r="C236" s="119" t="str">
        <f t="shared" si="79"/>
        <v/>
      </c>
      <c r="D236" s="119" t="str">
        <f t="shared" si="79"/>
        <v/>
      </c>
      <c r="E236" s="119" t="str">
        <f t="shared" si="79"/>
        <v/>
      </c>
      <c r="F236" s="119" t="str">
        <f t="shared" si="79"/>
        <v/>
      </c>
      <c r="G236" s="119" t="str">
        <f t="shared" si="79"/>
        <v/>
      </c>
      <c r="H236" s="119" t="str">
        <f t="shared" si="79"/>
        <v/>
      </c>
      <c r="I236" s="119" t="str">
        <f t="shared" si="79"/>
        <v/>
      </c>
      <c r="J236" s="119" t="str">
        <f t="shared" si="79"/>
        <v/>
      </c>
      <c r="K236" s="119" t="str">
        <f t="shared" si="79"/>
        <v/>
      </c>
      <c r="L236" s="119" t="str">
        <f t="shared" si="79"/>
        <v/>
      </c>
      <c r="M236" s="119" t="str">
        <f t="shared" si="79"/>
        <v/>
      </c>
      <c r="N236" s="119" t="str">
        <f t="shared" si="79"/>
        <v/>
      </c>
      <c r="O236" s="119" t="str">
        <f t="shared" si="79"/>
        <v/>
      </c>
      <c r="P236" s="119" t="str">
        <f t="shared" si="79"/>
        <v/>
      </c>
      <c r="Q236" s="119" t="str">
        <f t="shared" si="79"/>
        <v/>
      </c>
      <c r="R236" s="119" t="str">
        <f t="shared" si="79"/>
        <v/>
      </c>
      <c r="S236" s="119" t="str">
        <f t="shared" si="79"/>
        <v/>
      </c>
      <c r="T236" s="119" t="str">
        <f t="shared" si="79"/>
        <v/>
      </c>
      <c r="U236" s="119" t="str">
        <f t="shared" si="79"/>
        <v/>
      </c>
      <c r="V236" s="119" t="str">
        <f t="shared" si="79"/>
        <v/>
      </c>
      <c r="W236" s="119" t="str">
        <f t="shared" si="79"/>
        <v/>
      </c>
      <c r="X236" s="119" t="str">
        <f t="shared" si="79"/>
        <v/>
      </c>
      <c r="Y236" s="119" t="str">
        <f t="shared" si="79"/>
        <v/>
      </c>
      <c r="Z236" s="119" t="str">
        <f t="shared" si="79"/>
        <v/>
      </c>
      <c r="AA236" s="119" t="str">
        <f t="shared" si="79"/>
        <v/>
      </c>
      <c r="AB236" s="119" t="str">
        <f t="shared" si="79"/>
        <v/>
      </c>
      <c r="AC236" s="119" t="str">
        <f t="shared" si="79"/>
        <v/>
      </c>
      <c r="AD236" s="119" t="str">
        <f t="shared" si="79"/>
        <v/>
      </c>
      <c r="AE236" s="119" t="str">
        <f t="shared" si="79"/>
        <v/>
      </c>
      <c r="AF236" s="119" t="str">
        <f t="shared" si="79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80">IF(B204&lt;100,"",B204-330)</f>
        <v/>
      </c>
      <c r="C237" s="119" t="str">
        <f t="shared" si="80"/>
        <v/>
      </c>
      <c r="D237" s="119" t="str">
        <f t="shared" si="80"/>
        <v/>
      </c>
      <c r="E237" s="119" t="str">
        <f t="shared" si="80"/>
        <v/>
      </c>
      <c r="F237" s="119" t="str">
        <f t="shared" si="80"/>
        <v/>
      </c>
      <c r="G237" s="119" t="str">
        <f t="shared" si="80"/>
        <v/>
      </c>
      <c r="H237" s="119" t="str">
        <f t="shared" si="80"/>
        <v/>
      </c>
      <c r="I237" s="119" t="str">
        <f t="shared" si="80"/>
        <v/>
      </c>
      <c r="J237" s="119" t="str">
        <f t="shared" si="80"/>
        <v/>
      </c>
      <c r="K237" s="119" t="str">
        <f t="shared" si="80"/>
        <v/>
      </c>
      <c r="L237" s="119" t="str">
        <f t="shared" si="80"/>
        <v/>
      </c>
      <c r="M237" s="119" t="str">
        <f t="shared" si="80"/>
        <v/>
      </c>
      <c r="N237" s="119" t="str">
        <f t="shared" si="80"/>
        <v/>
      </c>
      <c r="O237" s="119" t="str">
        <f t="shared" si="80"/>
        <v/>
      </c>
      <c r="P237" s="119" t="str">
        <f t="shared" si="80"/>
        <v/>
      </c>
      <c r="Q237" s="119" t="str">
        <f t="shared" si="80"/>
        <v/>
      </c>
      <c r="R237" s="119" t="str">
        <f t="shared" si="80"/>
        <v/>
      </c>
      <c r="S237" s="119" t="str">
        <f t="shared" si="80"/>
        <v/>
      </c>
      <c r="T237" s="119" t="str">
        <f t="shared" si="80"/>
        <v/>
      </c>
      <c r="U237" s="119" t="str">
        <f t="shared" si="80"/>
        <v/>
      </c>
      <c r="V237" s="119" t="str">
        <f t="shared" si="80"/>
        <v/>
      </c>
      <c r="W237" s="119" t="str">
        <f t="shared" si="80"/>
        <v/>
      </c>
      <c r="X237" s="119" t="str">
        <f t="shared" si="80"/>
        <v/>
      </c>
      <c r="Y237" s="119" t="str">
        <f t="shared" si="80"/>
        <v/>
      </c>
      <c r="Z237" s="119" t="str">
        <f t="shared" si="80"/>
        <v/>
      </c>
      <c r="AA237" s="119" t="str">
        <f t="shared" si="80"/>
        <v/>
      </c>
      <c r="AB237" s="119" t="str">
        <f t="shared" si="80"/>
        <v/>
      </c>
      <c r="AC237" s="119" t="str">
        <f t="shared" si="80"/>
        <v/>
      </c>
      <c r="AD237" s="119" t="str">
        <f t="shared" si="80"/>
        <v/>
      </c>
      <c r="AE237" s="119" t="str">
        <f t="shared" si="80"/>
        <v/>
      </c>
      <c r="AF237" s="119" t="str">
        <f t="shared" si="80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81">IF(C205&lt;100,"",C205-1500)</f>
        <v/>
      </c>
      <c r="D238" s="119" t="str">
        <f t="shared" si="81"/>
        <v/>
      </c>
      <c r="E238" s="119" t="str">
        <f t="shared" si="81"/>
        <v/>
      </c>
      <c r="F238" s="119" t="str">
        <f t="shared" si="81"/>
        <v/>
      </c>
      <c r="G238" s="119" t="str">
        <f t="shared" si="81"/>
        <v/>
      </c>
      <c r="H238" s="119" t="str">
        <f t="shared" si="81"/>
        <v/>
      </c>
      <c r="I238" s="119" t="str">
        <f t="shared" si="81"/>
        <v/>
      </c>
      <c r="J238" s="119" t="str">
        <f t="shared" si="81"/>
        <v/>
      </c>
      <c r="K238" s="119" t="str">
        <f t="shared" si="81"/>
        <v/>
      </c>
      <c r="L238" s="119" t="str">
        <f t="shared" si="81"/>
        <v/>
      </c>
      <c r="M238" s="119" t="str">
        <f t="shared" si="81"/>
        <v/>
      </c>
      <c r="N238" s="119" t="str">
        <f t="shared" si="81"/>
        <v/>
      </c>
      <c r="O238" s="119" t="str">
        <f t="shared" si="81"/>
        <v/>
      </c>
      <c r="P238" s="119" t="str">
        <f t="shared" si="81"/>
        <v/>
      </c>
      <c r="Q238" s="119" t="str">
        <f t="shared" si="81"/>
        <v/>
      </c>
      <c r="R238" s="119" t="str">
        <f t="shared" si="81"/>
        <v/>
      </c>
      <c r="S238" s="119" t="str">
        <f t="shared" si="81"/>
        <v/>
      </c>
      <c r="T238" s="119" t="str">
        <f t="shared" si="81"/>
        <v/>
      </c>
      <c r="U238" s="119" t="str">
        <f t="shared" si="81"/>
        <v/>
      </c>
      <c r="V238" s="119" t="str">
        <f t="shared" si="81"/>
        <v/>
      </c>
      <c r="W238" s="119" t="str">
        <f t="shared" si="81"/>
        <v/>
      </c>
      <c r="X238" s="119" t="str">
        <f t="shared" si="81"/>
        <v/>
      </c>
      <c r="Y238" s="119" t="str">
        <f t="shared" si="81"/>
        <v/>
      </c>
      <c r="Z238" s="119" t="str">
        <f t="shared" si="81"/>
        <v/>
      </c>
      <c r="AA238" s="119" t="str">
        <f t="shared" si="81"/>
        <v/>
      </c>
      <c r="AB238" s="119" t="str">
        <f t="shared" si="81"/>
        <v/>
      </c>
      <c r="AC238" s="119" t="str">
        <f t="shared" si="81"/>
        <v/>
      </c>
      <c r="AD238" s="119" t="str">
        <f t="shared" si="81"/>
        <v/>
      </c>
      <c r="AE238" s="119" t="str">
        <f t="shared" si="81"/>
        <v/>
      </c>
      <c r="AF238" s="119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5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1">
      <iconSet iconSet="3TrafficLights2" reverse="1">
        <cfvo type="percent" val="0"/>
        <cfvo type="num" val="1"/>
        <cfvo type="num" val="1"/>
      </iconSet>
    </cfRule>
  </conditionalFormatting>
  <conditionalFormatting sqref="C57:L57 N62:N67 I60:O60 Q39:R39 M39:O41 L61:N61 Q40:T41 M58:W59 U40:Y42 X85:AA91 M11:AE11 AB16:AB26 AB28:AB31 Z40:AE43 AB81:AF81 C81:R81 C56:AF56 C82:AF83 D193:AF199 B193:B199 C68:AF80 B9:AF10 B191:AF191 AG73 AB94:AF99 U212:AF212 C59:L59 F58:L58 N42:O42 O61:O67 M37:R37 P39:P42 Q42:R42 P60:R67 N12:R14 N16:R16 AB12:AE14 S36:AB36 S18:AA30 AB84:AF91 AE22 M53:AF55 AF57:AF67">
    <cfRule type="expression" dxfId="2966" priority="447">
      <formula>B$9&gt;=20/24</formula>
    </cfRule>
    <cfRule type="expression" dxfId="2965" priority="448">
      <formula>AND(B$9&gt;=14/24,B$9&lt;20/24)</formula>
    </cfRule>
    <cfRule type="expression" dxfId="2964" priority="449">
      <formula>AND(B$9&gt;=8/24,B$9&lt;14/24)</formula>
    </cfRule>
    <cfRule type="expression" dxfId="2963" priority="450">
      <formula>B$9&lt;8/24</formula>
    </cfRule>
  </conditionalFormatting>
  <conditionalFormatting sqref="AL4:AL6">
    <cfRule type="iconSet" priority="44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962" priority="442">
      <formula>M$9&gt;=20/24</formula>
    </cfRule>
    <cfRule type="expression" dxfId="2961" priority="443">
      <formula>AND(M$9&gt;=14/24,M$9&lt;20/24)</formula>
    </cfRule>
    <cfRule type="expression" dxfId="2960" priority="444">
      <formula>AND(M$9&gt;=8/24,M$9&lt;14/24)</formula>
    </cfRule>
    <cfRule type="expression" dxfId="2959" priority="445">
      <formula>M$9&lt;8/24</formula>
    </cfRule>
  </conditionalFormatting>
  <conditionalFormatting sqref="N43:R43">
    <cfRule type="expression" dxfId="2958" priority="438">
      <formula>N$9&gt;=20/24</formula>
    </cfRule>
    <cfRule type="expression" dxfId="2957" priority="439">
      <formula>AND(N$9&gt;=14/24,N$9&lt;20/24)</formula>
    </cfRule>
    <cfRule type="expression" dxfId="2956" priority="440">
      <formula>AND(N$9&gt;=8/24,N$9&lt;14/24)</formula>
    </cfRule>
    <cfRule type="expression" dxfId="2955" priority="441">
      <formula>N$9&lt;8/24</formula>
    </cfRule>
  </conditionalFormatting>
  <conditionalFormatting sqref="AB32">
    <cfRule type="expression" dxfId="2954" priority="434">
      <formula>AB$9&gt;=20/24</formula>
    </cfRule>
    <cfRule type="expression" dxfId="2953" priority="435">
      <formula>AND(AB$9&gt;=14/24,AB$9&lt;20/24)</formula>
    </cfRule>
    <cfRule type="expression" dxfId="2952" priority="436">
      <formula>AND(AB$9&gt;=8/24,AB$9&lt;14/24)</formula>
    </cfRule>
    <cfRule type="expression" dxfId="2951" priority="437">
      <formula>AB$9&lt;8/24</formula>
    </cfRule>
  </conditionalFormatting>
  <conditionalFormatting sqref="S39:AE39">
    <cfRule type="expression" dxfId="2950" priority="430">
      <formula>S$9&gt;=20/24</formula>
    </cfRule>
    <cfRule type="expression" dxfId="2949" priority="431">
      <formula>AND(S$9&gt;=14/24,S$9&lt;20/24)</formula>
    </cfRule>
    <cfRule type="expression" dxfId="2948" priority="432">
      <formula>AND(S$9&gt;=8/24,S$9&lt;14/24)</formula>
    </cfRule>
    <cfRule type="expression" dxfId="2947" priority="433">
      <formula>S$9&lt;8/24</formula>
    </cfRule>
  </conditionalFormatting>
  <conditionalFormatting sqref="S57:AE57">
    <cfRule type="expression" dxfId="2946" priority="426">
      <formula>S$9&gt;=20/24</formula>
    </cfRule>
    <cfRule type="expression" dxfId="2945" priority="427">
      <formula>AND(S$9&gt;=14/24,S$9&lt;20/24)</formula>
    </cfRule>
    <cfRule type="expression" dxfId="2944" priority="428">
      <formula>AND(S$9&gt;=8/24,S$9&lt;14/24)</formula>
    </cfRule>
    <cfRule type="expression" dxfId="2943" priority="429">
      <formula>S$9&lt;8/24</formula>
    </cfRule>
  </conditionalFormatting>
  <conditionalFormatting sqref="S81:AA81">
    <cfRule type="expression" dxfId="2942" priority="422">
      <formula>S$9&gt;=20/24</formula>
    </cfRule>
    <cfRule type="expression" dxfId="2941" priority="423">
      <formula>AND(S$9&gt;=14/24,S$9&lt;20/24)</formula>
    </cfRule>
    <cfRule type="expression" dxfId="2940" priority="424">
      <formula>AND(S$9&gt;=8/24,S$9&lt;14/24)</formula>
    </cfRule>
    <cfRule type="expression" dxfId="2939" priority="425">
      <formula>S$9&lt;8/24</formula>
    </cfRule>
  </conditionalFormatting>
  <conditionalFormatting sqref="U84:AA84">
    <cfRule type="expression" dxfId="2938" priority="418">
      <formula>U$9&gt;=20/24</formula>
    </cfRule>
    <cfRule type="expression" dxfId="2937" priority="419">
      <formula>AND(U$9&gt;=14/24,U$9&lt;20/24)</formula>
    </cfRule>
    <cfRule type="expression" dxfId="2936" priority="420">
      <formula>AND(U$9&gt;=8/24,U$9&lt;14/24)</formula>
    </cfRule>
    <cfRule type="expression" dxfId="2935" priority="421">
      <formula>U$9&lt;8/24</formula>
    </cfRule>
  </conditionalFormatting>
  <conditionalFormatting sqref="S37:AE37">
    <cfRule type="expression" dxfId="2934" priority="398">
      <formula>S$9&gt;=20/24</formula>
    </cfRule>
    <cfRule type="expression" dxfId="2933" priority="399">
      <formula>AND(S$9&gt;=14/24,S$9&lt;20/24)</formula>
    </cfRule>
    <cfRule type="expression" dxfId="2932" priority="400">
      <formula>AND(S$9&gt;=8/24,S$9&lt;14/24)</formula>
    </cfRule>
    <cfRule type="expression" dxfId="2931" priority="401">
      <formula>S$9&lt;8/24</formula>
    </cfRule>
  </conditionalFormatting>
  <conditionalFormatting sqref="S31:AA32 S35:AB35">
    <cfRule type="expression" dxfId="2930" priority="394">
      <formula>S$9&gt;=20/24</formula>
    </cfRule>
    <cfRule type="expression" dxfId="2929" priority="395">
      <formula>AND(S$9&gt;=14/24,S$9&lt;20/24)</formula>
    </cfRule>
    <cfRule type="expression" dxfId="2928" priority="396">
      <formula>AND(S$9&gt;=8/24,S$9&lt;14/24)</formula>
    </cfRule>
    <cfRule type="expression" dxfId="2927" priority="397">
      <formula>S$9&lt;8/24</formula>
    </cfRule>
  </conditionalFormatting>
  <conditionalFormatting sqref="S42:T43 U43:Y43 S45:X45 Y45:AE48">
    <cfRule type="expression" dxfId="2926" priority="390">
      <formula>S$9&gt;=20/24</formula>
    </cfRule>
    <cfRule type="expression" dxfId="2925" priority="391">
      <formula>AND(S$9&gt;=14/24,S$9&lt;20/24)</formula>
    </cfRule>
    <cfRule type="expression" dxfId="2924" priority="392">
      <formula>AND(S$9&gt;=8/24,S$9&lt;14/24)</formula>
    </cfRule>
    <cfRule type="expression" dxfId="2923" priority="393">
      <formula>S$9&lt;8/24</formula>
    </cfRule>
  </conditionalFormatting>
  <conditionalFormatting sqref="Y49:AE49">
    <cfRule type="expression" dxfId="2922" priority="386">
      <formula>Y$9&gt;=20/24</formula>
    </cfRule>
    <cfRule type="expression" dxfId="2921" priority="387">
      <formula>AND(Y$9&gt;=14/24,Y$9&lt;20/24)</formula>
    </cfRule>
    <cfRule type="expression" dxfId="2920" priority="388">
      <formula>AND(Y$9&gt;=8/24,Y$9&lt;14/24)</formula>
    </cfRule>
    <cfRule type="expression" dxfId="2919" priority="389">
      <formula>Y$9&lt;8/24</formula>
    </cfRule>
  </conditionalFormatting>
  <conditionalFormatting sqref="Y50:AE50">
    <cfRule type="expression" dxfId="2918" priority="382">
      <formula>Y$9&gt;=20/24</formula>
    </cfRule>
    <cfRule type="expression" dxfId="2917" priority="383">
      <formula>AND(Y$9&gt;=14/24,Y$9&lt;20/24)</formula>
    </cfRule>
    <cfRule type="expression" dxfId="2916" priority="384">
      <formula>AND(Y$9&gt;=8/24,Y$9&lt;14/24)</formula>
    </cfRule>
    <cfRule type="expression" dxfId="2915" priority="385">
      <formula>Y$9&lt;8/24</formula>
    </cfRule>
  </conditionalFormatting>
  <conditionalFormatting sqref="S60:T67 X60:AE67">
    <cfRule type="expression" dxfId="2914" priority="378">
      <formula>S$9&gt;=20/24</formula>
    </cfRule>
    <cfRule type="expression" dxfId="2913" priority="379">
      <formula>AND(S$9&gt;=14/24,S$9&lt;20/24)</formula>
    </cfRule>
    <cfRule type="expression" dxfId="2912" priority="380">
      <formula>AND(S$9&gt;=8/24,S$9&lt;14/24)</formula>
    </cfRule>
    <cfRule type="expression" dxfId="2911" priority="381">
      <formula>S$9&lt;8/24</formula>
    </cfRule>
  </conditionalFormatting>
  <conditionalFormatting sqref="U94:AA97">
    <cfRule type="expression" dxfId="2910" priority="370">
      <formula>U$9&gt;=20/24</formula>
    </cfRule>
    <cfRule type="expression" dxfId="2909" priority="371">
      <formula>AND(U$9&gt;=14/24,U$9&lt;20/24)</formula>
    </cfRule>
    <cfRule type="expression" dxfId="2908" priority="372">
      <formula>AND(U$9&gt;=8/24,U$9&lt;14/24)</formula>
    </cfRule>
    <cfRule type="expression" dxfId="2907" priority="373">
      <formula>U$9&lt;8/24</formula>
    </cfRule>
  </conditionalFormatting>
  <conditionalFormatting sqref="AG51 C38:AF38 AB12:AF15 C41:O41 F39:O40 C51:AF52 E42:L42 H43:L43 C56:AF56 F12:H12 F11:AF11 J44:L44 I12:M13 M42:O44 F37:AF37 N16:R16 N12:R14 P39:AF43 S45:W45 P44:W44 X44:X45 S34:AB36 S18:AA32 AB16:AB32 AE22:AF22 Y44:AF50 I53:AF55">
    <cfRule type="expression" dxfId="2906" priority="369">
      <formula>C11&gt;$AG11</formula>
    </cfRule>
  </conditionalFormatting>
  <conditionalFormatting sqref="A100:A156 A84:A97 A11:A14 A16:A32 A45:A72 A80:A82 A74:A78 A35:A43 A169:A199">
    <cfRule type="expression" dxfId="2905" priority="368">
      <formula>$AH11=0</formula>
    </cfRule>
  </conditionalFormatting>
  <conditionalFormatting sqref="U98:AA98">
    <cfRule type="expression" dxfId="2904" priority="364">
      <formula>U$9&gt;=20/24</formula>
    </cfRule>
    <cfRule type="expression" dxfId="2903" priority="365">
      <formula>AND(U$9&gt;=14/24,U$9&lt;20/24)</formula>
    </cfRule>
    <cfRule type="expression" dxfId="2902" priority="366">
      <formula>AND(U$9&gt;=8/24,U$9&lt;14/24)</formula>
    </cfRule>
    <cfRule type="expression" dxfId="2901" priority="367">
      <formula>U$9&lt;8/24</formula>
    </cfRule>
  </conditionalFormatting>
  <conditionalFormatting sqref="A98">
    <cfRule type="expression" dxfId="2900" priority="363">
      <formula>$AH98=0</formula>
    </cfRule>
  </conditionalFormatting>
  <conditionalFormatting sqref="AL32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AB34">
    <cfRule type="expression" dxfId="2899" priority="346">
      <formula>AB$9&gt;=20/24</formula>
    </cfRule>
    <cfRule type="expression" dxfId="2898" priority="347">
      <formula>AND(AB$9&gt;=14/24,AB$9&lt;20/24)</formula>
    </cfRule>
    <cfRule type="expression" dxfId="2897" priority="348">
      <formula>AND(AB$9&gt;=8/24,AB$9&lt;14/24)</formula>
    </cfRule>
    <cfRule type="expression" dxfId="2896" priority="349">
      <formula>AB$9&lt;8/24</formula>
    </cfRule>
  </conditionalFormatting>
  <conditionalFormatting sqref="S34:AA34">
    <cfRule type="expression" dxfId="2895" priority="338">
      <formula>S$9&gt;=20/24</formula>
    </cfRule>
    <cfRule type="expression" dxfId="2894" priority="339">
      <formula>AND(S$9&gt;=14/24,S$9&lt;20/24)</formula>
    </cfRule>
    <cfRule type="expression" dxfId="2893" priority="340">
      <formula>AND(S$9&gt;=8/24,S$9&lt;14/24)</formula>
    </cfRule>
    <cfRule type="expression" dxfId="2892" priority="341">
      <formula>S$9&lt;8/24</formula>
    </cfRule>
  </conditionalFormatting>
  <conditionalFormatting sqref="A34">
    <cfRule type="expression" dxfId="2891" priority="337">
      <formula>$AH34=0</formula>
    </cfRule>
  </conditionalFormatting>
  <conditionalFormatting sqref="A83">
    <cfRule type="expression" dxfId="2890" priority="336">
      <formula>$AH83=0</formula>
    </cfRule>
  </conditionalFormatting>
  <conditionalFormatting sqref="AB15:AE15">
    <cfRule type="expression" dxfId="2889" priority="332">
      <formula>AB$9&gt;=20/24</formula>
    </cfRule>
    <cfRule type="expression" dxfId="2888" priority="333">
      <formula>AND(AB$9&gt;=14/24,AB$9&lt;20/24)</formula>
    </cfRule>
    <cfRule type="expression" dxfId="2887" priority="334">
      <formula>AND(AB$9&gt;=8/24,AB$9&lt;14/24)</formula>
    </cfRule>
    <cfRule type="expression" dxfId="2886" priority="335">
      <formula>AB$9&lt;8/24</formula>
    </cfRule>
  </conditionalFormatting>
  <conditionalFormatting sqref="N15:R15">
    <cfRule type="expression" dxfId="2885" priority="328">
      <formula>N$9&gt;=20/24</formula>
    </cfRule>
    <cfRule type="expression" dxfId="2884" priority="329">
      <formula>AND(N$9&gt;=14/24,N$9&lt;20/24)</formula>
    </cfRule>
    <cfRule type="expression" dxfId="2883" priority="330">
      <formula>AND(N$9&gt;=8/24,N$9&lt;14/24)</formula>
    </cfRule>
    <cfRule type="expression" dxfId="2882" priority="331">
      <formula>N$9&lt;8/24</formula>
    </cfRule>
  </conditionalFormatting>
  <conditionalFormatting sqref="N15:R15">
    <cfRule type="expression" dxfId="2881" priority="327">
      <formula>N15&gt;$AG15</formula>
    </cfRule>
  </conditionalFormatting>
  <conditionalFormatting sqref="A15">
    <cfRule type="expression" dxfId="2880" priority="326">
      <formula>$AH15=0</formula>
    </cfRule>
  </conditionalFormatting>
  <conditionalFormatting sqref="A163:A168">
    <cfRule type="expression" dxfId="2879" priority="325">
      <formula>$AH163=0</formula>
    </cfRule>
  </conditionalFormatting>
  <conditionalFormatting sqref="A157:A162">
    <cfRule type="expression" dxfId="2878" priority="324">
      <formula>$AH157=0</formula>
    </cfRule>
  </conditionalFormatting>
  <conditionalFormatting sqref="Z44:AE44">
    <cfRule type="expression" dxfId="2877" priority="320">
      <formula>Z$9&gt;=20/24</formula>
    </cfRule>
    <cfRule type="expression" dxfId="2876" priority="321">
      <formula>AND(Z$9&gt;=14/24,Z$9&lt;20/24)</formula>
    </cfRule>
    <cfRule type="expression" dxfId="2875" priority="322">
      <formula>AND(Z$9&gt;=8/24,Z$9&lt;14/24)</formula>
    </cfRule>
    <cfRule type="expression" dxfId="2874" priority="323">
      <formula>Z$9&lt;8/24</formula>
    </cfRule>
  </conditionalFormatting>
  <conditionalFormatting sqref="N44:R44">
    <cfRule type="expression" dxfId="2873" priority="316">
      <formula>N$9&gt;=20/24</formula>
    </cfRule>
    <cfRule type="expression" dxfId="2872" priority="317">
      <formula>AND(N$9&gt;=14/24,N$9&lt;20/24)</formula>
    </cfRule>
    <cfRule type="expression" dxfId="2871" priority="318">
      <formula>AND(N$9&gt;=8/24,N$9&lt;14/24)</formula>
    </cfRule>
    <cfRule type="expression" dxfId="2870" priority="319">
      <formula>N$9&lt;8/24</formula>
    </cfRule>
  </conditionalFormatting>
  <conditionalFormatting sqref="S44:Y44">
    <cfRule type="expression" dxfId="2869" priority="312">
      <formula>S$9&gt;=20/24</formula>
    </cfRule>
    <cfRule type="expression" dxfId="2868" priority="313">
      <formula>AND(S$9&gt;=14/24,S$9&lt;20/24)</formula>
    </cfRule>
    <cfRule type="expression" dxfId="2867" priority="314">
      <formula>AND(S$9&gt;=8/24,S$9&lt;14/24)</formula>
    </cfRule>
    <cfRule type="expression" dxfId="2866" priority="315">
      <formula>S$9&lt;8/24</formula>
    </cfRule>
  </conditionalFormatting>
  <conditionalFormatting sqref="A44">
    <cfRule type="expression" dxfId="2865" priority="311">
      <formula>$AH44=0</formula>
    </cfRule>
  </conditionalFormatting>
  <conditionalFormatting sqref="A79">
    <cfRule type="expression" dxfId="2864" priority="310">
      <formula>$AH79=0</formula>
    </cfRule>
  </conditionalFormatting>
  <conditionalFormatting sqref="A73">
    <cfRule type="expression" dxfId="2863" priority="309">
      <formula>$AH73=0</formula>
    </cfRule>
  </conditionalFormatting>
  <conditionalFormatting sqref="AL34:AL35 AL7:AL31">
    <cfRule type="iconSet" priority="453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2862" priority="305">
      <formula>U$9&gt;=20/24</formula>
    </cfRule>
    <cfRule type="expression" dxfId="2861" priority="306">
      <formula>AND(U$9&gt;=14/24,U$9&lt;20/24)</formula>
    </cfRule>
    <cfRule type="expression" dxfId="2860" priority="307">
      <formula>AND(U$9&gt;=8/24,U$9&lt;14/24)</formula>
    </cfRule>
    <cfRule type="expression" dxfId="2859" priority="308">
      <formula>U$9&lt;8/24</formula>
    </cfRule>
  </conditionalFormatting>
  <conditionalFormatting sqref="U85:W91">
    <cfRule type="expression" dxfId="2858" priority="301">
      <formula>U$9&gt;=20/24</formula>
    </cfRule>
    <cfRule type="expression" dxfId="2857" priority="302">
      <formula>AND(U$9&gt;=14/24,U$9&lt;20/24)</formula>
    </cfRule>
    <cfRule type="expression" dxfId="2856" priority="303">
      <formula>AND(U$9&gt;=8/24,U$9&lt;14/24)</formula>
    </cfRule>
    <cfRule type="expression" dxfId="2855" priority="304">
      <formula>U$9&lt;8/24</formula>
    </cfRule>
  </conditionalFormatting>
  <conditionalFormatting sqref="S85:T91 F84:R91">
    <cfRule type="expression" dxfId="2854" priority="297">
      <formula>F$9&gt;=20/24</formula>
    </cfRule>
    <cfRule type="expression" dxfId="2853" priority="298">
      <formula>AND(F$9&gt;=14/24,F$9&lt;20/24)</formula>
    </cfRule>
    <cfRule type="expression" dxfId="2852" priority="299">
      <formula>AND(F$9&gt;=8/24,F$9&lt;14/24)</formula>
    </cfRule>
    <cfRule type="expression" dxfId="2851" priority="300">
      <formula>F$9&lt;8/24</formula>
    </cfRule>
  </conditionalFormatting>
  <conditionalFormatting sqref="S84:T84">
    <cfRule type="expression" dxfId="2850" priority="293">
      <formula>S$9&gt;=20/24</formula>
    </cfRule>
    <cfRule type="expression" dxfId="2849" priority="294">
      <formula>AND(S$9&gt;=14/24,S$9&lt;20/24)</formula>
    </cfRule>
    <cfRule type="expression" dxfId="2848" priority="295">
      <formula>AND(S$9&gt;=8/24,S$9&lt;14/24)</formula>
    </cfRule>
    <cfRule type="expression" dxfId="2847" priority="296">
      <formula>S$9&lt;8/24</formula>
    </cfRule>
  </conditionalFormatting>
  <conditionalFormatting sqref="E95:M97 E94:F94">
    <cfRule type="expression" dxfId="2846" priority="289">
      <formula>E$9&gt;=20/24</formula>
    </cfRule>
    <cfRule type="expression" dxfId="2845" priority="290">
      <formula>AND(E$9&gt;=14/24,E$9&lt;20/24)</formula>
    </cfRule>
    <cfRule type="expression" dxfId="2844" priority="291">
      <formula>AND(E$9&gt;=8/24,E$9&lt;14/24)</formula>
    </cfRule>
    <cfRule type="expression" dxfId="2843" priority="292">
      <formula>E$9&lt;8/24</formula>
    </cfRule>
  </conditionalFormatting>
  <conditionalFormatting sqref="N95:Q97 O94:Q94 R94:R97">
    <cfRule type="expression" dxfId="2842" priority="285">
      <formula>N$9&gt;=20/24</formula>
    </cfRule>
    <cfRule type="expression" dxfId="2841" priority="286">
      <formula>AND(N$9&gt;=14/24,N$9&lt;20/24)</formula>
    </cfRule>
    <cfRule type="expression" dxfId="2840" priority="287">
      <formula>AND(N$9&gt;=8/24,N$9&lt;14/24)</formula>
    </cfRule>
    <cfRule type="expression" dxfId="2839" priority="288">
      <formula>N$9&lt;8/24</formula>
    </cfRule>
  </conditionalFormatting>
  <conditionalFormatting sqref="S94:T97">
    <cfRule type="expression" dxfId="2838" priority="281">
      <formula>S$9&gt;=20/24</formula>
    </cfRule>
    <cfRule type="expression" dxfId="2837" priority="282">
      <formula>AND(S$9&gt;=14/24,S$9&lt;20/24)</formula>
    </cfRule>
    <cfRule type="expression" dxfId="2836" priority="283">
      <formula>AND(S$9&gt;=8/24,S$9&lt;14/24)</formula>
    </cfRule>
    <cfRule type="expression" dxfId="2835" priority="284">
      <formula>S$9&lt;8/24</formula>
    </cfRule>
  </conditionalFormatting>
  <conditionalFormatting sqref="E98:M98">
    <cfRule type="expression" dxfId="2834" priority="277">
      <formula>E$9&gt;=20/24</formula>
    </cfRule>
    <cfRule type="expression" dxfId="2833" priority="278">
      <formula>AND(E$9&gt;=14/24,E$9&lt;20/24)</formula>
    </cfRule>
    <cfRule type="expression" dxfId="2832" priority="279">
      <formula>AND(E$9&gt;=8/24,E$9&lt;14/24)</formula>
    </cfRule>
    <cfRule type="expression" dxfId="2831" priority="280">
      <formula>E$9&lt;8/24</formula>
    </cfRule>
  </conditionalFormatting>
  <conditionalFormatting sqref="N98:R98">
    <cfRule type="expression" dxfId="2830" priority="273">
      <formula>N$9&gt;=20/24</formula>
    </cfRule>
    <cfRule type="expression" dxfId="2829" priority="274">
      <formula>AND(N$9&gt;=14/24,N$9&lt;20/24)</formula>
    </cfRule>
    <cfRule type="expression" dxfId="2828" priority="275">
      <formula>AND(N$9&gt;=8/24,N$9&lt;14/24)</formula>
    </cfRule>
    <cfRule type="expression" dxfId="2827" priority="276">
      <formula>N$9&lt;8/24</formula>
    </cfRule>
  </conditionalFormatting>
  <conditionalFormatting sqref="S98:T98">
    <cfRule type="expression" dxfId="2826" priority="269">
      <formula>S$9&gt;=20/24</formula>
    </cfRule>
    <cfRule type="expression" dxfId="2825" priority="270">
      <formula>AND(S$9&gt;=14/24,S$9&lt;20/24)</formula>
    </cfRule>
    <cfRule type="expression" dxfId="2824" priority="271">
      <formula>AND(S$9&gt;=8/24,S$9&lt;14/24)</formula>
    </cfRule>
    <cfRule type="expression" dxfId="2823" priority="272">
      <formula>S$9&lt;8/24</formula>
    </cfRule>
  </conditionalFormatting>
  <conditionalFormatting sqref="M94:N94">
    <cfRule type="expression" dxfId="2822" priority="265">
      <formula>M$9&gt;=20/24</formula>
    </cfRule>
    <cfRule type="expression" dxfId="2821" priority="266">
      <formula>AND(M$9&gt;=14/24,M$9&lt;20/24)</formula>
    </cfRule>
    <cfRule type="expression" dxfId="2820" priority="267">
      <formula>AND(M$9&gt;=8/24,M$9&lt;14/24)</formula>
    </cfRule>
    <cfRule type="expression" dxfId="2819" priority="268">
      <formula>M$9&lt;8/24</formula>
    </cfRule>
  </conditionalFormatting>
  <conditionalFormatting sqref="G94:L94">
    <cfRule type="expression" dxfId="2818" priority="261">
      <formula>G$9&gt;=20/24</formula>
    </cfRule>
    <cfRule type="expression" dxfId="2817" priority="262">
      <formula>AND(G$9&gt;=14/24,G$9&lt;20/24)</formula>
    </cfRule>
    <cfRule type="expression" dxfId="2816" priority="263">
      <formula>AND(G$9&gt;=8/24,G$9&lt;14/24)</formula>
    </cfRule>
    <cfRule type="expression" dxfId="2815" priority="264">
      <formula>G$9&lt;8/24</formula>
    </cfRule>
  </conditionalFormatting>
  <conditionalFormatting sqref="U94:W94">
    <cfRule type="expression" dxfId="2814" priority="257">
      <formula>U$9&gt;=20/24</formula>
    </cfRule>
    <cfRule type="expression" dxfId="2813" priority="258">
      <formula>AND(U$9&gt;=14/24,U$9&lt;20/24)</formula>
    </cfRule>
    <cfRule type="expression" dxfId="2812" priority="259">
      <formula>AND(U$9&gt;=8/24,U$9&lt;14/24)</formula>
    </cfRule>
    <cfRule type="expression" dxfId="2811" priority="260">
      <formula>U$9&lt;8/24</formula>
    </cfRule>
  </conditionalFormatting>
  <conditionalFormatting sqref="N94:T94">
    <cfRule type="expression" dxfId="2810" priority="253">
      <formula>N$9&gt;=20/24</formula>
    </cfRule>
    <cfRule type="expression" dxfId="2809" priority="254">
      <formula>AND(N$9&gt;=14/24,N$9&lt;20/24)</formula>
    </cfRule>
    <cfRule type="expression" dxfId="2808" priority="255">
      <formula>AND(N$9&gt;=8/24,N$9&lt;14/24)</formula>
    </cfRule>
    <cfRule type="expression" dxfId="2807" priority="256">
      <formula>N$9&lt;8/24</formula>
    </cfRule>
  </conditionalFormatting>
  <conditionalFormatting sqref="U99:AA99">
    <cfRule type="expression" dxfId="2806" priority="249">
      <formula>U$9&gt;=20/24</formula>
    </cfRule>
    <cfRule type="expression" dxfId="2805" priority="250">
      <formula>AND(U$9&gt;=14/24,U$9&lt;20/24)</formula>
    </cfRule>
    <cfRule type="expression" dxfId="2804" priority="251">
      <formula>AND(U$9&gt;=8/24,U$9&lt;14/24)</formula>
    </cfRule>
    <cfRule type="expression" dxfId="2803" priority="252">
      <formula>U$9&lt;8/24</formula>
    </cfRule>
  </conditionalFormatting>
  <conditionalFormatting sqref="C99:M99">
    <cfRule type="expression" dxfId="2802" priority="245">
      <formula>C$9&gt;=20/24</formula>
    </cfRule>
    <cfRule type="expression" dxfId="2801" priority="246">
      <formula>AND(C$9&gt;=14/24,C$9&lt;20/24)</formula>
    </cfRule>
    <cfRule type="expression" dxfId="2800" priority="247">
      <formula>AND(C$9&gt;=8/24,C$9&lt;14/24)</formula>
    </cfRule>
    <cfRule type="expression" dxfId="2799" priority="248">
      <formula>C$9&lt;8/24</formula>
    </cfRule>
  </conditionalFormatting>
  <conditionalFormatting sqref="N99:R99">
    <cfRule type="expression" dxfId="2798" priority="241">
      <formula>N$9&gt;=20/24</formula>
    </cfRule>
    <cfRule type="expression" dxfId="2797" priority="242">
      <formula>AND(N$9&gt;=14/24,N$9&lt;20/24)</formula>
    </cfRule>
    <cfRule type="expression" dxfId="2796" priority="243">
      <formula>AND(N$9&gt;=8/24,N$9&lt;14/24)</formula>
    </cfRule>
    <cfRule type="expression" dxfId="2795" priority="244">
      <formula>N$9&lt;8/24</formula>
    </cfRule>
  </conditionalFormatting>
  <conditionalFormatting sqref="S99:T99">
    <cfRule type="expression" dxfId="2794" priority="237">
      <formula>S$9&gt;=20/24</formula>
    </cfRule>
    <cfRule type="expression" dxfId="2793" priority="238">
      <formula>AND(S$9&gt;=14/24,S$9&lt;20/24)</formula>
    </cfRule>
    <cfRule type="expression" dxfId="2792" priority="239">
      <formula>AND(S$9&gt;=8/24,S$9&lt;14/24)</formula>
    </cfRule>
    <cfRule type="expression" dxfId="2791" priority="240">
      <formula>S$9&lt;8/24</formula>
    </cfRule>
  </conditionalFormatting>
  <conditionalFormatting sqref="S12:AA16">
    <cfRule type="expression" dxfId="2790" priority="233">
      <formula>S$9&gt;=20/24</formula>
    </cfRule>
    <cfRule type="expression" dxfId="2789" priority="234">
      <formula>AND(S$9&gt;=14/24,S$9&lt;20/24)</formula>
    </cfRule>
    <cfRule type="expression" dxfId="2788" priority="235">
      <formula>AND(S$9&gt;=8/24,S$9&lt;14/24)</formula>
    </cfRule>
    <cfRule type="expression" dxfId="2787" priority="236">
      <formula>S$9&lt;8/24</formula>
    </cfRule>
  </conditionalFormatting>
  <conditionalFormatting sqref="S17:AA17">
    <cfRule type="expression" dxfId="2786" priority="229">
      <formula>S$9&gt;=20/24</formula>
    </cfRule>
    <cfRule type="expression" dxfId="2785" priority="230">
      <formula>AND(S$9&gt;=14/24,S$9&lt;20/24)</formula>
    </cfRule>
    <cfRule type="expression" dxfId="2784" priority="231">
      <formula>AND(S$9&gt;=8/24,S$9&lt;14/24)</formula>
    </cfRule>
    <cfRule type="expression" dxfId="2783" priority="232">
      <formula>S$9&lt;8/24</formula>
    </cfRule>
  </conditionalFormatting>
  <conditionalFormatting sqref="S12:AA13">
    <cfRule type="expression" dxfId="2782" priority="225">
      <formula>S$9&gt;=20/24</formula>
    </cfRule>
    <cfRule type="expression" dxfId="2781" priority="226">
      <formula>AND(S$9&gt;=14/24,S$9&lt;20/24)</formula>
    </cfRule>
    <cfRule type="expression" dxfId="2780" priority="227">
      <formula>AND(S$9&gt;=8/24,S$9&lt;14/24)</formula>
    </cfRule>
    <cfRule type="expression" dxfId="2779" priority="228">
      <formula>S$9&lt;8/24</formula>
    </cfRule>
  </conditionalFormatting>
  <conditionalFormatting sqref="AB58:AE59">
    <cfRule type="expression" dxfId="2778" priority="221">
      <formula>AB$9&gt;=20/24</formula>
    </cfRule>
    <cfRule type="expression" dxfId="2777" priority="222">
      <formula>AND(AB$9&gt;=14/24,AB$9&lt;20/24)</formula>
    </cfRule>
    <cfRule type="expression" dxfId="2776" priority="223">
      <formula>AND(AB$9&gt;=8/24,AB$9&lt;14/24)</formula>
    </cfRule>
    <cfRule type="expression" dxfId="2775" priority="224">
      <formula>AB$9&lt;8/24</formula>
    </cfRule>
  </conditionalFormatting>
  <conditionalFormatting sqref="AL3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74" priority="454">
      <formula>C$9&gt;=20/24</formula>
    </cfRule>
    <cfRule type="expression" dxfId="2773" priority="455">
      <formula>AND(C$9&gt;=14/24,C$9&lt;20/24)</formula>
    </cfRule>
    <cfRule type="expression" dxfId="2772" priority="456">
      <formula>AND(C$9&gt;=8/24,C$9&lt;14/24)</formula>
    </cfRule>
    <cfRule type="expression" dxfId="2771" priority="457">
      <formula>C$9&lt;8/24</formula>
    </cfRule>
  </conditionalFormatting>
  <conditionalFormatting sqref="A200">
    <cfRule type="expression" dxfId="2770" priority="458">
      <formula>$AH200=0</formula>
    </cfRule>
  </conditionalFormatting>
  <conditionalFormatting sqref="AG212">
    <cfRule type="expression" dxfId="2769" priority="459">
      <formula>B$9&gt;=20/24</formula>
    </cfRule>
    <cfRule type="expression" dxfId="2768" priority="460">
      <formula>AND(B$9&gt;=14/24,B$9&lt;20/24)</formula>
    </cfRule>
    <cfRule type="expression" dxfId="2767" priority="461">
      <formula>AND(B$9&gt;=8/24,B$9&lt;14/24)</formula>
    </cfRule>
    <cfRule type="expression" dxfId="2766" priority="462">
      <formula>B$9&lt;8/24</formula>
    </cfRule>
  </conditionalFormatting>
  <conditionalFormatting sqref="S8">
    <cfRule type="expression" dxfId="2765" priority="215">
      <formula>U$9&gt;=20/24</formula>
    </cfRule>
    <cfRule type="expression" dxfId="2764" priority="216">
      <formula>AND(U$9&gt;=14/24,U$9&lt;20/24)</formula>
    </cfRule>
    <cfRule type="expression" dxfId="2763" priority="217">
      <formula>AND(U$9&gt;=8/24,U$9&lt;14/24)</formula>
    </cfRule>
    <cfRule type="expression" dxfId="2762" priority="218">
      <formula>U$9&lt;8/24</formula>
    </cfRule>
  </conditionalFormatting>
  <conditionalFormatting sqref="AB8">
    <cfRule type="expression" dxfId="2761" priority="211">
      <formula>AD$9&gt;=20/24</formula>
    </cfRule>
    <cfRule type="expression" dxfId="2760" priority="212">
      <formula>AND(AD$9&gt;=14/24,AD$9&lt;20/24)</formula>
    </cfRule>
    <cfRule type="expression" dxfId="2759" priority="213">
      <formula>AND(AD$9&gt;=8/24,AD$9&lt;14/24)</formula>
    </cfRule>
    <cfRule type="expression" dxfId="2758" priority="214">
      <formula>AD$9&lt;8/24</formula>
    </cfRule>
  </conditionalFormatting>
  <conditionalFormatting sqref="AH212:AX212">
    <cfRule type="expression" dxfId="2757" priority="463">
      <formula>AG$9&gt;=20/24</formula>
    </cfRule>
    <cfRule type="expression" dxfId="2756" priority="464">
      <formula>AND(AG$9&gt;=14/24,AG$9&lt;20/24)</formula>
    </cfRule>
    <cfRule type="expression" dxfId="2755" priority="465">
      <formula>AND(AG$9&gt;=8/24,AG$9&lt;14/24)</formula>
    </cfRule>
    <cfRule type="expression" dxfId="2754" priority="466">
      <formula>AG$9&lt;8/24</formula>
    </cfRule>
  </conditionalFormatting>
  <conditionalFormatting sqref="T212">
    <cfRule type="expression" dxfId="2753" priority="467">
      <formula>AX$9&gt;=20/24</formula>
    </cfRule>
    <cfRule type="expression" dxfId="2752" priority="468">
      <formula>AND(AX$9&gt;=14/24,AX$9&lt;20/24)</formula>
    </cfRule>
    <cfRule type="expression" dxfId="2751" priority="469">
      <formula>AND(AX$9&gt;=8/24,AX$9&lt;14/24)</formula>
    </cfRule>
    <cfRule type="expression" dxfId="2750" priority="470">
      <formula>AX$9&lt;8/24</formula>
    </cfRule>
  </conditionalFormatting>
  <conditionalFormatting sqref="A99">
    <cfRule type="expression" dxfId="2749" priority="210">
      <formula>$AH99=0</formula>
    </cfRule>
  </conditionalFormatting>
  <conditionalFormatting sqref="AB33">
    <cfRule type="expression" dxfId="2748" priority="202">
      <formula>AB$9&gt;=20/24</formula>
    </cfRule>
    <cfRule type="expression" dxfId="2747" priority="203">
      <formula>AND(AB$9&gt;=14/24,AB$9&lt;20/24)</formula>
    </cfRule>
    <cfRule type="expression" dxfId="2746" priority="204">
      <formula>AND(AB$9&gt;=8/24,AB$9&lt;14/24)</formula>
    </cfRule>
    <cfRule type="expression" dxfId="2745" priority="205">
      <formula>AB$9&lt;8/24</formula>
    </cfRule>
  </conditionalFormatting>
  <conditionalFormatting sqref="S33:AA33">
    <cfRule type="expression" dxfId="2744" priority="198">
      <formula>S$9&gt;=20/24</formula>
    </cfRule>
    <cfRule type="expression" dxfId="2743" priority="199">
      <formula>AND(S$9&gt;=14/24,S$9&lt;20/24)</formula>
    </cfRule>
    <cfRule type="expression" dxfId="2742" priority="200">
      <formula>AND(S$9&gt;=8/24,S$9&lt;14/24)</formula>
    </cfRule>
    <cfRule type="expression" dxfId="2741" priority="201">
      <formula>S$9&lt;8/24</formula>
    </cfRule>
  </conditionalFormatting>
  <conditionalFormatting sqref="S33:AB33">
    <cfRule type="expression" dxfId="2740" priority="197">
      <formula>S33&gt;$AG33</formula>
    </cfRule>
  </conditionalFormatting>
  <conditionalFormatting sqref="B53:B56 B94:B99 B40:B43 B68:B91 B11:E11 C40:E40 C42:D42 C84:E91 C94:D98 C43:G43 C53:H55 B36:R36 B18:R30">
    <cfRule type="expression" dxfId="2739" priority="193">
      <formula>B$9&gt;=20/24</formula>
    </cfRule>
    <cfRule type="expression" dxfId="2738" priority="194">
      <formula>AND(B$9&gt;=14/24,B$9&lt;20/24)</formula>
    </cfRule>
    <cfRule type="expression" dxfId="2737" priority="195">
      <formula>AND(B$9&gt;=8/24,B$9&lt;14/24)</formula>
    </cfRule>
    <cfRule type="expression" dxfId="2736" priority="196">
      <formula>B$9&lt;8/24</formula>
    </cfRule>
  </conditionalFormatting>
  <conditionalFormatting sqref="B39:E39">
    <cfRule type="expression" dxfId="2735" priority="189">
      <formula>B$9&gt;=20/24</formula>
    </cfRule>
    <cfRule type="expression" dxfId="2734" priority="190">
      <formula>AND(B$9&gt;=14/24,B$9&lt;20/24)</formula>
    </cfRule>
    <cfRule type="expression" dxfId="2733" priority="191">
      <formula>AND(B$9&gt;=8/24,B$9&lt;14/24)</formula>
    </cfRule>
    <cfRule type="expression" dxfId="2732" priority="192">
      <formula>B$9&lt;8/24</formula>
    </cfRule>
  </conditionalFormatting>
  <conditionalFormatting sqref="B57">
    <cfRule type="expression" dxfId="2731" priority="185">
      <formula>B$9&gt;=20/24</formula>
    </cfRule>
    <cfRule type="expression" dxfId="2730" priority="186">
      <formula>AND(B$9&gt;=14/24,B$9&lt;20/24)</formula>
    </cfRule>
    <cfRule type="expression" dxfId="2729" priority="187">
      <formula>AND(B$9&gt;=8/24,B$9&lt;14/24)</formula>
    </cfRule>
    <cfRule type="expression" dxfId="2728" priority="188">
      <formula>B$9&lt;8/24</formula>
    </cfRule>
  </conditionalFormatting>
  <conditionalFormatting sqref="B37:E37">
    <cfRule type="expression" dxfId="2727" priority="181">
      <formula>B$9&gt;=20/24</formula>
    </cfRule>
    <cfRule type="expression" dxfId="2726" priority="182">
      <formula>AND(B$9&gt;=14/24,B$9&lt;20/24)</formula>
    </cfRule>
    <cfRule type="expression" dxfId="2725" priority="183">
      <formula>AND(B$9&gt;=8/24,B$9&lt;14/24)</formula>
    </cfRule>
    <cfRule type="expression" dxfId="2724" priority="184">
      <formula>B$9&lt;8/24</formula>
    </cfRule>
  </conditionalFormatting>
  <conditionalFormatting sqref="B31:R32 B35:R35">
    <cfRule type="expression" dxfId="2723" priority="177">
      <formula>B$9&gt;=20/24</formula>
    </cfRule>
    <cfRule type="expression" dxfId="2722" priority="178">
      <formula>AND(B$9&gt;=14/24,B$9&lt;20/24)</formula>
    </cfRule>
    <cfRule type="expression" dxfId="2721" priority="179">
      <formula>AND(B$9&gt;=8/24,B$9&lt;14/24)</formula>
    </cfRule>
    <cfRule type="expression" dxfId="2720" priority="180">
      <formula>B$9&lt;8/24</formula>
    </cfRule>
  </conditionalFormatting>
  <conditionalFormatting sqref="B43:G43 B45:R48 S46:X48">
    <cfRule type="expression" dxfId="2719" priority="173">
      <formula>B$9&gt;=20/24</formula>
    </cfRule>
    <cfRule type="expression" dxfId="2718" priority="174">
      <formula>AND(B$9&gt;=14/24,B$9&lt;20/24)</formula>
    </cfRule>
    <cfRule type="expression" dxfId="2717" priority="175">
      <formula>AND(B$9&gt;=8/24,B$9&lt;14/24)</formula>
    </cfRule>
    <cfRule type="expression" dxfId="2716" priority="176">
      <formula>B$9&lt;8/24</formula>
    </cfRule>
  </conditionalFormatting>
  <conditionalFormatting sqref="B49:X49">
    <cfRule type="expression" dxfId="2715" priority="169">
      <formula>B$9&gt;=20/24</formula>
    </cfRule>
    <cfRule type="expression" dxfId="2714" priority="170">
      <formula>AND(B$9&gt;=14/24,B$9&lt;20/24)</formula>
    </cfRule>
    <cfRule type="expression" dxfId="2713" priority="171">
      <formula>AND(B$9&gt;=8/24,B$9&lt;14/24)</formula>
    </cfRule>
    <cfRule type="expression" dxfId="2712" priority="172">
      <formula>B$9&lt;8/24</formula>
    </cfRule>
  </conditionalFormatting>
  <conditionalFormatting sqref="B50:X50">
    <cfRule type="expression" dxfId="2711" priority="165">
      <formula>B$9&gt;=20/24</formula>
    </cfRule>
    <cfRule type="expression" dxfId="2710" priority="166">
      <formula>AND(B$9&gt;=14/24,B$9&lt;20/24)</formula>
    </cfRule>
    <cfRule type="expression" dxfId="2709" priority="167">
      <formula>AND(B$9&gt;=8/24,B$9&lt;14/24)</formula>
    </cfRule>
    <cfRule type="expression" dxfId="2708" priority="168">
      <formula>B$9&lt;8/24</formula>
    </cfRule>
  </conditionalFormatting>
  <conditionalFormatting sqref="B60:H67 I61:K67 L62:M67">
    <cfRule type="expression" dxfId="2707" priority="161">
      <formula>B$9&gt;=20/24</formula>
    </cfRule>
    <cfRule type="expression" dxfId="2706" priority="162">
      <formula>AND(B$9&gt;=14/24,B$9&lt;20/24)</formula>
    </cfRule>
    <cfRule type="expression" dxfId="2705" priority="163">
      <formula>AND(B$9&gt;=8/24,B$9&lt;14/24)</formula>
    </cfRule>
    <cfRule type="expression" dxfId="2704" priority="164">
      <formula>B$9&lt;8/24</formula>
    </cfRule>
  </conditionalFormatting>
  <conditionalFormatting sqref="B34:B56 B11:E11 C34:E37 C39:E40 C42:D42 C43:G50 C53:H55 H44:I50 F34:R36 B18:R32 J45:R50 S46:X50">
    <cfRule type="expression" dxfId="2703" priority="160">
      <formula>B11&gt;$AG11</formula>
    </cfRule>
  </conditionalFormatting>
  <conditionalFormatting sqref="B34:R34">
    <cfRule type="expression" dxfId="2702" priority="156">
      <formula>B$9&gt;=20/24</formula>
    </cfRule>
    <cfRule type="expression" dxfId="2701" priority="157">
      <formula>AND(B$9&gt;=14/24,B$9&lt;20/24)</formula>
    </cfRule>
    <cfRule type="expression" dxfId="2700" priority="158">
      <formula>AND(B$9&gt;=8/24,B$9&lt;14/24)</formula>
    </cfRule>
    <cfRule type="expression" dxfId="2699" priority="159">
      <formula>B$9&lt;8/24</formula>
    </cfRule>
  </conditionalFormatting>
  <conditionalFormatting sqref="B44:I44">
    <cfRule type="expression" dxfId="2698" priority="152">
      <formula>B$9&gt;=20/24</formula>
    </cfRule>
    <cfRule type="expression" dxfId="2697" priority="153">
      <formula>AND(B$9&gt;=14/24,B$9&lt;20/24)</formula>
    </cfRule>
    <cfRule type="expression" dxfId="2696" priority="154">
      <formula>AND(B$9&gt;=8/24,B$9&lt;14/24)</formula>
    </cfRule>
    <cfRule type="expression" dxfId="2695" priority="155">
      <formula>B$9&lt;8/24</formula>
    </cfRule>
  </conditionalFormatting>
  <conditionalFormatting sqref="B44:I44">
    <cfRule type="expression" dxfId="2694" priority="148">
      <formula>B$9&gt;=20/24</formula>
    </cfRule>
    <cfRule type="expression" dxfId="2693" priority="149">
      <formula>AND(B$9&gt;=14/24,B$9&lt;20/24)</formula>
    </cfRule>
    <cfRule type="expression" dxfId="2692" priority="150">
      <formula>AND(B$9&gt;=8/24,B$9&lt;14/24)</formula>
    </cfRule>
    <cfRule type="expression" dxfId="2691" priority="151">
      <formula>B$9&lt;8/24</formula>
    </cfRule>
  </conditionalFormatting>
  <conditionalFormatting sqref="B12:E16 F13:H16 I14:M16">
    <cfRule type="expression" dxfId="2690" priority="144">
      <formula>B$9&gt;=20/24</formula>
    </cfRule>
    <cfRule type="expression" dxfId="2689" priority="145">
      <formula>AND(B$9&gt;=14/24,B$9&lt;20/24)</formula>
    </cfRule>
    <cfRule type="expression" dxfId="2688" priority="146">
      <formula>AND(B$9&gt;=8/24,B$9&lt;14/24)</formula>
    </cfRule>
    <cfRule type="expression" dxfId="2687" priority="147">
      <formula>B$9&lt;8/24</formula>
    </cfRule>
  </conditionalFormatting>
  <conditionalFormatting sqref="B17:R17">
    <cfRule type="expression" dxfId="2686" priority="140">
      <formula>B$9&gt;=20/24</formula>
    </cfRule>
    <cfRule type="expression" dxfId="2685" priority="141">
      <formula>AND(B$9&gt;=14/24,B$9&lt;20/24)</formula>
    </cfRule>
    <cfRule type="expression" dxfId="2684" priority="142">
      <formula>AND(B$9&gt;=8/24,B$9&lt;14/24)</formula>
    </cfRule>
    <cfRule type="expression" dxfId="2683" priority="143">
      <formula>B$9&lt;8/24</formula>
    </cfRule>
  </conditionalFormatting>
  <conditionalFormatting sqref="B12:E13 F13:H13">
    <cfRule type="expression" dxfId="2682" priority="136">
      <formula>B$9&gt;=20/24</formula>
    </cfRule>
    <cfRule type="expression" dxfId="2681" priority="137">
      <formula>AND(B$9&gt;=14/24,B$9&lt;20/24)</formula>
    </cfRule>
    <cfRule type="expression" dxfId="2680" priority="138">
      <formula>AND(B$9&gt;=8/24,B$9&lt;14/24)</formula>
    </cfRule>
    <cfRule type="expression" dxfId="2679" priority="139">
      <formula>B$9&lt;8/24</formula>
    </cfRule>
  </conditionalFormatting>
  <conditionalFormatting sqref="B58:B59 C58:E58">
    <cfRule type="expression" dxfId="2678" priority="132">
      <formula>B$9&gt;=20/24</formula>
    </cfRule>
    <cfRule type="expression" dxfId="2677" priority="133">
      <formula>AND(B$9&gt;=14/24,B$9&lt;20/24)</formula>
    </cfRule>
    <cfRule type="expression" dxfId="2676" priority="134">
      <formula>AND(B$9&gt;=8/24,B$9&lt;14/24)</formula>
    </cfRule>
    <cfRule type="expression" dxfId="2675" priority="135">
      <formula>B$9&lt;8/24</formula>
    </cfRule>
  </conditionalFormatting>
  <conditionalFormatting sqref="B33:R33">
    <cfRule type="expression" dxfId="2674" priority="128">
      <formula>B$9&gt;=20/24</formula>
    </cfRule>
    <cfRule type="expression" dxfId="2673" priority="129">
      <formula>AND(B$9&gt;=14/24,B$9&lt;20/24)</formula>
    </cfRule>
    <cfRule type="expression" dxfId="2672" priority="130">
      <formula>AND(B$9&gt;=8/24,B$9&lt;14/24)</formula>
    </cfRule>
    <cfRule type="expression" dxfId="2671" priority="131">
      <formula>B$9&lt;8/24</formula>
    </cfRule>
  </conditionalFormatting>
  <conditionalFormatting sqref="B33:R33">
    <cfRule type="expression" dxfId="2670" priority="127">
      <formula>B33&gt;$AG33</formula>
    </cfRule>
  </conditionalFormatting>
  <conditionalFormatting sqref="M12:M13">
    <cfRule type="expression" dxfId="2669" priority="123">
      <formula>M$9&gt;=20/24</formula>
    </cfRule>
    <cfRule type="expression" dxfId="2668" priority="124">
      <formula>AND(M$9&gt;=14/24,M$9&lt;20/24)</formula>
    </cfRule>
    <cfRule type="expression" dxfId="2667" priority="125">
      <formula>AND(M$9&gt;=8/24,M$9&lt;14/24)</formula>
    </cfRule>
    <cfRule type="expression" dxfId="2666" priority="126">
      <formula>M$9&lt;8/24</formula>
    </cfRule>
  </conditionalFormatting>
  <conditionalFormatting sqref="M42">
    <cfRule type="expression" dxfId="2665" priority="119">
      <formula>M$9&gt;=20/24</formula>
    </cfRule>
    <cfRule type="expression" dxfId="2664" priority="120">
      <formula>AND(M$9&gt;=14/24,M$9&lt;20/24)</formula>
    </cfRule>
    <cfRule type="expression" dxfId="2663" priority="121">
      <formula>AND(M$9&gt;=8/24,M$9&lt;14/24)</formula>
    </cfRule>
    <cfRule type="expression" dxfId="2662" priority="122">
      <formula>M$9&lt;8/24</formula>
    </cfRule>
  </conditionalFormatting>
  <conditionalFormatting sqref="M43">
    <cfRule type="expression" dxfId="2661" priority="115">
      <formula>M$9&gt;=20/24</formula>
    </cfRule>
    <cfRule type="expression" dxfId="2660" priority="116">
      <formula>AND(M$9&gt;=14/24,M$9&lt;20/24)</formula>
    </cfRule>
    <cfRule type="expression" dxfId="2659" priority="117">
      <formula>AND(M$9&gt;=8/24,M$9&lt;14/24)</formula>
    </cfRule>
    <cfRule type="expression" dxfId="2658" priority="118">
      <formula>M$9&lt;8/24</formula>
    </cfRule>
  </conditionalFormatting>
  <conditionalFormatting sqref="M44">
    <cfRule type="expression" dxfId="2657" priority="111">
      <formula>M$9&gt;=20/24</formula>
    </cfRule>
    <cfRule type="expression" dxfId="2656" priority="112">
      <formula>AND(M$9&gt;=14/24,M$9&lt;20/24)</formula>
    </cfRule>
    <cfRule type="expression" dxfId="2655" priority="113">
      <formula>AND(M$9&gt;=8/24,M$9&lt;14/24)</formula>
    </cfRule>
    <cfRule type="expression" dxfId="2654" priority="114">
      <formula>M$9&lt;8/24</formula>
    </cfRule>
  </conditionalFormatting>
  <conditionalFormatting sqref="AC16:AC26 AC28:AC31 AC36">
    <cfRule type="expression" dxfId="2653" priority="107">
      <formula>AC$9&gt;=20/24</formula>
    </cfRule>
    <cfRule type="expression" dxfId="2652" priority="108">
      <formula>AND(AC$9&gt;=14/24,AC$9&lt;20/24)</formula>
    </cfRule>
    <cfRule type="expression" dxfId="2651" priority="109">
      <formula>AND(AC$9&gt;=8/24,AC$9&lt;14/24)</formula>
    </cfRule>
    <cfRule type="expression" dxfId="2650" priority="110">
      <formula>AC$9&lt;8/24</formula>
    </cfRule>
  </conditionalFormatting>
  <conditionalFormatting sqref="AC32">
    <cfRule type="expression" dxfId="2649" priority="103">
      <formula>AC$9&gt;=20/24</formula>
    </cfRule>
    <cfRule type="expression" dxfId="2648" priority="104">
      <formula>AND(AC$9&gt;=14/24,AC$9&lt;20/24)</formula>
    </cfRule>
    <cfRule type="expression" dxfId="2647" priority="105">
      <formula>AND(AC$9&gt;=8/24,AC$9&lt;14/24)</formula>
    </cfRule>
    <cfRule type="expression" dxfId="2646" priority="106">
      <formula>AC$9&lt;8/24</formula>
    </cfRule>
  </conditionalFormatting>
  <conditionalFormatting sqref="AC35">
    <cfRule type="expression" dxfId="2645" priority="99">
      <formula>AC$9&gt;=20/24</formula>
    </cfRule>
    <cfRule type="expression" dxfId="2644" priority="100">
      <formula>AND(AC$9&gt;=14/24,AC$9&lt;20/24)</formula>
    </cfRule>
    <cfRule type="expression" dxfId="2643" priority="101">
      <formula>AND(AC$9&gt;=8/24,AC$9&lt;14/24)</formula>
    </cfRule>
    <cfRule type="expression" dxfId="2642" priority="102">
      <formula>AC$9&lt;8/24</formula>
    </cfRule>
  </conditionalFormatting>
  <conditionalFormatting sqref="AC34:AC36 AC16:AC32">
    <cfRule type="expression" dxfId="2641" priority="98">
      <formula>AC16&gt;$AG16</formula>
    </cfRule>
  </conditionalFormatting>
  <conditionalFormatting sqref="AC34">
    <cfRule type="expression" dxfId="2640" priority="94">
      <formula>AC$9&gt;=20/24</formula>
    </cfRule>
    <cfRule type="expression" dxfId="2639" priority="95">
      <formula>AND(AC$9&gt;=14/24,AC$9&lt;20/24)</formula>
    </cfRule>
    <cfRule type="expression" dxfId="2638" priority="96">
      <formula>AND(AC$9&gt;=8/24,AC$9&lt;14/24)</formula>
    </cfRule>
    <cfRule type="expression" dxfId="2637" priority="97">
      <formula>AC$9&lt;8/24</formula>
    </cfRule>
  </conditionalFormatting>
  <conditionalFormatting sqref="AC33">
    <cfRule type="expression" dxfId="2636" priority="90">
      <formula>AC$9&gt;=20/24</formula>
    </cfRule>
    <cfRule type="expression" dxfId="2635" priority="91">
      <formula>AND(AC$9&gt;=14/24,AC$9&lt;20/24)</formula>
    </cfRule>
    <cfRule type="expression" dxfId="2634" priority="92">
      <formula>AND(AC$9&gt;=8/24,AC$9&lt;14/24)</formula>
    </cfRule>
    <cfRule type="expression" dxfId="2633" priority="93">
      <formula>AC$9&lt;8/24</formula>
    </cfRule>
  </conditionalFormatting>
  <conditionalFormatting sqref="AC33">
    <cfRule type="expression" dxfId="2632" priority="89">
      <formula>AC33&gt;$AG33</formula>
    </cfRule>
  </conditionalFormatting>
  <conditionalFormatting sqref="AD16:AD26 AD28:AD31 AD36">
    <cfRule type="expression" dxfId="2631" priority="85">
      <formula>AD$9&gt;=20/24</formula>
    </cfRule>
    <cfRule type="expression" dxfId="2630" priority="86">
      <formula>AND(AD$9&gt;=14/24,AD$9&lt;20/24)</formula>
    </cfRule>
    <cfRule type="expression" dxfId="2629" priority="87">
      <formula>AND(AD$9&gt;=8/24,AD$9&lt;14/24)</formula>
    </cfRule>
    <cfRule type="expression" dxfId="2628" priority="88">
      <formula>AD$9&lt;8/24</formula>
    </cfRule>
  </conditionalFormatting>
  <conditionalFormatting sqref="AD32">
    <cfRule type="expression" dxfId="2627" priority="81">
      <formula>AD$9&gt;=20/24</formula>
    </cfRule>
    <cfRule type="expression" dxfId="2626" priority="82">
      <formula>AND(AD$9&gt;=14/24,AD$9&lt;20/24)</formula>
    </cfRule>
    <cfRule type="expression" dxfId="2625" priority="83">
      <formula>AND(AD$9&gt;=8/24,AD$9&lt;14/24)</formula>
    </cfRule>
    <cfRule type="expression" dxfId="2624" priority="84">
      <formula>AD$9&lt;8/24</formula>
    </cfRule>
  </conditionalFormatting>
  <conditionalFormatting sqref="AD35">
    <cfRule type="expression" dxfId="2623" priority="77">
      <formula>AD$9&gt;=20/24</formula>
    </cfRule>
    <cfRule type="expression" dxfId="2622" priority="78">
      <formula>AND(AD$9&gt;=14/24,AD$9&lt;20/24)</formula>
    </cfRule>
    <cfRule type="expression" dxfId="2621" priority="79">
      <formula>AND(AD$9&gt;=8/24,AD$9&lt;14/24)</formula>
    </cfRule>
    <cfRule type="expression" dxfId="2620" priority="80">
      <formula>AD$9&lt;8/24</formula>
    </cfRule>
  </conditionalFormatting>
  <conditionalFormatting sqref="AD34:AD36 AD16:AD32">
    <cfRule type="expression" dxfId="2619" priority="76">
      <formula>AD16&gt;$AG16</formula>
    </cfRule>
  </conditionalFormatting>
  <conditionalFormatting sqref="AD34">
    <cfRule type="expression" dxfId="2618" priority="72">
      <formula>AD$9&gt;=20/24</formula>
    </cfRule>
    <cfRule type="expression" dxfId="2617" priority="73">
      <formula>AND(AD$9&gt;=14/24,AD$9&lt;20/24)</formula>
    </cfRule>
    <cfRule type="expression" dxfId="2616" priority="74">
      <formula>AND(AD$9&gt;=8/24,AD$9&lt;14/24)</formula>
    </cfRule>
    <cfRule type="expression" dxfId="2615" priority="75">
      <formula>AD$9&lt;8/24</formula>
    </cfRule>
  </conditionalFormatting>
  <conditionalFormatting sqref="AD33">
    <cfRule type="expression" dxfId="2614" priority="68">
      <formula>AD$9&gt;=20/24</formula>
    </cfRule>
    <cfRule type="expression" dxfId="2613" priority="69">
      <formula>AND(AD$9&gt;=14/24,AD$9&lt;20/24)</formula>
    </cfRule>
    <cfRule type="expression" dxfId="2612" priority="70">
      <formula>AND(AD$9&gt;=8/24,AD$9&lt;14/24)</formula>
    </cfRule>
    <cfRule type="expression" dxfId="2611" priority="71">
      <formula>AD$9&lt;8/24</formula>
    </cfRule>
  </conditionalFormatting>
  <conditionalFormatting sqref="AD33">
    <cfRule type="expression" dxfId="2610" priority="67">
      <formula>AD33&gt;$AG33</formula>
    </cfRule>
  </conditionalFormatting>
  <conditionalFormatting sqref="AE16:AE21">
    <cfRule type="expression" dxfId="2609" priority="63">
      <formula>AE$9&gt;=20/24</formula>
    </cfRule>
    <cfRule type="expression" dxfId="2608" priority="64">
      <formula>AND(AE$9&gt;=14/24,AE$9&lt;20/24)</formula>
    </cfRule>
    <cfRule type="expression" dxfId="2607" priority="65">
      <formula>AND(AE$9&gt;=8/24,AE$9&lt;14/24)</formula>
    </cfRule>
    <cfRule type="expression" dxfId="2606" priority="66">
      <formula>AE$9&lt;8/24</formula>
    </cfRule>
  </conditionalFormatting>
  <conditionalFormatting sqref="AE16:AE21">
    <cfRule type="expression" dxfId="2605" priority="62">
      <formula>AE16&gt;$AG16</formula>
    </cfRule>
  </conditionalFormatting>
  <conditionalFormatting sqref="AE23:AE26 AE28:AE31 AE36">
    <cfRule type="expression" dxfId="2604" priority="58">
      <formula>AE$9&gt;=20/24</formula>
    </cfRule>
    <cfRule type="expression" dxfId="2603" priority="59">
      <formula>AND(AE$9&gt;=14/24,AE$9&lt;20/24)</formula>
    </cfRule>
    <cfRule type="expression" dxfId="2602" priority="60">
      <formula>AND(AE$9&gt;=8/24,AE$9&lt;14/24)</formula>
    </cfRule>
    <cfRule type="expression" dxfId="2601" priority="61">
      <formula>AE$9&lt;8/24</formula>
    </cfRule>
  </conditionalFormatting>
  <conditionalFormatting sqref="AE32">
    <cfRule type="expression" dxfId="2600" priority="54">
      <formula>AE$9&gt;=20/24</formula>
    </cfRule>
    <cfRule type="expression" dxfId="2599" priority="55">
      <formula>AND(AE$9&gt;=14/24,AE$9&lt;20/24)</formula>
    </cfRule>
    <cfRule type="expression" dxfId="2598" priority="56">
      <formula>AND(AE$9&gt;=8/24,AE$9&lt;14/24)</formula>
    </cfRule>
    <cfRule type="expression" dxfId="2597" priority="57">
      <formula>AE$9&lt;8/24</formula>
    </cfRule>
  </conditionalFormatting>
  <conditionalFormatting sqref="AE35">
    <cfRule type="expression" dxfId="2596" priority="50">
      <formula>AE$9&gt;=20/24</formula>
    </cfRule>
    <cfRule type="expression" dxfId="2595" priority="51">
      <formula>AND(AE$9&gt;=14/24,AE$9&lt;20/24)</formula>
    </cfRule>
    <cfRule type="expression" dxfId="2594" priority="52">
      <formula>AND(AE$9&gt;=8/24,AE$9&lt;14/24)</formula>
    </cfRule>
    <cfRule type="expression" dxfId="2593" priority="53">
      <formula>AE$9&lt;8/24</formula>
    </cfRule>
  </conditionalFormatting>
  <conditionalFormatting sqref="AE34:AE36 AE23:AE32">
    <cfRule type="expression" dxfId="2592" priority="49">
      <formula>AE23&gt;$AG23</formula>
    </cfRule>
  </conditionalFormatting>
  <conditionalFormatting sqref="AE34">
    <cfRule type="expression" dxfId="2591" priority="45">
      <formula>AE$9&gt;=20/24</formula>
    </cfRule>
    <cfRule type="expression" dxfId="2590" priority="46">
      <formula>AND(AE$9&gt;=14/24,AE$9&lt;20/24)</formula>
    </cfRule>
    <cfRule type="expression" dxfId="2589" priority="47">
      <formula>AND(AE$9&gt;=8/24,AE$9&lt;14/24)</formula>
    </cfRule>
    <cfRule type="expression" dxfId="2588" priority="48">
      <formula>AE$9&lt;8/24</formula>
    </cfRule>
  </conditionalFormatting>
  <conditionalFormatting sqref="AE33">
    <cfRule type="expression" dxfId="2587" priority="41">
      <formula>AE$9&gt;=20/24</formula>
    </cfRule>
    <cfRule type="expression" dxfId="2586" priority="42">
      <formula>AND(AE$9&gt;=14/24,AE$9&lt;20/24)</formula>
    </cfRule>
    <cfRule type="expression" dxfId="2585" priority="43">
      <formula>AND(AE$9&gt;=8/24,AE$9&lt;14/24)</formula>
    </cfRule>
    <cfRule type="expression" dxfId="2584" priority="44">
      <formula>AE$9&lt;8/24</formula>
    </cfRule>
  </conditionalFormatting>
  <conditionalFormatting sqref="AE33">
    <cfRule type="expression" dxfId="2583" priority="40">
      <formula>AE33&gt;$AG33</formula>
    </cfRule>
  </conditionalFormatting>
  <conditionalFormatting sqref="AF16:AF21">
    <cfRule type="expression" dxfId="2582" priority="36">
      <formula>AF$9&gt;=20/24</formula>
    </cfRule>
    <cfRule type="expression" dxfId="2581" priority="37">
      <formula>AND(AF$9&gt;=14/24,AF$9&lt;20/24)</formula>
    </cfRule>
    <cfRule type="expression" dxfId="2580" priority="38">
      <formula>AND(AF$9&gt;=8/24,AF$9&lt;14/24)</formula>
    </cfRule>
    <cfRule type="expression" dxfId="2579" priority="39">
      <formula>AF$9&lt;8/24</formula>
    </cfRule>
  </conditionalFormatting>
  <conditionalFormatting sqref="AF16:AF21">
    <cfRule type="expression" dxfId="2578" priority="35">
      <formula>AF16&gt;$AG16</formula>
    </cfRule>
  </conditionalFormatting>
  <conditionalFormatting sqref="AF23:AF26 AF28:AF31 AF36">
    <cfRule type="expression" dxfId="2577" priority="31">
      <formula>AF$9&gt;=20/24</formula>
    </cfRule>
    <cfRule type="expression" dxfId="2576" priority="32">
      <formula>AND(AF$9&gt;=14/24,AF$9&lt;20/24)</formula>
    </cfRule>
    <cfRule type="expression" dxfId="2575" priority="33">
      <formula>AND(AF$9&gt;=8/24,AF$9&lt;14/24)</formula>
    </cfRule>
    <cfRule type="expression" dxfId="2574" priority="34">
      <formula>AF$9&lt;8/24</formula>
    </cfRule>
  </conditionalFormatting>
  <conditionalFormatting sqref="AF32">
    <cfRule type="expression" dxfId="2573" priority="27">
      <formula>AF$9&gt;=20/24</formula>
    </cfRule>
    <cfRule type="expression" dxfId="2572" priority="28">
      <formula>AND(AF$9&gt;=14/24,AF$9&lt;20/24)</formula>
    </cfRule>
    <cfRule type="expression" dxfId="2571" priority="29">
      <formula>AND(AF$9&gt;=8/24,AF$9&lt;14/24)</formula>
    </cfRule>
    <cfRule type="expression" dxfId="2570" priority="30">
      <formula>AF$9&lt;8/24</formula>
    </cfRule>
  </conditionalFormatting>
  <conditionalFormatting sqref="AF35">
    <cfRule type="expression" dxfId="2569" priority="23">
      <formula>AF$9&gt;=20/24</formula>
    </cfRule>
    <cfRule type="expression" dxfId="2568" priority="24">
      <formula>AND(AF$9&gt;=14/24,AF$9&lt;20/24)</formula>
    </cfRule>
    <cfRule type="expression" dxfId="2567" priority="25">
      <formula>AND(AF$9&gt;=8/24,AF$9&lt;14/24)</formula>
    </cfRule>
    <cfRule type="expression" dxfId="2566" priority="26">
      <formula>AF$9&lt;8/24</formula>
    </cfRule>
  </conditionalFormatting>
  <conditionalFormatting sqref="AF34:AF36 AF23:AF32">
    <cfRule type="expression" dxfId="2565" priority="22">
      <formula>AF23&gt;$AG23</formula>
    </cfRule>
  </conditionalFormatting>
  <conditionalFormatting sqref="AF34">
    <cfRule type="expression" dxfId="2564" priority="18">
      <formula>AF$9&gt;=20/24</formula>
    </cfRule>
    <cfRule type="expression" dxfId="2563" priority="19">
      <formula>AND(AF$9&gt;=14/24,AF$9&lt;20/24)</formula>
    </cfRule>
    <cfRule type="expression" dxfId="2562" priority="20">
      <formula>AND(AF$9&gt;=8/24,AF$9&lt;14/24)</formula>
    </cfRule>
    <cfRule type="expression" dxfId="2561" priority="21">
      <formula>AF$9&lt;8/24</formula>
    </cfRule>
  </conditionalFormatting>
  <conditionalFormatting sqref="AF33">
    <cfRule type="expression" dxfId="2560" priority="14">
      <formula>AF$9&gt;=20/24</formula>
    </cfRule>
    <cfRule type="expression" dxfId="2559" priority="15">
      <formula>AND(AF$9&gt;=14/24,AF$9&lt;20/24)</formula>
    </cfRule>
    <cfRule type="expression" dxfId="2558" priority="16">
      <formula>AND(AF$9&gt;=8/24,AF$9&lt;14/24)</formula>
    </cfRule>
    <cfRule type="expression" dxfId="2557" priority="17">
      <formula>AF$9&lt;8/24</formula>
    </cfRule>
  </conditionalFormatting>
  <conditionalFormatting sqref="AF33">
    <cfRule type="expression" dxfId="2556" priority="13">
      <formula>AF33&gt;$AG33</formula>
    </cfRule>
  </conditionalFormatting>
  <conditionalFormatting sqref="AF45:AF48">
    <cfRule type="expression" dxfId="2555" priority="9">
      <formula>AF$9&gt;=20/24</formula>
    </cfRule>
    <cfRule type="expression" dxfId="2554" priority="10">
      <formula>AND(AF$9&gt;=14/24,AF$9&lt;20/24)</formula>
    </cfRule>
    <cfRule type="expression" dxfId="2553" priority="11">
      <formula>AND(AF$9&gt;=8/24,AF$9&lt;14/24)</formula>
    </cfRule>
    <cfRule type="expression" dxfId="2552" priority="12">
      <formula>AF$9&lt;8/24</formula>
    </cfRule>
  </conditionalFormatting>
  <conditionalFormatting sqref="AF49">
    <cfRule type="expression" dxfId="2551" priority="5">
      <formula>AF$9&gt;=20/24</formula>
    </cfRule>
    <cfRule type="expression" dxfId="2550" priority="6">
      <formula>AND(AF$9&gt;=14/24,AF$9&lt;20/24)</formula>
    </cfRule>
    <cfRule type="expression" dxfId="2549" priority="7">
      <formula>AND(AF$9&gt;=8/24,AF$9&lt;14/24)</formula>
    </cfRule>
    <cfRule type="expression" dxfId="2548" priority="8">
      <formula>AF$9&lt;8/24</formula>
    </cfRule>
  </conditionalFormatting>
  <conditionalFormatting sqref="AF50">
    <cfRule type="expression" dxfId="2547" priority="1">
      <formula>AF$9&gt;=20/24</formula>
    </cfRule>
    <cfRule type="expression" dxfId="2546" priority="2">
      <formula>AND(AF$9&gt;=14/24,AF$9&lt;20/24)</formula>
    </cfRule>
    <cfRule type="expression" dxfId="2545" priority="3">
      <formula>AND(AF$9&gt;=8/24,AF$9&lt;14/24)</formula>
    </cfRule>
    <cfRule type="expression" dxfId="2544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0" id="{095F42E2-6023-4795-BE95-350C1B5548E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E92" activePane="bottomRight" state="frozen"/>
      <selection activeCell="AF88" sqref="AF88"/>
      <selection pane="topRight" activeCell="AF88" sqref="AF88"/>
      <selection pane="bottomLeft" activeCell="AF88" sqref="AF88"/>
      <selection pane="bottomRight" activeCell="AJ115" sqref="AJ11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8.5703125" customWidth="1"/>
    <col min="12" max="12" width="6.85546875" customWidth="1"/>
    <col min="13" max="13" width="6.28515625" customWidth="1"/>
    <col min="14" max="14" width="7.28515625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2078/10/25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377.5</v>
      </c>
      <c r="C5" s="32">
        <f t="shared" si="0"/>
        <v>380.8</v>
      </c>
      <c r="D5" s="32">
        <f t="shared" si="0"/>
        <v>355.7</v>
      </c>
      <c r="E5" s="32">
        <f t="shared" si="0"/>
        <v>354.1</v>
      </c>
      <c r="F5" s="32">
        <f t="shared" si="0"/>
        <v>418.2</v>
      </c>
      <c r="G5" s="32">
        <f t="shared" si="0"/>
        <v>429.4</v>
      </c>
      <c r="H5" s="32">
        <f t="shared" si="0"/>
        <v>486.1</v>
      </c>
      <c r="I5" s="32">
        <f t="shared" si="0"/>
        <v>550</v>
      </c>
      <c r="J5" s="32">
        <f t="shared" si="0"/>
        <v>550.79999999999995</v>
      </c>
      <c r="K5" s="32">
        <f t="shared" si="0"/>
        <v>374.3</v>
      </c>
      <c r="L5" s="32">
        <f t="shared" si="0"/>
        <v>330</v>
      </c>
      <c r="M5" s="32">
        <f t="shared" si="0"/>
        <v>330</v>
      </c>
      <c r="N5" s="32">
        <f t="shared" si="0"/>
        <v>333</v>
      </c>
      <c r="O5" s="32">
        <f t="shared" si="0"/>
        <v>526.4</v>
      </c>
      <c r="P5" s="32">
        <f t="shared" si="0"/>
        <v>532</v>
      </c>
      <c r="Q5" s="32">
        <f t="shared" si="0"/>
        <v>521</v>
      </c>
      <c r="R5" s="32">
        <f t="shared" si="0"/>
        <v>539.40000000000009</v>
      </c>
      <c r="S5" s="32">
        <f t="shared" si="0"/>
        <v>536.29999999999995</v>
      </c>
      <c r="T5" s="32">
        <f t="shared" si="0"/>
        <v>521.1</v>
      </c>
      <c r="U5" s="32">
        <f t="shared" si="0"/>
        <v>327.79999999999995</v>
      </c>
      <c r="V5" s="32">
        <f t="shared" si="0"/>
        <v>348.29999999999995</v>
      </c>
      <c r="W5" s="32">
        <f t="shared" si="0"/>
        <v>376.7</v>
      </c>
      <c r="X5" s="32">
        <f t="shared" si="0"/>
        <v>310.5</v>
      </c>
      <c r="Y5" s="32">
        <f t="shared" si="0"/>
        <v>374.5</v>
      </c>
      <c r="Z5" s="32">
        <f t="shared" si="0"/>
        <v>394.70000000000005</v>
      </c>
      <c r="AA5" s="32">
        <f t="shared" si="0"/>
        <v>444.6</v>
      </c>
      <c r="AB5" s="32">
        <f t="shared" si="0"/>
        <v>443</v>
      </c>
      <c r="AC5" s="32">
        <f t="shared" si="0"/>
        <v>526</v>
      </c>
      <c r="AD5" s="32">
        <f t="shared" si="0"/>
        <v>501.9</v>
      </c>
      <c r="AE5" s="32">
        <f t="shared" si="0"/>
        <v>471</v>
      </c>
      <c r="AF5" s="32">
        <f>B68</f>
        <v>398.92999999999995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1553MW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Load=897</v>
      </c>
      <c r="B7" s="37">
        <f>B75</f>
        <v>957.86999999999989</v>
      </c>
      <c r="C7" s="37">
        <f t="shared" ref="C7:AF7" si="1">C75</f>
        <v>937.14</v>
      </c>
      <c r="D7" s="37">
        <f t="shared" si="1"/>
        <v>940.94</v>
      </c>
      <c r="E7" s="37">
        <f t="shared" si="1"/>
        <v>904.74</v>
      </c>
      <c r="F7" s="37">
        <f t="shared" si="1"/>
        <v>896.54</v>
      </c>
      <c r="G7" s="37">
        <f t="shared" si="1"/>
        <v>984.74</v>
      </c>
      <c r="H7" s="37">
        <f t="shared" si="1"/>
        <v>1036.04</v>
      </c>
      <c r="I7" s="37">
        <f t="shared" si="1"/>
        <v>1098.04</v>
      </c>
      <c r="J7" s="37">
        <f t="shared" si="1"/>
        <v>1238.94</v>
      </c>
      <c r="K7" s="37">
        <f t="shared" si="1"/>
        <v>1319.6399999999999</v>
      </c>
      <c r="L7" s="37">
        <f t="shared" si="1"/>
        <v>1435.34</v>
      </c>
      <c r="M7" s="37">
        <f t="shared" si="1"/>
        <v>1552.54</v>
      </c>
      <c r="N7" s="37">
        <f t="shared" si="1"/>
        <v>1524.2399999999998</v>
      </c>
      <c r="O7" s="37">
        <f t="shared" si="1"/>
        <v>1457.2399999999998</v>
      </c>
      <c r="P7" s="37">
        <f t="shared" si="1"/>
        <v>1368.54</v>
      </c>
      <c r="Q7" s="37">
        <f t="shared" si="1"/>
        <v>1339.7399999999998</v>
      </c>
      <c r="R7" s="37">
        <f t="shared" si="1"/>
        <v>1245.24</v>
      </c>
      <c r="S7" s="37">
        <f t="shared" si="1"/>
        <v>1215.8400000000001</v>
      </c>
      <c r="T7" s="37">
        <f t="shared" si="1"/>
        <v>1231.1399999999999</v>
      </c>
      <c r="U7" s="37">
        <f t="shared" si="1"/>
        <v>1248.8399999999999</v>
      </c>
      <c r="V7" s="37">
        <f t="shared" si="1"/>
        <v>1284.54</v>
      </c>
      <c r="W7" s="37">
        <f t="shared" si="1"/>
        <v>1340.9399999999998</v>
      </c>
      <c r="X7" s="37">
        <f t="shared" si="1"/>
        <v>1478.1399999999999</v>
      </c>
      <c r="Y7" s="37">
        <f t="shared" si="1"/>
        <v>1654.3400000000001</v>
      </c>
      <c r="Z7" s="37">
        <f t="shared" si="1"/>
        <v>1588.6399999999999</v>
      </c>
      <c r="AA7" s="37">
        <f t="shared" si="1"/>
        <v>1586.3400000000001</v>
      </c>
      <c r="AB7" s="37">
        <f t="shared" si="1"/>
        <v>1497.2399999999998</v>
      </c>
      <c r="AC7" s="37">
        <f t="shared" si="1"/>
        <v>1438.2399999999998</v>
      </c>
      <c r="AD7" s="37">
        <f t="shared" si="1"/>
        <v>1374.2399999999998</v>
      </c>
      <c r="AE7" s="37">
        <f t="shared" si="1"/>
        <v>1169.1399999999999</v>
      </c>
      <c r="AF7" s="37">
        <f t="shared" si="1"/>
        <v>1062.24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35</v>
      </c>
      <c r="H11" s="49">
        <v>35</v>
      </c>
      <c r="I11" s="49">
        <v>12</v>
      </c>
      <c r="J11" s="49">
        <v>12</v>
      </c>
      <c r="K11" s="49">
        <v>40</v>
      </c>
      <c r="L11" s="49">
        <v>210</v>
      </c>
      <c r="M11" s="50">
        <v>350</v>
      </c>
      <c r="N11" s="50">
        <v>290</v>
      </c>
      <c r="O11" s="50">
        <v>230</v>
      </c>
      <c r="P11" s="50">
        <v>50</v>
      </c>
      <c r="Q11" s="50">
        <v>20</v>
      </c>
      <c r="R11" s="177">
        <v>30</v>
      </c>
      <c r="S11" s="50">
        <v>10</v>
      </c>
      <c r="T11" s="50">
        <v>10</v>
      </c>
      <c r="U11" s="50">
        <v>10</v>
      </c>
      <c r="V11" s="50">
        <v>200</v>
      </c>
      <c r="W11" s="50">
        <v>160</v>
      </c>
      <c r="X11" s="50">
        <v>230</v>
      </c>
      <c r="Y11" s="50">
        <v>420</v>
      </c>
      <c r="Z11" s="51">
        <v>290</v>
      </c>
      <c r="AA11" s="50">
        <v>270</v>
      </c>
      <c r="AB11" s="50">
        <v>146</v>
      </c>
      <c r="AC11" s="50">
        <v>100</v>
      </c>
      <c r="AD11" s="50">
        <v>15</v>
      </c>
      <c r="AE11" s="50">
        <v>15</v>
      </c>
      <c r="AF11" s="50">
        <v>15</v>
      </c>
      <c r="AG11" s="52">
        <v>456</v>
      </c>
      <c r="AH11" s="53">
        <f>MAX(B11:AF11)</f>
        <v>420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49">
        <v>36</v>
      </c>
      <c r="T12" s="49">
        <v>36</v>
      </c>
      <c r="U12" s="49">
        <v>36</v>
      </c>
      <c r="V12" s="49">
        <v>36</v>
      </c>
      <c r="W12" s="49">
        <v>36</v>
      </c>
      <c r="X12" s="49">
        <v>36</v>
      </c>
      <c r="Y12" s="57">
        <v>36</v>
      </c>
      <c r="Z12" s="57">
        <v>36</v>
      </c>
      <c r="AA12" s="57">
        <v>36</v>
      </c>
      <c r="AB12" s="50">
        <v>36</v>
      </c>
      <c r="AC12" s="50">
        <v>36</v>
      </c>
      <c r="AD12" s="50">
        <v>36</v>
      </c>
      <c r="AE12" s="50">
        <v>36</v>
      </c>
      <c r="AF12" s="50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19.600000000000001</v>
      </c>
      <c r="C13" s="49">
        <v>19.8</v>
      </c>
      <c r="D13" s="49">
        <v>21.9</v>
      </c>
      <c r="E13" s="49">
        <v>23.1</v>
      </c>
      <c r="F13" s="49">
        <v>21</v>
      </c>
      <c r="G13" s="49">
        <v>18.5</v>
      </c>
      <c r="H13" s="49">
        <v>18.5</v>
      </c>
      <c r="I13" s="49">
        <v>18.5</v>
      </c>
      <c r="J13" s="49">
        <v>18.600000000000001</v>
      </c>
      <c r="K13" s="49">
        <v>18.600000000000001</v>
      </c>
      <c r="L13" s="49">
        <v>19.8</v>
      </c>
      <c r="M13" s="49">
        <v>19.8</v>
      </c>
      <c r="N13" s="49">
        <v>19.8</v>
      </c>
      <c r="O13" s="49">
        <v>19.8</v>
      </c>
      <c r="P13" s="49">
        <v>19.8</v>
      </c>
      <c r="Q13" s="49">
        <v>19.8</v>
      </c>
      <c r="R13" s="49">
        <v>19.8</v>
      </c>
      <c r="S13" s="49">
        <v>19.8</v>
      </c>
      <c r="T13" s="49">
        <v>21.2</v>
      </c>
      <c r="U13" s="49">
        <v>21.2</v>
      </c>
      <c r="V13" s="49">
        <v>21.2</v>
      </c>
      <c r="W13" s="49">
        <v>21.2</v>
      </c>
      <c r="X13" s="49">
        <v>21.2</v>
      </c>
      <c r="Y13" s="57">
        <v>21.2</v>
      </c>
      <c r="Z13" s="57">
        <v>21.2</v>
      </c>
      <c r="AA13" s="57">
        <v>21.2</v>
      </c>
      <c r="AB13" s="50">
        <v>19.7</v>
      </c>
      <c r="AC13" s="50">
        <v>19.7</v>
      </c>
      <c r="AD13" s="50">
        <v>19.7</v>
      </c>
      <c r="AE13" s="50">
        <v>19.7</v>
      </c>
      <c r="AF13" s="50">
        <v>19.7</v>
      </c>
      <c r="AG13" s="58">
        <v>52.4</v>
      </c>
      <c r="AH13" s="53">
        <f t="shared" si="2"/>
        <v>23.1</v>
      </c>
      <c r="AI13" s="54">
        <f t="shared" si="3"/>
        <v>18.5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37.9</v>
      </c>
      <c r="C14" s="49">
        <v>37.9</v>
      </c>
      <c r="D14" s="49">
        <v>38.200000000000003</v>
      </c>
      <c r="E14" s="49">
        <v>38</v>
      </c>
      <c r="F14" s="49">
        <v>38.200000000000003</v>
      </c>
      <c r="G14" s="49">
        <v>38.200000000000003</v>
      </c>
      <c r="H14" s="49">
        <v>38.200000000000003</v>
      </c>
      <c r="I14" s="49">
        <v>37.9</v>
      </c>
      <c r="J14" s="49">
        <v>38.1</v>
      </c>
      <c r="K14" s="49">
        <v>38.1</v>
      </c>
      <c r="L14" s="49">
        <v>37.700000000000003</v>
      </c>
      <c r="M14" s="50">
        <v>37.700000000000003</v>
      </c>
      <c r="N14" s="50">
        <v>37.700000000000003</v>
      </c>
      <c r="O14" s="50">
        <v>37.700000000000003</v>
      </c>
      <c r="P14" s="50">
        <v>37.700000000000003</v>
      </c>
      <c r="Q14" s="50">
        <v>37.700000000000003</v>
      </c>
      <c r="R14" s="50">
        <v>37.700000000000003</v>
      </c>
      <c r="S14" s="50">
        <v>37.700000000000003</v>
      </c>
      <c r="T14" s="50">
        <v>37.700000000000003</v>
      </c>
      <c r="U14" s="50">
        <v>37.700000000000003</v>
      </c>
      <c r="V14" s="50">
        <v>37.700000000000003</v>
      </c>
      <c r="W14" s="50">
        <v>37.700000000000003</v>
      </c>
      <c r="X14" s="50">
        <v>37.700000000000003</v>
      </c>
      <c r="Y14" s="59">
        <v>37.700000000000003</v>
      </c>
      <c r="Z14" s="59">
        <v>37.700000000000003</v>
      </c>
      <c r="AA14" s="59">
        <v>37.700000000000003</v>
      </c>
      <c r="AB14" s="50">
        <v>36.4</v>
      </c>
      <c r="AC14" s="50">
        <v>36.4</v>
      </c>
      <c r="AD14" s="50">
        <v>36.4</v>
      </c>
      <c r="AE14" s="50">
        <v>36.4</v>
      </c>
      <c r="AF14" s="50">
        <v>36.4</v>
      </c>
      <c r="AG14" s="58">
        <v>50</v>
      </c>
      <c r="AH14" s="53">
        <f t="shared" si="2"/>
        <v>38.200000000000003</v>
      </c>
      <c r="AI14" s="54">
        <f t="shared" si="3"/>
        <v>36.4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23.2</v>
      </c>
      <c r="C15" s="60">
        <v>23.2</v>
      </c>
      <c r="D15" s="60">
        <v>23.1</v>
      </c>
      <c r="E15" s="60">
        <v>22.7</v>
      </c>
      <c r="F15" s="60">
        <v>22.6</v>
      </c>
      <c r="G15" s="60">
        <v>21.8</v>
      </c>
      <c r="H15" s="60">
        <v>21.8</v>
      </c>
      <c r="I15" s="60">
        <v>22.4</v>
      </c>
      <c r="J15" s="60">
        <v>22.3</v>
      </c>
      <c r="K15" s="60">
        <v>22.3</v>
      </c>
      <c r="L15" s="60">
        <v>22.2</v>
      </c>
      <c r="M15" s="50">
        <v>22.2</v>
      </c>
      <c r="N15" s="50">
        <v>22.2</v>
      </c>
      <c r="O15" s="50">
        <v>22.2</v>
      </c>
      <c r="P15" s="50">
        <v>22.2</v>
      </c>
      <c r="Q15" s="50">
        <v>22.2</v>
      </c>
      <c r="R15" s="50">
        <v>22.2</v>
      </c>
      <c r="S15" s="50">
        <v>22.2</v>
      </c>
      <c r="T15" s="50">
        <v>22.5</v>
      </c>
      <c r="U15" s="50">
        <v>22.5</v>
      </c>
      <c r="V15" s="50">
        <v>22.5</v>
      </c>
      <c r="W15" s="50">
        <v>22.5</v>
      </c>
      <c r="X15" s="50">
        <v>22.5</v>
      </c>
      <c r="Y15" s="59">
        <v>22.5</v>
      </c>
      <c r="Z15" s="59">
        <v>22.5</v>
      </c>
      <c r="AA15" s="59">
        <v>22.5</v>
      </c>
      <c r="AB15" s="50">
        <v>23.1</v>
      </c>
      <c r="AC15" s="50">
        <v>23.1</v>
      </c>
      <c r="AD15" s="50">
        <v>23.1</v>
      </c>
      <c r="AE15" s="50">
        <v>23.1</v>
      </c>
      <c r="AF15" s="50">
        <v>23.1</v>
      </c>
      <c r="AG15" s="61">
        <v>45</v>
      </c>
      <c r="AH15" s="53">
        <f t="shared" si="2"/>
        <v>23.2</v>
      </c>
      <c r="AI15" s="54">
        <f t="shared" si="3"/>
        <v>21.8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50">
        <v>10</v>
      </c>
      <c r="C16" s="50">
        <v>10</v>
      </c>
      <c r="D16" s="50">
        <v>10</v>
      </c>
      <c r="E16" s="50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0">
        <v>9</v>
      </c>
      <c r="C17" s="50">
        <v>9</v>
      </c>
      <c r="D17" s="50">
        <v>9</v>
      </c>
      <c r="E17" s="50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9">
        <v>9</v>
      </c>
      <c r="AA17" s="59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7.5</v>
      </c>
      <c r="C18" s="50">
        <v>7.5</v>
      </c>
      <c r="D18" s="50">
        <v>7.5</v>
      </c>
      <c r="E18" s="50">
        <v>7.5</v>
      </c>
      <c r="F18" s="49">
        <v>7.5</v>
      </c>
      <c r="G18" s="49">
        <v>7.5</v>
      </c>
      <c r="H18" s="49">
        <v>7.5</v>
      </c>
      <c r="I18" s="49">
        <v>7.5</v>
      </c>
      <c r="J18" s="49">
        <v>7.5</v>
      </c>
      <c r="K18" s="49">
        <v>7.5</v>
      </c>
      <c r="L18" s="49">
        <v>7.5</v>
      </c>
      <c r="M18" s="50">
        <v>7.5</v>
      </c>
      <c r="N18" s="50">
        <v>7.5</v>
      </c>
      <c r="O18" s="50">
        <v>7.5</v>
      </c>
      <c r="P18" s="50">
        <v>7.5</v>
      </c>
      <c r="Q18" s="50">
        <v>7.5</v>
      </c>
      <c r="R18" s="50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8">
        <v>36</v>
      </c>
      <c r="AH18" s="53">
        <f t="shared" si="2"/>
        <v>7.5</v>
      </c>
      <c r="AI18" s="54">
        <f t="shared" si="3"/>
        <v>7.5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10.5</v>
      </c>
      <c r="C19" s="50">
        <v>10.5</v>
      </c>
      <c r="D19" s="50">
        <v>10.5</v>
      </c>
      <c r="E19" s="50">
        <v>10.5</v>
      </c>
      <c r="F19" s="49">
        <v>10.5</v>
      </c>
      <c r="G19" s="49">
        <v>10.5</v>
      </c>
      <c r="H19" s="49">
        <v>10.5</v>
      </c>
      <c r="I19" s="49">
        <v>10.5</v>
      </c>
      <c r="J19" s="49">
        <v>10.5</v>
      </c>
      <c r="K19" s="49">
        <v>10.5</v>
      </c>
      <c r="L19" s="49">
        <v>10.5</v>
      </c>
      <c r="M19" s="50">
        <v>10.5</v>
      </c>
      <c r="N19" s="50">
        <v>10.5</v>
      </c>
      <c r="O19" s="50">
        <v>10.5</v>
      </c>
      <c r="P19" s="50">
        <v>10.5</v>
      </c>
      <c r="Q19" s="50">
        <v>10.5</v>
      </c>
      <c r="R19" s="50">
        <v>10.5</v>
      </c>
      <c r="S19" s="50">
        <v>10.5</v>
      </c>
      <c r="T19" s="50">
        <v>10.1</v>
      </c>
      <c r="U19" s="50">
        <v>10.1</v>
      </c>
      <c r="V19" s="50">
        <v>10.1</v>
      </c>
      <c r="W19" s="50">
        <v>10.1</v>
      </c>
      <c r="X19" s="50">
        <v>10.1</v>
      </c>
      <c r="Y19" s="50">
        <v>10.1</v>
      </c>
      <c r="Z19" s="50">
        <v>10.1</v>
      </c>
      <c r="AA19" s="50">
        <v>10.1</v>
      </c>
      <c r="AB19" s="50">
        <v>10.199999999999999</v>
      </c>
      <c r="AC19" s="50">
        <v>10.199999999999999</v>
      </c>
      <c r="AD19" s="50">
        <v>10.199999999999999</v>
      </c>
      <c r="AE19" s="50">
        <v>10.199999999999999</v>
      </c>
      <c r="AF19" s="50">
        <v>10.199999999999999</v>
      </c>
      <c r="AG19" s="58">
        <v>30</v>
      </c>
      <c r="AH19" s="53">
        <f t="shared" si="2"/>
        <v>10.5</v>
      </c>
      <c r="AI19" s="54">
        <f t="shared" si="3"/>
        <v>10.1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14.4</v>
      </c>
      <c r="C22" s="49">
        <v>14.4</v>
      </c>
      <c r="D22" s="49">
        <v>14.4</v>
      </c>
      <c r="E22" s="49">
        <v>14.4</v>
      </c>
      <c r="F22" s="49">
        <v>14.4</v>
      </c>
      <c r="G22" s="49">
        <v>14.4</v>
      </c>
      <c r="H22" s="49">
        <v>14.4</v>
      </c>
      <c r="I22" s="49">
        <v>14.4</v>
      </c>
      <c r="J22" s="49">
        <v>14.4</v>
      </c>
      <c r="K22" s="49">
        <v>14.4</v>
      </c>
      <c r="L22" s="49">
        <v>14.4</v>
      </c>
      <c r="M22" s="50">
        <v>14.4</v>
      </c>
      <c r="N22" s="50">
        <v>14.4</v>
      </c>
      <c r="O22" s="50">
        <v>14.4</v>
      </c>
      <c r="P22" s="50">
        <v>14.4</v>
      </c>
      <c r="Q22" s="50">
        <v>14.4</v>
      </c>
      <c r="R22" s="50">
        <v>14.4</v>
      </c>
      <c r="S22" s="50">
        <v>9.6999999999999993</v>
      </c>
      <c r="T22" s="50">
        <v>9.6999999999999993</v>
      </c>
      <c r="U22" s="50">
        <v>9.6999999999999993</v>
      </c>
      <c r="V22" s="50">
        <v>9.6999999999999993</v>
      </c>
      <c r="W22" s="50">
        <v>9.6999999999999993</v>
      </c>
      <c r="X22" s="50">
        <v>9.6999999999999993</v>
      </c>
      <c r="Y22" s="50">
        <v>17.399999999999999</v>
      </c>
      <c r="Z22" s="50">
        <v>17.399999999999999</v>
      </c>
      <c r="AA22" s="50">
        <v>17.399999999999999</v>
      </c>
      <c r="AB22" s="50">
        <v>13.6</v>
      </c>
      <c r="AC22" s="50">
        <v>13.6</v>
      </c>
      <c r="AD22" s="50">
        <v>13.6</v>
      </c>
      <c r="AE22" s="50">
        <v>13.6</v>
      </c>
      <c r="AF22" s="50">
        <v>13.6</v>
      </c>
      <c r="AG22" s="58">
        <v>25</v>
      </c>
      <c r="AH22" s="53">
        <f t="shared" si="2"/>
        <v>17.399999999999999</v>
      </c>
      <c r="AI22" s="54">
        <f t="shared" si="3"/>
        <v>9.6999999999999993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8</v>
      </c>
      <c r="C23" s="50">
        <v>8</v>
      </c>
      <c r="D23" s="50">
        <v>8</v>
      </c>
      <c r="E23" s="50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11</v>
      </c>
      <c r="C24" s="50">
        <v>11</v>
      </c>
      <c r="D24" s="50">
        <v>11</v>
      </c>
      <c r="E24" s="50">
        <v>11</v>
      </c>
      <c r="F24" s="49">
        <v>11</v>
      </c>
      <c r="G24" s="49">
        <v>11</v>
      </c>
      <c r="H24" s="49">
        <v>12.2</v>
      </c>
      <c r="I24" s="49">
        <v>12.2</v>
      </c>
      <c r="J24" s="49">
        <v>12.2</v>
      </c>
      <c r="K24" s="49">
        <v>12.2</v>
      </c>
      <c r="L24" s="49">
        <v>12.2</v>
      </c>
      <c r="M24" s="50">
        <v>12.2</v>
      </c>
      <c r="N24" s="50">
        <v>12.2</v>
      </c>
      <c r="O24" s="50">
        <v>12.2</v>
      </c>
      <c r="P24" s="50">
        <v>12.2</v>
      </c>
      <c r="Q24" s="50">
        <v>12.2</v>
      </c>
      <c r="R24" s="50">
        <v>12.2</v>
      </c>
      <c r="S24" s="50">
        <v>12.2</v>
      </c>
      <c r="T24" s="50">
        <v>11.3</v>
      </c>
      <c r="U24" s="50">
        <v>11.3</v>
      </c>
      <c r="V24" s="50">
        <v>11.3</v>
      </c>
      <c r="W24" s="50">
        <v>11.3</v>
      </c>
      <c r="X24" s="50">
        <v>11.3</v>
      </c>
      <c r="Y24" s="50">
        <v>11.3</v>
      </c>
      <c r="Z24" s="50">
        <v>11.3</v>
      </c>
      <c r="AA24" s="50">
        <v>11.3</v>
      </c>
      <c r="AB24" s="50">
        <v>11.3</v>
      </c>
      <c r="AC24" s="50">
        <v>11.3</v>
      </c>
      <c r="AD24" s="50">
        <v>11.3</v>
      </c>
      <c r="AE24" s="50">
        <v>11.3</v>
      </c>
      <c r="AF24" s="50">
        <v>11.3</v>
      </c>
      <c r="AG24" s="58">
        <v>25</v>
      </c>
      <c r="AH24" s="53">
        <f t="shared" si="2"/>
        <v>12.2</v>
      </c>
      <c r="AI24" s="54">
        <f t="shared" si="3"/>
        <v>11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6.2</v>
      </c>
      <c r="C26" s="50">
        <v>6.2</v>
      </c>
      <c r="D26" s="50">
        <v>6.2</v>
      </c>
      <c r="E26" s="50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0</v>
      </c>
      <c r="C33" s="50">
        <v>0</v>
      </c>
      <c r="D33" s="50">
        <v>0</v>
      </c>
      <c r="E33" s="5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f>32.9+17</f>
        <v>49.9</v>
      </c>
      <c r="C37" s="60">
        <f>34.4+17.8</f>
        <v>52.2</v>
      </c>
      <c r="D37" s="60">
        <f>33.9+17.7</f>
        <v>51.599999999999994</v>
      </c>
      <c r="E37" s="60">
        <f>33.8+17.6</f>
        <v>51.4</v>
      </c>
      <c r="F37" s="60">
        <f>34.1+17.9</f>
        <v>52</v>
      </c>
      <c r="G37" s="60">
        <f>35.2+18.4</f>
        <v>53.6</v>
      </c>
      <c r="H37" s="60">
        <f>35+18.2</f>
        <v>53.2</v>
      </c>
      <c r="I37" s="60">
        <f>34.8+18.1</f>
        <v>52.9</v>
      </c>
      <c r="J37" s="60">
        <f>34.4+18.1</f>
        <v>52.5</v>
      </c>
      <c r="K37" s="60">
        <v>49.786999999999999</v>
      </c>
      <c r="L37" s="60">
        <f>32.6+17.1</f>
        <v>49.7</v>
      </c>
      <c r="M37" s="69">
        <v>49.2</v>
      </c>
      <c r="N37" s="69">
        <v>49.2</v>
      </c>
      <c r="O37" s="69">
        <v>49.2</v>
      </c>
      <c r="P37" s="69">
        <f>16.6+32.7</f>
        <v>49.300000000000004</v>
      </c>
      <c r="Q37" s="69">
        <f t="shared" ref="Q37:R37" si="4">16.6+32.7</f>
        <v>49.300000000000004</v>
      </c>
      <c r="R37" s="69">
        <f t="shared" si="4"/>
        <v>49.300000000000004</v>
      </c>
      <c r="S37" s="69">
        <v>54.1</v>
      </c>
      <c r="T37" s="69">
        <f>18.1+37.7</f>
        <v>55.800000000000004</v>
      </c>
      <c r="U37" s="69">
        <v>56.4</v>
      </c>
      <c r="V37" s="69">
        <v>52.2</v>
      </c>
      <c r="W37" s="69">
        <v>49.7</v>
      </c>
      <c r="X37" s="69">
        <v>49.7</v>
      </c>
      <c r="Y37" s="69">
        <v>48.8</v>
      </c>
      <c r="Z37" s="69">
        <v>48.4</v>
      </c>
      <c r="AA37" s="69">
        <v>48.6</v>
      </c>
      <c r="AB37" s="69">
        <f>16.3+32.1</f>
        <v>48.400000000000006</v>
      </c>
      <c r="AC37" s="69">
        <f>16.3+32.1</f>
        <v>48.400000000000006</v>
      </c>
      <c r="AD37" s="69">
        <f>16.3+32.1</f>
        <v>48.400000000000006</v>
      </c>
      <c r="AE37" s="69">
        <f>16.3+32.1</f>
        <v>48.400000000000006</v>
      </c>
      <c r="AF37" s="69">
        <f>16.3+32.1</f>
        <v>48.400000000000006</v>
      </c>
      <c r="AG37" s="66">
        <v>240</v>
      </c>
      <c r="AH37" s="53">
        <f t="shared" si="2"/>
        <v>56.4</v>
      </c>
      <c r="AI37" s="54">
        <f t="shared" si="3"/>
        <v>48.4</v>
      </c>
      <c r="AK37" s="55"/>
    </row>
    <row r="38" spans="1:88" ht="15.75" thickBot="1" x14ac:dyDescent="0.3">
      <c r="A38" s="70" t="s">
        <v>46</v>
      </c>
      <c r="B38" s="71">
        <f>SUM(B11:B36)</f>
        <v>418.7</v>
      </c>
      <c r="C38" s="71">
        <f t="shared" ref="C38:AF38" si="5">SUM(C11:C36)</f>
        <v>418.9</v>
      </c>
      <c r="D38" s="71">
        <f t="shared" si="5"/>
        <v>421.2</v>
      </c>
      <c r="E38" s="71">
        <f t="shared" si="5"/>
        <v>421.79999999999995</v>
      </c>
      <c r="F38" s="71">
        <f t="shared" si="5"/>
        <v>419.8</v>
      </c>
      <c r="G38" s="71">
        <f t="shared" si="5"/>
        <v>439.49999999999994</v>
      </c>
      <c r="H38" s="71">
        <f t="shared" si="5"/>
        <v>440.7</v>
      </c>
      <c r="I38" s="71">
        <f t="shared" si="5"/>
        <v>418</v>
      </c>
      <c r="J38" s="71">
        <f t="shared" si="5"/>
        <v>418.2</v>
      </c>
      <c r="K38" s="71">
        <f t="shared" si="5"/>
        <v>446.2</v>
      </c>
      <c r="L38" s="71">
        <f t="shared" si="5"/>
        <v>616.89999999999986</v>
      </c>
      <c r="M38" s="71">
        <f t="shared" si="5"/>
        <v>756.90000000000009</v>
      </c>
      <c r="N38" s="71">
        <f t="shared" si="5"/>
        <v>696.9</v>
      </c>
      <c r="O38" s="71">
        <f t="shared" si="5"/>
        <v>636.89999999999986</v>
      </c>
      <c r="P38" s="71">
        <f t="shared" si="5"/>
        <v>456.9</v>
      </c>
      <c r="Q38" s="71">
        <f t="shared" si="5"/>
        <v>426.89999999999992</v>
      </c>
      <c r="R38" s="71">
        <f t="shared" si="5"/>
        <v>436.89999999999992</v>
      </c>
      <c r="S38" s="71">
        <f t="shared" si="5"/>
        <v>412.19999999999993</v>
      </c>
      <c r="T38" s="71">
        <f t="shared" si="5"/>
        <v>412.59999999999997</v>
      </c>
      <c r="U38" s="71">
        <f t="shared" si="5"/>
        <v>412.59999999999997</v>
      </c>
      <c r="V38" s="71">
        <f t="shared" si="5"/>
        <v>602.59999999999991</v>
      </c>
      <c r="W38" s="71">
        <f t="shared" si="5"/>
        <v>562.59999999999991</v>
      </c>
      <c r="X38" s="71">
        <f t="shared" si="5"/>
        <v>632.59999999999991</v>
      </c>
      <c r="Y38" s="71">
        <f t="shared" si="5"/>
        <v>830.30000000000007</v>
      </c>
      <c r="Z38" s="71">
        <f t="shared" si="5"/>
        <v>700.3</v>
      </c>
      <c r="AA38" s="71">
        <f t="shared" si="5"/>
        <v>680.3</v>
      </c>
      <c r="AB38" s="71">
        <f t="shared" si="5"/>
        <v>550.4</v>
      </c>
      <c r="AC38" s="71">
        <f t="shared" si="5"/>
        <v>504.4</v>
      </c>
      <c r="AD38" s="71">
        <f t="shared" si="5"/>
        <v>419.4</v>
      </c>
      <c r="AE38" s="71">
        <f t="shared" si="5"/>
        <v>419.4</v>
      </c>
      <c r="AF38" s="71">
        <f t="shared" si="5"/>
        <v>419.4</v>
      </c>
      <c r="AG38" s="66">
        <f>SUM(AG11:AG37)</f>
        <v>1492.8299999999997</v>
      </c>
      <c r="AH38" s="53">
        <f t="shared" si="2"/>
        <v>830.30000000000007</v>
      </c>
      <c r="AI38" s="54">
        <f t="shared" si="3"/>
        <v>412.19999999999993</v>
      </c>
      <c r="AK38" s="55"/>
    </row>
    <row r="39" spans="1:88" x14ac:dyDescent="0.25">
      <c r="A39" s="56" t="s">
        <v>47</v>
      </c>
      <c r="B39" s="49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35</v>
      </c>
      <c r="I39" s="60">
        <v>34.6</v>
      </c>
      <c r="J39" s="60">
        <v>48.5</v>
      </c>
      <c r="K39" s="60">
        <v>84.7</v>
      </c>
      <c r="L39" s="60">
        <v>121.6</v>
      </c>
      <c r="M39" s="50">
        <v>137</v>
      </c>
      <c r="N39" s="50">
        <v>137</v>
      </c>
      <c r="O39" s="50">
        <v>131</v>
      </c>
      <c r="P39" s="50">
        <v>101.3</v>
      </c>
      <c r="Q39" s="50">
        <v>97</v>
      </c>
      <c r="R39" s="50">
        <v>80</v>
      </c>
      <c r="S39" s="50">
        <v>71.2</v>
      </c>
      <c r="T39" s="50">
        <v>71.7</v>
      </c>
      <c r="U39" s="50">
        <v>91.2</v>
      </c>
      <c r="V39" s="50">
        <v>111.9</v>
      </c>
      <c r="W39" s="50">
        <v>145.9</v>
      </c>
      <c r="X39" s="50">
        <v>145.69999999999999</v>
      </c>
      <c r="Y39" s="50">
        <v>145.69999999999999</v>
      </c>
      <c r="Z39" s="50">
        <v>145.69999999999999</v>
      </c>
      <c r="AA39" s="50">
        <v>144.80000000000001</v>
      </c>
      <c r="AB39" s="50">
        <v>144.69999999999999</v>
      </c>
      <c r="AC39" s="50">
        <v>144.9</v>
      </c>
      <c r="AD39" s="50">
        <v>144</v>
      </c>
      <c r="AE39" s="50">
        <v>44</v>
      </c>
      <c r="AF39" s="49">
        <v>0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28.7</v>
      </c>
      <c r="J40" s="60">
        <v>62</v>
      </c>
      <c r="K40" s="60">
        <v>63</v>
      </c>
      <c r="L40" s="60">
        <v>61.6</v>
      </c>
      <c r="M40" s="72">
        <v>60.5</v>
      </c>
      <c r="N40" s="72">
        <v>70</v>
      </c>
      <c r="O40" s="72">
        <v>70</v>
      </c>
      <c r="P40" s="72">
        <v>46.4</v>
      </c>
      <c r="Q40" s="72">
        <v>45</v>
      </c>
      <c r="R40" s="72">
        <v>35</v>
      </c>
      <c r="S40" s="72">
        <v>34.9</v>
      </c>
      <c r="T40" s="72">
        <v>34.799999999999997</v>
      </c>
      <c r="U40" s="72">
        <v>34.799999999999997</v>
      </c>
      <c r="V40" s="72">
        <v>47.7</v>
      </c>
      <c r="W40" s="72">
        <v>45.6</v>
      </c>
      <c r="X40" s="72">
        <v>69.7</v>
      </c>
      <c r="Y40" s="72">
        <v>69.7</v>
      </c>
      <c r="Z40" s="72">
        <v>69.7</v>
      </c>
      <c r="AA40" s="72">
        <v>69.400000000000006</v>
      </c>
      <c r="AB40" s="72">
        <v>69.3</v>
      </c>
      <c r="AC40" s="72">
        <v>60.8</v>
      </c>
      <c r="AD40" s="72">
        <v>51</v>
      </c>
      <c r="AE40" s="72">
        <v>25</v>
      </c>
      <c r="AF40" s="60">
        <v>0</v>
      </c>
      <c r="AG40" s="66">
        <v>70</v>
      </c>
      <c r="AH40" s="53">
        <f t="shared" si="2"/>
        <v>70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32.9</v>
      </c>
      <c r="C41" s="60">
        <v>35.1</v>
      </c>
      <c r="D41" s="60">
        <v>33.299999999999997</v>
      </c>
      <c r="E41" s="60">
        <v>21.6</v>
      </c>
      <c r="F41" s="60">
        <v>17.3</v>
      </c>
      <c r="G41" s="60">
        <v>23.2</v>
      </c>
      <c r="H41" s="60">
        <v>17.100000000000001</v>
      </c>
      <c r="I41" s="60">
        <v>16.8</v>
      </c>
      <c r="J41" s="60">
        <v>43.4</v>
      </c>
      <c r="K41" s="60">
        <v>46.3</v>
      </c>
      <c r="L41" s="60">
        <v>68.3</v>
      </c>
      <c r="M41" s="72">
        <v>67.8</v>
      </c>
      <c r="N41" s="72">
        <v>64</v>
      </c>
      <c r="O41" s="72">
        <v>60</v>
      </c>
      <c r="P41" s="72">
        <v>31.3</v>
      </c>
      <c r="Q41" s="72">
        <v>36</v>
      </c>
      <c r="R41" s="72">
        <v>37</v>
      </c>
      <c r="S41" s="72">
        <v>22.1</v>
      </c>
      <c r="T41" s="72">
        <v>21.9</v>
      </c>
      <c r="U41" s="72">
        <v>34.799999999999997</v>
      </c>
      <c r="V41" s="72">
        <v>40.5</v>
      </c>
      <c r="W41" s="72">
        <v>52.8</v>
      </c>
      <c r="X41" s="72">
        <v>67</v>
      </c>
      <c r="Y41" s="72">
        <v>67</v>
      </c>
      <c r="Z41" s="72">
        <v>67</v>
      </c>
      <c r="AA41" s="72">
        <v>67</v>
      </c>
      <c r="AB41" s="72">
        <v>66.900000000000006</v>
      </c>
      <c r="AC41" s="72">
        <v>66.3</v>
      </c>
      <c r="AD41" s="72">
        <v>66</v>
      </c>
      <c r="AE41" s="72">
        <v>52</v>
      </c>
      <c r="AF41" s="60">
        <v>45</v>
      </c>
      <c r="AG41" s="66">
        <v>69</v>
      </c>
      <c r="AH41" s="53">
        <f t="shared" si="2"/>
        <v>68.3</v>
      </c>
      <c r="AI41" s="54">
        <f t="shared" si="3"/>
        <v>16.8</v>
      </c>
      <c r="AK41" s="55"/>
    </row>
    <row r="42" spans="1:88" x14ac:dyDescent="0.25">
      <c r="A42" s="65" t="s">
        <v>50</v>
      </c>
      <c r="B42" s="60">
        <v>54.9</v>
      </c>
      <c r="C42" s="60">
        <v>53.2</v>
      </c>
      <c r="D42" s="60">
        <v>53.2</v>
      </c>
      <c r="E42" s="60">
        <v>53.2</v>
      </c>
      <c r="F42" s="60">
        <v>52.9</v>
      </c>
      <c r="G42" s="60">
        <v>51.4</v>
      </c>
      <c r="H42" s="60">
        <v>51.4</v>
      </c>
      <c r="I42" s="60">
        <v>51.4</v>
      </c>
      <c r="J42" s="60">
        <v>51.4</v>
      </c>
      <c r="K42" s="60">
        <v>53.2</v>
      </c>
      <c r="L42" s="60">
        <v>52.9</v>
      </c>
      <c r="M42" s="72">
        <v>52.9</v>
      </c>
      <c r="N42" s="72">
        <v>52.9</v>
      </c>
      <c r="O42" s="72">
        <v>52.9</v>
      </c>
      <c r="P42" s="72">
        <v>49.4</v>
      </c>
      <c r="Q42" s="72">
        <v>49.4</v>
      </c>
      <c r="R42" s="72">
        <v>49.4</v>
      </c>
      <c r="S42" s="72">
        <v>49.4</v>
      </c>
      <c r="T42" s="72">
        <v>51.9</v>
      </c>
      <c r="U42" s="72">
        <v>52.4</v>
      </c>
      <c r="V42" s="72">
        <v>51.9</v>
      </c>
      <c r="W42" s="72">
        <v>48.3</v>
      </c>
      <c r="X42" s="72">
        <v>48.3</v>
      </c>
      <c r="Y42" s="72">
        <v>50.4</v>
      </c>
      <c r="Z42" s="72">
        <v>50.4</v>
      </c>
      <c r="AA42" s="72">
        <v>50.4</v>
      </c>
      <c r="AB42" s="72">
        <v>53.4</v>
      </c>
      <c r="AC42" s="72">
        <v>53.4</v>
      </c>
      <c r="AD42" s="72">
        <v>53.4</v>
      </c>
      <c r="AE42" s="72">
        <v>53.4</v>
      </c>
      <c r="AF42" s="72">
        <v>53.4</v>
      </c>
      <c r="AG42" s="66">
        <v>60</v>
      </c>
      <c r="AH42" s="53">
        <f t="shared" si="2"/>
        <v>54.9</v>
      </c>
      <c r="AI42" s="54">
        <f t="shared" si="3"/>
        <v>48.3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10</v>
      </c>
      <c r="I43" s="60">
        <v>10</v>
      </c>
      <c r="J43" s="60">
        <v>13</v>
      </c>
      <c r="K43" s="60">
        <v>23</v>
      </c>
      <c r="L43" s="60">
        <v>23</v>
      </c>
      <c r="M43" s="50">
        <v>30</v>
      </c>
      <c r="N43" s="50">
        <v>30</v>
      </c>
      <c r="O43" s="50">
        <v>30</v>
      </c>
      <c r="P43" s="50">
        <v>15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20.7</v>
      </c>
      <c r="X43" s="50">
        <v>21.5</v>
      </c>
      <c r="Y43" s="50">
        <v>28.1</v>
      </c>
      <c r="Z43" s="50">
        <v>28.1</v>
      </c>
      <c r="AA43" s="50">
        <v>28</v>
      </c>
      <c r="AB43" s="72">
        <v>27.5</v>
      </c>
      <c r="AC43" s="72">
        <v>23</v>
      </c>
      <c r="AD43" s="72">
        <v>23</v>
      </c>
      <c r="AE43" s="72">
        <v>23</v>
      </c>
      <c r="AF43" s="72">
        <v>23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5</v>
      </c>
      <c r="C46" s="50">
        <v>5</v>
      </c>
      <c r="D46" s="5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5</v>
      </c>
      <c r="J46" s="60">
        <v>5</v>
      </c>
      <c r="K46" s="60">
        <v>5</v>
      </c>
      <c r="L46" s="60">
        <v>5</v>
      </c>
      <c r="M46" s="50">
        <v>5</v>
      </c>
      <c r="N46" s="50">
        <v>5</v>
      </c>
      <c r="O46" s="50">
        <v>5</v>
      </c>
      <c r="P46" s="50">
        <v>5</v>
      </c>
      <c r="Q46" s="50">
        <v>5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5</v>
      </c>
      <c r="X46" s="5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12</v>
      </c>
      <c r="C47" s="50">
        <v>12</v>
      </c>
      <c r="D47" s="50">
        <v>12</v>
      </c>
      <c r="E47" s="60">
        <v>12</v>
      </c>
      <c r="F47" s="60">
        <v>12</v>
      </c>
      <c r="G47" s="60">
        <v>12</v>
      </c>
      <c r="H47" s="60">
        <v>12</v>
      </c>
      <c r="I47" s="60">
        <v>12</v>
      </c>
      <c r="J47" s="60">
        <v>12</v>
      </c>
      <c r="K47" s="60">
        <v>12</v>
      </c>
      <c r="L47" s="6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6">
        <v>14.1</v>
      </c>
      <c r="AH47" s="53">
        <f t="shared" si="2"/>
        <v>12</v>
      </c>
      <c r="AI47" s="54">
        <f t="shared" si="3"/>
        <v>10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5.9</v>
      </c>
      <c r="C48" s="50">
        <v>5.9</v>
      </c>
      <c r="D48" s="50">
        <v>5.9</v>
      </c>
      <c r="E48" s="79">
        <v>5.9</v>
      </c>
      <c r="F48" s="79">
        <v>5.9</v>
      </c>
      <c r="G48" s="79">
        <v>5.9</v>
      </c>
      <c r="H48" s="79">
        <v>5.9</v>
      </c>
      <c r="I48" s="79">
        <v>5.9</v>
      </c>
      <c r="J48" s="79">
        <v>5.9</v>
      </c>
      <c r="K48" s="79">
        <v>5.9</v>
      </c>
      <c r="L48" s="79">
        <v>5.9</v>
      </c>
      <c r="M48" s="50">
        <v>5.9</v>
      </c>
      <c r="N48" s="50">
        <v>5.9</v>
      </c>
      <c r="O48" s="50">
        <v>5.9</v>
      </c>
      <c r="P48" s="50">
        <v>5.9</v>
      </c>
      <c r="Q48" s="50">
        <v>5.9</v>
      </c>
      <c r="R48" s="50">
        <v>5.9</v>
      </c>
      <c r="S48" s="50">
        <v>5.9</v>
      </c>
      <c r="T48" s="50">
        <v>5.9</v>
      </c>
      <c r="U48" s="50">
        <v>5.9</v>
      </c>
      <c r="V48" s="50">
        <v>5.9</v>
      </c>
      <c r="W48" s="50">
        <v>5.9</v>
      </c>
      <c r="X48" s="5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50">
        <v>6</v>
      </c>
      <c r="N49" s="50">
        <v>6</v>
      </c>
      <c r="O49" s="50">
        <v>6</v>
      </c>
      <c r="P49" s="50">
        <v>6</v>
      </c>
      <c r="Q49" s="50">
        <v>6</v>
      </c>
      <c r="R49" s="50">
        <v>6</v>
      </c>
      <c r="S49" s="50">
        <v>6</v>
      </c>
      <c r="T49" s="50">
        <v>6</v>
      </c>
      <c r="U49" s="50">
        <v>6</v>
      </c>
      <c r="V49" s="50">
        <v>6</v>
      </c>
      <c r="W49" s="50">
        <v>6</v>
      </c>
      <c r="X49" s="5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6">U199</f>
        <v>3.54</v>
      </c>
      <c r="V51" s="75">
        <f t="shared" si="6"/>
        <v>3.54</v>
      </c>
      <c r="W51" s="75">
        <f t="shared" si="6"/>
        <v>3.54</v>
      </c>
      <c r="X51" s="75">
        <f t="shared" si="6"/>
        <v>3.54</v>
      </c>
      <c r="Y51" s="75">
        <v>3.54</v>
      </c>
      <c r="Z51" s="75">
        <v>3.54</v>
      </c>
      <c r="AA51" s="75">
        <f t="shared" si="6"/>
        <v>3.54</v>
      </c>
      <c r="AB51" s="75">
        <f t="shared" si="6"/>
        <v>3.54</v>
      </c>
      <c r="AC51" s="75">
        <f t="shared" si="6"/>
        <v>3.54</v>
      </c>
      <c r="AD51" s="75">
        <f t="shared" si="6"/>
        <v>3.54</v>
      </c>
      <c r="AE51" s="75">
        <f t="shared" si="6"/>
        <v>3.54</v>
      </c>
      <c r="AF51" s="75">
        <f t="shared" si="6"/>
        <v>3.54</v>
      </c>
      <c r="AG51" s="75">
        <f t="shared" si="6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140.23999999999998</v>
      </c>
      <c r="C52" s="71">
        <f t="shared" ref="C52:AF52" si="7">SUM(C39:C51)</f>
        <v>140.74</v>
      </c>
      <c r="D52" s="71">
        <f t="shared" si="7"/>
        <v>138.94</v>
      </c>
      <c r="E52" s="71">
        <f t="shared" si="7"/>
        <v>127.24000000000002</v>
      </c>
      <c r="F52" s="71">
        <f t="shared" si="7"/>
        <v>122.64000000000001</v>
      </c>
      <c r="G52" s="71">
        <f t="shared" si="7"/>
        <v>127.04</v>
      </c>
      <c r="H52" s="71">
        <f t="shared" si="7"/>
        <v>165.94</v>
      </c>
      <c r="I52" s="71">
        <f t="shared" si="7"/>
        <v>193.94</v>
      </c>
      <c r="J52" s="71">
        <f t="shared" si="7"/>
        <v>270.74</v>
      </c>
      <c r="K52" s="71">
        <f t="shared" si="7"/>
        <v>322.64</v>
      </c>
      <c r="L52" s="71">
        <f t="shared" si="7"/>
        <v>379.84</v>
      </c>
      <c r="M52" s="71">
        <f t="shared" si="7"/>
        <v>400.64</v>
      </c>
      <c r="N52" s="71">
        <f t="shared" si="7"/>
        <v>406.34</v>
      </c>
      <c r="O52" s="71">
        <f t="shared" si="7"/>
        <v>396.34</v>
      </c>
      <c r="P52" s="71">
        <f t="shared" si="7"/>
        <v>295.83999999999997</v>
      </c>
      <c r="Q52" s="71">
        <f t="shared" si="7"/>
        <v>279.83999999999997</v>
      </c>
      <c r="R52" s="71">
        <f t="shared" si="7"/>
        <v>253.84</v>
      </c>
      <c r="S52" s="71">
        <f t="shared" si="7"/>
        <v>230.04</v>
      </c>
      <c r="T52" s="71">
        <f t="shared" si="7"/>
        <v>232.74</v>
      </c>
      <c r="U52" s="71">
        <f t="shared" si="7"/>
        <v>265.64000000000004</v>
      </c>
      <c r="V52" s="71">
        <f t="shared" si="7"/>
        <v>304.44</v>
      </c>
      <c r="W52" s="71">
        <f t="shared" si="7"/>
        <v>365.74</v>
      </c>
      <c r="X52" s="71">
        <f t="shared" si="7"/>
        <v>404.64</v>
      </c>
      <c r="Y52" s="71">
        <f t="shared" si="7"/>
        <v>413.34</v>
      </c>
      <c r="Z52" s="71">
        <f t="shared" si="7"/>
        <v>413.34</v>
      </c>
      <c r="AA52" s="71">
        <f t="shared" si="7"/>
        <v>412.04</v>
      </c>
      <c r="AB52" s="71">
        <f t="shared" si="7"/>
        <v>412.23999999999995</v>
      </c>
      <c r="AC52" s="71">
        <f t="shared" si="7"/>
        <v>398.84</v>
      </c>
      <c r="AD52" s="71">
        <f t="shared" si="7"/>
        <v>387.84</v>
      </c>
      <c r="AE52" s="71">
        <f t="shared" si="7"/>
        <v>247.84</v>
      </c>
      <c r="AF52" s="71">
        <f t="shared" si="7"/>
        <v>171.84</v>
      </c>
      <c r="AG52" s="76">
        <f>SUM(AG39:AG51)</f>
        <v>489.91</v>
      </c>
      <c r="AH52" s="53">
        <f t="shared" si="2"/>
        <v>413.34</v>
      </c>
      <c r="AI52" s="54">
        <f t="shared" si="3"/>
        <v>122.64000000000001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40</v>
      </c>
      <c r="M53" s="77">
        <v>40</v>
      </c>
      <c r="N53" s="77">
        <v>55</v>
      </c>
      <c r="O53" s="77">
        <v>55</v>
      </c>
      <c r="P53" s="77">
        <v>50</v>
      </c>
      <c r="Q53" s="50">
        <v>60</v>
      </c>
      <c r="R53" s="50">
        <v>20</v>
      </c>
      <c r="S53" s="50">
        <v>19.7</v>
      </c>
      <c r="T53" s="50">
        <v>29.4</v>
      </c>
      <c r="U53" s="50">
        <v>29.4</v>
      </c>
      <c r="V53" s="50">
        <v>29.5</v>
      </c>
      <c r="W53" s="50">
        <v>40</v>
      </c>
      <c r="X53" s="50">
        <v>40.4</v>
      </c>
      <c r="Y53" s="50">
        <v>60.3</v>
      </c>
      <c r="Z53" s="50">
        <v>60.1</v>
      </c>
      <c r="AA53" s="50">
        <v>60</v>
      </c>
      <c r="AB53" s="50">
        <v>54.5</v>
      </c>
      <c r="AC53" s="50">
        <v>55</v>
      </c>
      <c r="AD53" s="50">
        <v>20</v>
      </c>
      <c r="AE53" s="50">
        <v>0</v>
      </c>
      <c r="AF53" s="50">
        <v>0</v>
      </c>
      <c r="AG53" s="61">
        <v>60</v>
      </c>
      <c r="AH53" s="53">
        <f t="shared" si="2"/>
        <v>60.3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17.8</v>
      </c>
      <c r="M54" s="77">
        <v>18</v>
      </c>
      <c r="N54" s="77">
        <v>26</v>
      </c>
      <c r="O54" s="77">
        <v>26</v>
      </c>
      <c r="P54" s="77">
        <v>28.9</v>
      </c>
      <c r="Q54" s="72">
        <v>30</v>
      </c>
      <c r="R54" s="72">
        <v>9.5</v>
      </c>
      <c r="S54" s="50">
        <v>10.6</v>
      </c>
      <c r="T54" s="50">
        <v>14.7</v>
      </c>
      <c r="U54" s="50">
        <v>14.7</v>
      </c>
      <c r="V54" s="72">
        <v>14.8</v>
      </c>
      <c r="W54" s="72">
        <v>17.8</v>
      </c>
      <c r="X54" s="72">
        <v>17.399999999999999</v>
      </c>
      <c r="Y54" s="72">
        <v>29.2</v>
      </c>
      <c r="Z54" s="72">
        <v>29.6</v>
      </c>
      <c r="AA54" s="72">
        <v>28.8</v>
      </c>
      <c r="AB54" s="72">
        <v>26</v>
      </c>
      <c r="AC54" s="72">
        <v>27</v>
      </c>
      <c r="AD54" s="72">
        <v>15</v>
      </c>
      <c r="AE54" s="72">
        <v>0</v>
      </c>
      <c r="AF54" s="72">
        <v>0</v>
      </c>
      <c r="AG54" s="66">
        <v>32</v>
      </c>
      <c r="AH54" s="53">
        <f t="shared" si="2"/>
        <v>30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6.5</v>
      </c>
      <c r="M55" s="80">
        <v>7</v>
      </c>
      <c r="N55" s="80">
        <v>10</v>
      </c>
      <c r="O55" s="80">
        <v>10</v>
      </c>
      <c r="P55" s="80">
        <v>10.5</v>
      </c>
      <c r="Q55" s="78">
        <v>11</v>
      </c>
      <c r="R55" s="78">
        <v>4</v>
      </c>
      <c r="S55" s="50">
        <v>3.9</v>
      </c>
      <c r="T55" s="50">
        <v>5.4</v>
      </c>
      <c r="U55" s="50">
        <v>5.4</v>
      </c>
      <c r="V55" s="78">
        <v>5.4</v>
      </c>
      <c r="W55" s="78">
        <v>6.5</v>
      </c>
      <c r="X55" s="78">
        <v>6.4</v>
      </c>
      <c r="Y55" s="78">
        <v>10.7</v>
      </c>
      <c r="Z55" s="78">
        <v>10.8</v>
      </c>
      <c r="AA55" s="78">
        <v>10.5</v>
      </c>
      <c r="AB55" s="78">
        <v>9.5</v>
      </c>
      <c r="AC55" s="78">
        <v>10</v>
      </c>
      <c r="AD55" s="78">
        <v>6</v>
      </c>
      <c r="AE55" s="78">
        <v>0</v>
      </c>
      <c r="AF55" s="78">
        <v>0</v>
      </c>
      <c r="AG55" s="81">
        <v>14</v>
      </c>
      <c r="AH55" s="53">
        <f t="shared" si="2"/>
        <v>11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8">SUM(D53:D55)</f>
        <v>0</v>
      </c>
      <c r="E56" s="71">
        <f t="shared" si="8"/>
        <v>0</v>
      </c>
      <c r="F56" s="71">
        <f t="shared" si="8"/>
        <v>0</v>
      </c>
      <c r="G56" s="71">
        <f t="shared" si="8"/>
        <v>0</v>
      </c>
      <c r="H56" s="71">
        <f t="shared" si="8"/>
        <v>0</v>
      </c>
      <c r="I56" s="71">
        <f t="shared" si="8"/>
        <v>0</v>
      </c>
      <c r="J56" s="71">
        <f t="shared" si="8"/>
        <v>0</v>
      </c>
      <c r="K56" s="71">
        <f t="shared" si="8"/>
        <v>0</v>
      </c>
      <c r="L56" s="71">
        <f t="shared" si="8"/>
        <v>64.3</v>
      </c>
      <c r="M56" s="71">
        <f t="shared" si="8"/>
        <v>65</v>
      </c>
      <c r="N56" s="71">
        <f t="shared" si="8"/>
        <v>91</v>
      </c>
      <c r="O56" s="71">
        <f t="shared" si="8"/>
        <v>91</v>
      </c>
      <c r="P56" s="71">
        <f t="shared" si="8"/>
        <v>89.4</v>
      </c>
      <c r="Q56" s="71">
        <f t="shared" si="8"/>
        <v>101</v>
      </c>
      <c r="R56" s="71">
        <f t="shared" si="8"/>
        <v>33.5</v>
      </c>
      <c r="S56" s="71">
        <f t="shared" si="8"/>
        <v>34.199999999999996</v>
      </c>
      <c r="T56" s="71">
        <f t="shared" si="8"/>
        <v>49.499999999999993</v>
      </c>
      <c r="U56" s="71">
        <f t="shared" si="8"/>
        <v>49.499999999999993</v>
      </c>
      <c r="V56" s="71">
        <f t="shared" si="8"/>
        <v>49.699999999999996</v>
      </c>
      <c r="W56" s="71">
        <f t="shared" si="8"/>
        <v>64.3</v>
      </c>
      <c r="X56" s="71">
        <f t="shared" si="8"/>
        <v>64.2</v>
      </c>
      <c r="Y56" s="71">
        <f t="shared" si="8"/>
        <v>100.2</v>
      </c>
      <c r="Z56" s="71">
        <f t="shared" si="8"/>
        <v>100.5</v>
      </c>
      <c r="AA56" s="71">
        <f t="shared" si="8"/>
        <v>99.3</v>
      </c>
      <c r="AB56" s="71">
        <f t="shared" si="8"/>
        <v>90</v>
      </c>
      <c r="AC56" s="71">
        <f t="shared" si="8"/>
        <v>92</v>
      </c>
      <c r="AD56" s="71">
        <f t="shared" si="8"/>
        <v>41</v>
      </c>
      <c r="AE56" s="71">
        <f t="shared" si="8"/>
        <v>0</v>
      </c>
      <c r="AF56" s="71">
        <f t="shared" si="8"/>
        <v>0</v>
      </c>
      <c r="AG56" s="76">
        <f>SUM(AG53:AG55)</f>
        <v>106</v>
      </c>
      <c r="AH56" s="53">
        <f t="shared" si="2"/>
        <v>101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65.03</v>
      </c>
      <c r="C57" s="50">
        <v>72.5</v>
      </c>
      <c r="D57" s="50">
        <v>70.2</v>
      </c>
      <c r="E57" s="50">
        <v>69.5</v>
      </c>
      <c r="F57" s="50">
        <v>66.599999999999994</v>
      </c>
      <c r="G57" s="50">
        <v>75.2</v>
      </c>
      <c r="H57" s="50">
        <v>65</v>
      </c>
      <c r="I57" s="50">
        <v>66</v>
      </c>
      <c r="J57" s="50">
        <v>76.7</v>
      </c>
      <c r="K57" s="50">
        <v>75.3</v>
      </c>
      <c r="L57" s="50">
        <v>68</v>
      </c>
      <c r="M57" s="50">
        <v>68</v>
      </c>
      <c r="N57" s="50">
        <v>74</v>
      </c>
      <c r="O57" s="50">
        <v>71</v>
      </c>
      <c r="P57" s="50">
        <v>70.599999999999994</v>
      </c>
      <c r="Q57" s="50">
        <v>68</v>
      </c>
      <c r="R57" s="50">
        <v>60</v>
      </c>
      <c r="S57" s="50">
        <v>68.599999999999994</v>
      </c>
      <c r="T57" s="50">
        <v>68.400000000000006</v>
      </c>
      <c r="U57" s="50">
        <v>71.400000000000006</v>
      </c>
      <c r="V57" s="50">
        <v>66.900000000000006</v>
      </c>
      <c r="W57" s="50">
        <v>63.7</v>
      </c>
      <c r="X57" s="50">
        <v>73.099999999999994</v>
      </c>
      <c r="Y57" s="50">
        <v>76.3</v>
      </c>
      <c r="Z57" s="50">
        <v>79.099999999999994</v>
      </c>
      <c r="AA57" s="50">
        <v>77.2</v>
      </c>
      <c r="AB57" s="50">
        <v>70.2</v>
      </c>
      <c r="AC57" s="50">
        <v>68</v>
      </c>
      <c r="AD57" s="50">
        <v>72</v>
      </c>
      <c r="AE57" s="50">
        <v>63</v>
      </c>
      <c r="AF57" s="50">
        <v>78</v>
      </c>
      <c r="AG57" s="61"/>
      <c r="AH57" s="53">
        <f t="shared" si="2"/>
        <v>79.099999999999994</v>
      </c>
      <c r="AI57" s="54">
        <f t="shared" si="3"/>
        <v>60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318</v>
      </c>
      <c r="C59" s="72">
        <v>305</v>
      </c>
      <c r="D59" s="72">
        <v>310.60000000000002</v>
      </c>
      <c r="E59" s="72">
        <v>286.2</v>
      </c>
      <c r="F59" s="72">
        <v>287.5</v>
      </c>
      <c r="G59" s="72">
        <v>343</v>
      </c>
      <c r="H59" s="50">
        <v>300</v>
      </c>
      <c r="I59" s="50">
        <v>340</v>
      </c>
      <c r="J59" s="50">
        <v>340</v>
      </c>
      <c r="K59" s="50">
        <v>340</v>
      </c>
      <c r="L59" s="50">
        <v>186.6</v>
      </c>
      <c r="M59" s="72">
        <v>130</v>
      </c>
      <c r="N59" s="72">
        <v>150</v>
      </c>
      <c r="O59" s="72">
        <v>150</v>
      </c>
      <c r="P59" s="72">
        <v>334.2</v>
      </c>
      <c r="Q59" s="72">
        <v>340</v>
      </c>
      <c r="R59" s="72">
        <v>333</v>
      </c>
      <c r="S59" s="72">
        <v>343.6</v>
      </c>
      <c r="T59" s="72">
        <v>348</v>
      </c>
      <c r="U59" s="72">
        <v>332.3</v>
      </c>
      <c r="V59" s="72">
        <v>145.4</v>
      </c>
      <c r="W59" s="72">
        <v>154</v>
      </c>
      <c r="X59" s="83">
        <v>171.7</v>
      </c>
      <c r="Y59" s="83">
        <v>88</v>
      </c>
      <c r="Z59" s="83">
        <v>156.4</v>
      </c>
      <c r="AA59" s="83">
        <v>173</v>
      </c>
      <c r="AB59" s="72">
        <v>238.6</v>
      </c>
      <c r="AC59" s="72">
        <v>240</v>
      </c>
      <c r="AD59" s="72">
        <v>325</v>
      </c>
      <c r="AE59" s="72">
        <v>320</v>
      </c>
      <c r="AF59" s="72">
        <v>345</v>
      </c>
      <c r="AG59" s="84"/>
      <c r="AH59" s="53">
        <f t="shared" si="2"/>
        <v>348</v>
      </c>
      <c r="AI59" s="54">
        <f t="shared" si="3"/>
        <v>88</v>
      </c>
      <c r="AK59" s="55"/>
    </row>
    <row r="60" spans="1:37" x14ac:dyDescent="0.25">
      <c r="A60" s="65" t="s">
        <v>68</v>
      </c>
      <c r="B60" s="57">
        <v>15.9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53.6</v>
      </c>
      <c r="K60" s="57">
        <v>56.5</v>
      </c>
      <c r="L60" s="57">
        <v>44.5</v>
      </c>
      <c r="M60" s="72">
        <v>49</v>
      </c>
      <c r="N60" s="72">
        <v>51</v>
      </c>
      <c r="O60" s="72">
        <v>52</v>
      </c>
      <c r="P60" s="72">
        <v>52.6</v>
      </c>
      <c r="Q60" s="72">
        <v>55</v>
      </c>
      <c r="R60" s="72">
        <v>58</v>
      </c>
      <c r="S60" s="72">
        <v>56.5</v>
      </c>
      <c r="T60" s="72">
        <v>58.5</v>
      </c>
      <c r="U60" s="72">
        <v>51.9</v>
      </c>
      <c r="V60" s="72">
        <v>50.4</v>
      </c>
      <c r="W60" s="72">
        <v>58.2</v>
      </c>
      <c r="X60" s="72">
        <v>60.6</v>
      </c>
      <c r="Y60" s="72">
        <v>60.5</v>
      </c>
      <c r="Z60" s="72">
        <v>61.1</v>
      </c>
      <c r="AA60" s="72">
        <v>57.1</v>
      </c>
      <c r="AB60" s="72">
        <v>57.1</v>
      </c>
      <c r="AC60" s="72">
        <v>58</v>
      </c>
      <c r="AD60" s="72">
        <v>55</v>
      </c>
      <c r="AE60" s="72">
        <v>44</v>
      </c>
      <c r="AF60" s="57">
        <v>48</v>
      </c>
      <c r="AG60" s="84"/>
      <c r="AH60" s="53">
        <f t="shared" si="2"/>
        <v>61.1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64.400000000000006</v>
      </c>
      <c r="I61" s="57">
        <v>80.099999999999994</v>
      </c>
      <c r="J61" s="57">
        <v>79.7</v>
      </c>
      <c r="K61" s="57">
        <v>79</v>
      </c>
      <c r="L61" s="57">
        <v>75.2</v>
      </c>
      <c r="M61" s="50">
        <v>83</v>
      </c>
      <c r="N61" s="50">
        <v>55</v>
      </c>
      <c r="O61" s="50">
        <v>60</v>
      </c>
      <c r="P61" s="50">
        <v>69</v>
      </c>
      <c r="Q61" s="50">
        <v>69</v>
      </c>
      <c r="R61" s="50">
        <v>70</v>
      </c>
      <c r="S61" s="50">
        <v>70.7</v>
      </c>
      <c r="T61" s="50">
        <v>61.4</v>
      </c>
      <c r="U61" s="50">
        <v>65.5</v>
      </c>
      <c r="V61" s="50">
        <v>65.099999999999994</v>
      </c>
      <c r="W61" s="50">
        <v>72.400000000000006</v>
      </c>
      <c r="X61" s="50">
        <v>71.3</v>
      </c>
      <c r="Y61" s="50">
        <v>85.7</v>
      </c>
      <c r="Z61" s="50">
        <v>77.900000000000006</v>
      </c>
      <c r="AA61" s="50">
        <v>87.4</v>
      </c>
      <c r="AB61" s="50">
        <v>78.7</v>
      </c>
      <c r="AC61" s="50">
        <v>77</v>
      </c>
      <c r="AD61" s="50">
        <v>74</v>
      </c>
      <c r="AE61" s="50">
        <v>74.900000000000006</v>
      </c>
      <c r="AF61" s="50">
        <v>0</v>
      </c>
      <c r="AG61" s="84"/>
      <c r="AH61" s="53">
        <f t="shared" si="2"/>
        <v>87.4</v>
      </c>
      <c r="AI61" s="54">
        <f t="shared" si="3"/>
        <v>0</v>
      </c>
      <c r="AK61" s="55"/>
    </row>
    <row r="62" spans="1:37" x14ac:dyDescent="0.25">
      <c r="A62" s="65" t="s">
        <v>70</v>
      </c>
      <c r="B62" s="50">
        <v>0</v>
      </c>
      <c r="C62" s="57">
        <v>0</v>
      </c>
      <c r="D62" s="57">
        <v>0</v>
      </c>
      <c r="E62" s="57">
        <v>0</v>
      </c>
      <c r="F62" s="57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0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0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0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0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0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398.92999999999995</v>
      </c>
      <c r="C68" s="71">
        <f>SUM(C57:C67)</f>
        <v>377.5</v>
      </c>
      <c r="D68" s="71">
        <f t="shared" ref="D68:AF68" si="9">SUM(D57:D67)</f>
        <v>380.8</v>
      </c>
      <c r="E68" s="71">
        <f t="shared" si="9"/>
        <v>355.7</v>
      </c>
      <c r="F68" s="71">
        <f t="shared" si="9"/>
        <v>354.1</v>
      </c>
      <c r="G68" s="71">
        <f t="shared" si="9"/>
        <v>418.2</v>
      </c>
      <c r="H68" s="71">
        <f t="shared" si="9"/>
        <v>429.4</v>
      </c>
      <c r="I68" s="71">
        <f t="shared" si="9"/>
        <v>486.1</v>
      </c>
      <c r="J68" s="71">
        <f t="shared" si="9"/>
        <v>550</v>
      </c>
      <c r="K68" s="71">
        <f t="shared" si="9"/>
        <v>550.79999999999995</v>
      </c>
      <c r="L68" s="71">
        <f t="shared" si="9"/>
        <v>374.3</v>
      </c>
      <c r="M68" s="71">
        <f t="shared" si="9"/>
        <v>330</v>
      </c>
      <c r="N68" s="71">
        <f t="shared" si="9"/>
        <v>330</v>
      </c>
      <c r="O68" s="71">
        <f t="shared" si="9"/>
        <v>333</v>
      </c>
      <c r="P68" s="71">
        <f t="shared" si="9"/>
        <v>526.4</v>
      </c>
      <c r="Q68" s="71">
        <f t="shared" si="9"/>
        <v>532</v>
      </c>
      <c r="R68" s="71">
        <f t="shared" si="9"/>
        <v>521</v>
      </c>
      <c r="S68" s="71">
        <f t="shared" si="9"/>
        <v>539.40000000000009</v>
      </c>
      <c r="T68" s="71">
        <f t="shared" si="9"/>
        <v>536.29999999999995</v>
      </c>
      <c r="U68" s="71">
        <f t="shared" si="9"/>
        <v>521.1</v>
      </c>
      <c r="V68" s="71">
        <f t="shared" si="9"/>
        <v>327.79999999999995</v>
      </c>
      <c r="W68" s="71">
        <f t="shared" si="9"/>
        <v>348.29999999999995</v>
      </c>
      <c r="X68" s="71">
        <f t="shared" si="9"/>
        <v>376.7</v>
      </c>
      <c r="Y68" s="71">
        <f t="shared" si="9"/>
        <v>310.5</v>
      </c>
      <c r="Z68" s="71">
        <f t="shared" si="9"/>
        <v>374.5</v>
      </c>
      <c r="AA68" s="71">
        <f t="shared" si="9"/>
        <v>394.70000000000005</v>
      </c>
      <c r="AB68" s="71">
        <f t="shared" si="9"/>
        <v>444.6</v>
      </c>
      <c r="AC68" s="71">
        <f t="shared" si="9"/>
        <v>443</v>
      </c>
      <c r="AD68" s="71">
        <f t="shared" si="9"/>
        <v>526</v>
      </c>
      <c r="AE68" s="71">
        <f t="shared" si="9"/>
        <v>501.9</v>
      </c>
      <c r="AF68" s="71">
        <f t="shared" si="9"/>
        <v>471</v>
      </c>
      <c r="AG68" s="76">
        <f>SUM(AG57:AG67)</f>
        <v>0</v>
      </c>
      <c r="AH68" s="53">
        <f t="shared" si="2"/>
        <v>550.79999999999995</v>
      </c>
      <c r="AI68" s="54">
        <f t="shared" si="3"/>
        <v>310.5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0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957.86999999999989</v>
      </c>
      <c r="C73" s="88">
        <f>C68+C56+C52+C38+C72</f>
        <v>937.14</v>
      </c>
      <c r="D73" s="88">
        <f t="shared" ref="D73:AG73" si="11">D68+D56+D52+D38+D72</f>
        <v>940.94</v>
      </c>
      <c r="E73" s="88">
        <f t="shared" si="11"/>
        <v>904.74</v>
      </c>
      <c r="F73" s="88">
        <f t="shared" si="11"/>
        <v>896.54</v>
      </c>
      <c r="G73" s="88">
        <f t="shared" si="11"/>
        <v>984.74</v>
      </c>
      <c r="H73" s="88">
        <f t="shared" si="11"/>
        <v>1036.04</v>
      </c>
      <c r="I73" s="88">
        <f t="shared" si="11"/>
        <v>1098.04</v>
      </c>
      <c r="J73" s="88">
        <f t="shared" si="11"/>
        <v>1238.94</v>
      </c>
      <c r="K73" s="88">
        <f t="shared" si="11"/>
        <v>1319.6399999999999</v>
      </c>
      <c r="L73" s="88">
        <f t="shared" si="11"/>
        <v>1435.34</v>
      </c>
      <c r="M73" s="88">
        <f t="shared" si="11"/>
        <v>1552.54</v>
      </c>
      <c r="N73" s="88">
        <f t="shared" si="11"/>
        <v>1524.2399999999998</v>
      </c>
      <c r="O73" s="88">
        <f t="shared" si="11"/>
        <v>1457.2399999999998</v>
      </c>
      <c r="P73" s="88">
        <f t="shared" si="11"/>
        <v>1368.54</v>
      </c>
      <c r="Q73" s="88">
        <f t="shared" si="11"/>
        <v>1339.7399999999998</v>
      </c>
      <c r="R73" s="88">
        <f t="shared" si="11"/>
        <v>1245.24</v>
      </c>
      <c r="S73" s="88">
        <f t="shared" si="11"/>
        <v>1215.8400000000001</v>
      </c>
      <c r="T73" s="88">
        <f t="shared" si="11"/>
        <v>1231.1399999999999</v>
      </c>
      <c r="U73" s="88">
        <f t="shared" si="11"/>
        <v>1248.8399999999999</v>
      </c>
      <c r="V73" s="88">
        <f t="shared" si="11"/>
        <v>1284.54</v>
      </c>
      <c r="W73" s="88">
        <f t="shared" si="11"/>
        <v>1340.9399999999998</v>
      </c>
      <c r="X73" s="88">
        <f t="shared" si="11"/>
        <v>1478.1399999999999</v>
      </c>
      <c r="Y73" s="88">
        <f t="shared" si="11"/>
        <v>1654.3400000000001</v>
      </c>
      <c r="Z73" s="88">
        <f t="shared" si="11"/>
        <v>1588.6399999999999</v>
      </c>
      <c r="AA73" s="88">
        <f t="shared" si="11"/>
        <v>1586.3400000000001</v>
      </c>
      <c r="AB73" s="88">
        <f t="shared" si="11"/>
        <v>1497.2399999999998</v>
      </c>
      <c r="AC73" s="88">
        <f t="shared" si="11"/>
        <v>1438.2399999999998</v>
      </c>
      <c r="AD73" s="88">
        <f t="shared" si="11"/>
        <v>1374.2399999999998</v>
      </c>
      <c r="AE73" s="88">
        <f t="shared" si="11"/>
        <v>1169.1399999999999</v>
      </c>
      <c r="AF73" s="88">
        <f t="shared" si="11"/>
        <v>1062.24</v>
      </c>
      <c r="AG73" s="88">
        <f t="shared" si="11"/>
        <v>2144.14</v>
      </c>
      <c r="AH73" s="53">
        <f t="shared" si="2"/>
        <v>1654.3400000000001</v>
      </c>
      <c r="AI73" s="54">
        <f t="shared" si="3"/>
        <v>896.54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957.86999999999989</v>
      </c>
      <c r="C75" s="88">
        <f>C73+C74</f>
        <v>937.14</v>
      </c>
      <c r="D75" s="88">
        <f t="shared" ref="D75:AF75" si="12">D72+D68+D56+D52+D38+D74</f>
        <v>940.94</v>
      </c>
      <c r="E75" s="88">
        <f t="shared" si="12"/>
        <v>904.74</v>
      </c>
      <c r="F75" s="88">
        <f t="shared" si="12"/>
        <v>896.54</v>
      </c>
      <c r="G75" s="88">
        <f t="shared" si="12"/>
        <v>984.74</v>
      </c>
      <c r="H75" s="88">
        <f t="shared" si="12"/>
        <v>1036.04</v>
      </c>
      <c r="I75" s="88">
        <f t="shared" si="12"/>
        <v>1098.04</v>
      </c>
      <c r="J75" s="88">
        <f t="shared" si="12"/>
        <v>1238.94</v>
      </c>
      <c r="K75" s="88">
        <f t="shared" si="12"/>
        <v>1319.6399999999999</v>
      </c>
      <c r="L75" s="88">
        <f t="shared" si="12"/>
        <v>1435.34</v>
      </c>
      <c r="M75" s="88">
        <f t="shared" si="12"/>
        <v>1552.54</v>
      </c>
      <c r="N75" s="88">
        <f t="shared" si="12"/>
        <v>1524.2399999999998</v>
      </c>
      <c r="O75" s="88">
        <f t="shared" si="12"/>
        <v>1457.2399999999998</v>
      </c>
      <c r="P75" s="88">
        <f t="shared" si="12"/>
        <v>1368.54</v>
      </c>
      <c r="Q75" s="88">
        <f t="shared" si="12"/>
        <v>1339.7399999999998</v>
      </c>
      <c r="R75" s="88">
        <f t="shared" si="12"/>
        <v>1245.24</v>
      </c>
      <c r="S75" s="88">
        <f t="shared" si="12"/>
        <v>1215.8400000000001</v>
      </c>
      <c r="T75" s="88">
        <f t="shared" si="12"/>
        <v>1231.1399999999999</v>
      </c>
      <c r="U75" s="88">
        <f t="shared" si="12"/>
        <v>1248.8399999999999</v>
      </c>
      <c r="V75" s="88">
        <f t="shared" si="12"/>
        <v>1284.54</v>
      </c>
      <c r="W75" s="88">
        <f t="shared" si="12"/>
        <v>1340.9399999999998</v>
      </c>
      <c r="X75" s="88">
        <f t="shared" si="12"/>
        <v>1478.1399999999999</v>
      </c>
      <c r="Y75" s="88">
        <f t="shared" si="12"/>
        <v>1654.3400000000001</v>
      </c>
      <c r="Z75" s="88">
        <f t="shared" si="12"/>
        <v>1588.6399999999999</v>
      </c>
      <c r="AA75" s="88">
        <f t="shared" si="12"/>
        <v>1586.3400000000001</v>
      </c>
      <c r="AB75" s="88">
        <f t="shared" si="12"/>
        <v>1497.2399999999998</v>
      </c>
      <c r="AC75" s="88">
        <f t="shared" si="12"/>
        <v>1438.2399999999998</v>
      </c>
      <c r="AD75" s="88">
        <f t="shared" si="12"/>
        <v>1374.2399999999998</v>
      </c>
      <c r="AE75" s="88">
        <f t="shared" si="12"/>
        <v>1169.1399999999999</v>
      </c>
      <c r="AF75" s="88">
        <f t="shared" si="12"/>
        <v>1062.24</v>
      </c>
      <c r="AG75" s="76">
        <f>AG72+AG68+AG56+AG52+AG38+AG74</f>
        <v>2144.14</v>
      </c>
      <c r="AH75" s="53">
        <f t="shared" si="2"/>
        <v>1654.3400000000001</v>
      </c>
      <c r="AI75" s="54">
        <f t="shared" si="3"/>
        <v>896.54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1915.7399999999998</v>
      </c>
      <c r="C83" s="71">
        <f t="shared" ref="C83:AG83" si="21">SUM(C70:C82)</f>
        <v>1874.28</v>
      </c>
      <c r="D83" s="71">
        <f t="shared" si="21"/>
        <v>1881.88</v>
      </c>
      <c r="E83" s="71">
        <f t="shared" si="21"/>
        <v>1809.48</v>
      </c>
      <c r="F83" s="71">
        <f t="shared" si="21"/>
        <v>1793.08</v>
      </c>
      <c r="G83" s="71">
        <f t="shared" si="21"/>
        <v>1969.48</v>
      </c>
      <c r="H83" s="71">
        <f t="shared" si="21"/>
        <v>2072.08</v>
      </c>
      <c r="I83" s="71">
        <f t="shared" si="21"/>
        <v>2196.08</v>
      </c>
      <c r="J83" s="71">
        <f t="shared" si="21"/>
        <v>2477.88</v>
      </c>
      <c r="K83" s="71">
        <f t="shared" si="21"/>
        <v>2639.2799999999997</v>
      </c>
      <c r="L83" s="71">
        <f t="shared" si="21"/>
        <v>2870.68</v>
      </c>
      <c r="M83" s="71">
        <f t="shared" si="21"/>
        <v>3105.08</v>
      </c>
      <c r="N83" s="71">
        <f t="shared" si="21"/>
        <v>3048.4799999999996</v>
      </c>
      <c r="O83" s="71">
        <f t="shared" si="21"/>
        <v>2914.4799999999996</v>
      </c>
      <c r="P83" s="71">
        <f t="shared" si="21"/>
        <v>2737.08</v>
      </c>
      <c r="Q83" s="71">
        <f t="shared" si="21"/>
        <v>2679.4799999999996</v>
      </c>
      <c r="R83" s="71">
        <f t="shared" si="21"/>
        <v>2490.48</v>
      </c>
      <c r="S83" s="71">
        <f t="shared" si="21"/>
        <v>2431.6800000000003</v>
      </c>
      <c r="T83" s="71">
        <f t="shared" si="21"/>
        <v>2462.2799999999997</v>
      </c>
      <c r="U83" s="71">
        <f t="shared" si="21"/>
        <v>2497.6799999999998</v>
      </c>
      <c r="V83" s="71">
        <f t="shared" si="21"/>
        <v>2569.08</v>
      </c>
      <c r="W83" s="71">
        <f t="shared" si="21"/>
        <v>2681.8799999999997</v>
      </c>
      <c r="X83" s="71">
        <f t="shared" si="21"/>
        <v>2956.2799999999997</v>
      </c>
      <c r="Y83" s="71">
        <f t="shared" si="21"/>
        <v>3308.6800000000003</v>
      </c>
      <c r="Z83" s="71">
        <f t="shared" si="21"/>
        <v>3177.2799999999997</v>
      </c>
      <c r="AA83" s="71">
        <f t="shared" si="21"/>
        <v>3172.6800000000003</v>
      </c>
      <c r="AB83" s="71">
        <f t="shared" si="21"/>
        <v>2994.4799999999996</v>
      </c>
      <c r="AC83" s="71">
        <f t="shared" si="21"/>
        <v>2876.4799999999996</v>
      </c>
      <c r="AD83" s="71">
        <f t="shared" si="21"/>
        <v>2748.4799999999996</v>
      </c>
      <c r="AE83" s="71">
        <f t="shared" si="21"/>
        <v>2338.2799999999997</v>
      </c>
      <c r="AF83" s="71">
        <f t="shared" si="21"/>
        <v>2124.48</v>
      </c>
      <c r="AG83" s="76">
        <f t="shared" si="21"/>
        <v>4360.08</v>
      </c>
      <c r="AH83" s="53">
        <f t="shared" si="14"/>
        <v>3308.6800000000003</v>
      </c>
      <c r="AI83" s="54">
        <f t="shared" si="15"/>
        <v>1793.08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49.991999999999997</v>
      </c>
      <c r="C84" s="95">
        <v>50.033999999999999</v>
      </c>
      <c r="D84" s="95">
        <v>49.994999999999997</v>
      </c>
      <c r="E84" s="95">
        <v>50.021000000000001</v>
      </c>
      <c r="F84" s="95">
        <v>49.908999999999999</v>
      </c>
      <c r="G84" s="95">
        <v>50.045000000000002</v>
      </c>
      <c r="H84" s="95">
        <v>50.034999999999997</v>
      </c>
      <c r="I84" s="95">
        <v>50.052</v>
      </c>
      <c r="J84" s="95">
        <v>49.994999999999997</v>
      </c>
      <c r="K84" s="95">
        <v>49.761000000000003</v>
      </c>
      <c r="L84" s="95">
        <v>49.875999999999998</v>
      </c>
      <c r="M84" s="95">
        <v>49.987000000000002</v>
      </c>
      <c r="N84" s="95">
        <v>49.832999999999998</v>
      </c>
      <c r="O84" s="95">
        <v>49.832999999999998</v>
      </c>
      <c r="P84" s="95">
        <v>50.014000000000003</v>
      </c>
      <c r="Q84" s="95">
        <v>50.02</v>
      </c>
      <c r="R84" s="95">
        <v>50.033000000000001</v>
      </c>
      <c r="S84" s="95">
        <v>50.012999999999998</v>
      </c>
      <c r="T84" s="95">
        <v>49.98</v>
      </c>
      <c r="U84" s="95">
        <v>49.914999999999999</v>
      </c>
      <c r="V84" s="95">
        <v>49.798000000000002</v>
      </c>
      <c r="W84" s="95">
        <v>49.984999999999999</v>
      </c>
      <c r="X84" s="95">
        <v>50.015000000000001</v>
      </c>
      <c r="Y84" s="95">
        <v>50.015000000000001</v>
      </c>
      <c r="Z84" s="95">
        <v>50.000999999999998</v>
      </c>
      <c r="AA84" s="95">
        <v>49.987000000000002</v>
      </c>
      <c r="AB84" s="95">
        <v>50.033999999999999</v>
      </c>
      <c r="AC84" s="95">
        <v>49.97</v>
      </c>
      <c r="AD84" s="95">
        <v>49.99</v>
      </c>
      <c r="AE84" s="95">
        <v>50</v>
      </c>
      <c r="AF84" s="95">
        <v>50.048000000000002</v>
      </c>
      <c r="AG84" s="96"/>
      <c r="AH84" s="53">
        <f t="shared" si="14"/>
        <v>50.052</v>
      </c>
      <c r="AI84" s="54">
        <f t="shared" si="15"/>
        <v>49.761000000000003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</v>
      </c>
      <c r="C85" s="72">
        <v>125.4</v>
      </c>
      <c r="D85" s="72">
        <v>124.4</v>
      </c>
      <c r="E85" s="72">
        <v>124.9</v>
      </c>
      <c r="F85" s="72">
        <v>125.9</v>
      </c>
      <c r="G85" s="72">
        <v>126.9</v>
      </c>
      <c r="H85" s="72">
        <v>127.3</v>
      </c>
      <c r="I85" s="72">
        <v>124.9</v>
      </c>
      <c r="J85" s="72">
        <v>125.9</v>
      </c>
      <c r="K85" s="72">
        <v>123.6</v>
      </c>
      <c r="L85" s="72">
        <v>125.2</v>
      </c>
      <c r="M85" s="72">
        <v>122.6</v>
      </c>
      <c r="N85" s="72">
        <v>123.9</v>
      </c>
      <c r="O85" s="72">
        <v>123.9</v>
      </c>
      <c r="P85" s="72">
        <v>124.6</v>
      </c>
      <c r="Q85" s="72">
        <v>123.5</v>
      </c>
      <c r="R85" s="72">
        <v>122.9</v>
      </c>
      <c r="S85" s="72">
        <v>123.6</v>
      </c>
      <c r="T85" s="72">
        <v>124.5</v>
      </c>
      <c r="U85" s="99">
        <v>125.4</v>
      </c>
      <c r="V85" s="99">
        <v>125.5</v>
      </c>
      <c r="W85" s="99">
        <v>126.2</v>
      </c>
      <c r="X85" s="99">
        <v>124.7</v>
      </c>
      <c r="Y85" s="99">
        <v>123.2</v>
      </c>
      <c r="Z85" s="99">
        <v>125.4</v>
      </c>
      <c r="AA85" s="99">
        <v>125.1</v>
      </c>
      <c r="AB85" s="72">
        <v>126.4</v>
      </c>
      <c r="AC85" s="72">
        <v>126.8</v>
      </c>
      <c r="AD85" s="72">
        <v>127</v>
      </c>
      <c r="AE85" s="72">
        <v>126.8</v>
      </c>
      <c r="AF85" s="72">
        <v>125.8</v>
      </c>
      <c r="AG85" s="100"/>
      <c r="AH85" s="53">
        <f t="shared" si="14"/>
        <v>127.3</v>
      </c>
      <c r="AI85" s="54">
        <f t="shared" si="15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129.1</v>
      </c>
      <c r="C86" s="72">
        <v>129.69999999999999</v>
      </c>
      <c r="D86" s="72">
        <v>128.80000000000001</v>
      </c>
      <c r="E86" s="72">
        <v>129</v>
      </c>
      <c r="F86" s="72">
        <v>129.9</v>
      </c>
      <c r="G86" s="72">
        <v>130.1</v>
      </c>
      <c r="H86" s="72">
        <v>130.4</v>
      </c>
      <c r="I86" s="72">
        <v>127.8</v>
      </c>
      <c r="J86" s="72">
        <v>128.69999999999999</v>
      </c>
      <c r="K86" s="72">
        <v>126.5</v>
      </c>
      <c r="L86" s="72">
        <v>127</v>
      </c>
      <c r="M86" s="72">
        <v>124.6</v>
      </c>
      <c r="N86" s="72">
        <v>126</v>
      </c>
      <c r="O86" s="72">
        <v>126</v>
      </c>
      <c r="P86" s="72">
        <v>126.9</v>
      </c>
      <c r="Q86" s="72">
        <v>126.9</v>
      </c>
      <c r="R86" s="72">
        <v>125.3</v>
      </c>
      <c r="S86" s="72">
        <v>125.9</v>
      </c>
      <c r="T86" s="72">
        <v>126.3</v>
      </c>
      <c r="U86" s="99">
        <v>127.7</v>
      </c>
      <c r="V86" s="99">
        <v>127.8</v>
      </c>
      <c r="W86" s="99">
        <v>127.7</v>
      </c>
      <c r="X86" s="99">
        <v>126.7</v>
      </c>
      <c r="Y86" s="99">
        <v>125.2</v>
      </c>
      <c r="Z86" s="99">
        <v>127</v>
      </c>
      <c r="AA86" s="99">
        <v>126.8</v>
      </c>
      <c r="AB86" s="72">
        <v>127.7</v>
      </c>
      <c r="AC86" s="72">
        <v>128.5</v>
      </c>
      <c r="AD86" s="72">
        <v>129</v>
      </c>
      <c r="AE86" s="72">
        <v>129</v>
      </c>
      <c r="AF86" s="72">
        <v>129.30000000000001</v>
      </c>
      <c r="AG86" s="100"/>
      <c r="AH86" s="53">
        <f t="shared" si="14"/>
        <v>130.4</v>
      </c>
      <c r="AI86" s="54">
        <f t="shared" si="15"/>
        <v>124.6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129.30000000000001</v>
      </c>
      <c r="C87" s="72">
        <v>129.5</v>
      </c>
      <c r="D87" s="72">
        <v>130.19999999999999</v>
      </c>
      <c r="E87" s="72">
        <v>132.1</v>
      </c>
      <c r="F87" s="72">
        <v>130</v>
      </c>
      <c r="G87" s="72">
        <v>1291</v>
      </c>
      <c r="H87" s="72">
        <v>129.19999999999999</v>
      </c>
      <c r="I87" s="72">
        <v>127.1</v>
      </c>
      <c r="J87" s="72">
        <v>128.6</v>
      </c>
      <c r="K87" s="72">
        <v>125.2</v>
      </c>
      <c r="L87" s="72">
        <v>126.8</v>
      </c>
      <c r="M87" s="72">
        <v>124.9</v>
      </c>
      <c r="N87" s="72">
        <v>126</v>
      </c>
      <c r="O87" s="72">
        <v>126</v>
      </c>
      <c r="P87" s="72">
        <v>128.30000000000001</v>
      </c>
      <c r="Q87" s="72">
        <v>128.30000000000001</v>
      </c>
      <c r="R87" s="72">
        <v>130.6</v>
      </c>
      <c r="S87" s="72">
        <v>129.69999999999999</v>
      </c>
      <c r="T87" s="72">
        <v>131.19999999999999</v>
      </c>
      <c r="U87" s="72">
        <v>128.69999999999999</v>
      </c>
      <c r="V87" s="72">
        <v>129.19999999999999</v>
      </c>
      <c r="W87" s="72">
        <v>130</v>
      </c>
      <c r="X87" s="99">
        <v>128.80000000000001</v>
      </c>
      <c r="Y87" s="99">
        <v>127.1</v>
      </c>
      <c r="Z87" s="99">
        <v>129.19999999999999</v>
      </c>
      <c r="AA87" s="99">
        <v>130.80000000000001</v>
      </c>
      <c r="AB87" s="72">
        <v>129.69999999999999</v>
      </c>
      <c r="AC87" s="72">
        <v>130</v>
      </c>
      <c r="AD87" s="72">
        <v>129</v>
      </c>
      <c r="AE87" s="72">
        <v>128</v>
      </c>
      <c r="AF87" s="72">
        <v>129</v>
      </c>
      <c r="AG87" s="100"/>
      <c r="AH87" s="53">
        <f t="shared" si="14"/>
        <v>1291</v>
      </c>
      <c r="AI87" s="54">
        <f t="shared" si="15"/>
        <v>124.9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131.9</v>
      </c>
      <c r="C88" s="72">
        <v>132.6</v>
      </c>
      <c r="D88" s="72">
        <v>133.4</v>
      </c>
      <c r="E88" s="72">
        <v>134.9</v>
      </c>
      <c r="F88" s="72">
        <v>133.30000000000001</v>
      </c>
      <c r="G88" s="72">
        <v>132.6</v>
      </c>
      <c r="H88" s="72">
        <v>132.9</v>
      </c>
      <c r="I88" s="72">
        <v>130.80000000000001</v>
      </c>
      <c r="J88" s="72">
        <v>131</v>
      </c>
      <c r="K88" s="72">
        <v>127.3</v>
      </c>
      <c r="L88" s="72">
        <v>131.69999999999999</v>
      </c>
      <c r="M88" s="72">
        <v>129.1</v>
      </c>
      <c r="N88" s="72">
        <v>130.30000000000001</v>
      </c>
      <c r="O88" s="72">
        <v>130.30000000000001</v>
      </c>
      <c r="P88" s="72">
        <v>132.80000000000001</v>
      </c>
      <c r="Q88" s="72">
        <v>132.80000000000001</v>
      </c>
      <c r="R88" s="72">
        <v>134.30000000000001</v>
      </c>
      <c r="S88" s="72">
        <v>133</v>
      </c>
      <c r="T88" s="72">
        <v>133.80000000000001</v>
      </c>
      <c r="U88" s="72">
        <v>131.4</v>
      </c>
      <c r="V88" s="72">
        <v>131.80000000000001</v>
      </c>
      <c r="W88" s="72">
        <v>132.6</v>
      </c>
      <c r="X88" s="99">
        <v>131.1</v>
      </c>
      <c r="Y88" s="99">
        <v>131.9</v>
      </c>
      <c r="Z88" s="99">
        <v>134</v>
      </c>
      <c r="AA88" s="99">
        <v>136</v>
      </c>
      <c r="AB88" s="72">
        <v>133.9</v>
      </c>
      <c r="AC88" s="72">
        <v>132.6</v>
      </c>
      <c r="AD88" s="72">
        <v>132</v>
      </c>
      <c r="AE88" s="72">
        <v>131</v>
      </c>
      <c r="AF88" s="72">
        <v>132.80000000000001</v>
      </c>
      <c r="AG88" s="100"/>
      <c r="AH88" s="53">
        <f t="shared" si="14"/>
        <v>136</v>
      </c>
      <c r="AI88" s="54">
        <f t="shared" si="15"/>
        <v>127.3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130.6</v>
      </c>
      <c r="C89" s="103">
        <v>131.9</v>
      </c>
      <c r="D89" s="103">
        <v>135</v>
      </c>
      <c r="E89" s="103">
        <v>129.80000000000001</v>
      </c>
      <c r="F89" s="103">
        <v>129.5</v>
      </c>
      <c r="G89" s="103">
        <v>130.69999999999999</v>
      </c>
      <c r="H89" s="103">
        <v>134</v>
      </c>
      <c r="I89" s="103">
        <v>128.19999999999999</v>
      </c>
      <c r="J89" s="103">
        <v>133.5</v>
      </c>
      <c r="K89" s="103">
        <v>134</v>
      </c>
      <c r="L89" s="103">
        <v>134.69999999999999</v>
      </c>
      <c r="M89" s="103">
        <v>133.6</v>
      </c>
      <c r="N89" s="103">
        <v>134.19999999999999</v>
      </c>
      <c r="O89" s="103">
        <v>134.19999999999999</v>
      </c>
      <c r="P89" s="103">
        <v>133.30000000000001</v>
      </c>
      <c r="Q89" s="103">
        <v>133.30000000000001</v>
      </c>
      <c r="R89" s="103">
        <v>132.69999999999999</v>
      </c>
      <c r="S89" s="103">
        <v>129.69999999999999</v>
      </c>
      <c r="T89" s="103">
        <v>132</v>
      </c>
      <c r="U89" s="103">
        <v>134.6</v>
      </c>
      <c r="V89" s="103">
        <v>134.6</v>
      </c>
      <c r="W89" s="103">
        <v>134.5</v>
      </c>
      <c r="X89" s="99">
        <v>132.1</v>
      </c>
      <c r="Y89" s="99">
        <v>134.30000000000001</v>
      </c>
      <c r="Z89" s="99">
        <v>133.80000000000001</v>
      </c>
      <c r="AA89" s="99">
        <v>132.5</v>
      </c>
      <c r="AB89" s="103">
        <v>134</v>
      </c>
      <c r="AC89" s="103">
        <v>134.80000000000001</v>
      </c>
      <c r="AD89" s="103">
        <v>135.69999999999999</v>
      </c>
      <c r="AE89" s="103">
        <v>129</v>
      </c>
      <c r="AF89" s="103">
        <v>131</v>
      </c>
      <c r="AG89" s="104"/>
      <c r="AH89" s="53">
        <f t="shared" si="14"/>
        <v>135.69999999999999</v>
      </c>
      <c r="AI89" s="54">
        <f t="shared" si="15"/>
        <v>128.19999999999999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137.69999999999999</v>
      </c>
      <c r="C90" s="72">
        <v>133.1</v>
      </c>
      <c r="D90" s="72">
        <v>134.30000000000001</v>
      </c>
      <c r="E90" s="72">
        <v>134.69999999999999</v>
      </c>
      <c r="F90" s="72">
        <v>135.5</v>
      </c>
      <c r="G90" s="72">
        <v>132.4</v>
      </c>
      <c r="H90" s="72">
        <v>132.30000000000001</v>
      </c>
      <c r="I90" s="72">
        <v>133.6</v>
      </c>
      <c r="J90" s="72">
        <v>129.4</v>
      </c>
      <c r="K90" s="72">
        <v>125.3</v>
      </c>
      <c r="L90" s="72">
        <v>127.4</v>
      </c>
      <c r="M90" s="72">
        <v>131.9</v>
      </c>
      <c r="N90" s="72">
        <v>129</v>
      </c>
      <c r="O90" s="72">
        <v>129</v>
      </c>
      <c r="P90" s="72">
        <v>133.69999999999999</v>
      </c>
      <c r="Q90" s="72">
        <v>133.69999999999999</v>
      </c>
      <c r="R90" s="72">
        <v>135</v>
      </c>
      <c r="S90" s="72">
        <v>133.9</v>
      </c>
      <c r="T90" s="72">
        <v>132.6</v>
      </c>
      <c r="U90" s="72">
        <v>131.69999999999999</v>
      </c>
      <c r="V90" s="72">
        <v>132.19999999999999</v>
      </c>
      <c r="W90" s="72">
        <v>131.6</v>
      </c>
      <c r="X90" s="99">
        <v>128.6</v>
      </c>
      <c r="Y90" s="99">
        <v>135.1</v>
      </c>
      <c r="Z90" s="99">
        <v>133.5</v>
      </c>
      <c r="AA90" s="99">
        <v>135.69999999999999</v>
      </c>
      <c r="AB90" s="72">
        <v>132.4</v>
      </c>
      <c r="AC90" s="72">
        <v>134</v>
      </c>
      <c r="AD90" s="72">
        <v>133</v>
      </c>
      <c r="AE90" s="72">
        <v>133.6</v>
      </c>
      <c r="AF90" s="72">
        <v>134</v>
      </c>
      <c r="AG90" s="100"/>
      <c r="AH90" s="53">
        <f t="shared" si="14"/>
        <v>137.69999999999999</v>
      </c>
      <c r="AI90" s="54">
        <f t="shared" si="15"/>
        <v>125.3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65.2</v>
      </c>
      <c r="C91" s="106">
        <v>65.8</v>
      </c>
      <c r="D91" s="106">
        <v>65.400000000000006</v>
      </c>
      <c r="E91" s="106">
        <v>65.400000000000006</v>
      </c>
      <c r="F91" s="106">
        <v>65.8</v>
      </c>
      <c r="G91" s="106">
        <v>66</v>
      </c>
      <c r="H91" s="106">
        <v>65.900000000000006</v>
      </c>
      <c r="I91" s="106">
        <v>65</v>
      </c>
      <c r="J91" s="106">
        <v>65.2</v>
      </c>
      <c r="K91" s="106">
        <v>64</v>
      </c>
      <c r="L91" s="106">
        <v>64.5</v>
      </c>
      <c r="M91" s="106">
        <v>63.4</v>
      </c>
      <c r="N91" s="106">
        <v>63.35</v>
      </c>
      <c r="O91" s="106">
        <v>63.35</v>
      </c>
      <c r="P91" s="106">
        <v>64.3</v>
      </c>
      <c r="Q91" s="106">
        <v>64.3</v>
      </c>
      <c r="R91" s="106">
        <v>63.7</v>
      </c>
      <c r="S91" s="106">
        <v>63.9</v>
      </c>
      <c r="T91" s="106">
        <v>64.099999999999994</v>
      </c>
      <c r="U91" s="106">
        <v>64.599999999999994</v>
      </c>
      <c r="V91" s="106">
        <v>65</v>
      </c>
      <c r="W91" s="106">
        <v>64.7</v>
      </c>
      <c r="X91" s="106">
        <v>64.2</v>
      </c>
      <c r="Y91" s="106">
        <v>63.2</v>
      </c>
      <c r="Z91" s="106">
        <v>64.099999999999994</v>
      </c>
      <c r="AA91" s="106">
        <v>64.099999999999994</v>
      </c>
      <c r="AB91" s="106">
        <v>64.7</v>
      </c>
      <c r="AC91" s="106">
        <v>65</v>
      </c>
      <c r="AD91" s="106">
        <v>65</v>
      </c>
      <c r="AE91" s="106">
        <v>65</v>
      </c>
      <c r="AF91" s="106">
        <v>65.599999999999994</v>
      </c>
      <c r="AG91" s="107"/>
      <c r="AH91" s="53">
        <f t="shared" si="14"/>
        <v>66</v>
      </c>
      <c r="AI91" s="54">
        <f t="shared" si="15"/>
        <v>63.2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244.33999999999997</v>
      </c>
      <c r="C93" s="113">
        <f>SUM(C15,C18,C21:C22,C42,C44:C45,C47,C49,C94:C97,C102,C108,C114,C123,C125,C137,C144,C147:C148,C155,C157,C159,C163:C165,C167:C169,C174,C180:C181,C183:C185,C193,C198)</f>
        <v>195.74</v>
      </c>
      <c r="D93" s="113">
        <f t="shared" ref="D93:AF93" si="22">SUM(D15,D18,D21:D22,D42,D44:D45,D47,D49,D94:D97,D102,D108,D114,D123,D125,D137,D144,D147:D148,D155,D157,D159,D163:D165,D167:D169,D174,D180:D181,D183:D185,D193,D198)</f>
        <v>185.43999999999997</v>
      </c>
      <c r="E93" s="113">
        <f t="shared" si="22"/>
        <v>193.64</v>
      </c>
      <c r="F93" s="113">
        <f t="shared" si="22"/>
        <v>183.64</v>
      </c>
      <c r="G93" s="112">
        <f t="shared" si="22"/>
        <v>222.44</v>
      </c>
      <c r="H93" s="112">
        <f t="shared" si="22"/>
        <v>226.93999999999997</v>
      </c>
      <c r="I93" s="112">
        <f t="shared" si="22"/>
        <v>263.44</v>
      </c>
      <c r="J93" s="112">
        <f t="shared" si="22"/>
        <v>310.24</v>
      </c>
      <c r="K93" s="112">
        <f t="shared" si="22"/>
        <v>350.14</v>
      </c>
      <c r="L93" s="112">
        <f t="shared" si="22"/>
        <v>408.04</v>
      </c>
      <c r="M93" s="112">
        <f t="shared" si="22"/>
        <v>449.34000000000003</v>
      </c>
      <c r="N93" s="112">
        <f t="shared" si="22"/>
        <v>437.34000000000003</v>
      </c>
      <c r="O93" s="112">
        <f t="shared" si="22"/>
        <v>431.34000000000003</v>
      </c>
      <c r="P93" s="112">
        <f t="shared" si="22"/>
        <v>407.24</v>
      </c>
      <c r="Q93" s="112">
        <f t="shared" si="22"/>
        <v>400.84000000000003</v>
      </c>
      <c r="R93" s="112">
        <f t="shared" si="22"/>
        <v>387.84000000000003</v>
      </c>
      <c r="S93" s="112">
        <f t="shared" si="22"/>
        <v>373.24</v>
      </c>
      <c r="T93" s="112">
        <f t="shared" si="22"/>
        <v>364.64000000000004</v>
      </c>
      <c r="U93" s="112">
        <f t="shared" si="22"/>
        <v>374.04000000000008</v>
      </c>
      <c r="V93" s="112">
        <f t="shared" si="22"/>
        <v>378.14000000000004</v>
      </c>
      <c r="W93" s="112">
        <f t="shared" si="22"/>
        <v>391.44000000000005</v>
      </c>
      <c r="X93" s="112">
        <f t="shared" si="22"/>
        <v>434.54</v>
      </c>
      <c r="Y93" s="112">
        <f t="shared" si="22"/>
        <v>497.1400000000001</v>
      </c>
      <c r="Z93" s="112">
        <f t="shared" si="22"/>
        <v>490.74000000000007</v>
      </c>
      <c r="AA93" s="112">
        <f t="shared" si="22"/>
        <v>486.94000000000005</v>
      </c>
      <c r="AB93" s="112">
        <f t="shared" si="22"/>
        <v>472.44</v>
      </c>
      <c r="AC93" s="112">
        <f t="shared" si="22"/>
        <v>452.74</v>
      </c>
      <c r="AD93" s="112">
        <f t="shared" si="22"/>
        <v>406.94000000000005</v>
      </c>
      <c r="AE93" s="112">
        <f t="shared" si="22"/>
        <v>322.44000000000005</v>
      </c>
      <c r="AF93" s="112">
        <f t="shared" si="22"/>
        <v>252.93999999999997</v>
      </c>
      <c r="AG93" s="114"/>
      <c r="AH93" s="53">
        <f>MAX(C93:AF93)</f>
        <v>497.1400000000001</v>
      </c>
      <c r="AI93" s="54">
        <f>MIN(C93:AF93)</f>
        <v>183.64</v>
      </c>
    </row>
    <row r="94" spans="1:88" x14ac:dyDescent="0.25">
      <c r="A94" s="115" t="s">
        <v>98</v>
      </c>
      <c r="B94" s="118">
        <v>3.8</v>
      </c>
      <c r="C94" s="57">
        <v>-12.6</v>
      </c>
      <c r="D94" s="57">
        <v>-24</v>
      </c>
      <c r="E94" s="57">
        <v>-19.7</v>
      </c>
      <c r="F94" s="57">
        <v>-23.2</v>
      </c>
      <c r="G94" s="117">
        <v>-30.6</v>
      </c>
      <c r="H94" s="117">
        <v>-23.8</v>
      </c>
      <c r="I94" s="117">
        <v>-6.7</v>
      </c>
      <c r="J94" s="117">
        <v>25.7</v>
      </c>
      <c r="K94" s="117">
        <v>34.799999999999997</v>
      </c>
      <c r="L94" s="117">
        <v>47.7</v>
      </c>
      <c r="M94" s="118">
        <v>47</v>
      </c>
      <c r="N94" s="117">
        <v>49</v>
      </c>
      <c r="O94" s="117">
        <v>40</v>
      </c>
      <c r="P94" s="117">
        <v>26.4</v>
      </c>
      <c r="Q94" s="117">
        <v>35</v>
      </c>
      <c r="R94" s="117">
        <v>44</v>
      </c>
      <c r="S94" s="117">
        <v>31.6</v>
      </c>
      <c r="T94" s="117">
        <v>20.5</v>
      </c>
      <c r="U94" s="118">
        <v>33.700000000000003</v>
      </c>
      <c r="V94" s="118">
        <v>41.2</v>
      </c>
      <c r="W94" s="118">
        <v>61.8</v>
      </c>
      <c r="X94" s="117">
        <v>70.900000000000006</v>
      </c>
      <c r="Y94" s="117">
        <v>53.9</v>
      </c>
      <c r="Z94" s="117">
        <v>67.3</v>
      </c>
      <c r="AA94" s="117">
        <v>64.8</v>
      </c>
      <c r="AB94" s="118">
        <v>73.3</v>
      </c>
      <c r="AC94" s="118">
        <v>72.8</v>
      </c>
      <c r="AD94" s="118">
        <v>65</v>
      </c>
      <c r="AE94" s="118">
        <v>29.5</v>
      </c>
      <c r="AF94" s="118">
        <v>-1</v>
      </c>
      <c r="AG94" s="119">
        <v>75</v>
      </c>
      <c r="AH94" s="53">
        <f t="shared" ref="AH94:AH99" si="23">IF(ABS(MAX(C94:AF94))&gt;ABS(MIN(C94:AF94)),MAX(C94:AF94),MIN(C94:AF94))</f>
        <v>73.3</v>
      </c>
      <c r="AI94" s="120">
        <f t="shared" ref="AI94:AI99" si="24">INDEX($C$9:$AF$9,1,MATCH(AH94,C94:AF94,0))</f>
        <v>0.83333333333333337</v>
      </c>
    </row>
    <row r="95" spans="1:88" x14ac:dyDescent="0.25">
      <c r="A95" s="121" t="s">
        <v>99</v>
      </c>
      <c r="B95" s="72">
        <v>-33.9</v>
      </c>
      <c r="C95" s="59">
        <v>-38.5</v>
      </c>
      <c r="D95" s="59">
        <v>-38.4</v>
      </c>
      <c r="E95" s="59">
        <v>-36.6</v>
      </c>
      <c r="F95" s="59">
        <v>-37.5</v>
      </c>
      <c r="G95" s="59">
        <v>-9</v>
      </c>
      <c r="H95" s="59">
        <v>-6</v>
      </c>
      <c r="I95" s="59">
        <v>4</v>
      </c>
      <c r="J95" s="59">
        <v>14</v>
      </c>
      <c r="K95" s="59">
        <v>25</v>
      </c>
      <c r="L95" s="59">
        <v>46</v>
      </c>
      <c r="M95" s="59">
        <v>68</v>
      </c>
      <c r="N95" s="59">
        <v>51</v>
      </c>
      <c r="O95" s="59">
        <v>60</v>
      </c>
      <c r="P95" s="59">
        <v>66</v>
      </c>
      <c r="Q95" s="59">
        <v>60</v>
      </c>
      <c r="R95" s="59">
        <v>57</v>
      </c>
      <c r="S95" s="59">
        <v>60.2</v>
      </c>
      <c r="T95" s="59">
        <v>61.7</v>
      </c>
      <c r="U95" s="59">
        <v>52</v>
      </c>
      <c r="V95" s="59">
        <v>45</v>
      </c>
      <c r="W95" s="59">
        <v>56.4</v>
      </c>
      <c r="X95" s="59">
        <v>69</v>
      </c>
      <c r="Y95" s="59">
        <v>102</v>
      </c>
      <c r="Z95" s="59">
        <v>84.6</v>
      </c>
      <c r="AA95" s="59">
        <v>87</v>
      </c>
      <c r="AB95" s="72">
        <v>74</v>
      </c>
      <c r="AC95" s="72">
        <v>66</v>
      </c>
      <c r="AD95" s="72">
        <v>67</v>
      </c>
      <c r="AE95" s="72">
        <v>20</v>
      </c>
      <c r="AF95" s="72">
        <v>-20</v>
      </c>
      <c r="AG95" s="119">
        <v>240</v>
      </c>
      <c r="AH95" s="53">
        <f t="shared" si="23"/>
        <v>102</v>
      </c>
      <c r="AI95" s="120">
        <f t="shared" si="24"/>
        <v>0.77083333333333337</v>
      </c>
    </row>
    <row r="96" spans="1:88" x14ac:dyDescent="0.25">
      <c r="A96" s="121" t="s">
        <v>100</v>
      </c>
      <c r="B96" s="72">
        <v>12.2</v>
      </c>
      <c r="C96" s="59">
        <v>-5.6</v>
      </c>
      <c r="D96" s="59">
        <v>-11.1</v>
      </c>
      <c r="E96" s="59">
        <v>-8.1</v>
      </c>
      <c r="F96" s="59">
        <v>-4.5999999999999996</v>
      </c>
      <c r="G96" s="59">
        <v>-5.6</v>
      </c>
      <c r="H96" s="59">
        <v>-3.5</v>
      </c>
      <c r="I96" s="59">
        <v>1.7</v>
      </c>
      <c r="J96" s="59">
        <v>9.8000000000000007</v>
      </c>
      <c r="K96" s="59">
        <v>7.5</v>
      </c>
      <c r="L96" s="59">
        <v>40</v>
      </c>
      <c r="M96" s="59">
        <v>42</v>
      </c>
      <c r="N96" s="59">
        <v>49</v>
      </c>
      <c r="O96" s="59">
        <v>50</v>
      </c>
      <c r="P96" s="59">
        <v>52</v>
      </c>
      <c r="Q96" s="59">
        <v>45</v>
      </c>
      <c r="R96" s="59">
        <v>29</v>
      </c>
      <c r="S96" s="59">
        <v>29.7</v>
      </c>
      <c r="T96" s="59">
        <v>36</v>
      </c>
      <c r="U96" s="59">
        <v>32.5</v>
      </c>
      <c r="V96" s="59">
        <v>31.2</v>
      </c>
      <c r="W96" s="59">
        <v>44.8</v>
      </c>
      <c r="X96" s="59">
        <v>44.3</v>
      </c>
      <c r="Y96" s="59">
        <v>59.7</v>
      </c>
      <c r="Z96" s="59">
        <v>57.5</v>
      </c>
      <c r="AA96" s="59">
        <v>56.2</v>
      </c>
      <c r="AB96" s="72">
        <v>54.9</v>
      </c>
      <c r="AC96" s="72">
        <v>52</v>
      </c>
      <c r="AD96" s="72">
        <v>29</v>
      </c>
      <c r="AE96" s="72">
        <v>10</v>
      </c>
      <c r="AF96" s="72">
        <v>10</v>
      </c>
      <c r="AG96" s="119">
        <v>60</v>
      </c>
      <c r="AH96" s="53">
        <f t="shared" si="23"/>
        <v>59.7</v>
      </c>
      <c r="AI96" s="120">
        <f t="shared" si="24"/>
        <v>0.77083333333333337</v>
      </c>
    </row>
    <row r="97" spans="1:37" x14ac:dyDescent="0.25">
      <c r="A97" s="123" t="s">
        <v>101</v>
      </c>
      <c r="B97" s="125">
        <v>84.9</v>
      </c>
      <c r="C97" s="62">
        <v>76.8</v>
      </c>
      <c r="D97" s="62">
        <v>83.4</v>
      </c>
      <c r="E97" s="62">
        <v>82.9</v>
      </c>
      <c r="F97" s="62">
        <v>74.2</v>
      </c>
      <c r="G97" s="62">
        <v>95.2</v>
      </c>
      <c r="H97" s="62">
        <v>87.8</v>
      </c>
      <c r="I97" s="62">
        <v>91.4</v>
      </c>
      <c r="J97" s="62">
        <v>87.8</v>
      </c>
      <c r="K97" s="62">
        <v>108.1</v>
      </c>
      <c r="L97" s="62">
        <v>100</v>
      </c>
      <c r="M97" s="62">
        <v>118</v>
      </c>
      <c r="N97" s="62">
        <v>114</v>
      </c>
      <c r="O97" s="62">
        <v>107</v>
      </c>
      <c r="P97" s="62">
        <v>92</v>
      </c>
      <c r="Q97" s="62">
        <v>90</v>
      </c>
      <c r="R97" s="62">
        <v>87</v>
      </c>
      <c r="S97" s="62">
        <v>85.6</v>
      </c>
      <c r="T97" s="62">
        <v>77.5</v>
      </c>
      <c r="U97" s="62">
        <v>86.4</v>
      </c>
      <c r="V97" s="62">
        <v>91.8</v>
      </c>
      <c r="W97" s="62">
        <v>63.1</v>
      </c>
      <c r="X97" s="62">
        <v>85</v>
      </c>
      <c r="Y97" s="62">
        <v>106.4</v>
      </c>
      <c r="Z97" s="62">
        <v>106.2</v>
      </c>
      <c r="AA97" s="62">
        <v>103.8</v>
      </c>
      <c r="AB97" s="125">
        <v>97.3</v>
      </c>
      <c r="AC97" s="125">
        <v>89</v>
      </c>
      <c r="AD97" s="125">
        <v>73</v>
      </c>
      <c r="AE97" s="125">
        <v>90</v>
      </c>
      <c r="AF97" s="125">
        <v>91</v>
      </c>
      <c r="AG97" s="126">
        <v>120</v>
      </c>
      <c r="AH97" s="53">
        <f t="shared" si="23"/>
        <v>118</v>
      </c>
      <c r="AI97" s="120">
        <f t="shared" si="24"/>
        <v>0.33333333333333331</v>
      </c>
    </row>
    <row r="98" spans="1:37" x14ac:dyDescent="0.25">
      <c r="A98" s="123" t="s">
        <v>102</v>
      </c>
      <c r="B98" s="125">
        <v>91.3</v>
      </c>
      <c r="C98" s="62">
        <v>86.1</v>
      </c>
      <c r="D98" s="62">
        <v>91.9</v>
      </c>
      <c r="E98" s="62">
        <v>94.8</v>
      </c>
      <c r="F98" s="62">
        <v>83.1</v>
      </c>
      <c r="G98" s="62">
        <v>105</v>
      </c>
      <c r="H98" s="62">
        <v>79</v>
      </c>
      <c r="I98" s="62">
        <v>81.5</v>
      </c>
      <c r="J98" s="62">
        <v>70.400000000000006</v>
      </c>
      <c r="K98" s="62">
        <v>79.7</v>
      </c>
      <c r="L98" s="62">
        <v>71.099999999999994</v>
      </c>
      <c r="M98" s="62">
        <v>102</v>
      </c>
      <c r="N98" s="62">
        <v>75</v>
      </c>
      <c r="O98" s="62">
        <v>85</v>
      </c>
      <c r="P98" s="62">
        <v>94.8</v>
      </c>
      <c r="Q98" s="62">
        <v>95</v>
      </c>
      <c r="R98" s="62">
        <v>93</v>
      </c>
      <c r="S98" s="62">
        <v>96.5</v>
      </c>
      <c r="T98" s="62">
        <v>98.5</v>
      </c>
      <c r="U98" s="62">
        <v>86</v>
      </c>
      <c r="V98" s="62">
        <v>74.3</v>
      </c>
      <c r="W98" s="62">
        <v>59.8</v>
      </c>
      <c r="X98" s="62">
        <v>79.5</v>
      </c>
      <c r="Y98" s="62">
        <v>106.6</v>
      </c>
      <c r="Z98" s="62">
        <v>77.3</v>
      </c>
      <c r="AA98" s="62">
        <v>83.4</v>
      </c>
      <c r="AB98" s="125">
        <v>66.900000000000006</v>
      </c>
      <c r="AC98" s="125">
        <v>57</v>
      </c>
      <c r="AD98" s="125">
        <v>73</v>
      </c>
      <c r="AE98" s="125">
        <v>73</v>
      </c>
      <c r="AF98" s="125">
        <v>94</v>
      </c>
      <c r="AG98" s="126"/>
      <c r="AH98" s="53">
        <f t="shared" si="23"/>
        <v>106.6</v>
      </c>
      <c r="AI98" s="120">
        <f t="shared" si="24"/>
        <v>0.77083333333333337</v>
      </c>
    </row>
    <row r="99" spans="1:37" ht="15.75" thickBot="1" x14ac:dyDescent="0.3">
      <c r="A99" s="123" t="s">
        <v>103</v>
      </c>
      <c r="B99" s="125">
        <v>51.6</v>
      </c>
      <c r="C99" s="62">
        <v>59.7</v>
      </c>
      <c r="D99" s="62">
        <v>75.400000000000006</v>
      </c>
      <c r="E99" s="62">
        <v>64</v>
      </c>
      <c r="F99" s="62">
        <v>61.1</v>
      </c>
      <c r="G99" s="62">
        <v>70</v>
      </c>
      <c r="H99" s="62">
        <v>63.3</v>
      </c>
      <c r="I99" s="62">
        <v>60.8</v>
      </c>
      <c r="J99" s="62">
        <v>46.6</v>
      </c>
      <c r="K99" s="62">
        <v>37.4</v>
      </c>
      <c r="L99" s="62">
        <v>30.2</v>
      </c>
      <c r="M99" s="62">
        <v>30</v>
      </c>
      <c r="N99" s="62">
        <v>34</v>
      </c>
      <c r="O99" s="62">
        <v>38</v>
      </c>
      <c r="P99" s="62">
        <v>40</v>
      </c>
      <c r="Q99" s="62">
        <v>28</v>
      </c>
      <c r="R99" s="62">
        <v>17</v>
      </c>
      <c r="S99" s="62">
        <v>26</v>
      </c>
      <c r="T99" s="62">
        <v>34.4</v>
      </c>
      <c r="U99" s="62">
        <v>25.3</v>
      </c>
      <c r="V99" s="62">
        <v>23.2</v>
      </c>
      <c r="W99" s="62">
        <v>0.8</v>
      </c>
      <c r="X99" s="62">
        <v>12.5</v>
      </c>
      <c r="Y99" s="62">
        <v>26.8</v>
      </c>
      <c r="Z99" s="62">
        <v>12.8</v>
      </c>
      <c r="AA99" s="62">
        <v>19.8</v>
      </c>
      <c r="AB99" s="125">
        <v>11.6</v>
      </c>
      <c r="AC99" s="125">
        <v>9</v>
      </c>
      <c r="AD99" s="125">
        <v>14</v>
      </c>
      <c r="AE99" s="125">
        <v>34</v>
      </c>
      <c r="AF99" s="125">
        <v>46</v>
      </c>
      <c r="AG99" s="127"/>
      <c r="AH99" s="53">
        <f t="shared" si="23"/>
        <v>75.400000000000006</v>
      </c>
      <c r="AI99" s="120">
        <f t="shared" si="24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1552.54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2078/10/25)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957.86999999999989</v>
      </c>
      <c r="U213" s="173">
        <f t="shared" si="61"/>
        <v>937.14</v>
      </c>
      <c r="V213" s="173">
        <f t="shared" si="61"/>
        <v>940.94</v>
      </c>
      <c r="W213" s="173">
        <f t="shared" si="61"/>
        <v>904.74</v>
      </c>
      <c r="X213" s="173">
        <f t="shared" si="61"/>
        <v>896.54</v>
      </c>
      <c r="Y213" s="173">
        <f t="shared" si="61"/>
        <v>984.74</v>
      </c>
      <c r="Z213" s="173">
        <f t="shared" si="61"/>
        <v>1036.04</v>
      </c>
      <c r="AA213" s="173">
        <f t="shared" si="61"/>
        <v>1098.04</v>
      </c>
      <c r="AB213" s="173">
        <f t="shared" si="61"/>
        <v>1238.94</v>
      </c>
      <c r="AC213" s="173">
        <f t="shared" si="61"/>
        <v>1319.6399999999999</v>
      </c>
      <c r="AD213" s="173">
        <f t="shared" si="61"/>
        <v>1435.34</v>
      </c>
      <c r="AE213" s="173">
        <f t="shared" si="61"/>
        <v>1552.54</v>
      </c>
      <c r="AF213" s="173">
        <f t="shared" si="61"/>
        <v>1524.2399999999998</v>
      </c>
      <c r="AG213" s="173">
        <f t="shared" si="61"/>
        <v>1457.2399999999998</v>
      </c>
      <c r="AH213" s="173">
        <f t="shared" si="61"/>
        <v>1368.54</v>
      </c>
      <c r="AI213" s="173">
        <f t="shared" si="61"/>
        <v>1339.7399999999998</v>
      </c>
      <c r="AJ213" s="173">
        <f t="shared" si="61"/>
        <v>1245.24</v>
      </c>
      <c r="AK213" s="173">
        <f t="shared" si="61"/>
        <v>1215.8400000000001</v>
      </c>
      <c r="AL213" s="173">
        <f t="shared" si="61"/>
        <v>1231.1399999999999</v>
      </c>
      <c r="AM213" s="173">
        <f t="shared" si="61"/>
        <v>1248.8399999999999</v>
      </c>
      <c r="AN213" s="173">
        <f t="shared" si="61"/>
        <v>1284.54</v>
      </c>
      <c r="AO213" s="173">
        <f t="shared" si="61"/>
        <v>1340.9399999999998</v>
      </c>
      <c r="AP213" s="173">
        <f t="shared" si="61"/>
        <v>1478.1399999999999</v>
      </c>
      <c r="AQ213" s="173">
        <f t="shared" si="61"/>
        <v>1654.3400000000001</v>
      </c>
      <c r="AR213" s="173">
        <f t="shared" si="61"/>
        <v>1588.6399999999999</v>
      </c>
      <c r="AS213" s="173">
        <f t="shared" si="61"/>
        <v>1586.3400000000001</v>
      </c>
      <c r="AT213" s="173">
        <f t="shared" si="61"/>
        <v>1497.2399999999998</v>
      </c>
      <c r="AU213" s="173">
        <f t="shared" si="61"/>
        <v>1438.2399999999998</v>
      </c>
      <c r="AV213" s="173">
        <f t="shared" si="61"/>
        <v>1374.2399999999998</v>
      </c>
      <c r="AW213" s="173">
        <f t="shared" si="61"/>
        <v>1169.1399999999999</v>
      </c>
      <c r="AX213" s="173">
        <f t="shared" si="61"/>
        <v>1062.24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6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C57:L59 C60:O60 P39:R39 G61:O61 P40:Q42 P60:R61 R40:T41 M11:S11 M58:W59 U40:Y42 X85:AA91 AB81:AF81 B81:R81 C56:AF56 B82:AF83 D193:AF199 B193:B199 C68:AF72 AB84:AF91 B84:B91 B73:AF80 B9:AF10 B191:AF191 AF57:AF61 B36 AG73 AB94:AF99 U212:AF212 B53:B72 C61:E67 F61:F66 F36:L36 O39:O42 M39:N41 M37:R37 Q42:R42 P12:S14 V11:AD11 T11:U14 V12:X14 P16:X32 O45:X48 Y18:AA30 AB12:AD14 Z40:AE43 AB16:AF30 P36:AF36 AE11:AF14 AF42:AF43 M53:AF55">
    <cfRule type="expression" dxfId="2542" priority="463">
      <formula>B$9&gt;=20/24</formula>
    </cfRule>
    <cfRule type="expression" dxfId="2541" priority="464">
      <formula>AND(B$9&gt;=14/24,B$9&lt;20/24)</formula>
    </cfRule>
    <cfRule type="expression" dxfId="2540" priority="465">
      <formula>AND(B$9&gt;=8/24,B$9&lt;14/24)</formula>
    </cfRule>
    <cfRule type="expression" dxfId="2539" priority="466">
      <formula>B$9&lt;8/24</formula>
    </cfRule>
  </conditionalFormatting>
  <conditionalFormatting sqref="AL4:AL6">
    <cfRule type="iconSet" priority="462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538" priority="458">
      <formula>M$9&gt;=20/24</formula>
    </cfRule>
    <cfRule type="expression" dxfId="2537" priority="459">
      <formula>AND(M$9&gt;=14/24,M$9&lt;20/24)</formula>
    </cfRule>
    <cfRule type="expression" dxfId="2536" priority="460">
      <formula>AND(M$9&gt;=8/24,M$9&lt;14/24)</formula>
    </cfRule>
    <cfRule type="expression" dxfId="2535" priority="461">
      <formula>M$9&lt;8/24</formula>
    </cfRule>
  </conditionalFormatting>
  <conditionalFormatting sqref="O43:T43">
    <cfRule type="expression" dxfId="2534" priority="454">
      <formula>O$9&gt;=20/24</formula>
    </cfRule>
    <cfRule type="expression" dxfId="2533" priority="455">
      <formula>AND(O$9&gt;=14/24,O$9&lt;20/24)</formula>
    </cfRule>
    <cfRule type="expression" dxfId="2532" priority="456">
      <formula>AND(O$9&gt;=8/24,O$9&lt;14/24)</formula>
    </cfRule>
    <cfRule type="expression" dxfId="2531" priority="457">
      <formula>O$9&lt;8/24</formula>
    </cfRule>
  </conditionalFormatting>
  <conditionalFormatting sqref="S39:AE39">
    <cfRule type="expression" dxfId="2530" priority="446">
      <formula>S$9&gt;=20/24</formula>
    </cfRule>
    <cfRule type="expression" dxfId="2529" priority="447">
      <formula>AND(S$9&gt;=14/24,S$9&lt;20/24)</formula>
    </cfRule>
    <cfRule type="expression" dxfId="2528" priority="448">
      <formula>AND(S$9&gt;=8/24,S$9&lt;14/24)</formula>
    </cfRule>
    <cfRule type="expression" dxfId="2527" priority="449">
      <formula>S$9&lt;8/24</formula>
    </cfRule>
  </conditionalFormatting>
  <conditionalFormatting sqref="S57:AE57">
    <cfRule type="expression" dxfId="2526" priority="442">
      <formula>S$9&gt;=20/24</formula>
    </cfRule>
    <cfRule type="expression" dxfId="2525" priority="443">
      <formula>AND(S$9&gt;=14/24,S$9&lt;20/24)</formula>
    </cfRule>
    <cfRule type="expression" dxfId="2524" priority="444">
      <formula>AND(S$9&gt;=8/24,S$9&lt;14/24)</formula>
    </cfRule>
    <cfRule type="expression" dxfId="2523" priority="445">
      <formula>S$9&lt;8/24</formula>
    </cfRule>
  </conditionalFormatting>
  <conditionalFormatting sqref="S81:AA81">
    <cfRule type="expression" dxfId="2522" priority="438">
      <formula>S$9&gt;=20/24</formula>
    </cfRule>
    <cfRule type="expression" dxfId="2521" priority="439">
      <formula>AND(S$9&gt;=14/24,S$9&lt;20/24)</formula>
    </cfRule>
    <cfRule type="expression" dxfId="2520" priority="440">
      <formula>AND(S$9&gt;=8/24,S$9&lt;14/24)</formula>
    </cfRule>
    <cfRule type="expression" dxfId="2519" priority="441">
      <formula>S$9&lt;8/24</formula>
    </cfRule>
  </conditionalFormatting>
  <conditionalFormatting sqref="U84:AA84">
    <cfRule type="expression" dxfId="2518" priority="434">
      <formula>U$9&gt;=20/24</formula>
    </cfRule>
    <cfRule type="expression" dxfId="2517" priority="435">
      <formula>AND(U$9&gt;=14/24,U$9&lt;20/24)</formula>
    </cfRule>
    <cfRule type="expression" dxfId="2516" priority="436">
      <formula>AND(U$9&gt;=8/24,U$9&lt;14/24)</formula>
    </cfRule>
    <cfRule type="expression" dxfId="2515" priority="437">
      <formula>U$9&lt;8/24</formula>
    </cfRule>
  </conditionalFormatting>
  <conditionalFormatting sqref="P35:X35">
    <cfRule type="expression" dxfId="2514" priority="430">
      <formula>P$9&gt;=20/24</formula>
    </cfRule>
    <cfRule type="expression" dxfId="2513" priority="431">
      <formula>AND(P$9&gt;=14/24,P$9&lt;20/24)</formula>
    </cfRule>
    <cfRule type="expression" dxfId="2512" priority="432">
      <formula>AND(P$9&gt;=8/24,P$9&lt;14/24)</formula>
    </cfRule>
    <cfRule type="expression" dxfId="2511" priority="433">
      <formula>P$9&lt;8/24</formula>
    </cfRule>
  </conditionalFormatting>
  <conditionalFormatting sqref="O49:X49">
    <cfRule type="expression" dxfId="2510" priority="426">
      <formula>O$9&gt;=20/24</formula>
    </cfRule>
    <cfRule type="expression" dxfId="2509" priority="427">
      <formula>AND(O$9&gt;=14/24,O$9&lt;20/24)</formula>
    </cfRule>
    <cfRule type="expression" dxfId="2508" priority="428">
      <formula>AND(O$9&gt;=8/24,O$9&lt;14/24)</formula>
    </cfRule>
    <cfRule type="expression" dxfId="2507" priority="429">
      <formula>O$9&lt;8/24</formula>
    </cfRule>
  </conditionalFormatting>
  <conditionalFormatting sqref="O50:X50">
    <cfRule type="expression" dxfId="2506" priority="422">
      <formula>O$9&gt;=20/24</formula>
    </cfRule>
    <cfRule type="expression" dxfId="2505" priority="423">
      <formula>AND(O$9&gt;=14/24,O$9&lt;20/24)</formula>
    </cfRule>
    <cfRule type="expression" dxfId="2504" priority="424">
      <formula>AND(O$9&gt;=8/24,O$9&lt;14/24)</formula>
    </cfRule>
    <cfRule type="expression" dxfId="2503" priority="425">
      <formula>O$9&lt;8/24</formula>
    </cfRule>
  </conditionalFormatting>
  <conditionalFormatting sqref="O45:X48">
    <cfRule type="expression" dxfId="2502" priority="418">
      <formula>O$9&gt;=20/24</formula>
    </cfRule>
    <cfRule type="expression" dxfId="2501" priority="419">
      <formula>AND(O$9&gt;=14/24,O$9&lt;20/24)</formula>
    </cfRule>
    <cfRule type="expression" dxfId="2500" priority="420">
      <formula>AND(O$9&gt;=8/24,O$9&lt;14/24)</formula>
    </cfRule>
    <cfRule type="expression" dxfId="2499" priority="421">
      <formula>O$9&lt;8/24</formula>
    </cfRule>
  </conditionalFormatting>
  <conditionalFormatting sqref="S37:AF37">
    <cfRule type="expression" dxfId="2498" priority="414">
      <formula>S$9&gt;=20/24</formula>
    </cfRule>
    <cfRule type="expression" dxfId="2497" priority="415">
      <formula>AND(S$9&gt;=14/24,S$9&lt;20/24)</formula>
    </cfRule>
    <cfRule type="expression" dxfId="2496" priority="416">
      <formula>AND(S$9&gt;=8/24,S$9&lt;14/24)</formula>
    </cfRule>
    <cfRule type="expression" dxfId="2495" priority="417">
      <formula>S$9&lt;8/24</formula>
    </cfRule>
  </conditionalFormatting>
  <conditionalFormatting sqref="Y31:AF32 Y35:AF35">
    <cfRule type="expression" dxfId="2494" priority="410">
      <formula>Y$9&gt;=20/24</formula>
    </cfRule>
    <cfRule type="expression" dxfId="2493" priority="411">
      <formula>AND(Y$9&gt;=14/24,Y$9&lt;20/24)</formula>
    </cfRule>
    <cfRule type="expression" dxfId="2492" priority="412">
      <formula>AND(Y$9&gt;=8/24,Y$9&lt;14/24)</formula>
    </cfRule>
    <cfRule type="expression" dxfId="2491" priority="413">
      <formula>Y$9&lt;8/24</formula>
    </cfRule>
  </conditionalFormatting>
  <conditionalFormatting sqref="S42:T43 T43:AA43 S45:AF48">
    <cfRule type="expression" dxfId="2490" priority="406">
      <formula>S$9&gt;=20/24</formula>
    </cfRule>
    <cfRule type="expression" dxfId="2489" priority="407">
      <formula>AND(S$9&gt;=14/24,S$9&lt;20/24)</formula>
    </cfRule>
    <cfRule type="expression" dxfId="2488" priority="408">
      <formula>AND(S$9&gt;=8/24,S$9&lt;14/24)</formula>
    </cfRule>
    <cfRule type="expression" dxfId="2487" priority="409">
      <formula>S$9&lt;8/24</formula>
    </cfRule>
  </conditionalFormatting>
  <conditionalFormatting sqref="S49:AF49">
    <cfRule type="expression" dxfId="2486" priority="402">
      <formula>S$9&gt;=20/24</formula>
    </cfRule>
    <cfRule type="expression" dxfId="2485" priority="403">
      <formula>AND(S$9&gt;=14/24,S$9&lt;20/24)</formula>
    </cfRule>
    <cfRule type="expression" dxfId="2484" priority="404">
      <formula>AND(S$9&gt;=8/24,S$9&lt;14/24)</formula>
    </cfRule>
    <cfRule type="expression" dxfId="2483" priority="405">
      <formula>S$9&lt;8/24</formula>
    </cfRule>
  </conditionalFormatting>
  <conditionalFormatting sqref="S50:AF50">
    <cfRule type="expression" dxfId="2482" priority="398">
      <formula>S$9&gt;=20/24</formula>
    </cfRule>
    <cfRule type="expression" dxfId="2481" priority="399">
      <formula>AND(S$9&gt;=14/24,S$9&lt;20/24)</formula>
    </cfRule>
    <cfRule type="expression" dxfId="2480" priority="400">
      <formula>AND(S$9&gt;=8/24,S$9&lt;14/24)</formula>
    </cfRule>
    <cfRule type="expression" dxfId="2479" priority="401">
      <formula>S$9&lt;8/24</formula>
    </cfRule>
  </conditionalFormatting>
  <conditionalFormatting sqref="X60:AE61 S60:T67 Y62:AF67">
    <cfRule type="expression" dxfId="2478" priority="394">
      <formula>S$9&gt;=20/24</formula>
    </cfRule>
    <cfRule type="expression" dxfId="2477" priority="395">
      <formula>AND(S$9&gt;=14/24,S$9&lt;20/24)</formula>
    </cfRule>
    <cfRule type="expression" dxfId="2476" priority="396">
      <formula>AND(S$9&gt;=8/24,S$9&lt;14/24)</formula>
    </cfRule>
    <cfRule type="expression" dxfId="2475" priority="397">
      <formula>S$9&lt;8/24</formula>
    </cfRule>
  </conditionalFormatting>
  <conditionalFormatting sqref="G62:R62">
    <cfRule type="expression" dxfId="2474" priority="390">
      <formula>G$9&gt;=20/24</formula>
    </cfRule>
    <cfRule type="expression" dxfId="2473" priority="391">
      <formula>AND(G$9&gt;=14/24,G$9&lt;20/24)</formula>
    </cfRule>
    <cfRule type="expression" dxfId="2472" priority="392">
      <formula>AND(G$9&gt;=8/24,G$9&lt;14/24)</formula>
    </cfRule>
    <cfRule type="expression" dxfId="2471" priority="393">
      <formula>G$9&lt;8/24</formula>
    </cfRule>
  </conditionalFormatting>
  <conditionalFormatting sqref="U94:AA97">
    <cfRule type="expression" dxfId="2470" priority="386">
      <formula>U$9&gt;=20/24</formula>
    </cfRule>
    <cfRule type="expression" dxfId="2469" priority="387">
      <formula>AND(U$9&gt;=14/24,U$9&lt;20/24)</formula>
    </cfRule>
    <cfRule type="expression" dxfId="2468" priority="388">
      <formula>AND(U$9&gt;=8/24,U$9&lt;14/24)</formula>
    </cfRule>
    <cfRule type="expression" dxfId="2467" priority="389">
      <formula>U$9&lt;8/24</formula>
    </cfRule>
  </conditionalFormatting>
  <conditionalFormatting sqref="B11:B15 B36 C51:AG51 B43 I11:S11 C11:H14 E43:L50 F16:L32 F34:L36 I12:L14 B42:L42 M42:M50 B39:M41 P12:S14 V11:AD11 T11:U14 V12:X14 P16:X32 B38:AF38 Y18:AA32 P34:AB36 B37:AB37 AB12:AD32 AE11:AF32 AC34:AF37 B52:AF56 N39:AF50">
    <cfRule type="expression" dxfId="2466" priority="385">
      <formula>B11&gt;$AG11</formula>
    </cfRule>
  </conditionalFormatting>
  <conditionalFormatting sqref="A100:A156 A84:A97 A11:A14 A16:A32 A45:A72 A80:A82 A74:A78 A35:A43 A169:A199">
    <cfRule type="expression" dxfId="2465" priority="384">
      <formula>$AH11=0</formula>
    </cfRule>
  </conditionalFormatting>
  <conditionalFormatting sqref="U98:AA98">
    <cfRule type="expression" dxfId="2464" priority="380">
      <formula>U$9&gt;=20/24</formula>
    </cfRule>
    <cfRule type="expression" dxfId="2463" priority="381">
      <formula>AND(U$9&gt;=14/24,U$9&lt;20/24)</formula>
    </cfRule>
    <cfRule type="expression" dxfId="2462" priority="382">
      <formula>AND(U$9&gt;=8/24,U$9&lt;14/24)</formula>
    </cfRule>
    <cfRule type="expression" dxfId="2461" priority="383">
      <formula>U$9&lt;8/24</formula>
    </cfRule>
  </conditionalFormatting>
  <conditionalFormatting sqref="A98">
    <cfRule type="expression" dxfId="2460" priority="379">
      <formula>$AH98=0</formula>
    </cfRule>
  </conditionalFormatting>
  <conditionalFormatting sqref="F67:G67 G63:G66 H63:R67">
    <cfRule type="expression" dxfId="2459" priority="371">
      <formula>F$9&gt;=20/24</formula>
    </cfRule>
    <cfRule type="expression" dxfId="2458" priority="372">
      <formula>AND(F$9&gt;=14/24,F$9&lt;20/24)</formula>
    </cfRule>
    <cfRule type="expression" dxfId="2457" priority="373">
      <formula>AND(F$9&gt;=8/24,F$9&lt;14/24)</formula>
    </cfRule>
    <cfRule type="expression" dxfId="2456" priority="374">
      <formula>F$9&lt;8/24</formula>
    </cfRule>
  </conditionalFormatting>
  <conditionalFormatting sqref="AL32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P34:X34">
    <cfRule type="expression" dxfId="2455" priority="358">
      <formula>P$9&gt;=20/24</formula>
    </cfRule>
    <cfRule type="expression" dxfId="2454" priority="359">
      <formula>AND(P$9&gt;=14/24,P$9&lt;20/24)</formula>
    </cfRule>
    <cfRule type="expression" dxfId="2453" priority="360">
      <formula>AND(P$9&gt;=8/24,P$9&lt;14/24)</formula>
    </cfRule>
    <cfRule type="expression" dxfId="2452" priority="361">
      <formula>P$9&lt;8/24</formula>
    </cfRule>
  </conditionalFormatting>
  <conditionalFormatting sqref="Y34:AF34">
    <cfRule type="expression" dxfId="2451" priority="354">
      <formula>Y$9&gt;=20/24</formula>
    </cfRule>
    <cfRule type="expression" dxfId="2450" priority="355">
      <formula>AND(Y$9&gt;=14/24,Y$9&lt;20/24)</formula>
    </cfRule>
    <cfRule type="expression" dxfId="2449" priority="356">
      <formula>AND(Y$9&gt;=8/24,Y$9&lt;14/24)</formula>
    </cfRule>
    <cfRule type="expression" dxfId="2448" priority="357">
      <formula>Y$9&lt;8/24</formula>
    </cfRule>
  </conditionalFormatting>
  <conditionalFormatting sqref="A34">
    <cfRule type="expression" dxfId="2447" priority="353">
      <formula>$AH34=0</formula>
    </cfRule>
  </conditionalFormatting>
  <conditionalFormatting sqref="A83">
    <cfRule type="expression" dxfId="2446" priority="352">
      <formula>$AH83=0</formula>
    </cfRule>
  </conditionalFormatting>
  <conditionalFormatting sqref="AB15:AF15">
    <cfRule type="expression" dxfId="2445" priority="348">
      <formula>AB$9&gt;=20/24</formula>
    </cfRule>
    <cfRule type="expression" dxfId="2444" priority="349">
      <formula>AND(AB$9&gt;=14/24,AB$9&lt;20/24)</formula>
    </cfRule>
    <cfRule type="expression" dxfId="2443" priority="350">
      <formula>AND(AB$9&gt;=8/24,AB$9&lt;14/24)</formula>
    </cfRule>
    <cfRule type="expression" dxfId="2442" priority="351">
      <formula>AB$9&lt;8/24</formula>
    </cfRule>
  </conditionalFormatting>
  <conditionalFormatting sqref="P15:X15">
    <cfRule type="expression" dxfId="2441" priority="344">
      <formula>P$9&gt;=20/24</formula>
    </cfRule>
    <cfRule type="expression" dxfId="2440" priority="345">
      <formula>AND(P$9&gt;=14/24,P$9&lt;20/24)</formula>
    </cfRule>
    <cfRule type="expression" dxfId="2439" priority="346">
      <formula>AND(P$9&gt;=8/24,P$9&lt;14/24)</formula>
    </cfRule>
    <cfRule type="expression" dxfId="2438" priority="347">
      <formula>P$9&lt;8/24</formula>
    </cfRule>
  </conditionalFormatting>
  <conditionalFormatting sqref="C15:L15 P15:X15">
    <cfRule type="expression" dxfId="2437" priority="343">
      <formula>C15&gt;$AG15</formula>
    </cfRule>
  </conditionalFormatting>
  <conditionalFormatting sqref="A15">
    <cfRule type="expression" dxfId="2436" priority="342">
      <formula>$AH15=0</formula>
    </cfRule>
  </conditionalFormatting>
  <conditionalFormatting sqref="A163:A168">
    <cfRule type="expression" dxfId="2435" priority="341">
      <formula>$AH163=0</formula>
    </cfRule>
  </conditionalFormatting>
  <conditionalFormatting sqref="A157:A162">
    <cfRule type="expression" dxfId="2434" priority="340">
      <formula>$AH157=0</formula>
    </cfRule>
  </conditionalFormatting>
  <conditionalFormatting sqref="Z44:AF44">
    <cfRule type="expression" dxfId="2433" priority="336">
      <formula>Z$9&gt;=20/24</formula>
    </cfRule>
    <cfRule type="expression" dxfId="2432" priority="337">
      <formula>AND(Z$9&gt;=14/24,Z$9&lt;20/24)</formula>
    </cfRule>
    <cfRule type="expression" dxfId="2431" priority="338">
      <formula>AND(Z$9&gt;=8/24,Z$9&lt;14/24)</formula>
    </cfRule>
    <cfRule type="expression" dxfId="2430" priority="339">
      <formula>Z$9&lt;8/24</formula>
    </cfRule>
  </conditionalFormatting>
  <conditionalFormatting sqref="O44:X44">
    <cfRule type="expression" dxfId="2429" priority="332">
      <formula>O$9&gt;=20/24</formula>
    </cfRule>
    <cfRule type="expression" dxfId="2428" priority="333">
      <formula>AND(O$9&gt;=14/24,O$9&lt;20/24)</formula>
    </cfRule>
    <cfRule type="expression" dxfId="2427" priority="334">
      <formula>AND(O$9&gt;=8/24,O$9&lt;14/24)</formula>
    </cfRule>
    <cfRule type="expression" dxfId="2426" priority="335">
      <formula>O$9&lt;8/24</formula>
    </cfRule>
  </conditionalFormatting>
  <conditionalFormatting sqref="S44:AA44">
    <cfRule type="expression" dxfId="2425" priority="328">
      <formula>S$9&gt;=20/24</formula>
    </cfRule>
    <cfRule type="expression" dxfId="2424" priority="329">
      <formula>AND(S$9&gt;=14/24,S$9&lt;20/24)</formula>
    </cfRule>
    <cfRule type="expression" dxfId="2423" priority="330">
      <formula>AND(S$9&gt;=8/24,S$9&lt;14/24)</formula>
    </cfRule>
    <cfRule type="expression" dxfId="2422" priority="331">
      <formula>S$9&lt;8/24</formula>
    </cfRule>
  </conditionalFormatting>
  <conditionalFormatting sqref="A44">
    <cfRule type="expression" dxfId="2421" priority="327">
      <formula>$AH44=0</formula>
    </cfRule>
  </conditionalFormatting>
  <conditionalFormatting sqref="A79">
    <cfRule type="expression" dxfId="2420" priority="326">
      <formula>$AH79=0</formula>
    </cfRule>
  </conditionalFormatting>
  <conditionalFormatting sqref="A73">
    <cfRule type="expression" dxfId="2419" priority="325">
      <formula>$AH73=0</formula>
    </cfRule>
  </conditionalFormatting>
  <conditionalFormatting sqref="AL34:AL35 AL7:AL31">
    <cfRule type="iconSet" priority="469">
      <iconSet iconSet="3TrafficLights2" reverse="1">
        <cfvo type="percent" val="0"/>
        <cfvo type="num" val="1"/>
        <cfvo type="num" val="1"/>
      </iconSet>
    </cfRule>
  </conditionalFormatting>
  <conditionalFormatting sqref="U60:W67 X62:X67">
    <cfRule type="expression" dxfId="2418" priority="321">
      <formula>U$9&gt;=20/24</formula>
    </cfRule>
    <cfRule type="expression" dxfId="2417" priority="322">
      <formula>AND(U$9&gt;=14/24,U$9&lt;20/24)</formula>
    </cfRule>
    <cfRule type="expression" dxfId="2416" priority="323">
      <formula>AND(U$9&gt;=8/24,U$9&lt;14/24)</formula>
    </cfRule>
    <cfRule type="expression" dxfId="2415" priority="324">
      <formula>U$9&lt;8/24</formula>
    </cfRule>
  </conditionalFormatting>
  <conditionalFormatting sqref="U85:W91">
    <cfRule type="expression" dxfId="2414" priority="317">
      <formula>U$9&gt;=20/24</formula>
    </cfRule>
    <cfRule type="expression" dxfId="2413" priority="318">
      <formula>AND(U$9&gt;=14/24,U$9&lt;20/24)</formula>
    </cfRule>
    <cfRule type="expression" dxfId="2412" priority="319">
      <formula>AND(U$9&gt;=8/24,U$9&lt;14/24)</formula>
    </cfRule>
    <cfRule type="expression" dxfId="2411" priority="320">
      <formula>U$9&lt;8/24</formula>
    </cfRule>
  </conditionalFormatting>
  <conditionalFormatting sqref="S85:T91 C84:R91">
    <cfRule type="expression" dxfId="2410" priority="313">
      <formula>C$9&gt;=20/24</formula>
    </cfRule>
    <cfRule type="expression" dxfId="2409" priority="314">
      <formula>AND(C$9&gt;=14/24,C$9&lt;20/24)</formula>
    </cfRule>
    <cfRule type="expression" dxfId="2408" priority="315">
      <formula>AND(C$9&gt;=8/24,C$9&lt;14/24)</formula>
    </cfRule>
    <cfRule type="expression" dxfId="2407" priority="316">
      <formula>C$9&lt;8/24</formula>
    </cfRule>
  </conditionalFormatting>
  <conditionalFormatting sqref="S84:T84">
    <cfRule type="expression" dxfId="2406" priority="309">
      <formula>S$9&gt;=20/24</formula>
    </cfRule>
    <cfRule type="expression" dxfId="2405" priority="310">
      <formula>AND(S$9&gt;=14/24,S$9&lt;20/24)</formula>
    </cfRule>
    <cfRule type="expression" dxfId="2404" priority="311">
      <formula>AND(S$9&gt;=8/24,S$9&lt;14/24)</formula>
    </cfRule>
    <cfRule type="expression" dxfId="2403" priority="312">
      <formula>S$9&lt;8/24</formula>
    </cfRule>
  </conditionalFormatting>
  <conditionalFormatting sqref="C95:M97 C94:F94">
    <cfRule type="expression" dxfId="2402" priority="305">
      <formula>C$9&gt;=20/24</formula>
    </cfRule>
    <cfRule type="expression" dxfId="2401" priority="306">
      <formula>AND(C$9&gt;=14/24,C$9&lt;20/24)</formula>
    </cfRule>
    <cfRule type="expression" dxfId="2400" priority="307">
      <formula>AND(C$9&gt;=8/24,C$9&lt;14/24)</formula>
    </cfRule>
    <cfRule type="expression" dxfId="2399" priority="308">
      <formula>C$9&lt;8/24</formula>
    </cfRule>
  </conditionalFormatting>
  <conditionalFormatting sqref="N95:R97 O94:R94">
    <cfRule type="expression" dxfId="2398" priority="301">
      <formula>N$9&gt;=20/24</formula>
    </cfRule>
    <cfRule type="expression" dxfId="2397" priority="302">
      <formula>AND(N$9&gt;=14/24,N$9&lt;20/24)</formula>
    </cfRule>
    <cfRule type="expression" dxfId="2396" priority="303">
      <formula>AND(N$9&gt;=8/24,N$9&lt;14/24)</formula>
    </cfRule>
    <cfRule type="expression" dxfId="2395" priority="304">
      <formula>N$9&lt;8/24</formula>
    </cfRule>
  </conditionalFormatting>
  <conditionalFormatting sqref="S94:T97">
    <cfRule type="expression" dxfId="2394" priority="297">
      <formula>S$9&gt;=20/24</formula>
    </cfRule>
    <cfRule type="expression" dxfId="2393" priority="298">
      <formula>AND(S$9&gt;=14/24,S$9&lt;20/24)</formula>
    </cfRule>
    <cfRule type="expression" dxfId="2392" priority="299">
      <formula>AND(S$9&gt;=8/24,S$9&lt;14/24)</formula>
    </cfRule>
    <cfRule type="expression" dxfId="2391" priority="300">
      <formula>S$9&lt;8/24</formula>
    </cfRule>
  </conditionalFormatting>
  <conditionalFormatting sqref="C98:M98">
    <cfRule type="expression" dxfId="2390" priority="293">
      <formula>C$9&gt;=20/24</formula>
    </cfRule>
    <cfRule type="expression" dxfId="2389" priority="294">
      <formula>AND(C$9&gt;=14/24,C$9&lt;20/24)</formula>
    </cfRule>
    <cfRule type="expression" dxfId="2388" priority="295">
      <formula>AND(C$9&gt;=8/24,C$9&lt;14/24)</formula>
    </cfRule>
    <cfRule type="expression" dxfId="2387" priority="296">
      <formula>C$9&lt;8/24</formula>
    </cfRule>
  </conditionalFormatting>
  <conditionalFormatting sqref="N98:R98">
    <cfRule type="expression" dxfId="2386" priority="289">
      <formula>N$9&gt;=20/24</formula>
    </cfRule>
    <cfRule type="expression" dxfId="2385" priority="290">
      <formula>AND(N$9&gt;=14/24,N$9&lt;20/24)</formula>
    </cfRule>
    <cfRule type="expression" dxfId="2384" priority="291">
      <formula>AND(N$9&gt;=8/24,N$9&lt;14/24)</formula>
    </cfRule>
    <cfRule type="expression" dxfId="2383" priority="292">
      <formula>N$9&lt;8/24</formula>
    </cfRule>
  </conditionalFormatting>
  <conditionalFormatting sqref="S98:T98">
    <cfRule type="expression" dxfId="2382" priority="285">
      <formula>S$9&gt;=20/24</formula>
    </cfRule>
    <cfRule type="expression" dxfId="2381" priority="286">
      <formula>AND(S$9&gt;=14/24,S$9&lt;20/24)</formula>
    </cfRule>
    <cfRule type="expression" dxfId="2380" priority="287">
      <formula>AND(S$9&gt;=8/24,S$9&lt;14/24)</formula>
    </cfRule>
    <cfRule type="expression" dxfId="2379" priority="288">
      <formula>S$9&lt;8/24</formula>
    </cfRule>
  </conditionalFormatting>
  <conditionalFormatting sqref="M94:N94">
    <cfRule type="expression" dxfId="2378" priority="281">
      <formula>M$9&gt;=20/24</formula>
    </cfRule>
    <cfRule type="expression" dxfId="2377" priority="282">
      <formula>AND(M$9&gt;=14/24,M$9&lt;20/24)</formula>
    </cfRule>
    <cfRule type="expression" dxfId="2376" priority="283">
      <formula>AND(M$9&gt;=8/24,M$9&lt;14/24)</formula>
    </cfRule>
    <cfRule type="expression" dxfId="2375" priority="284">
      <formula>M$9&lt;8/24</formula>
    </cfRule>
  </conditionalFormatting>
  <conditionalFormatting sqref="G94:L94">
    <cfRule type="expression" dxfId="2374" priority="277">
      <formula>G$9&gt;=20/24</formula>
    </cfRule>
    <cfRule type="expression" dxfId="2373" priority="278">
      <formula>AND(G$9&gt;=14/24,G$9&lt;20/24)</formula>
    </cfRule>
    <cfRule type="expression" dxfId="2372" priority="279">
      <formula>AND(G$9&gt;=8/24,G$9&lt;14/24)</formula>
    </cfRule>
    <cfRule type="expression" dxfId="2371" priority="280">
      <formula>G$9&lt;8/24</formula>
    </cfRule>
  </conditionalFormatting>
  <conditionalFormatting sqref="U94:W94">
    <cfRule type="expression" dxfId="2370" priority="273">
      <formula>U$9&gt;=20/24</formula>
    </cfRule>
    <cfRule type="expression" dxfId="2369" priority="274">
      <formula>AND(U$9&gt;=14/24,U$9&lt;20/24)</formula>
    </cfRule>
    <cfRule type="expression" dxfId="2368" priority="275">
      <formula>AND(U$9&gt;=8/24,U$9&lt;14/24)</formula>
    </cfRule>
    <cfRule type="expression" dxfId="2367" priority="276">
      <formula>U$9&lt;8/24</formula>
    </cfRule>
  </conditionalFormatting>
  <conditionalFormatting sqref="N94:T94">
    <cfRule type="expression" dxfId="2366" priority="269">
      <formula>N$9&gt;=20/24</formula>
    </cfRule>
    <cfRule type="expression" dxfId="2365" priority="270">
      <formula>AND(N$9&gt;=14/24,N$9&lt;20/24)</formula>
    </cfRule>
    <cfRule type="expression" dxfId="2364" priority="271">
      <formula>AND(N$9&gt;=8/24,N$9&lt;14/24)</formula>
    </cfRule>
    <cfRule type="expression" dxfId="2363" priority="272">
      <formula>N$9&lt;8/24</formula>
    </cfRule>
  </conditionalFormatting>
  <conditionalFormatting sqref="U99:AA99">
    <cfRule type="expression" dxfId="2362" priority="265">
      <formula>U$9&gt;=20/24</formula>
    </cfRule>
    <cfRule type="expression" dxfId="2361" priority="266">
      <formula>AND(U$9&gt;=14/24,U$9&lt;20/24)</formula>
    </cfRule>
    <cfRule type="expression" dxfId="2360" priority="267">
      <formula>AND(U$9&gt;=8/24,U$9&lt;14/24)</formula>
    </cfRule>
    <cfRule type="expression" dxfId="2359" priority="268">
      <formula>U$9&lt;8/24</formula>
    </cfRule>
  </conditionalFormatting>
  <conditionalFormatting sqref="C99:M99">
    <cfRule type="expression" dxfId="2358" priority="261">
      <formula>C$9&gt;=20/24</formula>
    </cfRule>
    <cfRule type="expression" dxfId="2357" priority="262">
      <formula>AND(C$9&gt;=14/24,C$9&lt;20/24)</formula>
    </cfRule>
    <cfRule type="expression" dxfId="2356" priority="263">
      <formula>AND(C$9&gt;=8/24,C$9&lt;14/24)</formula>
    </cfRule>
    <cfRule type="expression" dxfId="2355" priority="264">
      <formula>C$9&lt;8/24</formula>
    </cfRule>
  </conditionalFormatting>
  <conditionalFormatting sqref="N99:R99">
    <cfRule type="expression" dxfId="2354" priority="257">
      <formula>N$9&gt;=20/24</formula>
    </cfRule>
    <cfRule type="expression" dxfId="2353" priority="258">
      <formula>AND(N$9&gt;=14/24,N$9&lt;20/24)</formula>
    </cfRule>
    <cfRule type="expression" dxfId="2352" priority="259">
      <formula>AND(N$9&gt;=8/24,N$9&lt;14/24)</formula>
    </cfRule>
    <cfRule type="expression" dxfId="2351" priority="260">
      <formula>N$9&lt;8/24</formula>
    </cfRule>
  </conditionalFormatting>
  <conditionalFormatting sqref="S99:T99">
    <cfRule type="expression" dxfId="2350" priority="253">
      <formula>S$9&gt;=20/24</formula>
    </cfRule>
    <cfRule type="expression" dxfId="2349" priority="254">
      <formula>AND(S$9&gt;=14/24,S$9&lt;20/24)</formula>
    </cfRule>
    <cfRule type="expression" dxfId="2348" priority="255">
      <formula>AND(S$9&gt;=8/24,S$9&lt;14/24)</formula>
    </cfRule>
    <cfRule type="expression" dxfId="2347" priority="256">
      <formula>S$9&lt;8/24</formula>
    </cfRule>
  </conditionalFormatting>
  <conditionalFormatting sqref="Y12:AA16">
    <cfRule type="expression" dxfId="2346" priority="249">
      <formula>Y$9&gt;=20/24</formula>
    </cfRule>
    <cfRule type="expression" dxfId="2345" priority="250">
      <formula>AND(Y$9&gt;=14/24,Y$9&lt;20/24)</formula>
    </cfRule>
    <cfRule type="expression" dxfId="2344" priority="251">
      <formula>AND(Y$9&gt;=8/24,Y$9&lt;14/24)</formula>
    </cfRule>
    <cfRule type="expression" dxfId="2343" priority="252">
      <formula>Y$9&lt;8/24</formula>
    </cfRule>
  </conditionalFormatting>
  <conditionalFormatting sqref="Y17:AA17">
    <cfRule type="expression" dxfId="2342" priority="245">
      <formula>Y$9&gt;=20/24</formula>
    </cfRule>
    <cfRule type="expression" dxfId="2341" priority="246">
      <formula>AND(Y$9&gt;=14/24,Y$9&lt;20/24)</formula>
    </cfRule>
    <cfRule type="expression" dxfId="2340" priority="247">
      <formula>AND(Y$9&gt;=8/24,Y$9&lt;14/24)</formula>
    </cfRule>
    <cfRule type="expression" dxfId="2339" priority="248">
      <formula>Y$9&lt;8/24</formula>
    </cfRule>
  </conditionalFormatting>
  <conditionalFormatting sqref="Y12:AA13">
    <cfRule type="expression" dxfId="2338" priority="241">
      <formula>Y$9&gt;=20/24</formula>
    </cfRule>
    <cfRule type="expression" dxfId="2337" priority="242">
      <formula>AND(Y$9&gt;=14/24,Y$9&lt;20/24)</formula>
    </cfRule>
    <cfRule type="expression" dxfId="2336" priority="243">
      <formula>AND(Y$9&gt;=8/24,Y$9&lt;14/24)</formula>
    </cfRule>
    <cfRule type="expression" dxfId="2335" priority="244">
      <formula>Y$9&lt;8/24</formula>
    </cfRule>
  </conditionalFormatting>
  <conditionalFormatting sqref="AB58:AE59">
    <cfRule type="expression" dxfId="2334" priority="237">
      <formula>AB$9&gt;=20/24</formula>
    </cfRule>
    <cfRule type="expression" dxfId="2333" priority="238">
      <formula>AND(AB$9&gt;=14/24,AB$9&lt;20/24)</formula>
    </cfRule>
    <cfRule type="expression" dxfId="2332" priority="239">
      <formula>AND(AB$9&gt;=8/24,AB$9&lt;14/24)</formula>
    </cfRule>
    <cfRule type="expression" dxfId="2331" priority="240">
      <formula>AB$9&lt;8/24</formula>
    </cfRule>
  </conditionalFormatting>
  <conditionalFormatting sqref="AL3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30" priority="470">
      <formula>C$9&gt;=20/24</formula>
    </cfRule>
    <cfRule type="expression" dxfId="2329" priority="471">
      <formula>AND(C$9&gt;=14/24,C$9&lt;20/24)</formula>
    </cfRule>
    <cfRule type="expression" dxfId="2328" priority="472">
      <formula>AND(C$9&gt;=8/24,C$9&lt;14/24)</formula>
    </cfRule>
    <cfRule type="expression" dxfId="2327" priority="473">
      <formula>C$9&lt;8/24</formula>
    </cfRule>
  </conditionalFormatting>
  <conditionalFormatting sqref="A200">
    <cfRule type="expression" dxfId="2326" priority="474">
      <formula>$AH200=0</formula>
    </cfRule>
  </conditionalFormatting>
  <conditionalFormatting sqref="AG212">
    <cfRule type="expression" dxfId="2325" priority="475">
      <formula>B$9&gt;=20/24</formula>
    </cfRule>
    <cfRule type="expression" dxfId="2324" priority="476">
      <formula>AND(B$9&gt;=14/24,B$9&lt;20/24)</formula>
    </cfRule>
    <cfRule type="expression" dxfId="2323" priority="477">
      <formula>AND(B$9&gt;=8/24,B$9&lt;14/24)</formula>
    </cfRule>
    <cfRule type="expression" dxfId="2322" priority="478">
      <formula>B$9&lt;8/24</formula>
    </cfRule>
  </conditionalFormatting>
  <conditionalFormatting sqref="S8">
    <cfRule type="expression" dxfId="2321" priority="231">
      <formula>U$9&gt;=20/24</formula>
    </cfRule>
    <cfRule type="expression" dxfId="2320" priority="232">
      <formula>AND(U$9&gt;=14/24,U$9&lt;20/24)</formula>
    </cfRule>
    <cfRule type="expression" dxfId="2319" priority="233">
      <formula>AND(U$9&gt;=8/24,U$9&lt;14/24)</formula>
    </cfRule>
    <cfRule type="expression" dxfId="2318" priority="234">
      <formula>U$9&lt;8/24</formula>
    </cfRule>
  </conditionalFormatting>
  <conditionalFormatting sqref="AB8">
    <cfRule type="expression" dxfId="2317" priority="227">
      <formula>AD$9&gt;=20/24</formula>
    </cfRule>
    <cfRule type="expression" dxfId="2316" priority="228">
      <formula>AND(AD$9&gt;=14/24,AD$9&lt;20/24)</formula>
    </cfRule>
    <cfRule type="expression" dxfId="2315" priority="229">
      <formula>AND(AD$9&gt;=8/24,AD$9&lt;14/24)</formula>
    </cfRule>
    <cfRule type="expression" dxfId="2314" priority="230">
      <formula>AD$9&lt;8/24</formula>
    </cfRule>
  </conditionalFormatting>
  <conditionalFormatting sqref="AH212:AX212">
    <cfRule type="expression" dxfId="2313" priority="479">
      <formula>AG$9&gt;=20/24</formula>
    </cfRule>
    <cfRule type="expression" dxfId="2312" priority="480">
      <formula>AND(AG$9&gt;=14/24,AG$9&lt;20/24)</formula>
    </cfRule>
    <cfRule type="expression" dxfId="2311" priority="481">
      <formula>AND(AG$9&gt;=8/24,AG$9&lt;14/24)</formula>
    </cfRule>
    <cfRule type="expression" dxfId="2310" priority="482">
      <formula>AG$9&lt;8/24</formula>
    </cfRule>
  </conditionalFormatting>
  <conditionalFormatting sqref="T212">
    <cfRule type="expression" dxfId="2309" priority="483">
      <formula>AX$9&gt;=20/24</formula>
    </cfRule>
    <cfRule type="expression" dxfId="2308" priority="484">
      <formula>AND(AX$9&gt;=14/24,AX$9&lt;20/24)</formula>
    </cfRule>
    <cfRule type="expression" dxfId="2307" priority="485">
      <formula>AND(AX$9&gt;=8/24,AX$9&lt;14/24)</formula>
    </cfRule>
    <cfRule type="expression" dxfId="2306" priority="486">
      <formula>AX$9&lt;8/24</formula>
    </cfRule>
  </conditionalFormatting>
  <conditionalFormatting sqref="A99">
    <cfRule type="expression" dxfId="2305" priority="226">
      <formula>$AH99=0</formula>
    </cfRule>
  </conditionalFormatting>
  <conditionalFormatting sqref="P33:X33">
    <cfRule type="expression" dxfId="2304" priority="222">
      <formula>P$9&gt;=20/24</formula>
    </cfRule>
    <cfRule type="expression" dxfId="2303" priority="223">
      <formula>AND(P$9&gt;=14/24,P$9&lt;20/24)</formula>
    </cfRule>
    <cfRule type="expression" dxfId="2302" priority="224">
      <formula>AND(P$9&gt;=8/24,P$9&lt;14/24)</formula>
    </cfRule>
    <cfRule type="expression" dxfId="2301" priority="225">
      <formula>P$9&lt;8/24</formula>
    </cfRule>
  </conditionalFormatting>
  <conditionalFormatting sqref="Y33:AF33">
    <cfRule type="expression" dxfId="2300" priority="214">
      <formula>Y$9&gt;=20/24</formula>
    </cfRule>
    <cfRule type="expression" dxfId="2299" priority="215">
      <formula>AND(Y$9&gt;=14/24,Y$9&lt;20/24)</formula>
    </cfRule>
    <cfRule type="expression" dxfId="2298" priority="216">
      <formula>AND(Y$9&gt;=8/24,Y$9&lt;14/24)</formula>
    </cfRule>
    <cfRule type="expression" dxfId="2297" priority="217">
      <formula>Y$9&lt;8/24</formula>
    </cfRule>
  </conditionalFormatting>
  <conditionalFormatting sqref="F33:L33 P33:AF33">
    <cfRule type="expression" dxfId="2296" priority="213">
      <formula>F33&gt;$AG33</formula>
    </cfRule>
  </conditionalFormatting>
  <conditionalFormatting sqref="B22">
    <cfRule type="expression" dxfId="2295" priority="212">
      <formula>B22&gt;$AG22</formula>
    </cfRule>
  </conditionalFormatting>
  <conditionalFormatting sqref="B16:B21">
    <cfRule type="expression" dxfId="2294" priority="208">
      <formula>B$9&gt;=20/24</formula>
    </cfRule>
    <cfRule type="expression" dxfId="2293" priority="209">
      <formula>AND(B$9&gt;=14/24,B$9&lt;20/24)</formula>
    </cfRule>
    <cfRule type="expression" dxfId="2292" priority="210">
      <formula>AND(B$9&gt;=8/24,B$9&lt;14/24)</formula>
    </cfRule>
    <cfRule type="expression" dxfId="2291" priority="211">
      <formula>B$9&lt;8/24</formula>
    </cfRule>
  </conditionalFormatting>
  <conditionalFormatting sqref="B16:B21">
    <cfRule type="expression" dxfId="2290" priority="207">
      <formula>B16&gt;$AG16</formula>
    </cfRule>
  </conditionalFormatting>
  <conditionalFormatting sqref="B23:B26 B28:B31">
    <cfRule type="expression" dxfId="2289" priority="203">
      <formula>B$9&gt;=20/24</formula>
    </cfRule>
    <cfRule type="expression" dxfId="2288" priority="204">
      <formula>AND(B$9&gt;=14/24,B$9&lt;20/24)</formula>
    </cfRule>
    <cfRule type="expression" dxfId="2287" priority="205">
      <formula>AND(B$9&gt;=8/24,B$9&lt;14/24)</formula>
    </cfRule>
    <cfRule type="expression" dxfId="2286" priority="206">
      <formula>B$9&lt;8/24</formula>
    </cfRule>
  </conditionalFormatting>
  <conditionalFormatting sqref="B32">
    <cfRule type="expression" dxfId="2285" priority="199">
      <formula>B$9&gt;=20/24</formula>
    </cfRule>
    <cfRule type="expression" dxfId="2284" priority="200">
      <formula>AND(B$9&gt;=14/24,B$9&lt;20/24)</formula>
    </cfRule>
    <cfRule type="expression" dxfId="2283" priority="201">
      <formula>AND(B$9&gt;=8/24,B$9&lt;14/24)</formula>
    </cfRule>
    <cfRule type="expression" dxfId="2282" priority="202">
      <formula>B$9&lt;8/24</formula>
    </cfRule>
  </conditionalFormatting>
  <conditionalFormatting sqref="B35">
    <cfRule type="expression" dxfId="2281" priority="195">
      <formula>B$9&gt;=20/24</formula>
    </cfRule>
    <cfRule type="expression" dxfId="2280" priority="196">
      <formula>AND(B$9&gt;=14/24,B$9&lt;20/24)</formula>
    </cfRule>
    <cfRule type="expression" dxfId="2279" priority="197">
      <formula>AND(B$9&gt;=8/24,B$9&lt;14/24)</formula>
    </cfRule>
    <cfRule type="expression" dxfId="2278" priority="198">
      <formula>B$9&lt;8/24</formula>
    </cfRule>
  </conditionalFormatting>
  <conditionalFormatting sqref="B34:B35 B23:B32">
    <cfRule type="expression" dxfId="2277" priority="194">
      <formula>B23&gt;$AG23</formula>
    </cfRule>
  </conditionalFormatting>
  <conditionalFormatting sqref="B34">
    <cfRule type="expression" dxfId="2276" priority="190">
      <formula>B$9&gt;=20/24</formula>
    </cfRule>
    <cfRule type="expression" dxfId="2275" priority="191">
      <formula>AND(B$9&gt;=14/24,B$9&lt;20/24)</formula>
    </cfRule>
    <cfRule type="expression" dxfId="2274" priority="192">
      <formula>AND(B$9&gt;=8/24,B$9&lt;14/24)</formula>
    </cfRule>
    <cfRule type="expression" dxfId="2273" priority="193">
      <formula>B$9&lt;8/24</formula>
    </cfRule>
  </conditionalFormatting>
  <conditionalFormatting sqref="B33">
    <cfRule type="expression" dxfId="2272" priority="186">
      <formula>B$9&gt;=20/24</formula>
    </cfRule>
    <cfRule type="expression" dxfId="2271" priority="187">
      <formula>AND(B$9&gt;=14/24,B$9&lt;20/24)</formula>
    </cfRule>
    <cfRule type="expression" dxfId="2270" priority="188">
      <formula>AND(B$9&gt;=8/24,B$9&lt;14/24)</formula>
    </cfRule>
    <cfRule type="expression" dxfId="2269" priority="189">
      <formula>B$9&lt;8/24</formula>
    </cfRule>
  </conditionalFormatting>
  <conditionalFormatting sqref="B33">
    <cfRule type="expression" dxfId="2268" priority="185">
      <formula>B33&gt;$AG33</formula>
    </cfRule>
  </conditionalFormatting>
  <conditionalFormatting sqref="B94:B99">
    <cfRule type="expression" dxfId="2267" priority="181">
      <formula>B$9&gt;=20/24</formula>
    </cfRule>
    <cfRule type="expression" dxfId="2266" priority="182">
      <formula>AND(B$9&gt;=14/24,B$9&lt;20/24)</formula>
    </cfRule>
    <cfRule type="expression" dxfId="2265" priority="183">
      <formula>AND(B$9&gt;=8/24,B$9&lt;14/24)</formula>
    </cfRule>
    <cfRule type="expression" dxfId="2264" priority="184">
      <formula>B$9&lt;8/24</formula>
    </cfRule>
  </conditionalFormatting>
  <conditionalFormatting sqref="C36">
    <cfRule type="expression" dxfId="2263" priority="177">
      <formula>C$9&gt;=20/24</formula>
    </cfRule>
    <cfRule type="expression" dxfId="2262" priority="178">
      <formula>AND(C$9&gt;=14/24,C$9&lt;20/24)</formula>
    </cfRule>
    <cfRule type="expression" dxfId="2261" priority="179">
      <formula>AND(C$9&gt;=8/24,C$9&lt;14/24)</formula>
    </cfRule>
    <cfRule type="expression" dxfId="2260" priority="180">
      <formula>C$9&lt;8/24</formula>
    </cfRule>
  </conditionalFormatting>
  <conditionalFormatting sqref="C36">
    <cfRule type="expression" dxfId="2259" priority="176">
      <formula>C36&gt;$AG36</formula>
    </cfRule>
  </conditionalFormatting>
  <conditionalFormatting sqref="C22">
    <cfRule type="expression" dxfId="2258" priority="175">
      <formula>C22&gt;$AG22</formula>
    </cfRule>
  </conditionalFormatting>
  <conditionalFormatting sqref="C16:C21">
    <cfRule type="expression" dxfId="2257" priority="171">
      <formula>C$9&gt;=20/24</formula>
    </cfRule>
    <cfRule type="expression" dxfId="2256" priority="172">
      <formula>AND(C$9&gt;=14/24,C$9&lt;20/24)</formula>
    </cfRule>
    <cfRule type="expression" dxfId="2255" priority="173">
      <formula>AND(C$9&gt;=8/24,C$9&lt;14/24)</formula>
    </cfRule>
    <cfRule type="expression" dxfId="2254" priority="174">
      <formula>C$9&lt;8/24</formula>
    </cfRule>
  </conditionalFormatting>
  <conditionalFormatting sqref="C16:C21">
    <cfRule type="expression" dxfId="2253" priority="170">
      <formula>C16&gt;$AG16</formula>
    </cfRule>
  </conditionalFormatting>
  <conditionalFormatting sqref="C23:C26 C28:C31">
    <cfRule type="expression" dxfId="2252" priority="166">
      <formula>C$9&gt;=20/24</formula>
    </cfRule>
    <cfRule type="expression" dxfId="2251" priority="167">
      <formula>AND(C$9&gt;=14/24,C$9&lt;20/24)</formula>
    </cfRule>
    <cfRule type="expression" dxfId="2250" priority="168">
      <formula>AND(C$9&gt;=8/24,C$9&lt;14/24)</formula>
    </cfRule>
    <cfRule type="expression" dxfId="2249" priority="169">
      <formula>C$9&lt;8/24</formula>
    </cfRule>
  </conditionalFormatting>
  <conditionalFormatting sqref="C32">
    <cfRule type="expression" dxfId="2248" priority="162">
      <formula>C$9&gt;=20/24</formula>
    </cfRule>
    <cfRule type="expression" dxfId="2247" priority="163">
      <formula>AND(C$9&gt;=14/24,C$9&lt;20/24)</formula>
    </cfRule>
    <cfRule type="expression" dxfId="2246" priority="164">
      <formula>AND(C$9&gt;=8/24,C$9&lt;14/24)</formula>
    </cfRule>
    <cfRule type="expression" dxfId="2245" priority="165">
      <formula>C$9&lt;8/24</formula>
    </cfRule>
  </conditionalFormatting>
  <conditionalFormatting sqref="C35">
    <cfRule type="expression" dxfId="2244" priority="158">
      <formula>C$9&gt;=20/24</formula>
    </cfRule>
    <cfRule type="expression" dxfId="2243" priority="159">
      <formula>AND(C$9&gt;=14/24,C$9&lt;20/24)</formula>
    </cfRule>
    <cfRule type="expression" dxfId="2242" priority="160">
      <formula>AND(C$9&gt;=8/24,C$9&lt;14/24)</formula>
    </cfRule>
    <cfRule type="expression" dxfId="2241" priority="161">
      <formula>C$9&lt;8/24</formula>
    </cfRule>
  </conditionalFormatting>
  <conditionalFormatting sqref="C34:C35 C23:C32">
    <cfRule type="expression" dxfId="2240" priority="157">
      <formula>C23&gt;$AG23</formula>
    </cfRule>
  </conditionalFormatting>
  <conditionalFormatting sqref="C34">
    <cfRule type="expression" dxfId="2239" priority="153">
      <formula>C$9&gt;=20/24</formula>
    </cfRule>
    <cfRule type="expression" dxfId="2238" priority="154">
      <formula>AND(C$9&gt;=14/24,C$9&lt;20/24)</formula>
    </cfRule>
    <cfRule type="expression" dxfId="2237" priority="155">
      <formula>AND(C$9&gt;=8/24,C$9&lt;14/24)</formula>
    </cfRule>
    <cfRule type="expression" dxfId="2236" priority="156">
      <formula>C$9&lt;8/24</formula>
    </cfRule>
  </conditionalFormatting>
  <conditionalFormatting sqref="C33">
    <cfRule type="expression" dxfId="2235" priority="149">
      <formula>C$9&gt;=20/24</formula>
    </cfRule>
    <cfRule type="expression" dxfId="2234" priority="150">
      <formula>AND(C$9&gt;=14/24,C$9&lt;20/24)</formula>
    </cfRule>
    <cfRule type="expression" dxfId="2233" priority="151">
      <formula>AND(C$9&gt;=8/24,C$9&lt;14/24)</formula>
    </cfRule>
    <cfRule type="expression" dxfId="2232" priority="152">
      <formula>C$9&lt;8/24</formula>
    </cfRule>
  </conditionalFormatting>
  <conditionalFormatting sqref="C33">
    <cfRule type="expression" dxfId="2231" priority="148">
      <formula>C33&gt;$AG33</formula>
    </cfRule>
  </conditionalFormatting>
  <conditionalFormatting sqref="B44:B50">
    <cfRule type="expression" dxfId="2230" priority="147">
      <formula>B44&gt;$AG44</formula>
    </cfRule>
  </conditionalFormatting>
  <conditionalFormatting sqref="B46:B49">
    <cfRule type="expression" dxfId="2229" priority="143">
      <formula>B$9&gt;=20/24</formula>
    </cfRule>
    <cfRule type="expression" dxfId="2228" priority="144">
      <formula>AND(B$9&gt;=14/24,B$9&lt;20/24)</formula>
    </cfRule>
    <cfRule type="expression" dxfId="2227" priority="145">
      <formula>AND(B$9&gt;=8/24,B$9&lt;14/24)</formula>
    </cfRule>
    <cfRule type="expression" dxfId="2226" priority="146">
      <formula>B$9&lt;8/24</formula>
    </cfRule>
  </conditionalFormatting>
  <conditionalFormatting sqref="B50">
    <cfRule type="expression" dxfId="2225" priority="139">
      <formula>B$9&gt;=20/24</formula>
    </cfRule>
    <cfRule type="expression" dxfId="2224" priority="140">
      <formula>AND(B$9&gt;=14/24,B$9&lt;20/24)</formula>
    </cfRule>
    <cfRule type="expression" dxfId="2223" priority="141">
      <formula>AND(B$9&gt;=8/24,B$9&lt;14/24)</formula>
    </cfRule>
    <cfRule type="expression" dxfId="2222" priority="142">
      <formula>B$9&lt;8/24</formula>
    </cfRule>
  </conditionalFormatting>
  <conditionalFormatting sqref="B51">
    <cfRule type="expression" dxfId="2221" priority="134">
      <formula>B51&gt;$AG51</formula>
    </cfRule>
  </conditionalFormatting>
  <conditionalFormatting sqref="C43">
    <cfRule type="expression" dxfId="2220" priority="133">
      <formula>C43&gt;$AG43</formula>
    </cfRule>
  </conditionalFormatting>
  <conditionalFormatting sqref="C44:C50">
    <cfRule type="expression" dxfId="2219" priority="132">
      <formula>C44&gt;$AG44</formula>
    </cfRule>
  </conditionalFormatting>
  <conditionalFormatting sqref="C46:C49">
    <cfRule type="expression" dxfId="2218" priority="128">
      <formula>C$9&gt;=20/24</formula>
    </cfRule>
    <cfRule type="expression" dxfId="2217" priority="129">
      <formula>AND(C$9&gt;=14/24,C$9&lt;20/24)</formula>
    </cfRule>
    <cfRule type="expression" dxfId="2216" priority="130">
      <formula>AND(C$9&gt;=8/24,C$9&lt;14/24)</formula>
    </cfRule>
    <cfRule type="expression" dxfId="2215" priority="131">
      <formula>C$9&lt;8/24</formula>
    </cfRule>
  </conditionalFormatting>
  <conditionalFormatting sqref="C50">
    <cfRule type="expression" dxfId="2214" priority="124">
      <formula>C$9&gt;=20/24</formula>
    </cfRule>
    <cfRule type="expression" dxfId="2213" priority="125">
      <formula>AND(C$9&gt;=14/24,C$9&lt;20/24)</formula>
    </cfRule>
    <cfRule type="expression" dxfId="2212" priority="126">
      <formula>AND(C$9&gt;=8/24,C$9&lt;14/24)</formula>
    </cfRule>
    <cfRule type="expression" dxfId="2211" priority="127">
      <formula>C$9&lt;8/24</formula>
    </cfRule>
  </conditionalFormatting>
  <conditionalFormatting sqref="D36">
    <cfRule type="expression" dxfId="2210" priority="120">
      <formula>D$9&gt;=20/24</formula>
    </cfRule>
    <cfRule type="expression" dxfId="2209" priority="121">
      <formula>AND(D$9&gt;=14/24,D$9&lt;20/24)</formula>
    </cfRule>
    <cfRule type="expression" dxfId="2208" priority="122">
      <formula>AND(D$9&gt;=8/24,D$9&lt;14/24)</formula>
    </cfRule>
    <cfRule type="expression" dxfId="2207" priority="123">
      <formula>D$9&lt;8/24</formula>
    </cfRule>
  </conditionalFormatting>
  <conditionalFormatting sqref="D36">
    <cfRule type="expression" dxfId="2206" priority="119">
      <formula>D36&gt;$AG36</formula>
    </cfRule>
  </conditionalFormatting>
  <conditionalFormatting sqref="D22">
    <cfRule type="expression" dxfId="2205" priority="118">
      <formula>D22&gt;$AG22</formula>
    </cfRule>
  </conditionalFormatting>
  <conditionalFormatting sqref="D16:D21">
    <cfRule type="expression" dxfId="2204" priority="114">
      <formula>D$9&gt;=20/24</formula>
    </cfRule>
    <cfRule type="expression" dxfId="2203" priority="115">
      <formula>AND(D$9&gt;=14/24,D$9&lt;20/24)</formula>
    </cfRule>
    <cfRule type="expression" dxfId="2202" priority="116">
      <formula>AND(D$9&gt;=8/24,D$9&lt;14/24)</formula>
    </cfRule>
    <cfRule type="expression" dxfId="2201" priority="117">
      <formula>D$9&lt;8/24</formula>
    </cfRule>
  </conditionalFormatting>
  <conditionalFormatting sqref="D16:D21">
    <cfRule type="expression" dxfId="2200" priority="113">
      <formula>D16&gt;$AG16</formula>
    </cfRule>
  </conditionalFormatting>
  <conditionalFormatting sqref="D23:D26 D28:D31">
    <cfRule type="expression" dxfId="2199" priority="109">
      <formula>D$9&gt;=20/24</formula>
    </cfRule>
    <cfRule type="expression" dxfId="2198" priority="110">
      <formula>AND(D$9&gt;=14/24,D$9&lt;20/24)</formula>
    </cfRule>
    <cfRule type="expression" dxfId="2197" priority="111">
      <formula>AND(D$9&gt;=8/24,D$9&lt;14/24)</formula>
    </cfRule>
    <cfRule type="expression" dxfId="2196" priority="112">
      <formula>D$9&lt;8/24</formula>
    </cfRule>
  </conditionalFormatting>
  <conditionalFormatting sqref="D32">
    <cfRule type="expression" dxfId="2195" priority="105">
      <formula>D$9&gt;=20/24</formula>
    </cfRule>
    <cfRule type="expression" dxfId="2194" priority="106">
      <formula>AND(D$9&gt;=14/24,D$9&lt;20/24)</formula>
    </cfRule>
    <cfRule type="expression" dxfId="2193" priority="107">
      <formula>AND(D$9&gt;=8/24,D$9&lt;14/24)</formula>
    </cfRule>
    <cfRule type="expression" dxfId="2192" priority="108">
      <formula>D$9&lt;8/24</formula>
    </cfRule>
  </conditionalFormatting>
  <conditionalFormatting sqref="D35">
    <cfRule type="expression" dxfId="2191" priority="101">
      <formula>D$9&gt;=20/24</formula>
    </cfRule>
    <cfRule type="expression" dxfId="2190" priority="102">
      <formula>AND(D$9&gt;=14/24,D$9&lt;20/24)</formula>
    </cfRule>
    <cfRule type="expression" dxfId="2189" priority="103">
      <formula>AND(D$9&gt;=8/24,D$9&lt;14/24)</formula>
    </cfRule>
    <cfRule type="expression" dxfId="2188" priority="104">
      <formula>D$9&lt;8/24</formula>
    </cfRule>
  </conditionalFormatting>
  <conditionalFormatting sqref="D34:D35 D23:D32">
    <cfRule type="expression" dxfId="2187" priority="100">
      <formula>D23&gt;$AG23</formula>
    </cfRule>
  </conditionalFormatting>
  <conditionalFormatting sqref="D34">
    <cfRule type="expression" dxfId="2186" priority="96">
      <formula>D$9&gt;=20/24</formula>
    </cfRule>
    <cfRule type="expression" dxfId="2185" priority="97">
      <formula>AND(D$9&gt;=14/24,D$9&lt;20/24)</formula>
    </cfRule>
    <cfRule type="expression" dxfId="2184" priority="98">
      <formula>AND(D$9&gt;=8/24,D$9&lt;14/24)</formula>
    </cfRule>
    <cfRule type="expression" dxfId="2183" priority="99">
      <formula>D$9&lt;8/24</formula>
    </cfRule>
  </conditionalFormatting>
  <conditionalFormatting sqref="D33">
    <cfRule type="expression" dxfId="2182" priority="92">
      <formula>D$9&gt;=20/24</formula>
    </cfRule>
    <cfRule type="expression" dxfId="2181" priority="93">
      <formula>AND(D$9&gt;=14/24,D$9&lt;20/24)</formula>
    </cfRule>
    <cfRule type="expression" dxfId="2180" priority="94">
      <formula>AND(D$9&gt;=8/24,D$9&lt;14/24)</formula>
    </cfRule>
    <cfRule type="expression" dxfId="2179" priority="95">
      <formula>D$9&lt;8/24</formula>
    </cfRule>
  </conditionalFormatting>
  <conditionalFormatting sqref="D33">
    <cfRule type="expression" dxfId="2178" priority="91">
      <formula>D33&gt;$AG33</formula>
    </cfRule>
  </conditionalFormatting>
  <conditionalFormatting sqref="D43">
    <cfRule type="expression" dxfId="2177" priority="90">
      <formula>D43&gt;$AG43</formula>
    </cfRule>
  </conditionalFormatting>
  <conditionalFormatting sqref="D44:D50">
    <cfRule type="expression" dxfId="2176" priority="89">
      <formula>D44&gt;$AG44</formula>
    </cfRule>
  </conditionalFormatting>
  <conditionalFormatting sqref="D46:D49">
    <cfRule type="expression" dxfId="2175" priority="85">
      <formula>D$9&gt;=20/24</formula>
    </cfRule>
    <cfRule type="expression" dxfId="2174" priority="86">
      <formula>AND(D$9&gt;=14/24,D$9&lt;20/24)</formula>
    </cfRule>
    <cfRule type="expression" dxfId="2173" priority="87">
      <formula>AND(D$9&gt;=8/24,D$9&lt;14/24)</formula>
    </cfRule>
    <cfRule type="expression" dxfId="2172" priority="88">
      <formula>D$9&lt;8/24</formula>
    </cfRule>
  </conditionalFormatting>
  <conditionalFormatting sqref="D50">
    <cfRule type="expression" dxfId="2171" priority="81">
      <formula>D$9&gt;=20/24</formula>
    </cfRule>
    <cfRule type="expression" dxfId="2170" priority="82">
      <formula>AND(D$9&gt;=14/24,D$9&lt;20/24)</formula>
    </cfRule>
    <cfRule type="expression" dxfId="2169" priority="83">
      <formula>AND(D$9&gt;=8/24,D$9&lt;14/24)</formula>
    </cfRule>
    <cfRule type="expression" dxfId="2168" priority="84">
      <formula>D$9&lt;8/24</formula>
    </cfRule>
  </conditionalFormatting>
  <conditionalFormatting sqref="E36">
    <cfRule type="expression" dxfId="2167" priority="77">
      <formula>E$9&gt;=20/24</formula>
    </cfRule>
    <cfRule type="expression" dxfId="2166" priority="78">
      <formula>AND(E$9&gt;=14/24,E$9&lt;20/24)</formula>
    </cfRule>
    <cfRule type="expression" dxfId="2165" priority="79">
      <formula>AND(E$9&gt;=8/24,E$9&lt;14/24)</formula>
    </cfRule>
    <cfRule type="expression" dxfId="2164" priority="80">
      <formula>E$9&lt;8/24</formula>
    </cfRule>
  </conditionalFormatting>
  <conditionalFormatting sqref="E36">
    <cfRule type="expression" dxfId="2163" priority="76">
      <formula>E36&gt;$AG36</formula>
    </cfRule>
  </conditionalFormatting>
  <conditionalFormatting sqref="E22">
    <cfRule type="expression" dxfId="2162" priority="75">
      <formula>E22&gt;$AG22</formula>
    </cfRule>
  </conditionalFormatting>
  <conditionalFormatting sqref="E16:E21">
    <cfRule type="expression" dxfId="2161" priority="71">
      <formula>E$9&gt;=20/24</formula>
    </cfRule>
    <cfRule type="expression" dxfId="2160" priority="72">
      <formula>AND(E$9&gt;=14/24,E$9&lt;20/24)</formula>
    </cfRule>
    <cfRule type="expression" dxfId="2159" priority="73">
      <formula>AND(E$9&gt;=8/24,E$9&lt;14/24)</formula>
    </cfRule>
    <cfRule type="expression" dxfId="2158" priority="74">
      <formula>E$9&lt;8/24</formula>
    </cfRule>
  </conditionalFormatting>
  <conditionalFormatting sqref="E16:E21">
    <cfRule type="expression" dxfId="2157" priority="70">
      <formula>E16&gt;$AG16</formula>
    </cfRule>
  </conditionalFormatting>
  <conditionalFormatting sqref="E23:E26 E28:E31">
    <cfRule type="expression" dxfId="2156" priority="66">
      <formula>E$9&gt;=20/24</formula>
    </cfRule>
    <cfRule type="expression" dxfId="2155" priority="67">
      <formula>AND(E$9&gt;=14/24,E$9&lt;20/24)</formula>
    </cfRule>
    <cfRule type="expression" dxfId="2154" priority="68">
      <formula>AND(E$9&gt;=8/24,E$9&lt;14/24)</formula>
    </cfRule>
    <cfRule type="expression" dxfId="2153" priority="69">
      <formula>E$9&lt;8/24</formula>
    </cfRule>
  </conditionalFormatting>
  <conditionalFormatting sqref="E32">
    <cfRule type="expression" dxfId="2152" priority="62">
      <formula>E$9&gt;=20/24</formula>
    </cfRule>
    <cfRule type="expression" dxfId="2151" priority="63">
      <formula>AND(E$9&gt;=14/24,E$9&lt;20/24)</formula>
    </cfRule>
    <cfRule type="expression" dxfId="2150" priority="64">
      <formula>AND(E$9&gt;=8/24,E$9&lt;14/24)</formula>
    </cfRule>
    <cfRule type="expression" dxfId="2149" priority="65">
      <formula>E$9&lt;8/24</formula>
    </cfRule>
  </conditionalFormatting>
  <conditionalFormatting sqref="E35">
    <cfRule type="expression" dxfId="2148" priority="58">
      <formula>E$9&gt;=20/24</formula>
    </cfRule>
    <cfRule type="expression" dxfId="2147" priority="59">
      <formula>AND(E$9&gt;=14/24,E$9&lt;20/24)</formula>
    </cfRule>
    <cfRule type="expression" dxfId="2146" priority="60">
      <formula>AND(E$9&gt;=8/24,E$9&lt;14/24)</formula>
    </cfRule>
    <cfRule type="expression" dxfId="2145" priority="61">
      <formula>E$9&lt;8/24</formula>
    </cfRule>
  </conditionalFormatting>
  <conditionalFormatting sqref="E34:E35 E23:E32">
    <cfRule type="expression" dxfId="2144" priority="57">
      <formula>E23&gt;$AG23</formula>
    </cfRule>
  </conditionalFormatting>
  <conditionalFormatting sqref="E34">
    <cfRule type="expression" dxfId="2143" priority="53">
      <formula>E$9&gt;=20/24</formula>
    </cfRule>
    <cfRule type="expression" dxfId="2142" priority="54">
      <formula>AND(E$9&gt;=14/24,E$9&lt;20/24)</formula>
    </cfRule>
    <cfRule type="expression" dxfId="2141" priority="55">
      <formula>AND(E$9&gt;=8/24,E$9&lt;14/24)</formula>
    </cfRule>
    <cfRule type="expression" dxfId="2140" priority="56">
      <formula>E$9&lt;8/24</formula>
    </cfRule>
  </conditionalFormatting>
  <conditionalFormatting sqref="E33">
    <cfRule type="expression" dxfId="2139" priority="49">
      <formula>E$9&gt;=20/24</formula>
    </cfRule>
    <cfRule type="expression" dxfId="2138" priority="50">
      <formula>AND(E$9&gt;=14/24,E$9&lt;20/24)</formula>
    </cfRule>
    <cfRule type="expression" dxfId="2137" priority="51">
      <formula>AND(E$9&gt;=8/24,E$9&lt;14/24)</formula>
    </cfRule>
    <cfRule type="expression" dxfId="2136" priority="52">
      <formula>E$9&lt;8/24</formula>
    </cfRule>
  </conditionalFormatting>
  <conditionalFormatting sqref="E33">
    <cfRule type="expression" dxfId="2135" priority="48">
      <formula>E33&gt;$AG33</formula>
    </cfRule>
  </conditionalFormatting>
  <conditionalFormatting sqref="M45:O48 M42:O42">
    <cfRule type="expression" dxfId="2134" priority="44">
      <formula>M$9&gt;=20/24</formula>
    </cfRule>
    <cfRule type="expression" dxfId="2133" priority="45">
      <formula>AND(M$9&gt;=14/24,M$9&lt;20/24)</formula>
    </cfRule>
    <cfRule type="expression" dxfId="2132" priority="46">
      <formula>AND(M$9&gt;=8/24,M$9&lt;14/24)</formula>
    </cfRule>
    <cfRule type="expression" dxfId="2131" priority="47">
      <formula>M$9&lt;8/24</formula>
    </cfRule>
  </conditionalFormatting>
  <conditionalFormatting sqref="M43:O43">
    <cfRule type="expression" dxfId="2130" priority="40">
      <formula>M$9&gt;=20/24</formula>
    </cfRule>
    <cfRule type="expression" dxfId="2129" priority="41">
      <formula>AND(M$9&gt;=14/24,M$9&lt;20/24)</formula>
    </cfRule>
    <cfRule type="expression" dxfId="2128" priority="42">
      <formula>AND(M$9&gt;=8/24,M$9&lt;14/24)</formula>
    </cfRule>
    <cfRule type="expression" dxfId="2127" priority="43">
      <formula>M$9&lt;8/24</formula>
    </cfRule>
  </conditionalFormatting>
  <conditionalFormatting sqref="M49:O49">
    <cfRule type="expression" dxfId="2126" priority="36">
      <formula>M$9&gt;=20/24</formula>
    </cfRule>
    <cfRule type="expression" dxfId="2125" priority="37">
      <formula>AND(M$9&gt;=14/24,M$9&lt;20/24)</formula>
    </cfRule>
    <cfRule type="expression" dxfId="2124" priority="38">
      <formula>AND(M$9&gt;=8/24,M$9&lt;14/24)</formula>
    </cfRule>
    <cfRule type="expression" dxfId="2123" priority="39">
      <formula>M$9&lt;8/24</formula>
    </cfRule>
  </conditionalFormatting>
  <conditionalFormatting sqref="M50:O50">
    <cfRule type="expression" dxfId="2122" priority="32">
      <formula>M$9&gt;=20/24</formula>
    </cfRule>
    <cfRule type="expression" dxfId="2121" priority="33">
      <formula>AND(M$9&gt;=14/24,M$9&lt;20/24)</formula>
    </cfRule>
    <cfRule type="expression" dxfId="2120" priority="34">
      <formula>AND(M$9&gt;=8/24,M$9&lt;14/24)</formula>
    </cfRule>
    <cfRule type="expression" dxfId="2119" priority="35">
      <formula>M$9&lt;8/24</formula>
    </cfRule>
  </conditionalFormatting>
  <conditionalFormatting sqref="M45:O48">
    <cfRule type="expression" dxfId="2118" priority="28">
      <formula>M$9&gt;=20/24</formula>
    </cfRule>
    <cfRule type="expression" dxfId="2117" priority="29">
      <formula>AND(M$9&gt;=14/24,M$9&lt;20/24)</formula>
    </cfRule>
    <cfRule type="expression" dxfId="2116" priority="30">
      <formula>AND(M$9&gt;=8/24,M$9&lt;14/24)</formula>
    </cfRule>
    <cfRule type="expression" dxfId="2115" priority="31">
      <formula>M$9&lt;8/24</formula>
    </cfRule>
  </conditionalFormatting>
  <conditionalFormatting sqref="M44:O44">
    <cfRule type="expression" dxfId="2114" priority="24">
      <formula>M$9&gt;=20/24</formula>
    </cfRule>
    <cfRule type="expression" dxfId="2113" priority="25">
      <formula>AND(M$9&gt;=14/24,M$9&lt;20/24)</formula>
    </cfRule>
    <cfRule type="expression" dxfId="2112" priority="26">
      <formula>AND(M$9&gt;=8/24,M$9&lt;14/24)</formula>
    </cfRule>
    <cfRule type="expression" dxfId="2111" priority="27">
      <formula>M$9&lt;8/24</formula>
    </cfRule>
  </conditionalFormatting>
  <conditionalFormatting sqref="M12:O14 M16:O32 M36:O36">
    <cfRule type="expression" dxfId="2110" priority="20">
      <formula>M$9&gt;=20/24</formula>
    </cfRule>
    <cfRule type="expression" dxfId="2109" priority="21">
      <formula>AND(M$9&gt;=14/24,M$9&lt;20/24)</formula>
    </cfRule>
    <cfRule type="expression" dxfId="2108" priority="22">
      <formula>AND(M$9&gt;=8/24,M$9&lt;14/24)</formula>
    </cfRule>
    <cfRule type="expression" dxfId="2107" priority="23">
      <formula>M$9&lt;8/24</formula>
    </cfRule>
  </conditionalFormatting>
  <conditionalFormatting sqref="M35:O35">
    <cfRule type="expression" dxfId="2106" priority="16">
      <formula>M$9&gt;=20/24</formula>
    </cfRule>
    <cfRule type="expression" dxfId="2105" priority="17">
      <formula>AND(M$9&gt;=14/24,M$9&lt;20/24)</formula>
    </cfRule>
    <cfRule type="expression" dxfId="2104" priority="18">
      <formula>AND(M$9&gt;=8/24,M$9&lt;14/24)</formula>
    </cfRule>
    <cfRule type="expression" dxfId="2103" priority="19">
      <formula>M$9&lt;8/24</formula>
    </cfRule>
  </conditionalFormatting>
  <conditionalFormatting sqref="M16:O32 M12:O14 M34:O36">
    <cfRule type="expression" dxfId="2102" priority="15">
      <formula>M12&gt;$AG12</formula>
    </cfRule>
  </conditionalFormatting>
  <conditionalFormatting sqref="M34:O34">
    <cfRule type="expression" dxfId="2101" priority="11">
      <formula>M$9&gt;=20/24</formula>
    </cfRule>
    <cfRule type="expression" dxfId="2100" priority="12">
      <formula>AND(M$9&gt;=14/24,M$9&lt;20/24)</formula>
    </cfRule>
    <cfRule type="expression" dxfId="2099" priority="13">
      <formula>AND(M$9&gt;=8/24,M$9&lt;14/24)</formula>
    </cfRule>
    <cfRule type="expression" dxfId="2098" priority="14">
      <formula>M$9&lt;8/24</formula>
    </cfRule>
  </conditionalFormatting>
  <conditionalFormatting sqref="M15:O15">
    <cfRule type="expression" dxfId="2097" priority="7">
      <formula>M$9&gt;=20/24</formula>
    </cfRule>
    <cfRule type="expression" dxfId="2096" priority="8">
      <formula>AND(M$9&gt;=14/24,M$9&lt;20/24)</formula>
    </cfRule>
    <cfRule type="expression" dxfId="2095" priority="9">
      <formula>AND(M$9&gt;=8/24,M$9&lt;14/24)</formula>
    </cfRule>
    <cfRule type="expression" dxfId="2094" priority="10">
      <formula>M$9&lt;8/24</formula>
    </cfRule>
  </conditionalFormatting>
  <conditionalFormatting sqref="M15:O15">
    <cfRule type="expression" dxfId="2093" priority="6">
      <formula>M15&gt;$AG15</formula>
    </cfRule>
  </conditionalFormatting>
  <conditionalFormatting sqref="M33:O33">
    <cfRule type="expression" dxfId="2092" priority="2">
      <formula>M$9&gt;=20/24</formula>
    </cfRule>
    <cfRule type="expression" dxfId="2091" priority="3">
      <formula>AND(M$9&gt;=14/24,M$9&lt;20/24)</formula>
    </cfRule>
    <cfRule type="expression" dxfId="2090" priority="4">
      <formula>AND(M$9&gt;=8/24,M$9&lt;14/24)</formula>
    </cfRule>
    <cfRule type="expression" dxfId="2089" priority="5">
      <formula>M$9&lt;8/24</formula>
    </cfRule>
  </conditionalFormatting>
  <conditionalFormatting sqref="M33:O33">
    <cfRule type="expression" dxfId="2088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6" id="{A56F7F39-A2BC-4A20-A8C8-A744179E8F7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E11" activePane="bottomRight" state="frozen"/>
      <selection activeCell="AF88" sqref="AF88"/>
      <selection pane="topRight" activeCell="AF88" sqref="AF88"/>
      <selection pane="bottomLeft" activeCell="AF88" sqref="AF88"/>
      <selection pane="bottomRight" activeCell="E74" sqref="E7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2078/10/26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442</v>
      </c>
      <c r="C5" s="32">
        <f t="shared" si="0"/>
        <v>426</v>
      </c>
      <c r="D5" s="32">
        <f t="shared" si="0"/>
        <v>408.6</v>
      </c>
      <c r="E5" s="32">
        <f t="shared" si="0"/>
        <v>420.4</v>
      </c>
      <c r="F5" s="32">
        <f t="shared" si="0"/>
        <v>435.8</v>
      </c>
      <c r="G5" s="32">
        <f t="shared" si="0"/>
        <v>435</v>
      </c>
      <c r="H5" s="32">
        <f t="shared" si="0"/>
        <v>441.2</v>
      </c>
      <c r="I5" s="32">
        <f t="shared" si="0"/>
        <v>534.9</v>
      </c>
      <c r="J5" s="32">
        <f t="shared" si="0"/>
        <v>373.1</v>
      </c>
      <c r="K5" s="32">
        <f t="shared" si="0"/>
        <v>371</v>
      </c>
      <c r="L5" s="32">
        <f t="shared" si="0"/>
        <v>328.8</v>
      </c>
      <c r="M5" s="32">
        <f t="shared" si="0"/>
        <v>195.5</v>
      </c>
      <c r="N5" s="32">
        <f t="shared" si="0"/>
        <v>368.7</v>
      </c>
      <c r="O5" s="32">
        <f t="shared" si="0"/>
        <v>489.2</v>
      </c>
      <c r="P5" s="32">
        <f t="shared" si="0"/>
        <v>581.79999999999995</v>
      </c>
      <c r="Q5" s="32">
        <f t="shared" si="0"/>
        <v>533.6</v>
      </c>
      <c r="R5" s="32">
        <f t="shared" si="0"/>
        <v>538.91</v>
      </c>
      <c r="S5" s="32">
        <f t="shared" si="0"/>
        <v>520.4</v>
      </c>
      <c r="T5" s="32">
        <f t="shared" si="0"/>
        <v>540.5</v>
      </c>
      <c r="U5" s="32">
        <f t="shared" si="0"/>
        <v>392.29999999999995</v>
      </c>
      <c r="V5" s="32">
        <f t="shared" si="0"/>
        <v>294</v>
      </c>
      <c r="W5" s="32">
        <f t="shared" si="0"/>
        <v>256.89999999999998</v>
      </c>
      <c r="X5" s="32">
        <f t="shared" si="0"/>
        <v>338.9</v>
      </c>
      <c r="Y5" s="32">
        <f t="shared" si="0"/>
        <v>382.4</v>
      </c>
      <c r="Z5" s="32">
        <f t="shared" si="0"/>
        <v>368.5</v>
      </c>
      <c r="AA5" s="32">
        <f t="shared" si="0"/>
        <v>439</v>
      </c>
      <c r="AB5" s="32">
        <f t="shared" si="0"/>
        <v>410</v>
      </c>
      <c r="AC5" s="32">
        <f t="shared" si="0"/>
        <v>528.5</v>
      </c>
      <c r="AD5" s="32">
        <f t="shared" si="0"/>
        <v>519.5</v>
      </c>
      <c r="AE5" s="32">
        <f t="shared" si="0"/>
        <v>473</v>
      </c>
      <c r="AF5" s="32">
        <f>B68</f>
        <v>375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1534MW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Load=945</v>
      </c>
      <c r="B7" s="37">
        <f>B75</f>
        <v>951.24</v>
      </c>
      <c r="C7" s="37">
        <f t="shared" ref="C7:AF7" si="1">C75</f>
        <v>989.24</v>
      </c>
      <c r="D7" s="37">
        <f t="shared" si="1"/>
        <v>968.24</v>
      </c>
      <c r="E7" s="37">
        <f t="shared" si="1"/>
        <v>945.44</v>
      </c>
      <c r="F7" s="37">
        <f t="shared" si="1"/>
        <v>956.93999999999994</v>
      </c>
      <c r="G7" s="37">
        <f t="shared" si="1"/>
        <v>992.33999999999992</v>
      </c>
      <c r="H7" s="37">
        <f t="shared" si="1"/>
        <v>1066.44</v>
      </c>
      <c r="I7" s="37">
        <f t="shared" si="1"/>
        <v>1117.44</v>
      </c>
      <c r="J7" s="37">
        <f t="shared" si="1"/>
        <v>1292.24</v>
      </c>
      <c r="K7" s="37">
        <f t="shared" si="1"/>
        <v>1437.34</v>
      </c>
      <c r="L7" s="37">
        <f t="shared" si="1"/>
        <v>1510.2399999999998</v>
      </c>
      <c r="M7" s="37">
        <f t="shared" si="1"/>
        <v>1534.44</v>
      </c>
      <c r="N7" s="37">
        <f t="shared" si="1"/>
        <v>1389.8400000000001</v>
      </c>
      <c r="O7" s="37">
        <f t="shared" si="1"/>
        <v>1330.44</v>
      </c>
      <c r="P7" s="37">
        <f t="shared" si="1"/>
        <v>1383.3400000000001</v>
      </c>
      <c r="Q7" s="37">
        <f t="shared" si="1"/>
        <v>1313.8400000000001</v>
      </c>
      <c r="R7" s="37">
        <f t="shared" si="1"/>
        <v>1259.8399999999999</v>
      </c>
      <c r="S7" s="37">
        <f t="shared" si="1"/>
        <v>1259.5500000000002</v>
      </c>
      <c r="T7" s="37">
        <f t="shared" si="1"/>
        <v>1252.9399999999998</v>
      </c>
      <c r="U7" s="37">
        <f t="shared" si="1"/>
        <v>1274.54</v>
      </c>
      <c r="V7" s="37">
        <f t="shared" si="1"/>
        <v>1319.3400000000001</v>
      </c>
      <c r="W7" s="37">
        <f t="shared" si="1"/>
        <v>1334.8400000000001</v>
      </c>
      <c r="X7" s="37">
        <f t="shared" si="1"/>
        <v>1456.24</v>
      </c>
      <c r="Y7" s="37">
        <f t="shared" si="1"/>
        <v>1588.7400000000002</v>
      </c>
      <c r="Z7" s="37">
        <f t="shared" si="1"/>
        <v>1569.54</v>
      </c>
      <c r="AA7" s="37">
        <f t="shared" si="1"/>
        <v>1529.1399999999999</v>
      </c>
      <c r="AB7" s="37">
        <f t="shared" si="1"/>
        <v>1459.74</v>
      </c>
      <c r="AC7" s="37">
        <f t="shared" si="1"/>
        <v>1371.54</v>
      </c>
      <c r="AD7" s="37">
        <f t="shared" si="1"/>
        <v>1269.3399999999999</v>
      </c>
      <c r="AE7" s="37">
        <f t="shared" si="1"/>
        <v>1140.24</v>
      </c>
      <c r="AF7" s="37">
        <f t="shared" si="1"/>
        <v>1035.8399999999999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15</v>
      </c>
      <c r="C11" s="49">
        <v>15</v>
      </c>
      <c r="D11" s="49">
        <v>15</v>
      </c>
      <c r="E11" s="49">
        <v>15</v>
      </c>
      <c r="F11" s="49">
        <v>15</v>
      </c>
      <c r="G11" s="49">
        <v>30</v>
      </c>
      <c r="H11" s="49">
        <v>50</v>
      </c>
      <c r="I11" s="49">
        <v>30</v>
      </c>
      <c r="J11" s="49">
        <v>70</v>
      </c>
      <c r="K11" s="49">
        <v>220</v>
      </c>
      <c r="L11" s="49">
        <v>250</v>
      </c>
      <c r="M11" s="50">
        <v>320</v>
      </c>
      <c r="N11" s="50">
        <v>314</v>
      </c>
      <c r="O11" s="50">
        <v>127</v>
      </c>
      <c r="P11" s="50">
        <v>96</v>
      </c>
      <c r="Q11" s="50">
        <v>15</v>
      </c>
      <c r="R11" s="50">
        <v>27</v>
      </c>
      <c r="S11" s="50">
        <v>15</v>
      </c>
      <c r="T11" s="50">
        <v>30</v>
      </c>
      <c r="U11" s="50">
        <v>30</v>
      </c>
      <c r="V11" s="50">
        <v>152</v>
      </c>
      <c r="W11" s="50">
        <v>190</v>
      </c>
      <c r="X11" s="50">
        <v>320</v>
      </c>
      <c r="Y11" s="50">
        <v>340</v>
      </c>
      <c r="Z11" s="51">
        <v>270</v>
      </c>
      <c r="AA11" s="51">
        <v>270</v>
      </c>
      <c r="AB11" s="50">
        <v>170</v>
      </c>
      <c r="AC11" s="50">
        <v>170</v>
      </c>
      <c r="AD11" s="50">
        <v>50</v>
      </c>
      <c r="AE11" s="50">
        <v>12</v>
      </c>
      <c r="AF11" s="50">
        <v>12</v>
      </c>
      <c r="AG11" s="52">
        <v>456</v>
      </c>
      <c r="AH11" s="53">
        <f>MAX(B11:AF11)</f>
        <v>340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36</v>
      </c>
      <c r="N12" s="49">
        <v>36</v>
      </c>
      <c r="O12" s="49">
        <v>36</v>
      </c>
      <c r="P12" s="49">
        <v>36</v>
      </c>
      <c r="Q12" s="49">
        <v>36</v>
      </c>
      <c r="R12" s="49">
        <v>36</v>
      </c>
      <c r="S12" s="57">
        <v>36</v>
      </c>
      <c r="T12" s="57">
        <v>36</v>
      </c>
      <c r="U12" s="57">
        <v>36</v>
      </c>
      <c r="V12" s="57">
        <v>36</v>
      </c>
      <c r="W12" s="57">
        <v>36</v>
      </c>
      <c r="X12" s="57">
        <v>36</v>
      </c>
      <c r="Y12" s="57">
        <v>36</v>
      </c>
      <c r="Z12" s="57">
        <v>36</v>
      </c>
      <c r="AA12" s="57">
        <v>36</v>
      </c>
      <c r="AB12" s="57">
        <v>36</v>
      </c>
      <c r="AC12" s="57">
        <v>36</v>
      </c>
      <c r="AD12" s="57">
        <v>36</v>
      </c>
      <c r="AE12" s="57">
        <v>36</v>
      </c>
      <c r="AF12" s="57">
        <v>36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36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19.7</v>
      </c>
      <c r="C13" s="49">
        <v>19.7</v>
      </c>
      <c r="D13" s="49">
        <v>19.7</v>
      </c>
      <c r="E13" s="49">
        <v>19.600000000000001</v>
      </c>
      <c r="F13" s="49">
        <v>19.5</v>
      </c>
      <c r="G13" s="49">
        <v>19.5</v>
      </c>
      <c r="H13" s="49">
        <v>19.5</v>
      </c>
      <c r="I13" s="49">
        <v>19.5</v>
      </c>
      <c r="J13" s="49">
        <v>19.5</v>
      </c>
      <c r="K13" s="49">
        <v>19.5</v>
      </c>
      <c r="L13" s="49">
        <v>19.5</v>
      </c>
      <c r="M13" s="49">
        <v>19.600000000000001</v>
      </c>
      <c r="N13" s="49">
        <v>19.600000000000001</v>
      </c>
      <c r="O13" s="49">
        <v>19.600000000000001</v>
      </c>
      <c r="P13" s="49">
        <v>19.600000000000001</v>
      </c>
      <c r="Q13" s="49">
        <v>19.600000000000001</v>
      </c>
      <c r="R13" s="49">
        <v>19.600000000000001</v>
      </c>
      <c r="S13" s="49">
        <v>19.600000000000001</v>
      </c>
      <c r="T13" s="49">
        <v>19.600000000000001</v>
      </c>
      <c r="U13" s="49">
        <v>19.600000000000001</v>
      </c>
      <c r="V13" s="49">
        <v>19.600000000000001</v>
      </c>
      <c r="W13" s="49">
        <v>19.600000000000001</v>
      </c>
      <c r="X13" s="49">
        <v>19.600000000000001</v>
      </c>
      <c r="Y13" s="57">
        <v>19.600000000000001</v>
      </c>
      <c r="Z13" s="57">
        <v>19.600000000000001</v>
      </c>
      <c r="AA13" s="57">
        <v>19.600000000000001</v>
      </c>
      <c r="AB13" s="57">
        <v>19.600000000000001</v>
      </c>
      <c r="AC13" s="57">
        <v>19.600000000000001</v>
      </c>
      <c r="AD13" s="57">
        <v>19.600000000000001</v>
      </c>
      <c r="AE13" s="57">
        <v>19.600000000000001</v>
      </c>
      <c r="AF13" s="57">
        <v>19.600000000000001</v>
      </c>
      <c r="AG13" s="58">
        <v>52.4</v>
      </c>
      <c r="AH13" s="53">
        <f t="shared" si="2"/>
        <v>19.7</v>
      </c>
      <c r="AI13" s="54">
        <f t="shared" si="3"/>
        <v>19.5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36.4</v>
      </c>
      <c r="C14" s="49">
        <v>36.4</v>
      </c>
      <c r="D14" s="49">
        <v>36.4</v>
      </c>
      <c r="E14" s="49">
        <v>37.200000000000003</v>
      </c>
      <c r="F14" s="49">
        <v>37</v>
      </c>
      <c r="G14" s="49">
        <v>37</v>
      </c>
      <c r="H14" s="49">
        <v>37</v>
      </c>
      <c r="I14" s="49">
        <v>37</v>
      </c>
      <c r="J14" s="49">
        <v>37</v>
      </c>
      <c r="K14" s="49">
        <v>37</v>
      </c>
      <c r="L14" s="49">
        <v>37</v>
      </c>
      <c r="M14" s="50">
        <v>37.200000000000003</v>
      </c>
      <c r="N14" s="50">
        <v>36.799999999999997</v>
      </c>
      <c r="O14" s="50">
        <v>36.799999999999997</v>
      </c>
      <c r="P14" s="50">
        <v>36.799999999999997</v>
      </c>
      <c r="Q14" s="50">
        <v>36.799999999999997</v>
      </c>
      <c r="R14" s="50">
        <v>36.799999999999997</v>
      </c>
      <c r="S14" s="50">
        <v>36.799999999999997</v>
      </c>
      <c r="T14" s="50">
        <v>36.799999999999997</v>
      </c>
      <c r="U14" s="50">
        <v>36.799999999999997</v>
      </c>
      <c r="V14" s="50">
        <v>36.799999999999997</v>
      </c>
      <c r="W14" s="50">
        <v>36.799999999999997</v>
      </c>
      <c r="X14" s="50">
        <v>36.799999999999997</v>
      </c>
      <c r="Y14" s="59">
        <v>36.799999999999997</v>
      </c>
      <c r="Z14" s="59">
        <v>36.799999999999997</v>
      </c>
      <c r="AA14" s="59">
        <v>36.799999999999997</v>
      </c>
      <c r="AB14" s="59">
        <v>36.799999999999997</v>
      </c>
      <c r="AC14" s="59">
        <v>36.799999999999997</v>
      </c>
      <c r="AD14" s="59">
        <v>36.799999999999997</v>
      </c>
      <c r="AE14" s="59">
        <v>36.799999999999997</v>
      </c>
      <c r="AF14" s="59">
        <v>36.799999999999997</v>
      </c>
      <c r="AG14" s="58">
        <v>50</v>
      </c>
      <c r="AH14" s="53">
        <f t="shared" si="2"/>
        <v>37.200000000000003</v>
      </c>
      <c r="AI14" s="54">
        <f t="shared" si="3"/>
        <v>36.4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23.1</v>
      </c>
      <c r="C15" s="60">
        <v>23.1</v>
      </c>
      <c r="D15" s="60">
        <v>23.1</v>
      </c>
      <c r="E15" s="60">
        <v>21.8</v>
      </c>
      <c r="F15" s="60">
        <v>21.8</v>
      </c>
      <c r="G15" s="60">
        <v>21.8</v>
      </c>
      <c r="H15" s="60">
        <v>21.8</v>
      </c>
      <c r="I15" s="60">
        <v>21.8</v>
      </c>
      <c r="J15" s="60">
        <v>21.8</v>
      </c>
      <c r="K15" s="60">
        <v>21.8</v>
      </c>
      <c r="L15" s="60">
        <v>21.8</v>
      </c>
      <c r="M15" s="50">
        <v>20.7</v>
      </c>
      <c r="N15" s="50">
        <v>20.8</v>
      </c>
      <c r="O15" s="50">
        <v>20.8</v>
      </c>
      <c r="P15" s="50">
        <v>20.8</v>
      </c>
      <c r="Q15" s="50">
        <v>20.8</v>
      </c>
      <c r="R15" s="50">
        <v>20.8</v>
      </c>
      <c r="S15" s="50">
        <v>20.8</v>
      </c>
      <c r="T15" s="50">
        <v>20.8</v>
      </c>
      <c r="U15" s="50">
        <v>20.8</v>
      </c>
      <c r="V15" s="50">
        <v>20.8</v>
      </c>
      <c r="W15" s="50">
        <v>20.8</v>
      </c>
      <c r="X15" s="50">
        <v>20.8</v>
      </c>
      <c r="Y15" s="59">
        <v>20.8</v>
      </c>
      <c r="Z15" s="59">
        <v>20.8</v>
      </c>
      <c r="AA15" s="59">
        <v>20.8</v>
      </c>
      <c r="AB15" s="59">
        <v>20.8</v>
      </c>
      <c r="AC15" s="59">
        <v>20.8</v>
      </c>
      <c r="AD15" s="59">
        <v>20.8</v>
      </c>
      <c r="AE15" s="59">
        <v>20.8</v>
      </c>
      <c r="AF15" s="59">
        <v>20.8</v>
      </c>
      <c r="AG15" s="61">
        <v>45</v>
      </c>
      <c r="AH15" s="53">
        <f t="shared" si="2"/>
        <v>23.1</v>
      </c>
      <c r="AI15" s="54">
        <f t="shared" si="3"/>
        <v>20.7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7.5</v>
      </c>
      <c r="C18" s="49">
        <v>7.5</v>
      </c>
      <c r="D18" s="49">
        <v>7.5</v>
      </c>
      <c r="E18" s="49">
        <v>7.5</v>
      </c>
      <c r="F18" s="49">
        <v>7.5</v>
      </c>
      <c r="G18" s="49">
        <v>7.5</v>
      </c>
      <c r="H18" s="49">
        <v>7.5</v>
      </c>
      <c r="I18" s="49">
        <v>7.5</v>
      </c>
      <c r="J18" s="49">
        <v>7.5</v>
      </c>
      <c r="K18" s="49">
        <v>7.5</v>
      </c>
      <c r="L18" s="49">
        <v>7.5</v>
      </c>
      <c r="M18" s="50">
        <v>7.5</v>
      </c>
      <c r="N18" s="50">
        <v>7.5</v>
      </c>
      <c r="O18" s="50">
        <v>7.5</v>
      </c>
      <c r="P18" s="50">
        <v>7.5</v>
      </c>
      <c r="Q18" s="50">
        <v>7.5</v>
      </c>
      <c r="R18" s="50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8">
        <v>36</v>
      </c>
      <c r="AH18" s="53">
        <f t="shared" si="2"/>
        <v>7.5</v>
      </c>
      <c r="AI18" s="54">
        <f t="shared" si="3"/>
        <v>7.5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10.199999999999999</v>
      </c>
      <c r="C19" s="49">
        <v>10.199999999999999</v>
      </c>
      <c r="D19" s="49">
        <v>10.199999999999999</v>
      </c>
      <c r="E19" s="49">
        <v>9.6999999999999993</v>
      </c>
      <c r="F19" s="49">
        <v>10.199999999999999</v>
      </c>
      <c r="G19" s="49">
        <v>10.199999999999999</v>
      </c>
      <c r="H19" s="49">
        <v>10.199999999999999</v>
      </c>
      <c r="I19" s="49">
        <v>10.199999999999999</v>
      </c>
      <c r="J19" s="49">
        <v>10.199999999999999</v>
      </c>
      <c r="K19" s="49">
        <v>10.199999999999999</v>
      </c>
      <c r="L19" s="49">
        <v>10.199999999999999</v>
      </c>
      <c r="M19" s="50">
        <v>10.199999999999999</v>
      </c>
      <c r="N19" s="50">
        <v>10.199999999999999</v>
      </c>
      <c r="O19" s="50">
        <v>10.199999999999999</v>
      </c>
      <c r="P19" s="50">
        <v>9.6</v>
      </c>
      <c r="Q19" s="50">
        <v>9.6</v>
      </c>
      <c r="R19" s="50">
        <v>9.6</v>
      </c>
      <c r="S19" s="50">
        <v>9.6</v>
      </c>
      <c r="T19" s="50">
        <v>9.6</v>
      </c>
      <c r="U19" s="50">
        <v>9.6</v>
      </c>
      <c r="V19" s="50">
        <v>9.6</v>
      </c>
      <c r="W19" s="50">
        <v>9.6</v>
      </c>
      <c r="X19" s="50">
        <v>9.6</v>
      </c>
      <c r="Y19" s="50">
        <v>9.6</v>
      </c>
      <c r="Z19" s="50">
        <v>9.6</v>
      </c>
      <c r="AA19" s="50">
        <v>9.6</v>
      </c>
      <c r="AB19" s="50">
        <v>9.6</v>
      </c>
      <c r="AC19" s="50">
        <v>9.6</v>
      </c>
      <c r="AD19" s="50">
        <v>9.6</v>
      </c>
      <c r="AE19" s="50">
        <v>9.6</v>
      </c>
      <c r="AF19" s="50">
        <v>9.6</v>
      </c>
      <c r="AG19" s="58">
        <v>30</v>
      </c>
      <c r="AH19" s="53">
        <f t="shared" si="2"/>
        <v>10.199999999999999</v>
      </c>
      <c r="AI19" s="54">
        <f t="shared" si="3"/>
        <v>9.6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13.6</v>
      </c>
      <c r="C22" s="49">
        <v>13.6</v>
      </c>
      <c r="D22" s="49">
        <v>13.6</v>
      </c>
      <c r="E22" s="49">
        <v>13</v>
      </c>
      <c r="F22" s="49">
        <v>12.1</v>
      </c>
      <c r="G22" s="49">
        <v>12.1</v>
      </c>
      <c r="H22" s="49">
        <v>11</v>
      </c>
      <c r="I22" s="49">
        <v>11.5</v>
      </c>
      <c r="J22" s="49">
        <v>11.5</v>
      </c>
      <c r="K22" s="49">
        <v>11.5</v>
      </c>
      <c r="L22" s="49">
        <v>11.5</v>
      </c>
      <c r="M22" s="50">
        <v>11.5</v>
      </c>
      <c r="N22" s="50">
        <v>11.5</v>
      </c>
      <c r="O22" s="50">
        <v>11.5</v>
      </c>
      <c r="P22" s="50">
        <v>11.5</v>
      </c>
      <c r="Q22" s="50">
        <v>11.5</v>
      </c>
      <c r="R22" s="50">
        <v>11.5</v>
      </c>
      <c r="S22" s="50">
        <v>11.5</v>
      </c>
      <c r="T22" s="50">
        <v>11.5</v>
      </c>
      <c r="U22" s="50">
        <v>11.5</v>
      </c>
      <c r="V22" s="50">
        <v>11.5</v>
      </c>
      <c r="W22" s="50">
        <v>11.5</v>
      </c>
      <c r="X22" s="50">
        <v>11.5</v>
      </c>
      <c r="Y22" s="50">
        <v>17.100000000000001</v>
      </c>
      <c r="Z22" s="50">
        <v>17.100000000000001</v>
      </c>
      <c r="AA22" s="50">
        <v>17.100000000000001</v>
      </c>
      <c r="AB22" s="50">
        <v>17.100000000000001</v>
      </c>
      <c r="AC22" s="50">
        <v>17.100000000000001</v>
      </c>
      <c r="AD22" s="50">
        <v>17.100000000000001</v>
      </c>
      <c r="AE22" s="50">
        <v>17.100000000000001</v>
      </c>
      <c r="AF22" s="50">
        <v>17.100000000000001</v>
      </c>
      <c r="AG22" s="58">
        <v>25</v>
      </c>
      <c r="AH22" s="53">
        <f t="shared" si="2"/>
        <v>17.100000000000001</v>
      </c>
      <c r="AI22" s="54">
        <f t="shared" si="3"/>
        <v>11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8">
        <v>25</v>
      </c>
      <c r="AH23" s="53">
        <f t="shared" si="2"/>
        <v>8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11.3</v>
      </c>
      <c r="C24" s="49">
        <v>11.3</v>
      </c>
      <c r="D24" s="49">
        <v>11.3</v>
      </c>
      <c r="E24" s="49">
        <v>10</v>
      </c>
      <c r="F24" s="49">
        <v>10</v>
      </c>
      <c r="G24" s="49">
        <v>10</v>
      </c>
      <c r="H24" s="49">
        <v>10</v>
      </c>
      <c r="I24" s="49">
        <v>10</v>
      </c>
      <c r="J24" s="49">
        <v>10</v>
      </c>
      <c r="K24" s="49">
        <v>10</v>
      </c>
      <c r="L24" s="49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8">
        <v>25</v>
      </c>
      <c r="AH24" s="53">
        <f t="shared" si="2"/>
        <v>11.3</v>
      </c>
      <c r="AI24" s="54">
        <f t="shared" si="3"/>
        <v>10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0</v>
      </c>
      <c r="C33" s="60">
        <v>0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48.400000000000006</v>
      </c>
      <c r="C37" s="60">
        <v>48.400000000000006</v>
      </c>
      <c r="D37" s="60">
        <v>48.400000000000006</v>
      </c>
      <c r="E37" s="60">
        <f>18.3+36</f>
        <v>54.3</v>
      </c>
      <c r="F37" s="60">
        <f>18.6+36.8</f>
        <v>55.4</v>
      </c>
      <c r="G37" s="60">
        <f>18.2+35.6</f>
        <v>53.8</v>
      </c>
      <c r="H37" s="60">
        <f>18.2+35.6</f>
        <v>53.8</v>
      </c>
      <c r="I37" s="60">
        <f>18.2+35.6</f>
        <v>53.8</v>
      </c>
      <c r="J37" s="60">
        <f>14.4+34.4</f>
        <v>48.8</v>
      </c>
      <c r="K37" s="60">
        <f>17.1+33.7</f>
        <v>50.800000000000004</v>
      </c>
      <c r="L37" s="60">
        <f>17.1+33.7</f>
        <v>50.800000000000004</v>
      </c>
      <c r="M37" s="69">
        <f>17.5+35.2</f>
        <v>52.7</v>
      </c>
      <c r="N37" s="69">
        <f>17+35</f>
        <v>52</v>
      </c>
      <c r="O37" s="69">
        <f>17+35</f>
        <v>52</v>
      </c>
      <c r="P37" s="69">
        <f>17+35</f>
        <v>52</v>
      </c>
      <c r="Q37" s="69">
        <v>53.4</v>
      </c>
      <c r="R37" s="69">
        <v>53.4</v>
      </c>
      <c r="S37" s="69">
        <f>17.9+35.2</f>
        <v>53.1</v>
      </c>
      <c r="T37" s="69">
        <v>51</v>
      </c>
      <c r="U37" s="69">
        <v>49.6</v>
      </c>
      <c r="V37" s="69">
        <v>48.2</v>
      </c>
      <c r="W37" s="69">
        <v>49.4</v>
      </c>
      <c r="X37" s="69">
        <v>49.8</v>
      </c>
      <c r="Y37" s="69">
        <v>48.8</v>
      </c>
      <c r="Z37" s="69">
        <v>47.2</v>
      </c>
      <c r="AA37" s="69">
        <v>45.9</v>
      </c>
      <c r="AB37" s="69">
        <v>47</v>
      </c>
      <c r="AC37" s="69">
        <v>48</v>
      </c>
      <c r="AD37" s="69">
        <v>50</v>
      </c>
      <c r="AE37" s="69">
        <v>49.2</v>
      </c>
      <c r="AF37" s="69">
        <v>51.2</v>
      </c>
      <c r="AG37" s="66">
        <v>240</v>
      </c>
      <c r="AH37" s="53">
        <f t="shared" si="2"/>
        <v>55.4</v>
      </c>
      <c r="AI37" s="54">
        <f t="shared" si="3"/>
        <v>45.9</v>
      </c>
      <c r="AK37" s="55"/>
    </row>
    <row r="38" spans="1:88" ht="15.75" thickBot="1" x14ac:dyDescent="0.3">
      <c r="A38" s="70" t="s">
        <v>46</v>
      </c>
      <c r="B38" s="71">
        <f>SUM(B11:B36)</f>
        <v>419.4</v>
      </c>
      <c r="C38" s="71">
        <f t="shared" ref="C38:AF38" si="4">SUM(C11:C36)</f>
        <v>419.4</v>
      </c>
      <c r="D38" s="71">
        <f t="shared" si="4"/>
        <v>419.4</v>
      </c>
      <c r="E38" s="71">
        <f t="shared" si="4"/>
        <v>416.4</v>
      </c>
      <c r="F38" s="71">
        <f t="shared" si="4"/>
        <v>415.69999999999993</v>
      </c>
      <c r="G38" s="71">
        <f t="shared" si="4"/>
        <v>430.7</v>
      </c>
      <c r="H38" s="71">
        <f t="shared" si="4"/>
        <v>449.59999999999997</v>
      </c>
      <c r="I38" s="71">
        <f t="shared" si="4"/>
        <v>430.09999999999997</v>
      </c>
      <c r="J38" s="71">
        <f t="shared" si="4"/>
        <v>470.09999999999997</v>
      </c>
      <c r="K38" s="71">
        <f t="shared" si="4"/>
        <v>620.09999999999991</v>
      </c>
      <c r="L38" s="71">
        <f t="shared" si="4"/>
        <v>650.09999999999991</v>
      </c>
      <c r="M38" s="71">
        <f t="shared" si="4"/>
        <v>719.30000000000007</v>
      </c>
      <c r="N38" s="71">
        <f t="shared" si="4"/>
        <v>713.00000000000011</v>
      </c>
      <c r="O38" s="71">
        <f t="shared" si="4"/>
        <v>526</v>
      </c>
      <c r="P38" s="71">
        <f t="shared" si="4"/>
        <v>494.4</v>
      </c>
      <c r="Q38" s="71">
        <f t="shared" si="4"/>
        <v>413.4</v>
      </c>
      <c r="R38" s="71">
        <f t="shared" si="4"/>
        <v>425.39999999999992</v>
      </c>
      <c r="S38" s="71">
        <f t="shared" si="4"/>
        <v>413.4</v>
      </c>
      <c r="T38" s="71">
        <f t="shared" si="4"/>
        <v>428.39999999999992</v>
      </c>
      <c r="U38" s="71">
        <f t="shared" si="4"/>
        <v>428.39999999999992</v>
      </c>
      <c r="V38" s="71">
        <f t="shared" si="4"/>
        <v>550.4</v>
      </c>
      <c r="W38" s="71">
        <f t="shared" si="4"/>
        <v>588.4</v>
      </c>
      <c r="X38" s="71">
        <f t="shared" si="4"/>
        <v>718.40000000000009</v>
      </c>
      <c r="Y38" s="71">
        <f t="shared" si="4"/>
        <v>744.00000000000011</v>
      </c>
      <c r="Z38" s="71">
        <f t="shared" si="4"/>
        <v>674.00000000000011</v>
      </c>
      <c r="AA38" s="71">
        <f t="shared" si="4"/>
        <v>674.00000000000011</v>
      </c>
      <c r="AB38" s="71">
        <f t="shared" si="4"/>
        <v>574</v>
      </c>
      <c r="AC38" s="71">
        <f t="shared" si="4"/>
        <v>574</v>
      </c>
      <c r="AD38" s="71">
        <f t="shared" si="4"/>
        <v>453.99999999999994</v>
      </c>
      <c r="AE38" s="71">
        <f t="shared" si="4"/>
        <v>415.99999999999994</v>
      </c>
      <c r="AF38" s="71">
        <f t="shared" si="4"/>
        <v>415.99999999999994</v>
      </c>
      <c r="AG38" s="66">
        <f>SUM(AG11:AG37)</f>
        <v>1492.8299999999997</v>
      </c>
      <c r="AH38" s="53">
        <f t="shared" si="2"/>
        <v>744.00000000000011</v>
      </c>
      <c r="AI38" s="54">
        <f t="shared" si="3"/>
        <v>413.4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49">
        <v>0</v>
      </c>
      <c r="E39" s="60">
        <v>0</v>
      </c>
      <c r="F39" s="60">
        <v>0</v>
      </c>
      <c r="G39" s="60">
        <v>0</v>
      </c>
      <c r="H39" s="60">
        <v>31</v>
      </c>
      <c r="I39" s="60">
        <v>60</v>
      </c>
      <c r="J39" s="60">
        <v>61.2</v>
      </c>
      <c r="K39" s="60">
        <v>110</v>
      </c>
      <c r="L39" s="60">
        <v>144</v>
      </c>
      <c r="M39" s="50">
        <v>145.9</v>
      </c>
      <c r="N39" s="50">
        <v>145.80000000000001</v>
      </c>
      <c r="O39" s="50">
        <v>136.80000000000001</v>
      </c>
      <c r="P39" s="50">
        <v>111</v>
      </c>
      <c r="Q39" s="50">
        <v>111.8</v>
      </c>
      <c r="R39" s="50">
        <v>91.4</v>
      </c>
      <c r="S39" s="50">
        <v>97.4</v>
      </c>
      <c r="T39" s="50">
        <v>97.4</v>
      </c>
      <c r="U39" s="50">
        <v>97.4</v>
      </c>
      <c r="V39" s="50">
        <v>107.1</v>
      </c>
      <c r="W39" s="50">
        <v>141.1</v>
      </c>
      <c r="X39" s="50">
        <v>145.1</v>
      </c>
      <c r="Y39" s="50">
        <v>145.1</v>
      </c>
      <c r="Z39" s="50">
        <v>145.1</v>
      </c>
      <c r="AA39" s="50">
        <v>126.5</v>
      </c>
      <c r="AB39" s="50">
        <v>110</v>
      </c>
      <c r="AC39" s="50">
        <v>91</v>
      </c>
      <c r="AD39" s="50">
        <v>80</v>
      </c>
      <c r="AE39" s="50">
        <v>39</v>
      </c>
      <c r="AF39" s="49">
        <v>0</v>
      </c>
      <c r="AG39" s="61">
        <v>144</v>
      </c>
      <c r="AH39" s="53">
        <f t="shared" si="2"/>
        <v>145.9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24.1</v>
      </c>
      <c r="I40" s="60">
        <v>34.1</v>
      </c>
      <c r="J40" s="60">
        <v>49.7</v>
      </c>
      <c r="K40" s="60">
        <v>70.099999999999994</v>
      </c>
      <c r="L40" s="60">
        <v>71</v>
      </c>
      <c r="M40" s="72">
        <v>71.2</v>
      </c>
      <c r="N40" s="72">
        <v>70.3</v>
      </c>
      <c r="O40" s="72">
        <v>59.7</v>
      </c>
      <c r="P40" s="72">
        <v>49.5</v>
      </c>
      <c r="Q40" s="72">
        <v>34.700000000000003</v>
      </c>
      <c r="R40" s="72">
        <v>34.799999999999997</v>
      </c>
      <c r="S40" s="72">
        <v>34.700000000000003</v>
      </c>
      <c r="T40" s="72">
        <v>34.700000000000003</v>
      </c>
      <c r="U40" s="72">
        <v>34.700000000000003</v>
      </c>
      <c r="V40" s="72">
        <v>63.2</v>
      </c>
      <c r="W40" s="72">
        <v>69.5</v>
      </c>
      <c r="X40" s="72">
        <v>70.3</v>
      </c>
      <c r="Y40" s="72">
        <v>70.3</v>
      </c>
      <c r="Z40" s="72">
        <v>70.3</v>
      </c>
      <c r="AA40" s="72">
        <v>69.7</v>
      </c>
      <c r="AB40" s="72">
        <v>69.7</v>
      </c>
      <c r="AC40" s="72">
        <v>70</v>
      </c>
      <c r="AD40" s="72">
        <v>27</v>
      </c>
      <c r="AE40" s="72">
        <v>23.2</v>
      </c>
      <c r="AF40" s="60">
        <v>0</v>
      </c>
      <c r="AG40" s="66">
        <v>70</v>
      </c>
      <c r="AH40" s="53">
        <f t="shared" si="2"/>
        <v>71.2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32</v>
      </c>
      <c r="C41" s="60">
        <v>22</v>
      </c>
      <c r="D41" s="60">
        <v>17</v>
      </c>
      <c r="E41" s="60">
        <v>16.600000000000001</v>
      </c>
      <c r="F41" s="60">
        <v>16.8</v>
      </c>
      <c r="G41" s="60">
        <v>22</v>
      </c>
      <c r="H41" s="60">
        <v>22.9</v>
      </c>
      <c r="I41" s="60">
        <v>38.4</v>
      </c>
      <c r="J41" s="60">
        <v>54.9</v>
      </c>
      <c r="K41" s="60">
        <v>67.8</v>
      </c>
      <c r="L41" s="60">
        <v>68</v>
      </c>
      <c r="M41" s="72">
        <v>62</v>
      </c>
      <c r="N41" s="72">
        <v>62.3</v>
      </c>
      <c r="O41" s="72">
        <v>61.9</v>
      </c>
      <c r="P41" s="72">
        <v>61.9</v>
      </c>
      <c r="Q41" s="72">
        <v>21.8</v>
      </c>
      <c r="R41" s="72">
        <v>22.4</v>
      </c>
      <c r="S41" s="72">
        <v>22.6</v>
      </c>
      <c r="T41" s="72">
        <v>22.6</v>
      </c>
      <c r="U41" s="72">
        <v>22.6</v>
      </c>
      <c r="V41" s="72">
        <v>45</v>
      </c>
      <c r="W41" s="72">
        <v>64.5</v>
      </c>
      <c r="X41" s="72">
        <v>67.5</v>
      </c>
      <c r="Y41" s="72">
        <v>67.5</v>
      </c>
      <c r="Z41" s="72">
        <v>67.5</v>
      </c>
      <c r="AA41" s="72">
        <v>67.2</v>
      </c>
      <c r="AB41" s="72">
        <v>67.2</v>
      </c>
      <c r="AC41" s="72">
        <v>61.7</v>
      </c>
      <c r="AD41" s="72">
        <v>46</v>
      </c>
      <c r="AE41" s="72">
        <v>33</v>
      </c>
      <c r="AF41" s="60">
        <v>44</v>
      </c>
      <c r="AG41" s="66">
        <v>69</v>
      </c>
      <c r="AH41" s="53">
        <f t="shared" si="2"/>
        <v>68</v>
      </c>
      <c r="AI41" s="54">
        <f t="shared" si="3"/>
        <v>16.600000000000001</v>
      </c>
      <c r="AK41" s="55"/>
    </row>
    <row r="42" spans="1:88" x14ac:dyDescent="0.25">
      <c r="A42" s="65" t="s">
        <v>50</v>
      </c>
      <c r="B42" s="60">
        <v>53.4</v>
      </c>
      <c r="C42" s="60">
        <v>53.4</v>
      </c>
      <c r="D42" s="60">
        <v>53.4</v>
      </c>
      <c r="E42" s="60">
        <v>51.4</v>
      </c>
      <c r="F42" s="60">
        <v>51.6</v>
      </c>
      <c r="G42" s="60">
        <v>51.4</v>
      </c>
      <c r="H42" s="60">
        <v>51.4</v>
      </c>
      <c r="I42" s="60">
        <v>51.4</v>
      </c>
      <c r="J42" s="60">
        <v>54.4</v>
      </c>
      <c r="K42" s="60">
        <v>54.4</v>
      </c>
      <c r="L42" s="60">
        <v>54.4</v>
      </c>
      <c r="M42" s="72">
        <v>52.2</v>
      </c>
      <c r="N42" s="72">
        <v>51.9</v>
      </c>
      <c r="O42" s="72">
        <v>51.9</v>
      </c>
      <c r="P42" s="72">
        <v>51.9</v>
      </c>
      <c r="Q42" s="72">
        <v>50.4</v>
      </c>
      <c r="R42" s="72">
        <v>50.4</v>
      </c>
      <c r="S42" s="72">
        <v>50.4</v>
      </c>
      <c r="T42" s="72">
        <v>48.1</v>
      </c>
      <c r="U42" s="72">
        <v>48.1</v>
      </c>
      <c r="V42" s="72">
        <v>48.3</v>
      </c>
      <c r="W42" s="72">
        <v>48.3</v>
      </c>
      <c r="X42" s="72">
        <v>48.6</v>
      </c>
      <c r="Y42" s="72">
        <v>48.6</v>
      </c>
      <c r="Z42" s="72">
        <v>48.6</v>
      </c>
      <c r="AA42" s="72">
        <v>50.4</v>
      </c>
      <c r="AB42" s="72">
        <v>50.4</v>
      </c>
      <c r="AC42" s="72">
        <v>50.4</v>
      </c>
      <c r="AD42" s="72">
        <v>50.4</v>
      </c>
      <c r="AE42" s="72">
        <v>50.4</v>
      </c>
      <c r="AF42" s="72">
        <v>50.4</v>
      </c>
      <c r="AG42" s="66">
        <v>60</v>
      </c>
      <c r="AH42" s="53">
        <f t="shared" si="2"/>
        <v>54.4</v>
      </c>
      <c r="AI42" s="54">
        <f t="shared" si="3"/>
        <v>48.1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9.8000000000000007</v>
      </c>
      <c r="J43" s="60">
        <v>14.6</v>
      </c>
      <c r="K43" s="60">
        <v>28.5</v>
      </c>
      <c r="L43" s="60">
        <v>28.5</v>
      </c>
      <c r="M43" s="50">
        <v>28.5</v>
      </c>
      <c r="N43" s="50">
        <v>24.7</v>
      </c>
      <c r="O43" s="50">
        <v>24.7</v>
      </c>
      <c r="P43" s="50">
        <v>24.7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10.1</v>
      </c>
      <c r="W43" s="50">
        <v>10.1</v>
      </c>
      <c r="X43" s="50">
        <v>22.2</v>
      </c>
      <c r="Y43" s="50">
        <v>30</v>
      </c>
      <c r="Z43" s="50">
        <v>30</v>
      </c>
      <c r="AA43" s="72">
        <v>21.5</v>
      </c>
      <c r="AB43" s="72">
        <v>15</v>
      </c>
      <c r="AC43" s="72">
        <v>10</v>
      </c>
      <c r="AD43" s="72">
        <v>10</v>
      </c>
      <c r="AE43" s="72">
        <v>0</v>
      </c>
      <c r="AF43" s="72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 t="s">
        <v>231</v>
      </c>
      <c r="C45" s="60">
        <v>16</v>
      </c>
      <c r="D45" s="60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79">
        <v>16</v>
      </c>
      <c r="N45" s="79">
        <v>16</v>
      </c>
      <c r="O45" s="79">
        <v>16</v>
      </c>
      <c r="P45" s="79">
        <v>16</v>
      </c>
      <c r="Q45" s="79">
        <v>16</v>
      </c>
      <c r="R45" s="79">
        <v>16</v>
      </c>
      <c r="S45" s="79">
        <v>16</v>
      </c>
      <c r="T45" s="79">
        <v>16</v>
      </c>
      <c r="U45" s="79">
        <v>16</v>
      </c>
      <c r="V45" s="79">
        <v>16</v>
      </c>
      <c r="W45" s="79">
        <v>16</v>
      </c>
      <c r="X45" s="79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5</v>
      </c>
      <c r="C46" s="60">
        <v>5</v>
      </c>
      <c r="D46" s="6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5</v>
      </c>
      <c r="J46" s="60">
        <v>5</v>
      </c>
      <c r="K46" s="60">
        <v>5</v>
      </c>
      <c r="L46" s="60">
        <v>5</v>
      </c>
      <c r="M46" s="60">
        <v>5</v>
      </c>
      <c r="N46" s="60">
        <v>5</v>
      </c>
      <c r="O46" s="60">
        <v>5</v>
      </c>
      <c r="P46" s="60">
        <v>5</v>
      </c>
      <c r="Q46" s="60">
        <v>5</v>
      </c>
      <c r="R46" s="60">
        <v>5</v>
      </c>
      <c r="S46" s="60">
        <v>5</v>
      </c>
      <c r="T46" s="60">
        <v>5</v>
      </c>
      <c r="U46" s="60">
        <v>5</v>
      </c>
      <c r="V46" s="60">
        <v>5</v>
      </c>
      <c r="W46" s="60">
        <v>5</v>
      </c>
      <c r="X46" s="60">
        <v>5</v>
      </c>
      <c r="Y46" s="50">
        <v>5</v>
      </c>
      <c r="Z46" s="50">
        <v>5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6">
        <v>15</v>
      </c>
      <c r="AH46" s="53">
        <f t="shared" si="2"/>
        <v>5</v>
      </c>
      <c r="AI46" s="54">
        <f t="shared" si="3"/>
        <v>5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12</v>
      </c>
      <c r="C47" s="60">
        <v>12</v>
      </c>
      <c r="D47" s="60">
        <v>12</v>
      </c>
      <c r="E47" s="60">
        <v>12</v>
      </c>
      <c r="F47" s="60">
        <v>12</v>
      </c>
      <c r="G47" s="60">
        <v>12</v>
      </c>
      <c r="H47" s="60">
        <v>12</v>
      </c>
      <c r="I47" s="60">
        <v>12</v>
      </c>
      <c r="J47" s="60">
        <v>12</v>
      </c>
      <c r="K47" s="60">
        <v>12</v>
      </c>
      <c r="L47" s="60">
        <v>12</v>
      </c>
      <c r="M47" s="60">
        <v>12</v>
      </c>
      <c r="N47" s="60">
        <v>12</v>
      </c>
      <c r="O47" s="60">
        <v>12</v>
      </c>
      <c r="P47" s="60">
        <v>12</v>
      </c>
      <c r="Q47" s="60">
        <v>12</v>
      </c>
      <c r="R47" s="60">
        <v>12</v>
      </c>
      <c r="S47" s="60">
        <v>12</v>
      </c>
      <c r="T47" s="60">
        <v>12</v>
      </c>
      <c r="U47" s="60">
        <v>12</v>
      </c>
      <c r="V47" s="60">
        <v>12</v>
      </c>
      <c r="W47" s="60">
        <v>12</v>
      </c>
      <c r="X47" s="6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6">
        <v>14.1</v>
      </c>
      <c r="AH47" s="53">
        <f t="shared" si="2"/>
        <v>12</v>
      </c>
      <c r="AI47" s="54">
        <f t="shared" si="3"/>
        <v>12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5.9</v>
      </c>
      <c r="C48" s="60">
        <v>5.9</v>
      </c>
      <c r="D48" s="60">
        <v>5.9</v>
      </c>
      <c r="E48" s="60">
        <v>5.9</v>
      </c>
      <c r="F48" s="60">
        <v>5.9</v>
      </c>
      <c r="G48" s="60">
        <v>5.9</v>
      </c>
      <c r="H48" s="60">
        <v>5.9</v>
      </c>
      <c r="I48" s="60">
        <v>5.9</v>
      </c>
      <c r="J48" s="60">
        <v>5.9</v>
      </c>
      <c r="K48" s="60">
        <v>5.9</v>
      </c>
      <c r="L48" s="60">
        <v>5.9</v>
      </c>
      <c r="M48" s="60">
        <v>5.9</v>
      </c>
      <c r="N48" s="60">
        <v>5.9</v>
      </c>
      <c r="O48" s="60">
        <v>5.9</v>
      </c>
      <c r="P48" s="60">
        <v>5.9</v>
      </c>
      <c r="Q48" s="60">
        <v>5.9</v>
      </c>
      <c r="R48" s="60">
        <v>5.9</v>
      </c>
      <c r="S48" s="60">
        <v>5.9</v>
      </c>
      <c r="T48" s="60">
        <v>5.9</v>
      </c>
      <c r="U48" s="60">
        <v>5.9</v>
      </c>
      <c r="V48" s="60">
        <v>5.9</v>
      </c>
      <c r="W48" s="60">
        <v>5.9</v>
      </c>
      <c r="X48" s="6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60">
        <v>6</v>
      </c>
      <c r="N49" s="60">
        <v>6</v>
      </c>
      <c r="O49" s="60">
        <v>6</v>
      </c>
      <c r="P49" s="60">
        <v>6</v>
      </c>
      <c r="Q49" s="60">
        <v>6</v>
      </c>
      <c r="R49" s="60">
        <v>6</v>
      </c>
      <c r="S49" s="60">
        <v>6</v>
      </c>
      <c r="T49" s="60">
        <v>6</v>
      </c>
      <c r="U49" s="60">
        <v>6</v>
      </c>
      <c r="V49" s="60">
        <v>6</v>
      </c>
      <c r="W49" s="60">
        <v>6</v>
      </c>
      <c r="X49" s="6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60">
        <v>4</v>
      </c>
      <c r="T50" s="60">
        <v>4</v>
      </c>
      <c r="U50" s="60">
        <v>4</v>
      </c>
      <c r="V50" s="60">
        <v>4</v>
      </c>
      <c r="W50" s="60">
        <v>4</v>
      </c>
      <c r="X50" s="6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121.84000000000002</v>
      </c>
      <c r="C52" s="71">
        <f t="shared" ref="C52:AF52" si="6">SUM(C39:C51)</f>
        <v>127.84000000000002</v>
      </c>
      <c r="D52" s="71">
        <f t="shared" si="6"/>
        <v>122.84000000000002</v>
      </c>
      <c r="E52" s="71">
        <f t="shared" si="6"/>
        <v>120.44000000000001</v>
      </c>
      <c r="F52" s="71">
        <f t="shared" si="6"/>
        <v>120.84000000000002</v>
      </c>
      <c r="G52" s="71">
        <f t="shared" si="6"/>
        <v>125.84000000000002</v>
      </c>
      <c r="H52" s="71">
        <f t="shared" si="6"/>
        <v>181.84</v>
      </c>
      <c r="I52" s="71">
        <f t="shared" si="6"/>
        <v>246.14000000000001</v>
      </c>
      <c r="J52" s="71">
        <f t="shared" si="6"/>
        <v>287.24</v>
      </c>
      <c r="K52" s="71">
        <f t="shared" si="6"/>
        <v>383.23999999999995</v>
      </c>
      <c r="L52" s="71">
        <f t="shared" si="6"/>
        <v>418.34</v>
      </c>
      <c r="M52" s="71">
        <f t="shared" si="6"/>
        <v>412.24</v>
      </c>
      <c r="N52" s="71">
        <f t="shared" si="6"/>
        <v>407.44</v>
      </c>
      <c r="O52" s="71">
        <f t="shared" si="6"/>
        <v>387.43999999999994</v>
      </c>
      <c r="P52" s="71">
        <f t="shared" si="6"/>
        <v>351.44</v>
      </c>
      <c r="Q52" s="71">
        <f t="shared" si="6"/>
        <v>271.14000000000004</v>
      </c>
      <c r="R52" s="71">
        <f t="shared" si="6"/>
        <v>251.44</v>
      </c>
      <c r="S52" s="71">
        <f t="shared" si="6"/>
        <v>257.54000000000002</v>
      </c>
      <c r="T52" s="71">
        <f t="shared" si="6"/>
        <v>255.24</v>
      </c>
      <c r="U52" s="71">
        <f t="shared" si="6"/>
        <v>255.24</v>
      </c>
      <c r="V52" s="71">
        <f t="shared" si="6"/>
        <v>326.14000000000004</v>
      </c>
      <c r="W52" s="71">
        <f t="shared" si="6"/>
        <v>385.94000000000005</v>
      </c>
      <c r="X52" s="71">
        <f t="shared" si="6"/>
        <v>406.14</v>
      </c>
      <c r="Y52" s="71">
        <f t="shared" si="6"/>
        <v>413.94</v>
      </c>
      <c r="Z52" s="71">
        <f t="shared" si="6"/>
        <v>413.94</v>
      </c>
      <c r="AA52" s="71">
        <f t="shared" si="6"/>
        <v>387.73999999999995</v>
      </c>
      <c r="AB52" s="71">
        <f t="shared" si="6"/>
        <v>364.73999999999995</v>
      </c>
      <c r="AC52" s="71">
        <f t="shared" si="6"/>
        <v>335.53999999999996</v>
      </c>
      <c r="AD52" s="71">
        <f t="shared" si="6"/>
        <v>265.84000000000003</v>
      </c>
      <c r="AE52" s="71">
        <f t="shared" si="6"/>
        <v>198.04</v>
      </c>
      <c r="AF52" s="71">
        <f t="shared" si="6"/>
        <v>146.84</v>
      </c>
      <c r="AG52" s="76">
        <f>SUM(AG39:AG51)</f>
        <v>489.91</v>
      </c>
      <c r="AH52" s="53">
        <f t="shared" si="2"/>
        <v>418.34</v>
      </c>
      <c r="AI52" s="54">
        <f t="shared" si="3"/>
        <v>120.44000000000001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44.8</v>
      </c>
      <c r="L53" s="60">
        <v>44</v>
      </c>
      <c r="M53" s="77">
        <v>44.8</v>
      </c>
      <c r="N53" s="77">
        <v>44.3</v>
      </c>
      <c r="O53" s="77">
        <v>29.2</v>
      </c>
      <c r="P53" s="77">
        <v>29.4</v>
      </c>
      <c r="Q53" s="50">
        <v>29</v>
      </c>
      <c r="R53" s="50">
        <v>29.2</v>
      </c>
      <c r="S53" s="50">
        <v>29.6</v>
      </c>
      <c r="T53" s="50">
        <v>29.3</v>
      </c>
      <c r="U53" s="50">
        <v>29.7</v>
      </c>
      <c r="V53" s="50">
        <v>29.7</v>
      </c>
      <c r="W53" s="50">
        <v>40.1</v>
      </c>
      <c r="X53" s="50">
        <v>49.4</v>
      </c>
      <c r="Y53" s="50">
        <v>49.8</v>
      </c>
      <c r="Z53" s="50">
        <v>59.5</v>
      </c>
      <c r="AA53" s="50">
        <v>59.9</v>
      </c>
      <c r="AB53" s="50">
        <v>49</v>
      </c>
      <c r="AC53" s="50">
        <v>30</v>
      </c>
      <c r="AD53" s="50">
        <v>14</v>
      </c>
      <c r="AE53" s="50">
        <v>0</v>
      </c>
      <c r="AF53" s="50">
        <v>0</v>
      </c>
      <c r="AG53" s="61">
        <v>60</v>
      </c>
      <c r="AH53" s="53">
        <f t="shared" si="2"/>
        <v>59.9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11.8</v>
      </c>
      <c r="L54" s="60">
        <v>19.600000000000001</v>
      </c>
      <c r="M54" s="77">
        <v>21.5</v>
      </c>
      <c r="N54" s="77">
        <v>21.7</v>
      </c>
      <c r="O54" s="77">
        <v>14</v>
      </c>
      <c r="P54" s="77">
        <v>13.9</v>
      </c>
      <c r="Q54" s="72">
        <v>13.5</v>
      </c>
      <c r="R54" s="72">
        <v>14.8</v>
      </c>
      <c r="S54" s="50">
        <v>14.7</v>
      </c>
      <c r="T54" s="50">
        <v>14.4</v>
      </c>
      <c r="U54" s="50">
        <v>15.2</v>
      </c>
      <c r="V54" s="72">
        <v>15.2</v>
      </c>
      <c r="W54" s="72">
        <v>19.3</v>
      </c>
      <c r="X54" s="72">
        <v>18.600000000000001</v>
      </c>
      <c r="Y54" s="72">
        <v>24.6</v>
      </c>
      <c r="Z54" s="72">
        <v>29.1</v>
      </c>
      <c r="AA54" s="72">
        <v>28.6</v>
      </c>
      <c r="AB54" s="72">
        <v>23</v>
      </c>
      <c r="AC54" s="72">
        <v>15</v>
      </c>
      <c r="AD54" s="72">
        <v>5</v>
      </c>
      <c r="AE54" s="72">
        <v>4.7</v>
      </c>
      <c r="AF54" s="72">
        <v>0</v>
      </c>
      <c r="AG54" s="66">
        <v>32</v>
      </c>
      <c r="AH54" s="53">
        <f t="shared" si="2"/>
        <v>29.1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4.3</v>
      </c>
      <c r="L55" s="79">
        <v>7.2</v>
      </c>
      <c r="M55" s="80">
        <v>7.8</v>
      </c>
      <c r="N55" s="80">
        <v>7.9</v>
      </c>
      <c r="O55" s="80">
        <v>5.0999999999999996</v>
      </c>
      <c r="P55" s="80">
        <v>5</v>
      </c>
      <c r="Q55" s="78">
        <v>5</v>
      </c>
      <c r="R55" s="78">
        <v>5.4</v>
      </c>
      <c r="S55" s="50">
        <v>5.4</v>
      </c>
      <c r="T55" s="50">
        <v>5.2</v>
      </c>
      <c r="U55" s="50">
        <v>5.5</v>
      </c>
      <c r="V55" s="78">
        <v>5.6</v>
      </c>
      <c r="W55" s="78">
        <v>7.1</v>
      </c>
      <c r="X55" s="78">
        <v>6.8</v>
      </c>
      <c r="Y55" s="78">
        <v>9</v>
      </c>
      <c r="Z55" s="78">
        <v>10.6</v>
      </c>
      <c r="AA55" s="78">
        <v>10.4</v>
      </c>
      <c r="AB55" s="78">
        <v>10</v>
      </c>
      <c r="AC55" s="78">
        <v>7</v>
      </c>
      <c r="AD55" s="78">
        <v>2</v>
      </c>
      <c r="AE55" s="78">
        <v>2</v>
      </c>
      <c r="AF55" s="78">
        <v>0</v>
      </c>
      <c r="AG55" s="81">
        <v>14</v>
      </c>
      <c r="AH55" s="53">
        <f t="shared" si="2"/>
        <v>10.6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60.899999999999991</v>
      </c>
      <c r="L56" s="71">
        <f t="shared" si="7"/>
        <v>70.8</v>
      </c>
      <c r="M56" s="71">
        <f t="shared" si="7"/>
        <v>74.099999999999994</v>
      </c>
      <c r="N56" s="71">
        <f t="shared" si="7"/>
        <v>73.900000000000006</v>
      </c>
      <c r="O56" s="71">
        <f t="shared" si="7"/>
        <v>48.300000000000004</v>
      </c>
      <c r="P56" s="71">
        <f t="shared" si="7"/>
        <v>48.3</v>
      </c>
      <c r="Q56" s="71">
        <f t="shared" si="7"/>
        <v>47.5</v>
      </c>
      <c r="R56" s="71">
        <f t="shared" si="7"/>
        <v>49.4</v>
      </c>
      <c r="S56" s="71">
        <f t="shared" si="7"/>
        <v>49.699999999999996</v>
      </c>
      <c r="T56" s="71">
        <f t="shared" si="7"/>
        <v>48.900000000000006</v>
      </c>
      <c r="U56" s="71">
        <f t="shared" si="7"/>
        <v>50.4</v>
      </c>
      <c r="V56" s="71">
        <f t="shared" si="7"/>
        <v>50.5</v>
      </c>
      <c r="W56" s="71">
        <f t="shared" si="7"/>
        <v>66.5</v>
      </c>
      <c r="X56" s="71">
        <f t="shared" si="7"/>
        <v>74.8</v>
      </c>
      <c r="Y56" s="71">
        <f t="shared" si="7"/>
        <v>83.4</v>
      </c>
      <c r="Z56" s="71">
        <f t="shared" si="7"/>
        <v>99.199999999999989</v>
      </c>
      <c r="AA56" s="71">
        <f t="shared" si="7"/>
        <v>98.9</v>
      </c>
      <c r="AB56" s="71">
        <f t="shared" si="7"/>
        <v>82</v>
      </c>
      <c r="AC56" s="71">
        <f t="shared" si="7"/>
        <v>52</v>
      </c>
      <c r="AD56" s="71">
        <f t="shared" si="7"/>
        <v>21</v>
      </c>
      <c r="AE56" s="71">
        <f t="shared" si="7"/>
        <v>6.7</v>
      </c>
      <c r="AF56" s="71">
        <f t="shared" si="7"/>
        <v>0</v>
      </c>
      <c r="AG56" s="76">
        <f>SUM(AG53:AG55)</f>
        <v>106</v>
      </c>
      <c r="AH56" s="53">
        <f t="shared" si="2"/>
        <v>99.199999999999989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0</v>
      </c>
      <c r="C57" s="50">
        <v>65</v>
      </c>
      <c r="D57" s="50">
        <v>66</v>
      </c>
      <c r="E57" s="50">
        <v>66.099999999999994</v>
      </c>
      <c r="F57" s="50">
        <v>68.2</v>
      </c>
      <c r="G57" s="50">
        <v>72</v>
      </c>
      <c r="H57" s="50">
        <v>72.7</v>
      </c>
      <c r="I57" s="50">
        <v>64.2</v>
      </c>
      <c r="J57" s="50">
        <v>74.599999999999994</v>
      </c>
      <c r="K57" s="50">
        <v>76.8</v>
      </c>
      <c r="L57" s="50">
        <v>68</v>
      </c>
      <c r="M57" s="50">
        <v>75.099999999999994</v>
      </c>
      <c r="N57" s="50">
        <v>76</v>
      </c>
      <c r="O57" s="50">
        <v>74</v>
      </c>
      <c r="P57" s="50">
        <v>72.7</v>
      </c>
      <c r="Q57" s="50">
        <v>70</v>
      </c>
      <c r="R57" s="50">
        <v>74.599999999999994</v>
      </c>
      <c r="S57" s="50">
        <v>77.81</v>
      </c>
      <c r="T57" s="50">
        <v>72</v>
      </c>
      <c r="U57" s="50">
        <v>74.599999999999994</v>
      </c>
      <c r="V57" s="50">
        <v>66.900000000000006</v>
      </c>
      <c r="W57" s="50">
        <v>70.099999999999994</v>
      </c>
      <c r="X57" s="50">
        <v>63</v>
      </c>
      <c r="Y57" s="50">
        <v>74.2</v>
      </c>
      <c r="Z57" s="50">
        <v>78.8</v>
      </c>
      <c r="AA57" s="50">
        <v>72.900000000000006</v>
      </c>
      <c r="AB57" s="50">
        <v>74</v>
      </c>
      <c r="AC57" s="50">
        <v>74</v>
      </c>
      <c r="AD57" s="50">
        <v>67</v>
      </c>
      <c r="AE57" s="50">
        <v>70</v>
      </c>
      <c r="AF57" s="50">
        <v>76</v>
      </c>
      <c r="AG57" s="61"/>
      <c r="AH57" s="53">
        <f t="shared" si="2"/>
        <v>78.8</v>
      </c>
      <c r="AI57" s="54">
        <f t="shared" si="3"/>
        <v>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44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44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325</v>
      </c>
      <c r="C59" s="72">
        <v>326</v>
      </c>
      <c r="D59" s="72">
        <v>310</v>
      </c>
      <c r="E59" s="72">
        <v>294.89999999999998</v>
      </c>
      <c r="F59" s="72">
        <v>304.5</v>
      </c>
      <c r="G59" s="72">
        <v>314.8</v>
      </c>
      <c r="H59" s="50">
        <v>320</v>
      </c>
      <c r="I59" s="50">
        <v>330.4</v>
      </c>
      <c r="J59" s="50">
        <v>321.8</v>
      </c>
      <c r="K59" s="50">
        <v>152.80000000000001</v>
      </c>
      <c r="L59" s="50">
        <v>153</v>
      </c>
      <c r="M59" s="72">
        <v>113.1</v>
      </c>
      <c r="N59" s="72">
        <v>9</v>
      </c>
      <c r="O59" s="72">
        <v>167</v>
      </c>
      <c r="P59" s="72">
        <v>290</v>
      </c>
      <c r="Q59" s="72">
        <v>344</v>
      </c>
      <c r="R59" s="72">
        <v>335</v>
      </c>
      <c r="S59" s="72">
        <v>335.2</v>
      </c>
      <c r="T59" s="72">
        <v>324</v>
      </c>
      <c r="U59" s="72">
        <v>335</v>
      </c>
      <c r="V59" s="72">
        <v>196.6</v>
      </c>
      <c r="W59" s="72">
        <v>98.7</v>
      </c>
      <c r="X59" s="83">
        <v>63.6</v>
      </c>
      <c r="Y59" s="83">
        <v>133.5</v>
      </c>
      <c r="Z59" s="83">
        <v>167.1</v>
      </c>
      <c r="AA59" s="83">
        <v>165.7</v>
      </c>
      <c r="AB59" s="72">
        <v>242</v>
      </c>
      <c r="AC59" s="72">
        <v>216</v>
      </c>
      <c r="AD59" s="72">
        <v>335</v>
      </c>
      <c r="AE59" s="72">
        <v>328</v>
      </c>
      <c r="AF59" s="72">
        <v>345</v>
      </c>
      <c r="AG59" s="84"/>
      <c r="AH59" s="53">
        <f t="shared" si="2"/>
        <v>345</v>
      </c>
      <c r="AI59" s="54">
        <f t="shared" si="3"/>
        <v>9</v>
      </c>
      <c r="AK59" s="55"/>
    </row>
    <row r="60" spans="1:37" x14ac:dyDescent="0.25">
      <c r="A60" s="65" t="s">
        <v>68</v>
      </c>
      <c r="B60" s="57">
        <v>50</v>
      </c>
      <c r="C60" s="57">
        <v>51</v>
      </c>
      <c r="D60" s="57">
        <v>50</v>
      </c>
      <c r="E60" s="57">
        <v>47.6</v>
      </c>
      <c r="F60" s="57">
        <v>47.7</v>
      </c>
      <c r="G60" s="57">
        <v>49</v>
      </c>
      <c r="H60" s="57">
        <v>42.3</v>
      </c>
      <c r="I60" s="57">
        <v>46.6</v>
      </c>
      <c r="J60" s="57">
        <v>57.9</v>
      </c>
      <c r="K60" s="57">
        <v>57.9</v>
      </c>
      <c r="L60" s="57">
        <v>55</v>
      </c>
      <c r="M60" s="72">
        <v>54.8</v>
      </c>
      <c r="N60" s="72">
        <v>49.5</v>
      </c>
      <c r="O60" s="72">
        <v>62.4</v>
      </c>
      <c r="P60" s="72">
        <v>61.7</v>
      </c>
      <c r="Q60" s="72">
        <v>59.3</v>
      </c>
      <c r="R60" s="72">
        <v>55</v>
      </c>
      <c r="S60" s="72">
        <v>59</v>
      </c>
      <c r="T60" s="72">
        <v>52.4</v>
      </c>
      <c r="U60" s="72">
        <v>56.4</v>
      </c>
      <c r="V60" s="72">
        <v>58.2</v>
      </c>
      <c r="W60" s="72">
        <v>58.8</v>
      </c>
      <c r="X60" s="72">
        <v>58.7</v>
      </c>
      <c r="Y60" s="72">
        <v>58.2</v>
      </c>
      <c r="Z60" s="72">
        <v>58.8</v>
      </c>
      <c r="AA60" s="72">
        <v>57.7</v>
      </c>
      <c r="AB60" s="72">
        <v>50</v>
      </c>
      <c r="AC60" s="72">
        <v>45</v>
      </c>
      <c r="AD60" s="72">
        <v>51</v>
      </c>
      <c r="AE60" s="72">
        <v>53</v>
      </c>
      <c r="AF60" s="57">
        <v>52</v>
      </c>
      <c r="AG60" s="84"/>
      <c r="AH60" s="53">
        <f t="shared" si="2"/>
        <v>62.4</v>
      </c>
      <c r="AI60" s="54">
        <f t="shared" si="3"/>
        <v>42.3</v>
      </c>
      <c r="AK60" s="55"/>
    </row>
    <row r="61" spans="1:37" x14ac:dyDescent="0.25">
      <c r="A61" s="65" t="s">
        <v>69</v>
      </c>
      <c r="B61" s="50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80.599999999999994</v>
      </c>
      <c r="K61" s="57">
        <v>85.6</v>
      </c>
      <c r="L61" s="57">
        <v>88</v>
      </c>
      <c r="M61" s="50">
        <v>85.8</v>
      </c>
      <c r="N61" s="50">
        <v>61</v>
      </c>
      <c r="O61" s="50">
        <v>65.3</v>
      </c>
      <c r="P61" s="50">
        <v>64.8</v>
      </c>
      <c r="Q61" s="50">
        <v>64.5</v>
      </c>
      <c r="R61" s="50">
        <v>69</v>
      </c>
      <c r="S61" s="50">
        <v>66.900000000000006</v>
      </c>
      <c r="T61" s="50">
        <v>72</v>
      </c>
      <c r="U61" s="50">
        <v>74.5</v>
      </c>
      <c r="V61" s="50">
        <v>70.599999999999994</v>
      </c>
      <c r="W61" s="50">
        <v>66.400000000000006</v>
      </c>
      <c r="X61" s="50">
        <v>71.599999999999994</v>
      </c>
      <c r="Y61" s="50">
        <v>73</v>
      </c>
      <c r="Z61" s="50">
        <v>77.7</v>
      </c>
      <c r="AA61" s="50">
        <v>72.2</v>
      </c>
      <c r="AB61" s="50">
        <v>73</v>
      </c>
      <c r="AC61" s="50">
        <v>75</v>
      </c>
      <c r="AD61" s="50">
        <v>75.5</v>
      </c>
      <c r="AE61" s="50">
        <v>68.5</v>
      </c>
      <c r="AF61" s="50">
        <v>0</v>
      </c>
      <c r="AG61" s="84"/>
      <c r="AH61" s="53">
        <f t="shared" si="2"/>
        <v>88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7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7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0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375</v>
      </c>
      <c r="C68" s="71">
        <f>SUM(C57:C67)</f>
        <v>442</v>
      </c>
      <c r="D68" s="71">
        <f t="shared" ref="D68:AF68" si="8">SUM(D57:D67)</f>
        <v>426</v>
      </c>
      <c r="E68" s="71">
        <f t="shared" si="8"/>
        <v>408.6</v>
      </c>
      <c r="F68" s="71">
        <f t="shared" si="8"/>
        <v>420.4</v>
      </c>
      <c r="G68" s="71">
        <f t="shared" si="8"/>
        <v>435.8</v>
      </c>
      <c r="H68" s="71">
        <f t="shared" si="8"/>
        <v>435</v>
      </c>
      <c r="I68" s="71">
        <f t="shared" si="8"/>
        <v>441.2</v>
      </c>
      <c r="J68" s="71">
        <f t="shared" si="8"/>
        <v>534.9</v>
      </c>
      <c r="K68" s="71">
        <f t="shared" si="8"/>
        <v>373.1</v>
      </c>
      <c r="L68" s="71">
        <f t="shared" si="8"/>
        <v>371</v>
      </c>
      <c r="M68" s="71">
        <f t="shared" si="8"/>
        <v>328.8</v>
      </c>
      <c r="N68" s="71">
        <f t="shared" si="8"/>
        <v>195.5</v>
      </c>
      <c r="O68" s="71">
        <f t="shared" si="8"/>
        <v>368.7</v>
      </c>
      <c r="P68" s="71">
        <f t="shared" si="8"/>
        <v>489.2</v>
      </c>
      <c r="Q68" s="71">
        <f t="shared" si="8"/>
        <v>581.79999999999995</v>
      </c>
      <c r="R68" s="71">
        <f t="shared" si="8"/>
        <v>533.6</v>
      </c>
      <c r="S68" s="71">
        <f t="shared" si="8"/>
        <v>538.91</v>
      </c>
      <c r="T68" s="71">
        <f t="shared" si="8"/>
        <v>520.4</v>
      </c>
      <c r="U68" s="71">
        <f t="shared" si="8"/>
        <v>540.5</v>
      </c>
      <c r="V68" s="71">
        <f t="shared" si="8"/>
        <v>392.29999999999995</v>
      </c>
      <c r="W68" s="71">
        <f t="shared" si="8"/>
        <v>294</v>
      </c>
      <c r="X68" s="71">
        <f t="shared" si="8"/>
        <v>256.89999999999998</v>
      </c>
      <c r="Y68" s="71">
        <f t="shared" si="8"/>
        <v>338.9</v>
      </c>
      <c r="Z68" s="71">
        <f t="shared" si="8"/>
        <v>382.4</v>
      </c>
      <c r="AA68" s="71">
        <f t="shared" si="8"/>
        <v>368.5</v>
      </c>
      <c r="AB68" s="71">
        <f t="shared" si="8"/>
        <v>439</v>
      </c>
      <c r="AC68" s="71">
        <f t="shared" si="8"/>
        <v>410</v>
      </c>
      <c r="AD68" s="71">
        <f t="shared" si="8"/>
        <v>528.5</v>
      </c>
      <c r="AE68" s="71">
        <f t="shared" si="8"/>
        <v>519.5</v>
      </c>
      <c r="AF68" s="71">
        <f t="shared" si="8"/>
        <v>473</v>
      </c>
      <c r="AG68" s="76">
        <f>SUM(AG57:AG67)</f>
        <v>0</v>
      </c>
      <c r="AH68" s="53">
        <f t="shared" si="2"/>
        <v>581.79999999999995</v>
      </c>
      <c r="AI68" s="54">
        <f t="shared" si="3"/>
        <v>195.5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8.5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8.5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8.5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8.5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916.24</v>
      </c>
      <c r="C73" s="88">
        <f>C68+C56+C52+C38+C72</f>
        <v>989.24</v>
      </c>
      <c r="D73" s="88">
        <f t="shared" ref="D73:AG73" si="10">D68+D56+D52+D38+D72</f>
        <v>968.24</v>
      </c>
      <c r="E73" s="88">
        <f t="shared" si="10"/>
        <v>945.44</v>
      </c>
      <c r="F73" s="88">
        <f t="shared" si="10"/>
        <v>956.93999999999994</v>
      </c>
      <c r="G73" s="88">
        <f t="shared" si="10"/>
        <v>992.33999999999992</v>
      </c>
      <c r="H73" s="88">
        <f t="shared" si="10"/>
        <v>1066.44</v>
      </c>
      <c r="I73" s="88">
        <f t="shared" si="10"/>
        <v>1117.44</v>
      </c>
      <c r="J73" s="88">
        <f t="shared" si="10"/>
        <v>1292.24</v>
      </c>
      <c r="K73" s="88">
        <f t="shared" si="10"/>
        <v>1437.34</v>
      </c>
      <c r="L73" s="88">
        <f t="shared" si="10"/>
        <v>1510.2399999999998</v>
      </c>
      <c r="M73" s="88">
        <f t="shared" si="10"/>
        <v>1534.44</v>
      </c>
      <c r="N73" s="88">
        <f t="shared" si="10"/>
        <v>1389.8400000000001</v>
      </c>
      <c r="O73" s="88">
        <f t="shared" si="10"/>
        <v>1330.44</v>
      </c>
      <c r="P73" s="88">
        <f t="shared" si="10"/>
        <v>1383.3400000000001</v>
      </c>
      <c r="Q73" s="88">
        <f t="shared" si="10"/>
        <v>1313.8400000000001</v>
      </c>
      <c r="R73" s="88">
        <f t="shared" si="10"/>
        <v>1259.8399999999999</v>
      </c>
      <c r="S73" s="88">
        <f t="shared" si="10"/>
        <v>1259.5500000000002</v>
      </c>
      <c r="T73" s="88">
        <f t="shared" si="10"/>
        <v>1252.9399999999998</v>
      </c>
      <c r="U73" s="88">
        <f t="shared" si="10"/>
        <v>1274.54</v>
      </c>
      <c r="V73" s="88">
        <f t="shared" si="10"/>
        <v>1319.3400000000001</v>
      </c>
      <c r="W73" s="88">
        <f t="shared" si="10"/>
        <v>1334.8400000000001</v>
      </c>
      <c r="X73" s="88">
        <f t="shared" si="10"/>
        <v>1456.24</v>
      </c>
      <c r="Y73" s="88">
        <f t="shared" si="10"/>
        <v>1588.7400000000002</v>
      </c>
      <c r="Z73" s="88">
        <f t="shared" si="10"/>
        <v>1569.54</v>
      </c>
      <c r="AA73" s="88">
        <f t="shared" si="10"/>
        <v>1529.1399999999999</v>
      </c>
      <c r="AB73" s="88">
        <f t="shared" si="10"/>
        <v>1459.74</v>
      </c>
      <c r="AC73" s="88">
        <f t="shared" si="10"/>
        <v>1371.54</v>
      </c>
      <c r="AD73" s="88">
        <f t="shared" si="10"/>
        <v>1269.3399999999999</v>
      </c>
      <c r="AE73" s="88">
        <f t="shared" si="10"/>
        <v>1140.24</v>
      </c>
      <c r="AF73" s="88">
        <f t="shared" si="10"/>
        <v>1035.8399999999999</v>
      </c>
      <c r="AG73" s="88">
        <f t="shared" si="10"/>
        <v>2144.14</v>
      </c>
      <c r="AH73" s="53">
        <f t="shared" si="2"/>
        <v>1588.7400000000002</v>
      </c>
      <c r="AI73" s="54">
        <f t="shared" si="3"/>
        <v>916.24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>
        <v>35</v>
      </c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35</v>
      </c>
      <c r="AI74" s="54">
        <f t="shared" si="3"/>
        <v>35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951.24</v>
      </c>
      <c r="C75" s="88">
        <f>C73+C74</f>
        <v>989.24</v>
      </c>
      <c r="D75" s="88">
        <f t="shared" ref="D75:AF75" si="11">D72+D68+D56+D52+D38+D74</f>
        <v>968.24</v>
      </c>
      <c r="E75" s="88">
        <f t="shared" si="11"/>
        <v>945.44</v>
      </c>
      <c r="F75" s="88">
        <f t="shared" si="11"/>
        <v>956.93999999999994</v>
      </c>
      <c r="G75" s="88">
        <f t="shared" si="11"/>
        <v>992.33999999999992</v>
      </c>
      <c r="H75" s="88">
        <f t="shared" si="11"/>
        <v>1066.44</v>
      </c>
      <c r="I75" s="88">
        <f t="shared" si="11"/>
        <v>1117.44</v>
      </c>
      <c r="J75" s="88">
        <f t="shared" si="11"/>
        <v>1292.24</v>
      </c>
      <c r="K75" s="88">
        <f t="shared" si="11"/>
        <v>1437.34</v>
      </c>
      <c r="L75" s="88">
        <f t="shared" si="11"/>
        <v>1510.2399999999998</v>
      </c>
      <c r="M75" s="88">
        <f t="shared" si="11"/>
        <v>1534.44</v>
      </c>
      <c r="N75" s="88">
        <f t="shared" si="11"/>
        <v>1389.8400000000001</v>
      </c>
      <c r="O75" s="88">
        <f t="shared" si="11"/>
        <v>1330.44</v>
      </c>
      <c r="P75" s="88">
        <f t="shared" si="11"/>
        <v>1383.3400000000001</v>
      </c>
      <c r="Q75" s="88">
        <f t="shared" si="11"/>
        <v>1313.8400000000001</v>
      </c>
      <c r="R75" s="88">
        <f t="shared" si="11"/>
        <v>1259.8399999999999</v>
      </c>
      <c r="S75" s="88">
        <f t="shared" si="11"/>
        <v>1259.5500000000002</v>
      </c>
      <c r="T75" s="88">
        <f t="shared" si="11"/>
        <v>1252.9399999999998</v>
      </c>
      <c r="U75" s="88">
        <f t="shared" si="11"/>
        <v>1274.54</v>
      </c>
      <c r="V75" s="88">
        <f t="shared" si="11"/>
        <v>1319.3400000000001</v>
      </c>
      <c r="W75" s="88">
        <f t="shared" si="11"/>
        <v>1334.8400000000001</v>
      </c>
      <c r="X75" s="88">
        <f t="shared" si="11"/>
        <v>1456.24</v>
      </c>
      <c r="Y75" s="88">
        <f t="shared" si="11"/>
        <v>1588.7400000000002</v>
      </c>
      <c r="Z75" s="88">
        <f t="shared" si="11"/>
        <v>1569.54</v>
      </c>
      <c r="AA75" s="88">
        <f t="shared" si="11"/>
        <v>1529.1399999999999</v>
      </c>
      <c r="AB75" s="88">
        <f t="shared" si="11"/>
        <v>1459.74</v>
      </c>
      <c r="AC75" s="88">
        <f t="shared" si="11"/>
        <v>1371.54</v>
      </c>
      <c r="AD75" s="88">
        <f t="shared" si="11"/>
        <v>1269.3399999999999</v>
      </c>
      <c r="AE75" s="88">
        <f t="shared" si="11"/>
        <v>1140.24</v>
      </c>
      <c r="AF75" s="88">
        <f t="shared" si="11"/>
        <v>1035.8399999999999</v>
      </c>
      <c r="AG75" s="76">
        <f>AG72+AG68+AG56+AG52+AG38+AG74</f>
        <v>2144.14</v>
      </c>
      <c r="AH75" s="53">
        <f t="shared" si="2"/>
        <v>1588.7400000000002</v>
      </c>
      <c r="AI75" s="54">
        <f t="shared" si="3"/>
        <v>945.44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1902.48</v>
      </c>
      <c r="C83" s="71">
        <f t="shared" ref="C83:AG83" si="20">SUM(C70:C82)</f>
        <v>1978.48</v>
      </c>
      <c r="D83" s="71">
        <f t="shared" si="20"/>
        <v>1936.48</v>
      </c>
      <c r="E83" s="71">
        <f t="shared" si="20"/>
        <v>1890.88</v>
      </c>
      <c r="F83" s="71">
        <f t="shared" si="20"/>
        <v>1913.8799999999999</v>
      </c>
      <c r="G83" s="71">
        <f t="shared" si="20"/>
        <v>1984.6799999999998</v>
      </c>
      <c r="H83" s="71">
        <f t="shared" si="20"/>
        <v>2132.88</v>
      </c>
      <c r="I83" s="71">
        <f t="shared" si="20"/>
        <v>2234.88</v>
      </c>
      <c r="J83" s="71">
        <f t="shared" si="20"/>
        <v>2584.48</v>
      </c>
      <c r="K83" s="71">
        <f t="shared" si="20"/>
        <v>2874.68</v>
      </c>
      <c r="L83" s="71">
        <f t="shared" si="20"/>
        <v>3020.4799999999996</v>
      </c>
      <c r="M83" s="71">
        <f t="shared" si="20"/>
        <v>3068.88</v>
      </c>
      <c r="N83" s="71">
        <f t="shared" si="20"/>
        <v>2779.6800000000003</v>
      </c>
      <c r="O83" s="71">
        <f t="shared" si="20"/>
        <v>2660.88</v>
      </c>
      <c r="P83" s="71">
        <f t="shared" si="20"/>
        <v>2766.6800000000003</v>
      </c>
      <c r="Q83" s="71">
        <f t="shared" si="20"/>
        <v>2627.6800000000003</v>
      </c>
      <c r="R83" s="71">
        <f t="shared" si="20"/>
        <v>2519.6799999999998</v>
      </c>
      <c r="S83" s="71">
        <f t="shared" si="20"/>
        <v>2519.1000000000004</v>
      </c>
      <c r="T83" s="71">
        <f t="shared" si="20"/>
        <v>2505.8799999999997</v>
      </c>
      <c r="U83" s="71">
        <f t="shared" si="20"/>
        <v>2549.08</v>
      </c>
      <c r="V83" s="71">
        <f t="shared" si="20"/>
        <v>2638.6800000000003</v>
      </c>
      <c r="W83" s="71">
        <f t="shared" si="20"/>
        <v>2669.6800000000003</v>
      </c>
      <c r="X83" s="71">
        <f t="shared" si="20"/>
        <v>2912.48</v>
      </c>
      <c r="Y83" s="71">
        <f t="shared" si="20"/>
        <v>3194.4800000000005</v>
      </c>
      <c r="Z83" s="71">
        <f t="shared" si="20"/>
        <v>3139.08</v>
      </c>
      <c r="AA83" s="71">
        <f t="shared" si="20"/>
        <v>3058.2799999999997</v>
      </c>
      <c r="AB83" s="71">
        <f t="shared" si="20"/>
        <v>2919.48</v>
      </c>
      <c r="AC83" s="71">
        <f t="shared" si="20"/>
        <v>2743.08</v>
      </c>
      <c r="AD83" s="71">
        <f t="shared" si="20"/>
        <v>2538.6799999999998</v>
      </c>
      <c r="AE83" s="71">
        <f t="shared" si="20"/>
        <v>2280.48</v>
      </c>
      <c r="AF83" s="71">
        <f t="shared" si="20"/>
        <v>2071.6799999999998</v>
      </c>
      <c r="AG83" s="76">
        <f t="shared" si="20"/>
        <v>4360.08</v>
      </c>
      <c r="AH83" s="53">
        <f t="shared" si="13"/>
        <v>3194.4800000000005</v>
      </c>
      <c r="AI83" s="54">
        <f t="shared" si="14"/>
        <v>1890.88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</v>
      </c>
      <c r="C84" s="95">
        <v>49.97</v>
      </c>
      <c r="D84" s="95">
        <v>49.93</v>
      </c>
      <c r="E84" s="95">
        <v>50.057000000000002</v>
      </c>
      <c r="F84" s="95">
        <v>50.029000000000003</v>
      </c>
      <c r="G84" s="95">
        <v>50.015999999999998</v>
      </c>
      <c r="H84" s="95">
        <v>50.06</v>
      </c>
      <c r="I84" s="95">
        <v>50.048999999999999</v>
      </c>
      <c r="J84" s="95">
        <v>50.073</v>
      </c>
      <c r="K84" s="95">
        <v>50.036999999999999</v>
      </c>
      <c r="L84" s="95">
        <v>50.07</v>
      </c>
      <c r="M84" s="95">
        <v>50.036000000000001</v>
      </c>
      <c r="N84" s="95">
        <v>50.1</v>
      </c>
      <c r="O84" s="95">
        <v>50.04</v>
      </c>
      <c r="P84" s="95">
        <v>50.06</v>
      </c>
      <c r="Q84" s="95">
        <v>50.1</v>
      </c>
      <c r="R84" s="95">
        <v>50.06</v>
      </c>
      <c r="S84" s="95">
        <v>50.057000000000002</v>
      </c>
      <c r="T84" s="95">
        <v>50.009</v>
      </c>
      <c r="U84" s="95">
        <v>49.975999999999999</v>
      </c>
      <c r="V84" s="95">
        <v>50.048999999999999</v>
      </c>
      <c r="W84" s="95">
        <v>50.093000000000004</v>
      </c>
      <c r="X84" s="95">
        <v>50.003999999999998</v>
      </c>
      <c r="Y84" s="95">
        <v>50.015000000000001</v>
      </c>
      <c r="Z84" s="95">
        <v>49.957999999999998</v>
      </c>
      <c r="AA84" s="95">
        <v>50.003999999999998</v>
      </c>
      <c r="AB84" s="95">
        <v>50.003999999999998</v>
      </c>
      <c r="AC84" s="95">
        <v>50.000999999999998</v>
      </c>
      <c r="AD84" s="95">
        <v>50.051000000000002</v>
      </c>
      <c r="AE84" s="95">
        <v>49.981000000000002</v>
      </c>
      <c r="AF84" s="95">
        <v>50.015999999999998</v>
      </c>
      <c r="AG84" s="96"/>
      <c r="AH84" s="53">
        <f t="shared" si="13"/>
        <v>50.1</v>
      </c>
      <c r="AI84" s="54">
        <f t="shared" si="14"/>
        <v>49.93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125</v>
      </c>
      <c r="C85" s="72">
        <v>125</v>
      </c>
      <c r="D85" s="72">
        <v>125</v>
      </c>
      <c r="E85" s="72">
        <v>126.2</v>
      </c>
      <c r="F85" s="72">
        <v>126.2</v>
      </c>
      <c r="G85" s="72">
        <v>126.2</v>
      </c>
      <c r="H85" s="72">
        <v>126.2</v>
      </c>
      <c r="I85" s="72">
        <v>123.9</v>
      </c>
      <c r="J85" s="72">
        <v>123.9</v>
      </c>
      <c r="K85" s="72">
        <v>122.8</v>
      </c>
      <c r="L85" s="72">
        <v>122.8</v>
      </c>
      <c r="M85" s="72">
        <v>122.9</v>
      </c>
      <c r="N85" s="72">
        <v>123.3</v>
      </c>
      <c r="O85" s="72">
        <v>123.7</v>
      </c>
      <c r="P85" s="72">
        <v>123.7</v>
      </c>
      <c r="Q85" s="72">
        <v>125</v>
      </c>
      <c r="R85" s="72">
        <v>126.2</v>
      </c>
      <c r="S85" s="72">
        <v>125.9</v>
      </c>
      <c r="T85" s="72">
        <v>126.2</v>
      </c>
      <c r="U85" s="99">
        <v>127.1</v>
      </c>
      <c r="V85" s="99">
        <v>127.3</v>
      </c>
      <c r="W85" s="99">
        <v>127.4</v>
      </c>
      <c r="X85" s="99">
        <v>125.5</v>
      </c>
      <c r="Y85" s="99">
        <v>125.1</v>
      </c>
      <c r="Z85" s="99">
        <v>125.7</v>
      </c>
      <c r="AA85" s="99">
        <v>125.9</v>
      </c>
      <c r="AB85" s="72">
        <v>124.9</v>
      </c>
      <c r="AC85" s="72">
        <v>124.9</v>
      </c>
      <c r="AD85" s="72">
        <v>126.5</v>
      </c>
      <c r="AE85" s="72">
        <v>127.8</v>
      </c>
      <c r="AF85" s="72">
        <v>126.3</v>
      </c>
      <c r="AG85" s="100"/>
      <c r="AH85" s="53">
        <f t="shared" si="13"/>
        <v>127.8</v>
      </c>
      <c r="AI85" s="54">
        <f t="shared" si="14"/>
        <v>122.8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129</v>
      </c>
      <c r="C86" s="72">
        <v>129</v>
      </c>
      <c r="D86" s="72">
        <v>129</v>
      </c>
      <c r="E86" s="72">
        <v>130</v>
      </c>
      <c r="F86" s="72">
        <v>130</v>
      </c>
      <c r="G86" s="72">
        <v>130</v>
      </c>
      <c r="H86" s="72">
        <v>130</v>
      </c>
      <c r="I86" s="72">
        <v>127.5</v>
      </c>
      <c r="J86" s="72">
        <v>127.5</v>
      </c>
      <c r="K86" s="72">
        <v>125.1</v>
      </c>
      <c r="L86" s="72">
        <v>125.1</v>
      </c>
      <c r="M86" s="72">
        <v>125.1</v>
      </c>
      <c r="N86" s="72">
        <v>124.9</v>
      </c>
      <c r="O86" s="72">
        <v>125.8</v>
      </c>
      <c r="P86" s="72">
        <v>126.4</v>
      </c>
      <c r="Q86" s="72">
        <v>127.6</v>
      </c>
      <c r="R86" s="72">
        <v>128.4</v>
      </c>
      <c r="S86" s="72">
        <v>128.30000000000001</v>
      </c>
      <c r="T86" s="72">
        <v>128.6</v>
      </c>
      <c r="U86" s="99">
        <v>129.30000000000001</v>
      </c>
      <c r="V86" s="99">
        <v>129.6</v>
      </c>
      <c r="W86" s="99">
        <v>129.1</v>
      </c>
      <c r="X86" s="99">
        <v>127.4</v>
      </c>
      <c r="Y86" s="99">
        <v>126.5</v>
      </c>
      <c r="Z86" s="99">
        <v>127.3</v>
      </c>
      <c r="AA86" s="99">
        <v>127.7</v>
      </c>
      <c r="AB86" s="72">
        <v>127</v>
      </c>
      <c r="AC86" s="72">
        <v>127</v>
      </c>
      <c r="AD86" s="72">
        <v>129.1</v>
      </c>
      <c r="AE86" s="72">
        <v>130.19999999999999</v>
      </c>
      <c r="AF86" s="72">
        <v>130.1</v>
      </c>
      <c r="AG86" s="100"/>
      <c r="AH86" s="53">
        <f t="shared" si="13"/>
        <v>130.19999999999999</v>
      </c>
      <c r="AI86" s="54">
        <f t="shared" si="14"/>
        <v>124.9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127</v>
      </c>
      <c r="C87" s="72">
        <v>126.5</v>
      </c>
      <c r="D87" s="72">
        <v>130</v>
      </c>
      <c r="E87" s="72">
        <v>130.6</v>
      </c>
      <c r="F87" s="72">
        <v>130.6</v>
      </c>
      <c r="G87" s="72">
        <v>130.6</v>
      </c>
      <c r="H87" s="72">
        <v>130.6</v>
      </c>
      <c r="I87" s="72">
        <v>128.19999999999999</v>
      </c>
      <c r="J87" s="72">
        <v>128.19999999999999</v>
      </c>
      <c r="K87" s="72">
        <v>126.6</v>
      </c>
      <c r="L87" s="72">
        <v>126.6</v>
      </c>
      <c r="M87" s="72">
        <v>126.6</v>
      </c>
      <c r="N87" s="72">
        <v>131.5</v>
      </c>
      <c r="O87" s="72">
        <v>131.5</v>
      </c>
      <c r="P87" s="72">
        <v>128.5</v>
      </c>
      <c r="Q87" s="72">
        <v>133</v>
      </c>
      <c r="R87" s="72">
        <v>129.4</v>
      </c>
      <c r="S87" s="72">
        <v>128.1</v>
      </c>
      <c r="T87" s="72">
        <v>127.1</v>
      </c>
      <c r="U87" s="72">
        <v>129.1</v>
      </c>
      <c r="V87" s="72">
        <v>128.30000000000001</v>
      </c>
      <c r="W87" s="72">
        <v>130.1</v>
      </c>
      <c r="X87" s="99">
        <v>127.3</v>
      </c>
      <c r="Y87" s="99">
        <v>126.9</v>
      </c>
      <c r="Z87" s="99">
        <v>128.9</v>
      </c>
      <c r="AA87" s="99">
        <v>130.69999999999999</v>
      </c>
      <c r="AB87" s="72">
        <v>129.69999999999999</v>
      </c>
      <c r="AC87" s="72">
        <v>129.69999999999999</v>
      </c>
      <c r="AD87" s="72">
        <v>130</v>
      </c>
      <c r="AE87" s="72">
        <v>130.30000000000001</v>
      </c>
      <c r="AF87" s="72">
        <v>128.80000000000001</v>
      </c>
      <c r="AG87" s="100"/>
      <c r="AH87" s="53">
        <f t="shared" si="13"/>
        <v>133</v>
      </c>
      <c r="AI87" s="54">
        <f t="shared" si="14"/>
        <v>126.5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130.5</v>
      </c>
      <c r="C88" s="72">
        <v>130</v>
      </c>
      <c r="D88" s="72">
        <v>133.69999999999999</v>
      </c>
      <c r="E88" s="72">
        <v>134</v>
      </c>
      <c r="F88" s="72">
        <v>134</v>
      </c>
      <c r="G88" s="72">
        <v>134</v>
      </c>
      <c r="H88" s="72">
        <v>134</v>
      </c>
      <c r="I88" s="72">
        <v>131.30000000000001</v>
      </c>
      <c r="J88" s="72">
        <v>131.30000000000001</v>
      </c>
      <c r="K88" s="72">
        <v>131.19999999999999</v>
      </c>
      <c r="L88" s="72">
        <v>131.19999999999999</v>
      </c>
      <c r="M88" s="72">
        <v>131.19999999999999</v>
      </c>
      <c r="N88" s="72">
        <v>135.19999999999999</v>
      </c>
      <c r="O88" s="72">
        <v>131.30000000000001</v>
      </c>
      <c r="P88" s="72">
        <v>133.69999999999999</v>
      </c>
      <c r="Q88" s="72">
        <v>134</v>
      </c>
      <c r="R88" s="72">
        <v>133.1</v>
      </c>
      <c r="S88" s="72">
        <v>131.69999999999999</v>
      </c>
      <c r="T88" s="72">
        <v>130.6</v>
      </c>
      <c r="U88" s="72">
        <v>132.80000000000001</v>
      </c>
      <c r="V88" s="72">
        <v>133</v>
      </c>
      <c r="W88" s="72">
        <v>133.19999999999999</v>
      </c>
      <c r="X88" s="99">
        <v>132.1</v>
      </c>
      <c r="Y88" s="99">
        <v>131.5</v>
      </c>
      <c r="Z88" s="99">
        <v>132</v>
      </c>
      <c r="AA88" s="99">
        <v>134</v>
      </c>
      <c r="AB88" s="72">
        <v>134.19999999999999</v>
      </c>
      <c r="AC88" s="72">
        <v>134.19999999999999</v>
      </c>
      <c r="AD88" s="72">
        <v>133</v>
      </c>
      <c r="AE88" s="72">
        <v>132.30000000000001</v>
      </c>
      <c r="AF88" s="72">
        <v>131.19999999999999</v>
      </c>
      <c r="AG88" s="100"/>
      <c r="AH88" s="53">
        <f t="shared" si="13"/>
        <v>135.19999999999999</v>
      </c>
      <c r="AI88" s="54">
        <f t="shared" si="14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130</v>
      </c>
      <c r="C89" s="103">
        <v>130.5</v>
      </c>
      <c r="D89" s="103">
        <v>129.5</v>
      </c>
      <c r="E89" s="103">
        <v>132.4</v>
      </c>
      <c r="F89" s="103">
        <v>132.4</v>
      </c>
      <c r="G89" s="103">
        <v>132.4</v>
      </c>
      <c r="H89" s="103">
        <v>132.4</v>
      </c>
      <c r="I89" s="103">
        <v>133.1</v>
      </c>
      <c r="J89" s="103">
        <v>133.1</v>
      </c>
      <c r="K89" s="103">
        <v>133.5</v>
      </c>
      <c r="L89" s="103">
        <v>133.5</v>
      </c>
      <c r="M89" s="103">
        <v>133.5</v>
      </c>
      <c r="N89" s="103">
        <v>131.9</v>
      </c>
      <c r="O89" s="103">
        <v>132.30000000000001</v>
      </c>
      <c r="P89" s="103">
        <v>131.4</v>
      </c>
      <c r="Q89" s="103">
        <v>136</v>
      </c>
      <c r="R89" s="103">
        <v>133</v>
      </c>
      <c r="S89" s="103">
        <v>134</v>
      </c>
      <c r="T89" s="103">
        <v>133.6</v>
      </c>
      <c r="U89" s="103">
        <v>133.1</v>
      </c>
      <c r="V89" s="103">
        <v>135.4</v>
      </c>
      <c r="W89" s="103">
        <v>138.4</v>
      </c>
      <c r="X89" s="99">
        <v>136.30000000000001</v>
      </c>
      <c r="Y89" s="99">
        <v>133</v>
      </c>
      <c r="Z89" s="99">
        <v>132.30000000000001</v>
      </c>
      <c r="AA89" s="99">
        <v>132.9</v>
      </c>
      <c r="AB89" s="103">
        <v>131.4</v>
      </c>
      <c r="AC89" s="103">
        <v>131.4</v>
      </c>
      <c r="AD89" s="103">
        <v>135.9</v>
      </c>
      <c r="AE89" s="103">
        <v>133.30000000000001</v>
      </c>
      <c r="AF89" s="103">
        <v>132.4</v>
      </c>
      <c r="AG89" s="104"/>
      <c r="AH89" s="53">
        <f t="shared" si="13"/>
        <v>138.4</v>
      </c>
      <c r="AI89" s="54">
        <f t="shared" si="14"/>
        <v>129.5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130</v>
      </c>
      <c r="C90" s="72">
        <v>130</v>
      </c>
      <c r="D90" s="72">
        <v>129</v>
      </c>
      <c r="E90" s="72">
        <v>127.9</v>
      </c>
      <c r="F90" s="72">
        <v>127.9</v>
      </c>
      <c r="G90" s="72">
        <v>127.9</v>
      </c>
      <c r="H90" s="72">
        <v>127.9</v>
      </c>
      <c r="I90" s="72">
        <v>134.30000000000001</v>
      </c>
      <c r="J90" s="72">
        <v>134.30000000000001</v>
      </c>
      <c r="K90" s="72">
        <v>137.5</v>
      </c>
      <c r="L90" s="72">
        <v>137.5</v>
      </c>
      <c r="M90" s="72">
        <v>137.5</v>
      </c>
      <c r="N90" s="72">
        <v>132.19999999999999</v>
      </c>
      <c r="O90" s="72">
        <v>130.6</v>
      </c>
      <c r="P90" s="72">
        <v>133.19999999999999</v>
      </c>
      <c r="Q90" s="72">
        <v>134</v>
      </c>
      <c r="R90" s="72">
        <v>135.30000000000001</v>
      </c>
      <c r="S90" s="72">
        <v>134.1</v>
      </c>
      <c r="T90" s="72">
        <v>129.4</v>
      </c>
      <c r="U90" s="72">
        <v>130</v>
      </c>
      <c r="V90" s="72">
        <v>130.9</v>
      </c>
      <c r="W90" s="72">
        <v>131.4</v>
      </c>
      <c r="X90" s="99">
        <v>129.1</v>
      </c>
      <c r="Y90" s="99">
        <v>133</v>
      </c>
      <c r="Z90" s="99">
        <v>130.6</v>
      </c>
      <c r="AA90" s="99">
        <v>135</v>
      </c>
      <c r="AB90" s="72">
        <v>131.1</v>
      </c>
      <c r="AC90" s="72">
        <v>131.1</v>
      </c>
      <c r="AD90" s="72">
        <v>135.4</v>
      </c>
      <c r="AE90" s="72">
        <v>132.9</v>
      </c>
      <c r="AF90" s="72">
        <v>137.30000000000001</v>
      </c>
      <c r="AG90" s="100"/>
      <c r="AH90" s="53">
        <f t="shared" si="13"/>
        <v>137.5</v>
      </c>
      <c r="AI90" s="54">
        <f t="shared" si="14"/>
        <v>127.9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64.900000000000006</v>
      </c>
      <c r="C91" s="106">
        <v>65</v>
      </c>
      <c r="D91" s="106">
        <v>64.8</v>
      </c>
      <c r="E91" s="106">
        <v>65.2</v>
      </c>
      <c r="F91" s="106">
        <v>65.2</v>
      </c>
      <c r="G91" s="106">
        <v>65.2</v>
      </c>
      <c r="H91" s="106">
        <v>65.2</v>
      </c>
      <c r="I91" s="106">
        <v>64.3</v>
      </c>
      <c r="J91" s="106">
        <v>64.3</v>
      </c>
      <c r="K91" s="106">
        <v>63.4</v>
      </c>
      <c r="L91" s="106">
        <v>63.4</v>
      </c>
      <c r="M91" s="106">
        <v>63.4</v>
      </c>
      <c r="N91" s="106">
        <v>63.3</v>
      </c>
      <c r="O91" s="106">
        <v>63.6</v>
      </c>
      <c r="P91" s="106">
        <v>64.099999999999994</v>
      </c>
      <c r="Q91" s="106">
        <v>64.599999999999994</v>
      </c>
      <c r="R91" s="106">
        <v>65.099999999999994</v>
      </c>
      <c r="S91" s="106">
        <v>64.8</v>
      </c>
      <c r="T91" s="106">
        <v>64.8</v>
      </c>
      <c r="U91" s="106">
        <v>65.400000000000006</v>
      </c>
      <c r="V91" s="106">
        <v>65.5</v>
      </c>
      <c r="W91" s="106">
        <v>65.3</v>
      </c>
      <c r="X91" s="106">
        <v>64.5</v>
      </c>
      <c r="Y91" s="106">
        <v>64.099999999999994</v>
      </c>
      <c r="Z91" s="106">
        <v>64.400000000000006</v>
      </c>
      <c r="AA91" s="106">
        <v>64.599999999999994</v>
      </c>
      <c r="AB91" s="106">
        <v>64.3</v>
      </c>
      <c r="AC91" s="106">
        <v>64.3</v>
      </c>
      <c r="AD91" s="106">
        <v>65.3</v>
      </c>
      <c r="AE91" s="106">
        <v>65.900000000000006</v>
      </c>
      <c r="AF91" s="106">
        <v>65.599999999999994</v>
      </c>
      <c r="AG91" s="107"/>
      <c r="AH91" s="53">
        <f t="shared" si="13"/>
        <v>65.900000000000006</v>
      </c>
      <c r="AI91" s="54">
        <f t="shared" si="14"/>
        <v>63.3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185.93999999999997</v>
      </c>
      <c r="C93" s="113">
        <f>SUM(C15,C18,C21:C22,C42,C44:C45,C47,C49,C94:C97,C102,C108,C114,C123,C125,C137,C144,C147:C148,C155,C157,C159,C163:C165,C167:C169,C174,C180:C181,C183:C185,C193,C198)</f>
        <v>200.93999999999997</v>
      </c>
      <c r="D93" s="113">
        <f t="shared" ref="D93:AF93" si="21">SUM(D15,D18,D21:D22,D42,D44:D45,D47,D49,D94:D97,D102,D108,D114,D123,D125,D137,D144,D147:D148,D155,D157,D159,D163:D165,D167:D169,D174,D180:D181,D183:D185,D193,D198)</f>
        <v>192.93999999999997</v>
      </c>
      <c r="E93" s="113">
        <f t="shared" si="21"/>
        <v>186.23999999999995</v>
      </c>
      <c r="F93" s="113">
        <f t="shared" si="21"/>
        <v>199.74</v>
      </c>
      <c r="G93" s="112">
        <f t="shared" si="21"/>
        <v>235.04</v>
      </c>
      <c r="H93" s="112">
        <f t="shared" si="21"/>
        <v>242.63999999999996</v>
      </c>
      <c r="I93" s="112">
        <f t="shared" si="21"/>
        <v>264.24</v>
      </c>
      <c r="J93" s="112">
        <f t="shared" si="21"/>
        <v>318.84000000000003</v>
      </c>
      <c r="K93" s="112">
        <f t="shared" si="21"/>
        <v>405.34000000000003</v>
      </c>
      <c r="L93" s="112">
        <f t="shared" si="21"/>
        <v>420.54</v>
      </c>
      <c r="M93" s="112">
        <f t="shared" si="21"/>
        <v>441.54</v>
      </c>
      <c r="N93" s="112">
        <f t="shared" si="21"/>
        <v>429.24000000000007</v>
      </c>
      <c r="O93" s="112">
        <f t="shared" si="21"/>
        <v>421.44000000000005</v>
      </c>
      <c r="P93" s="112">
        <f t="shared" si="21"/>
        <v>400.34000000000003</v>
      </c>
      <c r="Q93" s="112">
        <f t="shared" si="21"/>
        <v>385.34000000000003</v>
      </c>
      <c r="R93" s="112">
        <f t="shared" si="21"/>
        <v>384.74</v>
      </c>
      <c r="S93" s="112">
        <f t="shared" si="21"/>
        <v>364.04</v>
      </c>
      <c r="T93" s="112">
        <f t="shared" si="21"/>
        <v>364.44000000000005</v>
      </c>
      <c r="U93" s="112">
        <f t="shared" si="21"/>
        <v>360.94000000000005</v>
      </c>
      <c r="V93" s="112">
        <f t="shared" si="21"/>
        <v>374.84000000000003</v>
      </c>
      <c r="W93" s="112">
        <f t="shared" si="21"/>
        <v>391.84000000000003</v>
      </c>
      <c r="X93" s="112">
        <f t="shared" si="21"/>
        <v>431.24</v>
      </c>
      <c r="Y93" s="112">
        <f t="shared" si="21"/>
        <v>482.04000000000008</v>
      </c>
      <c r="Z93" s="112">
        <f t="shared" si="21"/>
        <v>481.34000000000003</v>
      </c>
      <c r="AA93" s="112">
        <f t="shared" si="21"/>
        <v>471.44000000000005</v>
      </c>
      <c r="AB93" s="112">
        <f t="shared" si="21"/>
        <v>448.14000000000004</v>
      </c>
      <c r="AC93" s="112">
        <f t="shared" si="21"/>
        <v>424.14000000000004</v>
      </c>
      <c r="AD93" s="112">
        <f t="shared" si="21"/>
        <v>338.54</v>
      </c>
      <c r="AE93" s="112">
        <f t="shared" si="21"/>
        <v>318.14000000000004</v>
      </c>
      <c r="AF93" s="112">
        <f t="shared" si="21"/>
        <v>236.14</v>
      </c>
      <c r="AG93" s="114"/>
      <c r="AH93" s="53">
        <f>MAX(C93:AF93)</f>
        <v>482.04000000000008</v>
      </c>
      <c r="AI93" s="54">
        <f>MIN(C93:AF93)</f>
        <v>186.23999999999995</v>
      </c>
    </row>
    <row r="94" spans="1:88" x14ac:dyDescent="0.25">
      <c r="A94" s="115" t="s">
        <v>98</v>
      </c>
      <c r="B94" s="116">
        <v>-20</v>
      </c>
      <c r="C94" s="57">
        <v>-21</v>
      </c>
      <c r="D94" s="57">
        <v>-25</v>
      </c>
      <c r="E94" s="57">
        <v>-22</v>
      </c>
      <c r="F94" s="57">
        <v>-17.3</v>
      </c>
      <c r="G94" s="117">
        <v>-12</v>
      </c>
      <c r="H94" s="117">
        <v>0</v>
      </c>
      <c r="I94" s="117">
        <v>20.3</v>
      </c>
      <c r="J94" s="117">
        <v>24.7</v>
      </c>
      <c r="K94" s="117">
        <v>60.3</v>
      </c>
      <c r="L94" s="117">
        <v>66</v>
      </c>
      <c r="M94" s="118">
        <v>63</v>
      </c>
      <c r="N94" s="117">
        <v>59.6</v>
      </c>
      <c r="O94" s="117">
        <v>55.7</v>
      </c>
      <c r="P94" s="117">
        <v>30.3</v>
      </c>
      <c r="Q94" s="117">
        <v>22.3</v>
      </c>
      <c r="R94" s="117">
        <v>14.7</v>
      </c>
      <c r="S94" s="117">
        <v>20</v>
      </c>
      <c r="T94" s="117">
        <v>22.6</v>
      </c>
      <c r="U94" s="118">
        <v>18.3</v>
      </c>
      <c r="V94" s="118">
        <v>40.5</v>
      </c>
      <c r="W94" s="118">
        <v>68.5</v>
      </c>
      <c r="X94" s="117">
        <v>70.900000000000006</v>
      </c>
      <c r="Y94" s="117">
        <v>58.4</v>
      </c>
      <c r="Z94" s="117">
        <v>61.7</v>
      </c>
      <c r="AA94" s="117">
        <v>56.9</v>
      </c>
      <c r="AB94" s="118">
        <v>55</v>
      </c>
      <c r="AC94" s="118">
        <v>54</v>
      </c>
      <c r="AD94" s="118">
        <v>35</v>
      </c>
      <c r="AE94" s="118">
        <v>25</v>
      </c>
      <c r="AF94" s="118">
        <v>0</v>
      </c>
      <c r="AG94" s="119">
        <v>75</v>
      </c>
      <c r="AH94" s="53">
        <f t="shared" ref="AH94:AH99" si="22">IF(ABS(MAX(C94:AF94))&gt;ABS(MIN(C94:AF94)),MAX(C94:AF94),MIN(C94:AF94))</f>
        <v>70.900000000000006</v>
      </c>
      <c r="AI94" s="120">
        <f t="shared" ref="AI94:AI99" si="23">INDEX($C$9:$AF$9,1,MATCH(AH94,C94:AF94,0))</f>
        <v>0.75</v>
      </c>
    </row>
    <row r="95" spans="1:88" x14ac:dyDescent="0.25">
      <c r="A95" s="121" t="s">
        <v>99</v>
      </c>
      <c r="B95" s="122">
        <v>-45</v>
      </c>
      <c r="C95" s="59">
        <v>-45</v>
      </c>
      <c r="D95" s="59">
        <v>-50</v>
      </c>
      <c r="E95" s="59">
        <v>-50</v>
      </c>
      <c r="F95" s="59">
        <v>-43.4</v>
      </c>
      <c r="G95" s="59">
        <v>-25</v>
      </c>
      <c r="H95" s="59">
        <v>-31.2</v>
      </c>
      <c r="I95" s="59">
        <v>-26</v>
      </c>
      <c r="J95" s="59">
        <v>12.9</v>
      </c>
      <c r="K95" s="59">
        <v>55</v>
      </c>
      <c r="L95" s="59">
        <v>60</v>
      </c>
      <c r="M95" s="59">
        <v>73</v>
      </c>
      <c r="N95" s="59">
        <f>31+27.7</f>
        <v>58.7</v>
      </c>
      <c r="O95" s="59">
        <f>25.5+24.6</f>
        <v>50.1</v>
      </c>
      <c r="P95" s="59">
        <f>27.6+27.1</f>
        <v>54.7</v>
      </c>
      <c r="Q95" s="59">
        <v>55.6</v>
      </c>
      <c r="R95" s="59">
        <f>30.2+29.5</f>
        <v>59.7</v>
      </c>
      <c r="S95" s="59">
        <v>49</v>
      </c>
      <c r="T95" s="59">
        <v>52</v>
      </c>
      <c r="U95" s="59">
        <v>50</v>
      </c>
      <c r="V95" s="59">
        <v>38.299999999999997</v>
      </c>
      <c r="W95" s="59">
        <v>39.200000000000003</v>
      </c>
      <c r="X95" s="59">
        <v>67.5</v>
      </c>
      <c r="Y95" s="59">
        <v>90.7</v>
      </c>
      <c r="Z95" s="59">
        <v>86.3</v>
      </c>
      <c r="AA95" s="59">
        <v>88</v>
      </c>
      <c r="AB95" s="72">
        <v>80</v>
      </c>
      <c r="AC95" s="72">
        <v>71</v>
      </c>
      <c r="AD95" s="72">
        <v>53</v>
      </c>
      <c r="AE95" s="72">
        <v>21</v>
      </c>
      <c r="AF95" s="72">
        <v>-17</v>
      </c>
      <c r="AG95" s="119">
        <v>240</v>
      </c>
      <c r="AH95" s="53">
        <f t="shared" si="22"/>
        <v>90.7</v>
      </c>
      <c r="AI95" s="120">
        <f t="shared" si="23"/>
        <v>0.77083333333333337</v>
      </c>
    </row>
    <row r="96" spans="1:88" x14ac:dyDescent="0.25">
      <c r="A96" s="121" t="s">
        <v>100</v>
      </c>
      <c r="B96" s="122">
        <v>10</v>
      </c>
      <c r="C96" s="59">
        <v>10</v>
      </c>
      <c r="D96" s="59">
        <v>10</v>
      </c>
      <c r="E96" s="59">
        <v>10.3</v>
      </c>
      <c r="F96" s="59">
        <v>10.199999999999999</v>
      </c>
      <c r="G96" s="59">
        <v>9.9</v>
      </c>
      <c r="H96" s="59">
        <v>9.8000000000000007</v>
      </c>
      <c r="I96" s="59">
        <v>9.6</v>
      </c>
      <c r="J96" s="59">
        <v>9.4</v>
      </c>
      <c r="K96" s="59">
        <v>38.200000000000003</v>
      </c>
      <c r="L96" s="59">
        <v>40</v>
      </c>
      <c r="M96" s="59">
        <v>46.6</v>
      </c>
      <c r="N96" s="59">
        <v>45.1</v>
      </c>
      <c r="O96" s="59">
        <v>41.2</v>
      </c>
      <c r="P96" s="59">
        <v>29.8</v>
      </c>
      <c r="Q96" s="59">
        <v>31.9</v>
      </c>
      <c r="R96" s="59">
        <v>37.200000000000003</v>
      </c>
      <c r="S96" s="59">
        <v>26.6</v>
      </c>
      <c r="T96" s="59">
        <v>27.5</v>
      </c>
      <c r="U96" s="59">
        <v>34.299999999999997</v>
      </c>
      <c r="V96" s="59">
        <v>28.8</v>
      </c>
      <c r="W96" s="59">
        <v>39.5</v>
      </c>
      <c r="X96" s="59">
        <v>47.7</v>
      </c>
      <c r="Y96" s="59">
        <v>61.6</v>
      </c>
      <c r="Z96" s="59">
        <v>59.2</v>
      </c>
      <c r="AA96" s="59">
        <v>56.5</v>
      </c>
      <c r="AB96" s="72">
        <v>50</v>
      </c>
      <c r="AC96" s="72">
        <v>44</v>
      </c>
      <c r="AD96" s="72">
        <v>29</v>
      </c>
      <c r="AE96" s="72">
        <v>8</v>
      </c>
      <c r="AF96" s="72">
        <v>-3</v>
      </c>
      <c r="AG96" s="119">
        <v>60</v>
      </c>
      <c r="AH96" s="53">
        <f t="shared" si="22"/>
        <v>61.6</v>
      </c>
      <c r="AI96" s="120">
        <f t="shared" si="23"/>
        <v>0.77083333333333337</v>
      </c>
    </row>
    <row r="97" spans="1:37" x14ac:dyDescent="0.25">
      <c r="A97" s="123" t="s">
        <v>101</v>
      </c>
      <c r="B97" s="124">
        <v>82</v>
      </c>
      <c r="C97" s="62">
        <v>82</v>
      </c>
      <c r="D97" s="62">
        <v>83</v>
      </c>
      <c r="E97" s="62">
        <v>76.900000000000006</v>
      </c>
      <c r="F97" s="62">
        <v>79.900000000000006</v>
      </c>
      <c r="G97" s="62">
        <v>92</v>
      </c>
      <c r="H97" s="62">
        <v>95</v>
      </c>
      <c r="I97" s="62">
        <v>90.8</v>
      </c>
      <c r="J97" s="62">
        <v>99.3</v>
      </c>
      <c r="K97" s="62">
        <v>79.3</v>
      </c>
      <c r="L97" s="62">
        <v>82</v>
      </c>
      <c r="M97" s="62">
        <v>89.7</v>
      </c>
      <c r="N97" s="62">
        <v>96.8</v>
      </c>
      <c r="O97" s="62">
        <v>105.4</v>
      </c>
      <c r="P97" s="62">
        <v>116.5</v>
      </c>
      <c r="Q97" s="62">
        <v>108</v>
      </c>
      <c r="R97" s="62">
        <v>105.6</v>
      </c>
      <c r="S97" s="62">
        <v>100.9</v>
      </c>
      <c r="T97" s="62">
        <v>97.1</v>
      </c>
      <c r="U97" s="62">
        <v>93.1</v>
      </c>
      <c r="V97" s="62">
        <v>101.8</v>
      </c>
      <c r="W97" s="62">
        <v>79.2</v>
      </c>
      <c r="X97" s="62">
        <v>79.400000000000006</v>
      </c>
      <c r="Y97" s="62">
        <v>100</v>
      </c>
      <c r="Z97" s="62">
        <v>102.8</v>
      </c>
      <c r="AA97" s="62">
        <v>96.9</v>
      </c>
      <c r="AB97" s="125">
        <v>90</v>
      </c>
      <c r="AC97" s="125">
        <v>82</v>
      </c>
      <c r="AD97" s="125">
        <v>48.4</v>
      </c>
      <c r="AE97" s="125">
        <v>91</v>
      </c>
      <c r="AF97" s="125">
        <v>83</v>
      </c>
      <c r="AG97" s="126">
        <v>120</v>
      </c>
      <c r="AH97" s="53">
        <f t="shared" si="22"/>
        <v>116.5</v>
      </c>
      <c r="AI97" s="120">
        <f t="shared" si="23"/>
        <v>0.45833333333333298</v>
      </c>
    </row>
    <row r="98" spans="1:37" x14ac:dyDescent="0.25">
      <c r="A98" s="123" t="s">
        <v>102</v>
      </c>
      <c r="B98" s="124">
        <v>91</v>
      </c>
      <c r="C98" s="62">
        <v>93</v>
      </c>
      <c r="D98" s="62">
        <v>95</v>
      </c>
      <c r="E98" s="62">
        <v>88.9</v>
      </c>
      <c r="F98" s="62">
        <v>88.5</v>
      </c>
      <c r="G98" s="62">
        <v>96</v>
      </c>
      <c r="H98" s="62">
        <v>98.2</v>
      </c>
      <c r="I98" s="62">
        <v>92.1</v>
      </c>
      <c r="J98" s="62">
        <v>76.900000000000006</v>
      </c>
      <c r="K98" s="62">
        <v>84.2</v>
      </c>
      <c r="L98" s="62">
        <v>78</v>
      </c>
      <c r="M98" s="62">
        <v>89.5</v>
      </c>
      <c r="N98" s="62">
        <v>79.400000000000006</v>
      </c>
      <c r="O98" s="62">
        <v>75.5</v>
      </c>
      <c r="P98" s="62">
        <v>100.1</v>
      </c>
      <c r="Q98" s="62">
        <v>95</v>
      </c>
      <c r="R98" s="62">
        <v>87.9</v>
      </c>
      <c r="S98" s="62">
        <v>81</v>
      </c>
      <c r="T98" s="62">
        <v>87</v>
      </c>
      <c r="U98" s="62">
        <v>79.5</v>
      </c>
      <c r="V98" s="62">
        <v>62.4</v>
      </c>
      <c r="W98" s="62">
        <v>68</v>
      </c>
      <c r="X98" s="62">
        <v>68</v>
      </c>
      <c r="Y98" s="62">
        <v>86</v>
      </c>
      <c r="Z98" s="62">
        <v>81.3</v>
      </c>
      <c r="AA98" s="62">
        <v>84</v>
      </c>
      <c r="AB98" s="125">
        <v>87</v>
      </c>
      <c r="AC98" s="125">
        <v>91</v>
      </c>
      <c r="AD98" s="125">
        <v>95</v>
      </c>
      <c r="AE98" s="125">
        <v>71</v>
      </c>
      <c r="AF98" s="125">
        <v>83</v>
      </c>
      <c r="AG98" s="126"/>
      <c r="AH98" s="53">
        <f t="shared" si="22"/>
        <v>100.1</v>
      </c>
      <c r="AI98" s="120">
        <f t="shared" si="23"/>
        <v>0.45833333333333298</v>
      </c>
    </row>
    <row r="99" spans="1:37" ht="15.75" thickBot="1" x14ac:dyDescent="0.3">
      <c r="A99" s="123" t="s">
        <v>103</v>
      </c>
      <c r="B99" s="124">
        <v>56</v>
      </c>
      <c r="C99" s="62">
        <v>56</v>
      </c>
      <c r="D99" s="62">
        <v>58</v>
      </c>
      <c r="E99" s="62">
        <v>52.2</v>
      </c>
      <c r="F99" s="62">
        <v>50.1</v>
      </c>
      <c r="G99" s="62">
        <v>75.599999999999994</v>
      </c>
      <c r="H99" s="62">
        <v>44.4</v>
      </c>
      <c r="I99" s="62">
        <v>36.6</v>
      </c>
      <c r="J99" s="62">
        <v>44.4</v>
      </c>
      <c r="K99" s="62">
        <v>23.6</v>
      </c>
      <c r="L99" s="62">
        <v>15</v>
      </c>
      <c r="M99" s="62">
        <v>13.8</v>
      </c>
      <c r="N99" s="62">
        <v>20.8</v>
      </c>
      <c r="O99" s="62">
        <v>27.2</v>
      </c>
      <c r="P99" s="62">
        <v>44.4</v>
      </c>
      <c r="Q99" s="62">
        <v>31.6</v>
      </c>
      <c r="R99" s="62">
        <v>34.5</v>
      </c>
      <c r="S99" s="62">
        <v>28.3</v>
      </c>
      <c r="T99" s="62">
        <v>30.5</v>
      </c>
      <c r="U99" s="62">
        <v>32.9</v>
      </c>
      <c r="V99" s="62">
        <v>28.1</v>
      </c>
      <c r="W99" s="62">
        <v>10</v>
      </c>
      <c r="X99" s="62">
        <v>10.4</v>
      </c>
      <c r="Y99" s="62">
        <v>19</v>
      </c>
      <c r="Z99" s="62">
        <v>16.3</v>
      </c>
      <c r="AA99" s="62">
        <v>23.9</v>
      </c>
      <c r="AB99" s="125">
        <v>27</v>
      </c>
      <c r="AC99" s="125">
        <v>31</v>
      </c>
      <c r="AD99" s="125">
        <v>32</v>
      </c>
      <c r="AE99" s="125">
        <v>31</v>
      </c>
      <c r="AF99" s="125">
        <v>40</v>
      </c>
      <c r="AG99" s="127"/>
      <c r="AH99" s="53">
        <f t="shared" si="22"/>
        <v>75.599999999999994</v>
      </c>
      <c r="AI99" s="120">
        <f t="shared" si="23"/>
        <v>0.20833333333333301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4">AF101</f>
        <v>9.9</v>
      </c>
      <c r="C101" s="52">
        <v>9.9</v>
      </c>
      <c r="D101" s="133">
        <f t="shared" ref="D101:S106" si="25">C101</f>
        <v>9.9</v>
      </c>
      <c r="E101" s="133">
        <f t="shared" si="25"/>
        <v>9.9</v>
      </c>
      <c r="F101" s="133">
        <f t="shared" si="25"/>
        <v>9.9</v>
      </c>
      <c r="G101" s="133">
        <f t="shared" si="25"/>
        <v>9.9</v>
      </c>
      <c r="H101" s="133">
        <f t="shared" si="25"/>
        <v>9.9</v>
      </c>
      <c r="I101" s="133">
        <f t="shared" si="25"/>
        <v>9.9</v>
      </c>
      <c r="J101" s="133">
        <f t="shared" si="25"/>
        <v>9.9</v>
      </c>
      <c r="K101" s="133">
        <f t="shared" si="25"/>
        <v>9.9</v>
      </c>
      <c r="L101" s="133">
        <f t="shared" si="25"/>
        <v>9.9</v>
      </c>
      <c r="M101" s="133">
        <f t="shared" si="25"/>
        <v>9.9</v>
      </c>
      <c r="N101" s="133">
        <f t="shared" si="25"/>
        <v>9.9</v>
      </c>
      <c r="O101" s="133">
        <f t="shared" si="25"/>
        <v>9.9</v>
      </c>
      <c r="P101" s="133">
        <f t="shared" si="25"/>
        <v>9.9</v>
      </c>
      <c r="Q101" s="133">
        <f t="shared" si="25"/>
        <v>9.9</v>
      </c>
      <c r="R101" s="133">
        <f t="shared" si="25"/>
        <v>9.9</v>
      </c>
      <c r="S101" s="133">
        <f t="shared" si="25"/>
        <v>9.9</v>
      </c>
      <c r="T101" s="133">
        <f t="shared" ref="T101:AF106" si="26">S101</f>
        <v>9.9</v>
      </c>
      <c r="U101" s="133">
        <f t="shared" si="26"/>
        <v>9.9</v>
      </c>
      <c r="V101" s="133">
        <f t="shared" si="26"/>
        <v>9.9</v>
      </c>
      <c r="W101" s="133">
        <f t="shared" si="26"/>
        <v>9.9</v>
      </c>
      <c r="X101" s="133">
        <f t="shared" si="26"/>
        <v>9.9</v>
      </c>
      <c r="Y101" s="133">
        <f t="shared" si="26"/>
        <v>9.9</v>
      </c>
      <c r="Z101" s="133">
        <f t="shared" si="26"/>
        <v>9.9</v>
      </c>
      <c r="AA101" s="133">
        <f t="shared" si="26"/>
        <v>9.9</v>
      </c>
      <c r="AB101" s="133">
        <f t="shared" si="26"/>
        <v>9.9</v>
      </c>
      <c r="AC101" s="133">
        <f t="shared" si="26"/>
        <v>9.9</v>
      </c>
      <c r="AD101" s="133">
        <f t="shared" si="26"/>
        <v>9.9</v>
      </c>
      <c r="AE101" s="133">
        <f t="shared" si="26"/>
        <v>9.9</v>
      </c>
      <c r="AF101" s="133">
        <f t="shared" si="26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4"/>
        <v>9.6</v>
      </c>
      <c r="C102" s="136">
        <v>9.6</v>
      </c>
      <c r="D102" s="135">
        <f t="shared" si="25"/>
        <v>9.6</v>
      </c>
      <c r="E102" s="135">
        <f t="shared" si="25"/>
        <v>9.6</v>
      </c>
      <c r="F102" s="135">
        <f t="shared" si="25"/>
        <v>9.6</v>
      </c>
      <c r="G102" s="135">
        <f t="shared" si="25"/>
        <v>9.6</v>
      </c>
      <c r="H102" s="135">
        <f t="shared" si="25"/>
        <v>9.6</v>
      </c>
      <c r="I102" s="135">
        <f t="shared" si="25"/>
        <v>9.6</v>
      </c>
      <c r="J102" s="135">
        <f t="shared" si="25"/>
        <v>9.6</v>
      </c>
      <c r="K102" s="135">
        <f t="shared" si="25"/>
        <v>9.6</v>
      </c>
      <c r="L102" s="135">
        <f t="shared" si="25"/>
        <v>9.6</v>
      </c>
      <c r="M102" s="135">
        <f t="shared" si="25"/>
        <v>9.6</v>
      </c>
      <c r="N102" s="135">
        <f t="shared" si="25"/>
        <v>9.6</v>
      </c>
      <c r="O102" s="135">
        <f t="shared" si="25"/>
        <v>9.6</v>
      </c>
      <c r="P102" s="135">
        <f t="shared" si="25"/>
        <v>9.6</v>
      </c>
      <c r="Q102" s="135">
        <f t="shared" si="25"/>
        <v>9.6</v>
      </c>
      <c r="R102" s="135">
        <f t="shared" si="25"/>
        <v>9.6</v>
      </c>
      <c r="S102" s="135">
        <f t="shared" si="25"/>
        <v>9.6</v>
      </c>
      <c r="T102" s="135">
        <f t="shared" si="26"/>
        <v>9.6</v>
      </c>
      <c r="U102" s="135">
        <f t="shared" si="26"/>
        <v>9.6</v>
      </c>
      <c r="V102" s="135">
        <f t="shared" si="26"/>
        <v>9.6</v>
      </c>
      <c r="W102" s="135">
        <f t="shared" si="26"/>
        <v>9.6</v>
      </c>
      <c r="X102" s="135">
        <f t="shared" si="26"/>
        <v>9.6</v>
      </c>
      <c r="Y102" s="135">
        <f t="shared" si="26"/>
        <v>9.6</v>
      </c>
      <c r="Z102" s="135">
        <f t="shared" si="26"/>
        <v>9.6</v>
      </c>
      <c r="AA102" s="135">
        <f t="shared" si="26"/>
        <v>9.6</v>
      </c>
      <c r="AB102" s="135">
        <f t="shared" si="26"/>
        <v>9.6</v>
      </c>
      <c r="AC102" s="135">
        <f t="shared" si="26"/>
        <v>9.6</v>
      </c>
      <c r="AD102" s="135">
        <f t="shared" si="26"/>
        <v>9.6</v>
      </c>
      <c r="AE102" s="135">
        <f t="shared" si="26"/>
        <v>9.6</v>
      </c>
      <c r="AF102" s="135">
        <f t="shared" si="26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4"/>
        <v>9.98</v>
      </c>
      <c r="C103" s="136">
        <v>9.98</v>
      </c>
      <c r="D103" s="135">
        <f t="shared" si="25"/>
        <v>9.98</v>
      </c>
      <c r="E103" s="135">
        <f t="shared" si="25"/>
        <v>9.98</v>
      </c>
      <c r="F103" s="135">
        <f t="shared" si="25"/>
        <v>9.98</v>
      </c>
      <c r="G103" s="135">
        <f t="shared" si="25"/>
        <v>9.98</v>
      </c>
      <c r="H103" s="135">
        <f t="shared" si="25"/>
        <v>9.98</v>
      </c>
      <c r="I103" s="135">
        <f t="shared" si="25"/>
        <v>9.98</v>
      </c>
      <c r="J103" s="135">
        <f t="shared" si="25"/>
        <v>9.98</v>
      </c>
      <c r="K103" s="135">
        <f t="shared" si="25"/>
        <v>9.98</v>
      </c>
      <c r="L103" s="135">
        <f t="shared" si="25"/>
        <v>9.98</v>
      </c>
      <c r="M103" s="135">
        <f t="shared" si="25"/>
        <v>9.98</v>
      </c>
      <c r="N103" s="135">
        <f t="shared" si="25"/>
        <v>9.98</v>
      </c>
      <c r="O103" s="135">
        <f t="shared" si="25"/>
        <v>9.98</v>
      </c>
      <c r="P103" s="135">
        <f t="shared" si="25"/>
        <v>9.98</v>
      </c>
      <c r="Q103" s="135">
        <f t="shared" si="25"/>
        <v>9.98</v>
      </c>
      <c r="R103" s="135">
        <f t="shared" si="25"/>
        <v>9.98</v>
      </c>
      <c r="S103" s="135">
        <f t="shared" si="25"/>
        <v>9.98</v>
      </c>
      <c r="T103" s="135">
        <f t="shared" si="26"/>
        <v>9.98</v>
      </c>
      <c r="U103" s="135">
        <f t="shared" si="26"/>
        <v>9.98</v>
      </c>
      <c r="V103" s="135">
        <f t="shared" si="26"/>
        <v>9.98</v>
      </c>
      <c r="W103" s="135">
        <f t="shared" si="26"/>
        <v>9.98</v>
      </c>
      <c r="X103" s="135">
        <f t="shared" si="26"/>
        <v>9.98</v>
      </c>
      <c r="Y103" s="135">
        <f t="shared" si="26"/>
        <v>9.98</v>
      </c>
      <c r="Z103" s="135">
        <f t="shared" si="26"/>
        <v>9.98</v>
      </c>
      <c r="AA103" s="135">
        <f t="shared" si="26"/>
        <v>9.98</v>
      </c>
      <c r="AB103" s="135">
        <f t="shared" si="26"/>
        <v>9.98</v>
      </c>
      <c r="AC103" s="135">
        <f t="shared" si="26"/>
        <v>9.98</v>
      </c>
      <c r="AD103" s="135">
        <f t="shared" si="26"/>
        <v>9.98</v>
      </c>
      <c r="AE103" s="135">
        <f t="shared" si="26"/>
        <v>9.98</v>
      </c>
      <c r="AF103" s="135">
        <f t="shared" si="26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4"/>
        <v>9.1</v>
      </c>
      <c r="C104" s="136">
        <v>9.1</v>
      </c>
      <c r="D104" s="135">
        <f t="shared" si="25"/>
        <v>9.1</v>
      </c>
      <c r="E104" s="135">
        <f t="shared" si="25"/>
        <v>9.1</v>
      </c>
      <c r="F104" s="135">
        <f t="shared" si="25"/>
        <v>9.1</v>
      </c>
      <c r="G104" s="135">
        <f t="shared" si="25"/>
        <v>9.1</v>
      </c>
      <c r="H104" s="135">
        <f t="shared" si="25"/>
        <v>9.1</v>
      </c>
      <c r="I104" s="135">
        <f t="shared" si="25"/>
        <v>9.1</v>
      </c>
      <c r="J104" s="135">
        <f t="shared" si="25"/>
        <v>9.1</v>
      </c>
      <c r="K104" s="135">
        <f t="shared" si="25"/>
        <v>9.1</v>
      </c>
      <c r="L104" s="135">
        <f t="shared" si="25"/>
        <v>9.1</v>
      </c>
      <c r="M104" s="135">
        <f t="shared" si="25"/>
        <v>9.1</v>
      </c>
      <c r="N104" s="135">
        <f t="shared" si="25"/>
        <v>9.1</v>
      </c>
      <c r="O104" s="135">
        <f t="shared" si="25"/>
        <v>9.1</v>
      </c>
      <c r="P104" s="135">
        <f t="shared" si="25"/>
        <v>9.1</v>
      </c>
      <c r="Q104" s="135">
        <f t="shared" si="25"/>
        <v>9.1</v>
      </c>
      <c r="R104" s="135">
        <f t="shared" si="25"/>
        <v>9.1</v>
      </c>
      <c r="S104" s="135">
        <f t="shared" si="25"/>
        <v>9.1</v>
      </c>
      <c r="T104" s="135">
        <f t="shared" si="26"/>
        <v>9.1</v>
      </c>
      <c r="U104" s="135">
        <f t="shared" si="26"/>
        <v>9.1</v>
      </c>
      <c r="V104" s="135">
        <f t="shared" si="26"/>
        <v>9.1</v>
      </c>
      <c r="W104" s="135">
        <f t="shared" si="26"/>
        <v>9.1</v>
      </c>
      <c r="X104" s="135">
        <f t="shared" si="26"/>
        <v>9.1</v>
      </c>
      <c r="Y104" s="135">
        <f t="shared" si="26"/>
        <v>9.1</v>
      </c>
      <c r="Z104" s="135">
        <f t="shared" si="26"/>
        <v>9.1</v>
      </c>
      <c r="AA104" s="135">
        <f t="shared" si="26"/>
        <v>9.1</v>
      </c>
      <c r="AB104" s="135">
        <f t="shared" si="26"/>
        <v>9.1</v>
      </c>
      <c r="AC104" s="135">
        <f t="shared" si="26"/>
        <v>9.1</v>
      </c>
      <c r="AD104" s="135">
        <f t="shared" si="26"/>
        <v>9.1</v>
      </c>
      <c r="AE104" s="135">
        <f t="shared" si="26"/>
        <v>9.1</v>
      </c>
      <c r="AF104" s="135">
        <f t="shared" si="26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4"/>
        <v>9.18</v>
      </c>
      <c r="C105" s="136">
        <v>9.18</v>
      </c>
      <c r="D105" s="135">
        <f t="shared" si="25"/>
        <v>9.18</v>
      </c>
      <c r="E105" s="135">
        <f t="shared" si="25"/>
        <v>9.18</v>
      </c>
      <c r="F105" s="135">
        <f t="shared" si="25"/>
        <v>9.18</v>
      </c>
      <c r="G105" s="135">
        <f t="shared" si="25"/>
        <v>9.18</v>
      </c>
      <c r="H105" s="135">
        <f t="shared" si="25"/>
        <v>9.18</v>
      </c>
      <c r="I105" s="135">
        <f t="shared" si="25"/>
        <v>9.18</v>
      </c>
      <c r="J105" s="135">
        <f t="shared" si="25"/>
        <v>9.18</v>
      </c>
      <c r="K105" s="135">
        <f t="shared" si="25"/>
        <v>9.18</v>
      </c>
      <c r="L105" s="135">
        <f t="shared" si="25"/>
        <v>9.18</v>
      </c>
      <c r="M105" s="135">
        <f t="shared" si="25"/>
        <v>9.18</v>
      </c>
      <c r="N105" s="135">
        <f t="shared" si="25"/>
        <v>9.18</v>
      </c>
      <c r="O105" s="135">
        <f t="shared" si="25"/>
        <v>9.18</v>
      </c>
      <c r="P105" s="135">
        <f t="shared" si="25"/>
        <v>9.18</v>
      </c>
      <c r="Q105" s="135">
        <f t="shared" si="25"/>
        <v>9.18</v>
      </c>
      <c r="R105" s="135">
        <f t="shared" si="25"/>
        <v>9.18</v>
      </c>
      <c r="S105" s="135">
        <f t="shared" si="25"/>
        <v>9.18</v>
      </c>
      <c r="T105" s="135">
        <f t="shared" si="26"/>
        <v>9.18</v>
      </c>
      <c r="U105" s="135">
        <f t="shared" si="26"/>
        <v>9.18</v>
      </c>
      <c r="V105" s="135">
        <f t="shared" si="26"/>
        <v>9.18</v>
      </c>
      <c r="W105" s="135">
        <f t="shared" si="26"/>
        <v>9.18</v>
      </c>
      <c r="X105" s="135">
        <f t="shared" si="26"/>
        <v>9.18</v>
      </c>
      <c r="Y105" s="135">
        <f t="shared" si="26"/>
        <v>9.18</v>
      </c>
      <c r="Z105" s="135">
        <f t="shared" si="26"/>
        <v>9.18</v>
      </c>
      <c r="AA105" s="135">
        <f t="shared" si="26"/>
        <v>9.18</v>
      </c>
      <c r="AB105" s="135">
        <f t="shared" si="26"/>
        <v>9.18</v>
      </c>
      <c r="AC105" s="135">
        <f t="shared" si="26"/>
        <v>9.18</v>
      </c>
      <c r="AD105" s="135">
        <f t="shared" si="26"/>
        <v>9.18</v>
      </c>
      <c r="AE105" s="135">
        <f t="shared" si="26"/>
        <v>9.18</v>
      </c>
      <c r="AF105" s="135">
        <f t="shared" si="26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4"/>
        <v>7</v>
      </c>
      <c r="C106" s="136">
        <v>7</v>
      </c>
      <c r="D106" s="135">
        <f t="shared" si="25"/>
        <v>7</v>
      </c>
      <c r="E106" s="135">
        <f t="shared" si="25"/>
        <v>7</v>
      </c>
      <c r="F106" s="135">
        <f t="shared" si="25"/>
        <v>7</v>
      </c>
      <c r="G106" s="135">
        <f t="shared" si="25"/>
        <v>7</v>
      </c>
      <c r="H106" s="135">
        <f t="shared" si="25"/>
        <v>7</v>
      </c>
      <c r="I106" s="135">
        <f t="shared" si="25"/>
        <v>7</v>
      </c>
      <c r="J106" s="135">
        <f t="shared" si="25"/>
        <v>7</v>
      </c>
      <c r="K106" s="135">
        <f t="shared" si="25"/>
        <v>7</v>
      </c>
      <c r="L106" s="135">
        <f t="shared" si="25"/>
        <v>7</v>
      </c>
      <c r="M106" s="135">
        <f t="shared" si="25"/>
        <v>7</v>
      </c>
      <c r="N106" s="135">
        <f t="shared" si="25"/>
        <v>7</v>
      </c>
      <c r="O106" s="135">
        <f t="shared" si="25"/>
        <v>7</v>
      </c>
      <c r="P106" s="135">
        <f t="shared" si="25"/>
        <v>7</v>
      </c>
      <c r="Q106" s="135">
        <f t="shared" si="25"/>
        <v>7</v>
      </c>
      <c r="R106" s="135">
        <f t="shared" si="25"/>
        <v>7</v>
      </c>
      <c r="S106" s="135">
        <f t="shared" si="25"/>
        <v>7</v>
      </c>
      <c r="T106" s="135">
        <f t="shared" si="26"/>
        <v>7</v>
      </c>
      <c r="U106" s="135">
        <f t="shared" si="26"/>
        <v>7</v>
      </c>
      <c r="V106" s="135">
        <f t="shared" si="26"/>
        <v>7</v>
      </c>
      <c r="W106" s="135">
        <f t="shared" si="26"/>
        <v>7</v>
      </c>
      <c r="X106" s="135">
        <f t="shared" si="26"/>
        <v>7</v>
      </c>
      <c r="Y106" s="135">
        <f t="shared" si="26"/>
        <v>7</v>
      </c>
      <c r="Z106" s="135">
        <f t="shared" si="26"/>
        <v>7</v>
      </c>
      <c r="AA106" s="135">
        <f t="shared" si="26"/>
        <v>7</v>
      </c>
      <c r="AB106" s="135">
        <f t="shared" si="26"/>
        <v>7</v>
      </c>
      <c r="AC106" s="135">
        <f t="shared" si="26"/>
        <v>7</v>
      </c>
      <c r="AD106" s="135">
        <f t="shared" si="26"/>
        <v>7</v>
      </c>
      <c r="AE106" s="135">
        <f t="shared" si="26"/>
        <v>7</v>
      </c>
      <c r="AF106" s="135">
        <f t="shared" si="26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7">C108</f>
        <v>2.25</v>
      </c>
      <c r="E108" s="135">
        <f t="shared" si="27"/>
        <v>2.25</v>
      </c>
      <c r="F108" s="135">
        <f t="shared" si="27"/>
        <v>2.25</v>
      </c>
      <c r="G108" s="135">
        <f t="shared" si="27"/>
        <v>2.25</v>
      </c>
      <c r="H108" s="135">
        <f t="shared" si="27"/>
        <v>2.25</v>
      </c>
      <c r="I108" s="135">
        <f t="shared" si="27"/>
        <v>2.25</v>
      </c>
      <c r="J108" s="135">
        <f t="shared" si="27"/>
        <v>2.25</v>
      </c>
      <c r="K108" s="135">
        <f t="shared" si="27"/>
        <v>2.25</v>
      </c>
      <c r="L108" s="135">
        <f t="shared" si="27"/>
        <v>2.25</v>
      </c>
      <c r="M108" s="135">
        <f t="shared" si="27"/>
        <v>2.25</v>
      </c>
      <c r="N108" s="135">
        <f t="shared" si="27"/>
        <v>2.25</v>
      </c>
      <c r="O108" s="135">
        <f t="shared" si="27"/>
        <v>2.25</v>
      </c>
      <c r="P108" s="135">
        <f t="shared" si="27"/>
        <v>2.25</v>
      </c>
      <c r="Q108" s="135">
        <f t="shared" si="27"/>
        <v>2.25</v>
      </c>
      <c r="R108" s="135">
        <f t="shared" si="27"/>
        <v>2.25</v>
      </c>
      <c r="S108" s="135">
        <f t="shared" si="27"/>
        <v>2.25</v>
      </c>
      <c r="T108" s="135">
        <f t="shared" ref="T108:AF109" si="28">S108</f>
        <v>2.25</v>
      </c>
      <c r="U108" s="135">
        <f t="shared" si="28"/>
        <v>2.25</v>
      </c>
      <c r="V108" s="135">
        <f t="shared" si="28"/>
        <v>2.25</v>
      </c>
      <c r="W108" s="135">
        <f t="shared" si="28"/>
        <v>2.25</v>
      </c>
      <c r="X108" s="135">
        <f t="shared" si="28"/>
        <v>2.25</v>
      </c>
      <c r="Y108" s="135">
        <f t="shared" si="28"/>
        <v>2.25</v>
      </c>
      <c r="Z108" s="135">
        <f t="shared" si="28"/>
        <v>2.25</v>
      </c>
      <c r="AA108" s="135">
        <f t="shared" si="28"/>
        <v>2.25</v>
      </c>
      <c r="AB108" s="135">
        <f t="shared" si="28"/>
        <v>2.25</v>
      </c>
      <c r="AC108" s="135">
        <f t="shared" si="28"/>
        <v>2.25</v>
      </c>
      <c r="AD108" s="135">
        <f t="shared" si="28"/>
        <v>2.25</v>
      </c>
      <c r="AE108" s="135">
        <f t="shared" si="28"/>
        <v>2.25</v>
      </c>
      <c r="AF108" s="135">
        <f t="shared" si="28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7"/>
        <v>1.64</v>
      </c>
      <c r="E109" s="135">
        <f t="shared" si="27"/>
        <v>1.64</v>
      </c>
      <c r="F109" s="135">
        <f t="shared" si="27"/>
        <v>1.64</v>
      </c>
      <c r="G109" s="135">
        <f t="shared" si="27"/>
        <v>1.64</v>
      </c>
      <c r="H109" s="135">
        <f t="shared" si="27"/>
        <v>1.64</v>
      </c>
      <c r="I109" s="135">
        <f t="shared" si="27"/>
        <v>1.64</v>
      </c>
      <c r="J109" s="135">
        <f t="shared" si="27"/>
        <v>1.64</v>
      </c>
      <c r="K109" s="135">
        <f t="shared" si="27"/>
        <v>1.64</v>
      </c>
      <c r="L109" s="135">
        <f t="shared" si="27"/>
        <v>1.64</v>
      </c>
      <c r="M109" s="135">
        <f t="shared" si="27"/>
        <v>1.64</v>
      </c>
      <c r="N109" s="135">
        <f t="shared" si="27"/>
        <v>1.64</v>
      </c>
      <c r="O109" s="135">
        <f t="shared" si="27"/>
        <v>1.64</v>
      </c>
      <c r="P109" s="135">
        <f t="shared" si="27"/>
        <v>1.64</v>
      </c>
      <c r="Q109" s="135">
        <f t="shared" si="27"/>
        <v>1.64</v>
      </c>
      <c r="R109" s="135">
        <f t="shared" si="27"/>
        <v>1.64</v>
      </c>
      <c r="S109" s="135">
        <f t="shared" si="27"/>
        <v>1.64</v>
      </c>
      <c r="T109" s="135">
        <f t="shared" si="28"/>
        <v>1.64</v>
      </c>
      <c r="U109" s="135">
        <f t="shared" si="28"/>
        <v>1.64</v>
      </c>
      <c r="V109" s="135">
        <f t="shared" si="28"/>
        <v>1.64</v>
      </c>
      <c r="W109" s="135">
        <f t="shared" si="28"/>
        <v>1.64</v>
      </c>
      <c r="X109" s="135">
        <f t="shared" si="28"/>
        <v>1.64</v>
      </c>
      <c r="Y109" s="135">
        <f t="shared" si="28"/>
        <v>1.64</v>
      </c>
      <c r="Z109" s="135">
        <f t="shared" si="28"/>
        <v>1.64</v>
      </c>
      <c r="AA109" s="135">
        <f t="shared" si="28"/>
        <v>1.64</v>
      </c>
      <c r="AB109" s="135">
        <f t="shared" si="28"/>
        <v>1.64</v>
      </c>
      <c r="AC109" s="135">
        <f t="shared" si="28"/>
        <v>1.64</v>
      </c>
      <c r="AD109" s="135">
        <f t="shared" si="28"/>
        <v>1.64</v>
      </c>
      <c r="AE109" s="135">
        <f t="shared" si="28"/>
        <v>1.64</v>
      </c>
      <c r="AF109" s="135">
        <f t="shared" si="28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9">AF111</f>
        <v>1.62</v>
      </c>
      <c r="C111" s="136">
        <v>1.62</v>
      </c>
      <c r="D111" s="135">
        <f t="shared" ref="D111:S118" si="30">C111</f>
        <v>1.62</v>
      </c>
      <c r="E111" s="135">
        <f t="shared" si="30"/>
        <v>1.62</v>
      </c>
      <c r="F111" s="135">
        <f t="shared" si="30"/>
        <v>1.62</v>
      </c>
      <c r="G111" s="135">
        <f t="shared" si="30"/>
        <v>1.62</v>
      </c>
      <c r="H111" s="135">
        <f t="shared" si="30"/>
        <v>1.62</v>
      </c>
      <c r="I111" s="135">
        <f t="shared" si="30"/>
        <v>1.62</v>
      </c>
      <c r="J111" s="135">
        <f t="shared" si="30"/>
        <v>1.62</v>
      </c>
      <c r="K111" s="135">
        <f t="shared" si="30"/>
        <v>1.62</v>
      </c>
      <c r="L111" s="135">
        <f t="shared" si="30"/>
        <v>1.62</v>
      </c>
      <c r="M111" s="135">
        <f t="shared" si="30"/>
        <v>1.62</v>
      </c>
      <c r="N111" s="135">
        <f t="shared" si="30"/>
        <v>1.62</v>
      </c>
      <c r="O111" s="135">
        <f t="shared" si="30"/>
        <v>1.62</v>
      </c>
      <c r="P111" s="135">
        <f t="shared" si="30"/>
        <v>1.62</v>
      </c>
      <c r="Q111" s="135">
        <f t="shared" si="30"/>
        <v>1.62</v>
      </c>
      <c r="R111" s="135">
        <f t="shared" si="30"/>
        <v>1.62</v>
      </c>
      <c r="S111" s="135">
        <f t="shared" si="30"/>
        <v>1.62</v>
      </c>
      <c r="T111" s="135">
        <f t="shared" ref="T111:AF126" si="31">S111</f>
        <v>1.62</v>
      </c>
      <c r="U111" s="135">
        <f t="shared" si="31"/>
        <v>1.62</v>
      </c>
      <c r="V111" s="135">
        <f t="shared" si="31"/>
        <v>1.62</v>
      </c>
      <c r="W111" s="135">
        <f t="shared" si="31"/>
        <v>1.62</v>
      </c>
      <c r="X111" s="135">
        <f t="shared" si="31"/>
        <v>1.62</v>
      </c>
      <c r="Y111" s="135">
        <f t="shared" si="31"/>
        <v>1.62</v>
      </c>
      <c r="Z111" s="135">
        <f t="shared" si="31"/>
        <v>1.62</v>
      </c>
      <c r="AA111" s="135">
        <f t="shared" si="31"/>
        <v>1.62</v>
      </c>
      <c r="AB111" s="135">
        <f t="shared" si="31"/>
        <v>1.62</v>
      </c>
      <c r="AC111" s="135">
        <f t="shared" si="31"/>
        <v>1.62</v>
      </c>
      <c r="AD111" s="135">
        <f t="shared" si="31"/>
        <v>1.62</v>
      </c>
      <c r="AE111" s="135">
        <f t="shared" si="31"/>
        <v>1.62</v>
      </c>
      <c r="AF111" s="135">
        <f t="shared" si="31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9"/>
        <v>8.36</v>
      </c>
      <c r="C112" s="136">
        <v>8.36</v>
      </c>
      <c r="D112" s="135">
        <f t="shared" si="30"/>
        <v>8.36</v>
      </c>
      <c r="E112" s="135">
        <f t="shared" si="30"/>
        <v>8.36</v>
      </c>
      <c r="F112" s="135">
        <f t="shared" si="30"/>
        <v>8.36</v>
      </c>
      <c r="G112" s="135">
        <f t="shared" si="30"/>
        <v>8.36</v>
      </c>
      <c r="H112" s="135">
        <f t="shared" si="30"/>
        <v>8.36</v>
      </c>
      <c r="I112" s="135">
        <f t="shared" si="30"/>
        <v>8.36</v>
      </c>
      <c r="J112" s="135">
        <f t="shared" si="30"/>
        <v>8.36</v>
      </c>
      <c r="K112" s="135">
        <f t="shared" si="30"/>
        <v>8.36</v>
      </c>
      <c r="L112" s="135">
        <f t="shared" si="30"/>
        <v>8.36</v>
      </c>
      <c r="M112" s="135">
        <f t="shared" si="30"/>
        <v>8.36</v>
      </c>
      <c r="N112" s="135">
        <f t="shared" si="30"/>
        <v>8.36</v>
      </c>
      <c r="O112" s="135">
        <f t="shared" si="30"/>
        <v>8.36</v>
      </c>
      <c r="P112" s="135">
        <f t="shared" si="30"/>
        <v>8.36</v>
      </c>
      <c r="Q112" s="135">
        <f t="shared" si="30"/>
        <v>8.36</v>
      </c>
      <c r="R112" s="135">
        <f t="shared" si="30"/>
        <v>8.36</v>
      </c>
      <c r="S112" s="135">
        <f t="shared" si="30"/>
        <v>8.36</v>
      </c>
      <c r="T112" s="135">
        <f t="shared" si="31"/>
        <v>8.36</v>
      </c>
      <c r="U112" s="135">
        <f t="shared" si="31"/>
        <v>8.36</v>
      </c>
      <c r="V112" s="135">
        <f t="shared" si="31"/>
        <v>8.36</v>
      </c>
      <c r="W112" s="135">
        <f t="shared" si="31"/>
        <v>8.36</v>
      </c>
      <c r="X112" s="135">
        <f t="shared" si="31"/>
        <v>8.36</v>
      </c>
      <c r="Y112" s="135">
        <f t="shared" si="31"/>
        <v>8.36</v>
      </c>
      <c r="Z112" s="135">
        <f t="shared" si="31"/>
        <v>8.36</v>
      </c>
      <c r="AA112" s="135">
        <f t="shared" si="31"/>
        <v>8.36</v>
      </c>
      <c r="AB112" s="135">
        <f t="shared" si="31"/>
        <v>8.36</v>
      </c>
      <c r="AC112" s="135">
        <f t="shared" si="31"/>
        <v>8.36</v>
      </c>
      <c r="AD112" s="135">
        <f t="shared" si="31"/>
        <v>8.36</v>
      </c>
      <c r="AE112" s="135">
        <f t="shared" si="31"/>
        <v>8.36</v>
      </c>
      <c r="AF112" s="135">
        <f t="shared" si="31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9"/>
        <v>5.4</v>
      </c>
      <c r="C113" s="136">
        <v>8</v>
      </c>
      <c r="D113" s="135">
        <f t="shared" si="30"/>
        <v>8</v>
      </c>
      <c r="E113" s="135">
        <f t="shared" si="30"/>
        <v>8</v>
      </c>
      <c r="F113" s="135">
        <f t="shared" si="30"/>
        <v>8</v>
      </c>
      <c r="G113" s="135">
        <f t="shared" si="30"/>
        <v>8</v>
      </c>
      <c r="H113" s="135">
        <f t="shared" si="30"/>
        <v>8</v>
      </c>
      <c r="I113" s="135">
        <f t="shared" si="30"/>
        <v>8</v>
      </c>
      <c r="J113" s="135">
        <v>5.4</v>
      </c>
      <c r="K113" s="135">
        <f t="shared" si="30"/>
        <v>5.4</v>
      </c>
      <c r="L113" s="135">
        <f t="shared" si="30"/>
        <v>5.4</v>
      </c>
      <c r="M113" s="135">
        <f t="shared" si="30"/>
        <v>5.4</v>
      </c>
      <c r="N113" s="135">
        <f t="shared" si="30"/>
        <v>5.4</v>
      </c>
      <c r="O113" s="135">
        <f t="shared" si="30"/>
        <v>5.4</v>
      </c>
      <c r="P113" s="135">
        <f t="shared" si="30"/>
        <v>5.4</v>
      </c>
      <c r="Q113" s="135">
        <f t="shared" si="30"/>
        <v>5.4</v>
      </c>
      <c r="R113" s="135">
        <f t="shared" si="30"/>
        <v>5.4</v>
      </c>
      <c r="S113" s="135">
        <f t="shared" si="30"/>
        <v>5.4</v>
      </c>
      <c r="T113" s="135">
        <f t="shared" si="31"/>
        <v>5.4</v>
      </c>
      <c r="U113" s="135">
        <f t="shared" si="31"/>
        <v>5.4</v>
      </c>
      <c r="V113" s="135">
        <f t="shared" si="31"/>
        <v>5.4</v>
      </c>
      <c r="W113" s="135">
        <f t="shared" si="31"/>
        <v>5.4</v>
      </c>
      <c r="X113" s="135">
        <f t="shared" si="31"/>
        <v>5.4</v>
      </c>
      <c r="Y113" s="135">
        <f t="shared" si="31"/>
        <v>5.4</v>
      </c>
      <c r="Z113" s="135">
        <f t="shared" si="31"/>
        <v>5.4</v>
      </c>
      <c r="AA113" s="135">
        <f t="shared" si="31"/>
        <v>5.4</v>
      </c>
      <c r="AB113" s="135">
        <f t="shared" si="31"/>
        <v>5.4</v>
      </c>
      <c r="AC113" s="135">
        <f t="shared" si="31"/>
        <v>5.4</v>
      </c>
      <c r="AD113" s="135">
        <f t="shared" si="31"/>
        <v>5.4</v>
      </c>
      <c r="AE113" s="135">
        <f t="shared" si="31"/>
        <v>5.4</v>
      </c>
      <c r="AF113" s="135">
        <f t="shared" si="31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9"/>
        <v>6.57</v>
      </c>
      <c r="C114" s="136">
        <v>6.57</v>
      </c>
      <c r="D114" s="135">
        <f t="shared" si="30"/>
        <v>6.57</v>
      </c>
      <c r="E114" s="135">
        <f t="shared" si="30"/>
        <v>6.57</v>
      </c>
      <c r="F114" s="135">
        <f t="shared" si="30"/>
        <v>6.57</v>
      </c>
      <c r="G114" s="135">
        <f t="shared" si="30"/>
        <v>6.57</v>
      </c>
      <c r="H114" s="135">
        <f t="shared" si="30"/>
        <v>6.57</v>
      </c>
      <c r="I114" s="135">
        <f t="shared" si="30"/>
        <v>6.57</v>
      </c>
      <c r="J114" s="135">
        <f t="shared" si="30"/>
        <v>6.57</v>
      </c>
      <c r="K114" s="135">
        <f t="shared" si="30"/>
        <v>6.57</v>
      </c>
      <c r="L114" s="135">
        <f t="shared" si="30"/>
        <v>6.57</v>
      </c>
      <c r="M114" s="135">
        <f t="shared" si="30"/>
        <v>6.57</v>
      </c>
      <c r="N114" s="135">
        <f t="shared" si="30"/>
        <v>6.57</v>
      </c>
      <c r="O114" s="135">
        <f t="shared" si="30"/>
        <v>6.57</v>
      </c>
      <c r="P114" s="135">
        <f t="shared" si="30"/>
        <v>6.57</v>
      </c>
      <c r="Q114" s="135">
        <f t="shared" si="30"/>
        <v>6.57</v>
      </c>
      <c r="R114" s="135">
        <f t="shared" si="30"/>
        <v>6.57</v>
      </c>
      <c r="S114" s="135">
        <f t="shared" si="30"/>
        <v>6.57</v>
      </c>
      <c r="T114" s="135">
        <f t="shared" si="31"/>
        <v>6.57</v>
      </c>
      <c r="U114" s="135">
        <f t="shared" si="31"/>
        <v>6.57</v>
      </c>
      <c r="V114" s="135">
        <f t="shared" si="31"/>
        <v>6.57</v>
      </c>
      <c r="W114" s="135">
        <f t="shared" si="31"/>
        <v>6.57</v>
      </c>
      <c r="X114" s="135">
        <f t="shared" si="31"/>
        <v>6.57</v>
      </c>
      <c r="Y114" s="135">
        <f t="shared" si="31"/>
        <v>6.57</v>
      </c>
      <c r="Z114" s="135">
        <f t="shared" si="31"/>
        <v>6.57</v>
      </c>
      <c r="AA114" s="135">
        <f t="shared" si="31"/>
        <v>6.57</v>
      </c>
      <c r="AB114" s="135">
        <f t="shared" si="31"/>
        <v>6.57</v>
      </c>
      <c r="AC114" s="135">
        <f t="shared" si="31"/>
        <v>6.57</v>
      </c>
      <c r="AD114" s="135">
        <f t="shared" si="31"/>
        <v>6.57</v>
      </c>
      <c r="AE114" s="135">
        <f t="shared" si="31"/>
        <v>6.57</v>
      </c>
      <c r="AF114" s="135">
        <f t="shared" si="31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9"/>
        <v>3.43</v>
      </c>
      <c r="C115" s="136">
        <v>3.43</v>
      </c>
      <c r="D115" s="135">
        <f t="shared" si="30"/>
        <v>3.43</v>
      </c>
      <c r="E115" s="135">
        <f t="shared" si="30"/>
        <v>3.43</v>
      </c>
      <c r="F115" s="135">
        <f t="shared" si="30"/>
        <v>3.43</v>
      </c>
      <c r="G115" s="135">
        <f t="shared" si="30"/>
        <v>3.43</v>
      </c>
      <c r="H115" s="135">
        <f t="shared" si="30"/>
        <v>3.43</v>
      </c>
      <c r="I115" s="135">
        <f t="shared" si="30"/>
        <v>3.43</v>
      </c>
      <c r="J115" s="135">
        <f t="shared" si="30"/>
        <v>3.43</v>
      </c>
      <c r="K115" s="135">
        <f t="shared" si="30"/>
        <v>3.43</v>
      </c>
      <c r="L115" s="135">
        <f t="shared" si="30"/>
        <v>3.43</v>
      </c>
      <c r="M115" s="135">
        <f t="shared" si="30"/>
        <v>3.43</v>
      </c>
      <c r="N115" s="135">
        <f t="shared" si="30"/>
        <v>3.43</v>
      </c>
      <c r="O115" s="135">
        <f t="shared" si="30"/>
        <v>3.43</v>
      </c>
      <c r="P115" s="135">
        <f t="shared" si="30"/>
        <v>3.43</v>
      </c>
      <c r="Q115" s="135">
        <f t="shared" si="30"/>
        <v>3.43</v>
      </c>
      <c r="R115" s="135">
        <f t="shared" si="30"/>
        <v>3.43</v>
      </c>
      <c r="S115" s="135">
        <f t="shared" si="30"/>
        <v>3.43</v>
      </c>
      <c r="T115" s="135">
        <f t="shared" si="31"/>
        <v>3.43</v>
      </c>
      <c r="U115" s="135">
        <f t="shared" si="31"/>
        <v>3.43</v>
      </c>
      <c r="V115" s="135">
        <f t="shared" si="31"/>
        <v>3.43</v>
      </c>
      <c r="W115" s="135">
        <f t="shared" si="31"/>
        <v>3.43</v>
      </c>
      <c r="X115" s="135">
        <f t="shared" si="31"/>
        <v>3.43</v>
      </c>
      <c r="Y115" s="135">
        <f t="shared" si="31"/>
        <v>3.43</v>
      </c>
      <c r="Z115" s="135">
        <f t="shared" si="31"/>
        <v>3.43</v>
      </c>
      <c r="AA115" s="135">
        <f t="shared" si="31"/>
        <v>3.43</v>
      </c>
      <c r="AB115" s="135">
        <f t="shared" si="31"/>
        <v>3.43</v>
      </c>
      <c r="AC115" s="135">
        <f t="shared" si="31"/>
        <v>3.43</v>
      </c>
      <c r="AD115" s="135">
        <f t="shared" si="31"/>
        <v>3.43</v>
      </c>
      <c r="AE115" s="135">
        <f t="shared" si="31"/>
        <v>3.43</v>
      </c>
      <c r="AF115" s="135">
        <f t="shared" si="31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9"/>
        <v>2.96</v>
      </c>
      <c r="C116" s="136">
        <v>2.96</v>
      </c>
      <c r="D116" s="135">
        <f t="shared" si="30"/>
        <v>2.96</v>
      </c>
      <c r="E116" s="135">
        <f t="shared" si="30"/>
        <v>2.96</v>
      </c>
      <c r="F116" s="135">
        <f t="shared" si="30"/>
        <v>2.96</v>
      </c>
      <c r="G116" s="135">
        <f t="shared" si="30"/>
        <v>2.96</v>
      </c>
      <c r="H116" s="135">
        <f t="shared" si="30"/>
        <v>2.96</v>
      </c>
      <c r="I116" s="135">
        <f t="shared" si="30"/>
        <v>2.96</v>
      </c>
      <c r="J116" s="135">
        <f t="shared" si="30"/>
        <v>2.96</v>
      </c>
      <c r="K116" s="135">
        <f t="shared" si="30"/>
        <v>2.96</v>
      </c>
      <c r="L116" s="135">
        <f t="shared" si="30"/>
        <v>2.96</v>
      </c>
      <c r="M116" s="135">
        <f t="shared" si="30"/>
        <v>2.96</v>
      </c>
      <c r="N116" s="135">
        <f t="shared" si="30"/>
        <v>2.96</v>
      </c>
      <c r="O116" s="135">
        <f t="shared" si="30"/>
        <v>2.96</v>
      </c>
      <c r="P116" s="135">
        <f t="shared" si="30"/>
        <v>2.96</v>
      </c>
      <c r="Q116" s="135">
        <f t="shared" si="30"/>
        <v>2.96</v>
      </c>
      <c r="R116" s="135">
        <f t="shared" si="30"/>
        <v>2.96</v>
      </c>
      <c r="S116" s="135">
        <f t="shared" si="30"/>
        <v>2.96</v>
      </c>
      <c r="T116" s="135">
        <f t="shared" si="31"/>
        <v>2.96</v>
      </c>
      <c r="U116" s="135">
        <f t="shared" si="31"/>
        <v>2.96</v>
      </c>
      <c r="V116" s="135">
        <f t="shared" si="31"/>
        <v>2.96</v>
      </c>
      <c r="W116" s="135">
        <f t="shared" si="31"/>
        <v>2.96</v>
      </c>
      <c r="X116" s="135">
        <f t="shared" si="31"/>
        <v>2.96</v>
      </c>
      <c r="Y116" s="135">
        <f t="shared" si="31"/>
        <v>2.96</v>
      </c>
      <c r="Z116" s="135">
        <f t="shared" si="31"/>
        <v>2.96</v>
      </c>
      <c r="AA116" s="135">
        <f t="shared" si="31"/>
        <v>2.96</v>
      </c>
      <c r="AB116" s="135">
        <f t="shared" si="31"/>
        <v>2.96</v>
      </c>
      <c r="AC116" s="135">
        <f t="shared" si="31"/>
        <v>2.96</v>
      </c>
      <c r="AD116" s="135">
        <f t="shared" si="31"/>
        <v>2.96</v>
      </c>
      <c r="AE116" s="135">
        <f t="shared" si="31"/>
        <v>2.96</v>
      </c>
      <c r="AF116" s="135">
        <f t="shared" si="31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9"/>
        <v>8</v>
      </c>
      <c r="C117" s="136">
        <v>8</v>
      </c>
      <c r="D117" s="135">
        <f t="shared" si="30"/>
        <v>8</v>
      </c>
      <c r="E117" s="135">
        <f t="shared" si="30"/>
        <v>8</v>
      </c>
      <c r="F117" s="135">
        <f t="shared" si="30"/>
        <v>8</v>
      </c>
      <c r="G117" s="135">
        <f t="shared" si="30"/>
        <v>8</v>
      </c>
      <c r="H117" s="135">
        <f t="shared" si="30"/>
        <v>8</v>
      </c>
      <c r="I117" s="135">
        <f t="shared" si="30"/>
        <v>8</v>
      </c>
      <c r="J117" s="135">
        <f t="shared" si="30"/>
        <v>8</v>
      </c>
      <c r="K117" s="135">
        <f t="shared" si="30"/>
        <v>8</v>
      </c>
      <c r="L117" s="135">
        <f t="shared" si="30"/>
        <v>8</v>
      </c>
      <c r="M117" s="135">
        <f t="shared" si="30"/>
        <v>8</v>
      </c>
      <c r="N117" s="135">
        <f t="shared" si="30"/>
        <v>8</v>
      </c>
      <c r="O117" s="135">
        <f t="shared" si="30"/>
        <v>8</v>
      </c>
      <c r="P117" s="135">
        <f t="shared" si="30"/>
        <v>8</v>
      </c>
      <c r="Q117" s="135">
        <f t="shared" si="30"/>
        <v>8</v>
      </c>
      <c r="R117" s="135">
        <f t="shared" si="30"/>
        <v>8</v>
      </c>
      <c r="S117" s="135">
        <f t="shared" si="30"/>
        <v>8</v>
      </c>
      <c r="T117" s="135">
        <f t="shared" si="31"/>
        <v>8</v>
      </c>
      <c r="U117" s="135">
        <f t="shared" si="31"/>
        <v>8</v>
      </c>
      <c r="V117" s="135">
        <f t="shared" si="31"/>
        <v>8</v>
      </c>
      <c r="W117" s="135">
        <f t="shared" si="31"/>
        <v>8</v>
      </c>
      <c r="X117" s="135">
        <f t="shared" si="31"/>
        <v>8</v>
      </c>
      <c r="Y117" s="135">
        <f t="shared" si="31"/>
        <v>8</v>
      </c>
      <c r="Z117" s="135">
        <f t="shared" si="31"/>
        <v>8</v>
      </c>
      <c r="AA117" s="135">
        <f t="shared" si="31"/>
        <v>8</v>
      </c>
      <c r="AB117" s="135">
        <f t="shared" si="31"/>
        <v>8</v>
      </c>
      <c r="AC117" s="135">
        <f t="shared" si="31"/>
        <v>8</v>
      </c>
      <c r="AD117" s="135">
        <f t="shared" si="31"/>
        <v>8</v>
      </c>
      <c r="AE117" s="135">
        <f t="shared" si="31"/>
        <v>8</v>
      </c>
      <c r="AF117" s="135">
        <f t="shared" si="31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9"/>
        <v>7</v>
      </c>
      <c r="C118" s="136">
        <v>7</v>
      </c>
      <c r="D118" s="135">
        <f>C118</f>
        <v>7</v>
      </c>
      <c r="E118" s="135">
        <f t="shared" si="30"/>
        <v>7</v>
      </c>
      <c r="F118" s="135">
        <f t="shared" si="30"/>
        <v>7</v>
      </c>
      <c r="G118" s="135">
        <f t="shared" si="30"/>
        <v>7</v>
      </c>
      <c r="H118" s="135">
        <f t="shared" si="30"/>
        <v>7</v>
      </c>
      <c r="I118" s="135">
        <f t="shared" si="30"/>
        <v>7</v>
      </c>
      <c r="J118" s="135">
        <f t="shared" si="30"/>
        <v>7</v>
      </c>
      <c r="K118" s="135">
        <f t="shared" si="30"/>
        <v>7</v>
      </c>
      <c r="L118" s="135">
        <f t="shared" si="30"/>
        <v>7</v>
      </c>
      <c r="M118" s="135">
        <f t="shared" si="30"/>
        <v>7</v>
      </c>
      <c r="N118" s="135">
        <f t="shared" si="30"/>
        <v>7</v>
      </c>
      <c r="O118" s="135">
        <f t="shared" si="30"/>
        <v>7</v>
      </c>
      <c r="P118" s="135">
        <f t="shared" si="30"/>
        <v>7</v>
      </c>
      <c r="Q118" s="135">
        <f t="shared" si="30"/>
        <v>7</v>
      </c>
      <c r="R118" s="135">
        <f t="shared" si="30"/>
        <v>7</v>
      </c>
      <c r="S118" s="135">
        <f t="shared" si="30"/>
        <v>7</v>
      </c>
      <c r="T118" s="135">
        <f t="shared" si="31"/>
        <v>7</v>
      </c>
      <c r="U118" s="135">
        <f t="shared" si="31"/>
        <v>7</v>
      </c>
      <c r="V118" s="135">
        <f t="shared" si="31"/>
        <v>7</v>
      </c>
      <c r="W118" s="135">
        <f t="shared" si="31"/>
        <v>7</v>
      </c>
      <c r="X118" s="135">
        <f t="shared" si="31"/>
        <v>7</v>
      </c>
      <c r="Y118" s="135">
        <f t="shared" si="31"/>
        <v>7</v>
      </c>
      <c r="Z118" s="135">
        <f t="shared" si="31"/>
        <v>7</v>
      </c>
      <c r="AA118" s="135">
        <f t="shared" si="31"/>
        <v>7</v>
      </c>
      <c r="AB118" s="135">
        <f t="shared" si="31"/>
        <v>7</v>
      </c>
      <c r="AC118" s="135">
        <f t="shared" si="31"/>
        <v>7</v>
      </c>
      <c r="AD118" s="135">
        <f t="shared" si="31"/>
        <v>7</v>
      </c>
      <c r="AE118" s="135">
        <f t="shared" si="31"/>
        <v>7</v>
      </c>
      <c r="AF118" s="135">
        <f t="shared" si="31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9"/>
        <v>3.47</v>
      </c>
      <c r="C119" s="136">
        <v>3.47</v>
      </c>
      <c r="D119" s="135">
        <f t="shared" ref="D119:S128" si="32">C119</f>
        <v>3.47</v>
      </c>
      <c r="E119" s="135">
        <f t="shared" si="32"/>
        <v>3.47</v>
      </c>
      <c r="F119" s="135">
        <f t="shared" si="32"/>
        <v>3.47</v>
      </c>
      <c r="G119" s="135">
        <f t="shared" si="32"/>
        <v>3.47</v>
      </c>
      <c r="H119" s="135">
        <f t="shared" si="32"/>
        <v>3.47</v>
      </c>
      <c r="I119" s="135">
        <f t="shared" si="32"/>
        <v>3.47</v>
      </c>
      <c r="J119" s="135">
        <f t="shared" si="32"/>
        <v>3.47</v>
      </c>
      <c r="K119" s="135">
        <f t="shared" si="32"/>
        <v>3.47</v>
      </c>
      <c r="L119" s="135">
        <f t="shared" si="32"/>
        <v>3.47</v>
      </c>
      <c r="M119" s="135">
        <f t="shared" si="32"/>
        <v>3.47</v>
      </c>
      <c r="N119" s="135">
        <f t="shared" si="32"/>
        <v>3.47</v>
      </c>
      <c r="O119" s="135">
        <f t="shared" si="32"/>
        <v>3.47</v>
      </c>
      <c r="P119" s="135">
        <f t="shared" si="32"/>
        <v>3.47</v>
      </c>
      <c r="Q119" s="135">
        <f t="shared" si="32"/>
        <v>3.47</v>
      </c>
      <c r="R119" s="135">
        <f t="shared" si="32"/>
        <v>3.47</v>
      </c>
      <c r="S119" s="135">
        <f t="shared" si="32"/>
        <v>3.47</v>
      </c>
      <c r="T119" s="135">
        <f t="shared" si="31"/>
        <v>3.47</v>
      </c>
      <c r="U119" s="135">
        <f t="shared" si="31"/>
        <v>3.47</v>
      </c>
      <c r="V119" s="135">
        <f t="shared" si="31"/>
        <v>3.47</v>
      </c>
      <c r="W119" s="135">
        <f t="shared" si="31"/>
        <v>3.47</v>
      </c>
      <c r="X119" s="135">
        <f t="shared" si="31"/>
        <v>3.47</v>
      </c>
      <c r="Y119" s="135">
        <f t="shared" si="31"/>
        <v>3.47</v>
      </c>
      <c r="Z119" s="135">
        <f t="shared" si="31"/>
        <v>3.47</v>
      </c>
      <c r="AA119" s="135">
        <f t="shared" si="31"/>
        <v>3.47</v>
      </c>
      <c r="AB119" s="135">
        <f t="shared" si="31"/>
        <v>3.47</v>
      </c>
      <c r="AC119" s="135">
        <f t="shared" si="31"/>
        <v>3.47</v>
      </c>
      <c r="AD119" s="135">
        <f t="shared" si="31"/>
        <v>3.47</v>
      </c>
      <c r="AE119" s="135">
        <f t="shared" si="31"/>
        <v>3.47</v>
      </c>
      <c r="AF119" s="135">
        <f t="shared" si="31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9"/>
        <v>2.1</v>
      </c>
      <c r="C120" s="136">
        <v>2.1</v>
      </c>
      <c r="D120" s="135">
        <f t="shared" si="32"/>
        <v>2.1</v>
      </c>
      <c r="E120" s="135">
        <f t="shared" si="32"/>
        <v>2.1</v>
      </c>
      <c r="F120" s="135">
        <f t="shared" si="32"/>
        <v>2.1</v>
      </c>
      <c r="G120" s="135">
        <f t="shared" si="32"/>
        <v>2.1</v>
      </c>
      <c r="H120" s="135">
        <f t="shared" si="32"/>
        <v>2.1</v>
      </c>
      <c r="I120" s="135">
        <f t="shared" si="32"/>
        <v>2.1</v>
      </c>
      <c r="J120" s="135">
        <f t="shared" si="32"/>
        <v>2.1</v>
      </c>
      <c r="K120" s="135">
        <f t="shared" si="32"/>
        <v>2.1</v>
      </c>
      <c r="L120" s="135">
        <f t="shared" si="32"/>
        <v>2.1</v>
      </c>
      <c r="M120" s="135">
        <f t="shared" si="32"/>
        <v>2.1</v>
      </c>
      <c r="N120" s="135">
        <f t="shared" si="32"/>
        <v>2.1</v>
      </c>
      <c r="O120" s="135">
        <f t="shared" si="32"/>
        <v>2.1</v>
      </c>
      <c r="P120" s="135">
        <f t="shared" si="32"/>
        <v>2.1</v>
      </c>
      <c r="Q120" s="135">
        <f t="shared" si="32"/>
        <v>2.1</v>
      </c>
      <c r="R120" s="135">
        <f t="shared" si="32"/>
        <v>2.1</v>
      </c>
      <c r="S120" s="135">
        <f t="shared" si="32"/>
        <v>2.1</v>
      </c>
      <c r="T120" s="135">
        <f t="shared" si="31"/>
        <v>2.1</v>
      </c>
      <c r="U120" s="135">
        <f t="shared" si="31"/>
        <v>2.1</v>
      </c>
      <c r="V120" s="135">
        <f t="shared" si="31"/>
        <v>2.1</v>
      </c>
      <c r="W120" s="135">
        <f t="shared" si="31"/>
        <v>2.1</v>
      </c>
      <c r="X120" s="135">
        <f t="shared" si="31"/>
        <v>2.1</v>
      </c>
      <c r="Y120" s="135">
        <f t="shared" si="31"/>
        <v>2.1</v>
      </c>
      <c r="Z120" s="135">
        <f t="shared" si="31"/>
        <v>2.1</v>
      </c>
      <c r="AA120" s="135">
        <f t="shared" si="31"/>
        <v>2.1</v>
      </c>
      <c r="AB120" s="135">
        <f t="shared" si="31"/>
        <v>2.1</v>
      </c>
      <c r="AC120" s="135">
        <f t="shared" si="31"/>
        <v>2.1</v>
      </c>
      <c r="AD120" s="135">
        <f t="shared" si="31"/>
        <v>2.1</v>
      </c>
      <c r="AE120" s="135">
        <f t="shared" si="31"/>
        <v>2.1</v>
      </c>
      <c r="AF120" s="135">
        <f t="shared" si="31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9"/>
        <v>9.3000000000000007</v>
      </c>
      <c r="C121" s="136">
        <v>9.3000000000000007</v>
      </c>
      <c r="D121" s="135">
        <f t="shared" si="32"/>
        <v>9.3000000000000007</v>
      </c>
      <c r="E121" s="135">
        <f t="shared" si="32"/>
        <v>9.3000000000000007</v>
      </c>
      <c r="F121" s="135">
        <f t="shared" si="32"/>
        <v>9.3000000000000007</v>
      </c>
      <c r="G121" s="135">
        <f t="shared" si="32"/>
        <v>9.3000000000000007</v>
      </c>
      <c r="H121" s="135">
        <f t="shared" si="32"/>
        <v>9.3000000000000007</v>
      </c>
      <c r="I121" s="135">
        <f t="shared" si="32"/>
        <v>9.3000000000000007</v>
      </c>
      <c r="J121" s="135">
        <f t="shared" si="32"/>
        <v>9.3000000000000007</v>
      </c>
      <c r="K121" s="135">
        <f t="shared" si="32"/>
        <v>9.3000000000000007</v>
      </c>
      <c r="L121" s="135">
        <f t="shared" si="32"/>
        <v>9.3000000000000007</v>
      </c>
      <c r="M121" s="135">
        <f t="shared" si="32"/>
        <v>9.3000000000000007</v>
      </c>
      <c r="N121" s="135">
        <f t="shared" si="32"/>
        <v>9.3000000000000007</v>
      </c>
      <c r="O121" s="135">
        <f t="shared" si="32"/>
        <v>9.3000000000000007</v>
      </c>
      <c r="P121" s="135">
        <f t="shared" si="32"/>
        <v>9.3000000000000007</v>
      </c>
      <c r="Q121" s="135">
        <f t="shared" si="32"/>
        <v>9.3000000000000007</v>
      </c>
      <c r="R121" s="135">
        <f t="shared" si="32"/>
        <v>9.3000000000000007</v>
      </c>
      <c r="S121" s="135">
        <f t="shared" si="32"/>
        <v>9.3000000000000007</v>
      </c>
      <c r="T121" s="135">
        <f t="shared" si="31"/>
        <v>9.3000000000000007</v>
      </c>
      <c r="U121" s="135">
        <f t="shared" si="31"/>
        <v>9.3000000000000007</v>
      </c>
      <c r="V121" s="135">
        <f t="shared" si="31"/>
        <v>9.3000000000000007</v>
      </c>
      <c r="W121" s="135">
        <f t="shared" si="31"/>
        <v>9.3000000000000007</v>
      </c>
      <c r="X121" s="135">
        <f t="shared" si="31"/>
        <v>9.3000000000000007</v>
      </c>
      <c r="Y121" s="135">
        <f t="shared" si="31"/>
        <v>9.3000000000000007</v>
      </c>
      <c r="Z121" s="135">
        <f t="shared" si="31"/>
        <v>9.3000000000000007</v>
      </c>
      <c r="AA121" s="135">
        <f t="shared" si="31"/>
        <v>9.3000000000000007</v>
      </c>
      <c r="AB121" s="135">
        <f t="shared" si="31"/>
        <v>9.3000000000000007</v>
      </c>
      <c r="AC121" s="135">
        <f t="shared" si="31"/>
        <v>9.3000000000000007</v>
      </c>
      <c r="AD121" s="135">
        <f t="shared" si="31"/>
        <v>9.3000000000000007</v>
      </c>
      <c r="AE121" s="135">
        <f t="shared" si="31"/>
        <v>9.3000000000000007</v>
      </c>
      <c r="AF121" s="135">
        <f t="shared" si="31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9"/>
        <v>0</v>
      </c>
      <c r="C122" s="136">
        <v>0</v>
      </c>
      <c r="D122" s="135">
        <f t="shared" si="32"/>
        <v>0</v>
      </c>
      <c r="E122" s="135">
        <f t="shared" si="32"/>
        <v>0</v>
      </c>
      <c r="F122" s="135">
        <f t="shared" si="32"/>
        <v>0</v>
      </c>
      <c r="G122" s="135">
        <f t="shared" si="32"/>
        <v>0</v>
      </c>
      <c r="H122" s="135">
        <f t="shared" si="32"/>
        <v>0</v>
      </c>
      <c r="I122" s="135">
        <f t="shared" si="32"/>
        <v>0</v>
      </c>
      <c r="J122" s="135">
        <f t="shared" si="32"/>
        <v>0</v>
      </c>
      <c r="K122" s="135">
        <f t="shared" si="32"/>
        <v>0</v>
      </c>
      <c r="L122" s="135">
        <f t="shared" si="32"/>
        <v>0</v>
      </c>
      <c r="M122" s="135">
        <f t="shared" si="32"/>
        <v>0</v>
      </c>
      <c r="N122" s="135">
        <f t="shared" si="32"/>
        <v>0</v>
      </c>
      <c r="O122" s="135">
        <f t="shared" si="32"/>
        <v>0</v>
      </c>
      <c r="P122" s="135">
        <f t="shared" si="32"/>
        <v>0</v>
      </c>
      <c r="Q122" s="135">
        <f t="shared" si="32"/>
        <v>0</v>
      </c>
      <c r="R122" s="135">
        <f t="shared" si="32"/>
        <v>0</v>
      </c>
      <c r="S122" s="135">
        <f t="shared" si="32"/>
        <v>0</v>
      </c>
      <c r="T122" s="135">
        <f t="shared" si="31"/>
        <v>0</v>
      </c>
      <c r="U122" s="135">
        <f t="shared" si="31"/>
        <v>0</v>
      </c>
      <c r="V122" s="135">
        <f t="shared" si="31"/>
        <v>0</v>
      </c>
      <c r="W122" s="135">
        <f t="shared" si="31"/>
        <v>0</v>
      </c>
      <c r="X122" s="135">
        <f t="shared" si="31"/>
        <v>0</v>
      </c>
      <c r="Y122" s="135">
        <f t="shared" si="31"/>
        <v>0</v>
      </c>
      <c r="Z122" s="135">
        <f t="shared" si="31"/>
        <v>0</v>
      </c>
      <c r="AA122" s="135">
        <f t="shared" si="31"/>
        <v>0</v>
      </c>
      <c r="AB122" s="135">
        <f t="shared" si="31"/>
        <v>0</v>
      </c>
      <c r="AC122" s="135">
        <f t="shared" si="31"/>
        <v>0</v>
      </c>
      <c r="AD122" s="135">
        <f t="shared" si="31"/>
        <v>0</v>
      </c>
      <c r="AE122" s="135">
        <f t="shared" si="31"/>
        <v>0</v>
      </c>
      <c r="AF122" s="135">
        <f t="shared" si="31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9"/>
        <v>0</v>
      </c>
      <c r="C123" s="136">
        <v>0</v>
      </c>
      <c r="D123" s="135">
        <f t="shared" si="32"/>
        <v>0</v>
      </c>
      <c r="E123" s="135">
        <f t="shared" si="32"/>
        <v>0</v>
      </c>
      <c r="F123" s="135">
        <f t="shared" si="32"/>
        <v>0</v>
      </c>
      <c r="G123" s="135">
        <f t="shared" si="32"/>
        <v>0</v>
      </c>
      <c r="H123" s="135">
        <f t="shared" si="32"/>
        <v>0</v>
      </c>
      <c r="I123" s="135">
        <f t="shared" si="32"/>
        <v>0</v>
      </c>
      <c r="J123" s="135">
        <f t="shared" si="32"/>
        <v>0</v>
      </c>
      <c r="K123" s="135">
        <f t="shared" si="32"/>
        <v>0</v>
      </c>
      <c r="L123" s="135">
        <f t="shared" si="32"/>
        <v>0</v>
      </c>
      <c r="M123" s="135">
        <f t="shared" si="32"/>
        <v>0</v>
      </c>
      <c r="N123" s="135">
        <f t="shared" si="32"/>
        <v>0</v>
      </c>
      <c r="O123" s="135">
        <f t="shared" si="32"/>
        <v>0</v>
      </c>
      <c r="P123" s="135">
        <f t="shared" si="32"/>
        <v>0</v>
      </c>
      <c r="Q123" s="135">
        <f t="shared" si="32"/>
        <v>0</v>
      </c>
      <c r="R123" s="135">
        <f t="shared" si="32"/>
        <v>0</v>
      </c>
      <c r="S123" s="135">
        <f t="shared" si="32"/>
        <v>0</v>
      </c>
      <c r="T123" s="135">
        <f t="shared" si="31"/>
        <v>0</v>
      </c>
      <c r="U123" s="135">
        <f t="shared" si="31"/>
        <v>0</v>
      </c>
      <c r="V123" s="135">
        <f t="shared" si="31"/>
        <v>0</v>
      </c>
      <c r="W123" s="135">
        <f t="shared" si="31"/>
        <v>0</v>
      </c>
      <c r="X123" s="135">
        <f t="shared" si="31"/>
        <v>0</v>
      </c>
      <c r="Y123" s="135">
        <f t="shared" si="31"/>
        <v>0</v>
      </c>
      <c r="Z123" s="135">
        <f t="shared" si="31"/>
        <v>0</v>
      </c>
      <c r="AA123" s="135">
        <f t="shared" si="31"/>
        <v>0</v>
      </c>
      <c r="AB123" s="135">
        <f t="shared" si="31"/>
        <v>0</v>
      </c>
      <c r="AC123" s="135">
        <f t="shared" si="31"/>
        <v>0</v>
      </c>
      <c r="AD123" s="135">
        <f t="shared" si="31"/>
        <v>0</v>
      </c>
      <c r="AE123" s="135">
        <f t="shared" si="31"/>
        <v>0</v>
      </c>
      <c r="AF123" s="135">
        <f t="shared" si="31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9"/>
        <v>5</v>
      </c>
      <c r="C124" s="136">
        <v>5</v>
      </c>
      <c r="D124" s="135">
        <f t="shared" si="32"/>
        <v>5</v>
      </c>
      <c r="E124" s="135">
        <f t="shared" si="32"/>
        <v>5</v>
      </c>
      <c r="F124" s="135">
        <f t="shared" si="32"/>
        <v>5</v>
      </c>
      <c r="G124" s="135">
        <f t="shared" si="32"/>
        <v>5</v>
      </c>
      <c r="H124" s="135">
        <f t="shared" si="32"/>
        <v>5</v>
      </c>
      <c r="I124" s="135">
        <f t="shared" si="32"/>
        <v>5</v>
      </c>
      <c r="J124" s="135">
        <f t="shared" si="32"/>
        <v>5</v>
      </c>
      <c r="K124" s="135">
        <f t="shared" si="32"/>
        <v>5</v>
      </c>
      <c r="L124" s="135">
        <f t="shared" si="32"/>
        <v>5</v>
      </c>
      <c r="M124" s="135">
        <f t="shared" si="32"/>
        <v>5</v>
      </c>
      <c r="N124" s="135">
        <f t="shared" si="32"/>
        <v>5</v>
      </c>
      <c r="O124" s="135">
        <f t="shared" si="32"/>
        <v>5</v>
      </c>
      <c r="P124" s="135">
        <f t="shared" si="32"/>
        <v>5</v>
      </c>
      <c r="Q124" s="135">
        <f t="shared" si="32"/>
        <v>5</v>
      </c>
      <c r="R124" s="135">
        <f t="shared" si="32"/>
        <v>5</v>
      </c>
      <c r="S124" s="135">
        <f t="shared" si="32"/>
        <v>5</v>
      </c>
      <c r="T124" s="135">
        <f t="shared" si="31"/>
        <v>5</v>
      </c>
      <c r="U124" s="135">
        <f t="shared" si="31"/>
        <v>5</v>
      </c>
      <c r="V124" s="135">
        <f t="shared" si="31"/>
        <v>5</v>
      </c>
      <c r="W124" s="135">
        <f t="shared" si="31"/>
        <v>5</v>
      </c>
      <c r="X124" s="135">
        <f t="shared" si="31"/>
        <v>5</v>
      </c>
      <c r="Y124" s="135">
        <f t="shared" si="31"/>
        <v>5</v>
      </c>
      <c r="Z124" s="135">
        <f t="shared" si="31"/>
        <v>5</v>
      </c>
      <c r="AA124" s="135">
        <f t="shared" si="31"/>
        <v>5</v>
      </c>
      <c r="AB124" s="135">
        <f t="shared" si="31"/>
        <v>5</v>
      </c>
      <c r="AC124" s="135">
        <f t="shared" si="31"/>
        <v>5</v>
      </c>
      <c r="AD124" s="135">
        <f t="shared" si="31"/>
        <v>5</v>
      </c>
      <c r="AE124" s="135">
        <f t="shared" si="31"/>
        <v>5</v>
      </c>
      <c r="AF124" s="135">
        <f t="shared" si="31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9"/>
        <v>1</v>
      </c>
      <c r="C125" s="136">
        <v>1</v>
      </c>
      <c r="D125" s="135">
        <f t="shared" si="32"/>
        <v>1</v>
      </c>
      <c r="E125" s="135">
        <f t="shared" si="32"/>
        <v>1</v>
      </c>
      <c r="F125" s="135">
        <f t="shared" si="32"/>
        <v>1</v>
      </c>
      <c r="G125" s="135">
        <f t="shared" si="32"/>
        <v>1</v>
      </c>
      <c r="H125" s="135">
        <f t="shared" si="32"/>
        <v>1</v>
      </c>
      <c r="I125" s="135">
        <f t="shared" si="32"/>
        <v>1</v>
      </c>
      <c r="J125" s="135">
        <f t="shared" si="32"/>
        <v>1</v>
      </c>
      <c r="K125" s="135">
        <f t="shared" si="32"/>
        <v>1</v>
      </c>
      <c r="L125" s="135">
        <f t="shared" si="32"/>
        <v>1</v>
      </c>
      <c r="M125" s="135">
        <f t="shared" si="32"/>
        <v>1</v>
      </c>
      <c r="N125" s="135">
        <f t="shared" si="32"/>
        <v>1</v>
      </c>
      <c r="O125" s="135">
        <f t="shared" si="32"/>
        <v>1</v>
      </c>
      <c r="P125" s="135">
        <f t="shared" si="32"/>
        <v>1</v>
      </c>
      <c r="Q125" s="135">
        <f t="shared" si="32"/>
        <v>1</v>
      </c>
      <c r="R125" s="135">
        <f t="shared" si="32"/>
        <v>1</v>
      </c>
      <c r="S125" s="135">
        <f t="shared" si="32"/>
        <v>1</v>
      </c>
      <c r="T125" s="135">
        <f t="shared" si="31"/>
        <v>1</v>
      </c>
      <c r="U125" s="135">
        <f t="shared" si="31"/>
        <v>1</v>
      </c>
      <c r="V125" s="135">
        <f t="shared" si="31"/>
        <v>1</v>
      </c>
      <c r="W125" s="135">
        <f t="shared" si="31"/>
        <v>1</v>
      </c>
      <c r="X125" s="135">
        <f t="shared" si="31"/>
        <v>1</v>
      </c>
      <c r="Y125" s="135">
        <f t="shared" si="31"/>
        <v>1</v>
      </c>
      <c r="Z125" s="135">
        <f t="shared" si="31"/>
        <v>1</v>
      </c>
      <c r="AA125" s="135">
        <f t="shared" si="31"/>
        <v>1</v>
      </c>
      <c r="AB125" s="135">
        <f t="shared" si="31"/>
        <v>1</v>
      </c>
      <c r="AC125" s="135">
        <f t="shared" si="31"/>
        <v>1</v>
      </c>
      <c r="AD125" s="135">
        <f t="shared" si="31"/>
        <v>1</v>
      </c>
      <c r="AE125" s="135">
        <f t="shared" si="31"/>
        <v>1</v>
      </c>
      <c r="AF125" s="135">
        <f t="shared" si="31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9"/>
        <v>1.58</v>
      </c>
      <c r="C126" s="136">
        <v>1.58</v>
      </c>
      <c r="D126" s="135">
        <f t="shared" si="32"/>
        <v>1.58</v>
      </c>
      <c r="E126" s="135">
        <f t="shared" si="32"/>
        <v>1.58</v>
      </c>
      <c r="F126" s="135">
        <f t="shared" si="32"/>
        <v>1.58</v>
      </c>
      <c r="G126" s="135">
        <f t="shared" si="32"/>
        <v>1.58</v>
      </c>
      <c r="H126" s="135">
        <f t="shared" si="32"/>
        <v>1.58</v>
      </c>
      <c r="I126" s="135">
        <f t="shared" si="32"/>
        <v>1.58</v>
      </c>
      <c r="J126" s="135">
        <f t="shared" si="32"/>
        <v>1.58</v>
      </c>
      <c r="K126" s="135">
        <f t="shared" si="32"/>
        <v>1.58</v>
      </c>
      <c r="L126" s="135">
        <f t="shared" si="32"/>
        <v>1.58</v>
      </c>
      <c r="M126" s="135">
        <f t="shared" si="32"/>
        <v>1.58</v>
      </c>
      <c r="N126" s="135">
        <f t="shared" si="32"/>
        <v>1.58</v>
      </c>
      <c r="O126" s="135">
        <f t="shared" si="32"/>
        <v>1.58</v>
      </c>
      <c r="P126" s="135">
        <f t="shared" si="32"/>
        <v>1.58</v>
      </c>
      <c r="Q126" s="135">
        <f t="shared" si="32"/>
        <v>1.58</v>
      </c>
      <c r="R126" s="135">
        <f t="shared" si="32"/>
        <v>1.58</v>
      </c>
      <c r="S126" s="135">
        <f t="shared" si="32"/>
        <v>1.58</v>
      </c>
      <c r="T126" s="135">
        <f t="shared" si="31"/>
        <v>1.58</v>
      </c>
      <c r="U126" s="135">
        <f t="shared" si="31"/>
        <v>1.58</v>
      </c>
      <c r="V126" s="135">
        <f t="shared" si="31"/>
        <v>1.58</v>
      </c>
      <c r="W126" s="135">
        <f t="shared" si="31"/>
        <v>1.58</v>
      </c>
      <c r="X126" s="135">
        <f t="shared" si="31"/>
        <v>1.58</v>
      </c>
      <c r="Y126" s="135">
        <f t="shared" si="31"/>
        <v>1.58</v>
      </c>
      <c r="Z126" s="135">
        <f t="shared" si="31"/>
        <v>1.58</v>
      </c>
      <c r="AA126" s="135">
        <f t="shared" si="31"/>
        <v>1.58</v>
      </c>
      <c r="AB126" s="135">
        <f t="shared" si="31"/>
        <v>1.58</v>
      </c>
      <c r="AC126" s="135">
        <f t="shared" si="31"/>
        <v>1.58</v>
      </c>
      <c r="AD126" s="135">
        <f t="shared" si="31"/>
        <v>1.58</v>
      </c>
      <c r="AE126" s="135">
        <f t="shared" si="31"/>
        <v>1.58</v>
      </c>
      <c r="AF126" s="135">
        <f t="shared" si="31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9"/>
        <v>1.46</v>
      </c>
      <c r="C127" s="136">
        <v>1.46</v>
      </c>
      <c r="D127" s="135">
        <f t="shared" si="32"/>
        <v>1.46</v>
      </c>
      <c r="E127" s="135">
        <f t="shared" si="32"/>
        <v>1.46</v>
      </c>
      <c r="F127" s="135">
        <f t="shared" si="32"/>
        <v>1.46</v>
      </c>
      <c r="G127" s="135">
        <f t="shared" si="32"/>
        <v>1.46</v>
      </c>
      <c r="H127" s="135">
        <f t="shared" si="32"/>
        <v>1.46</v>
      </c>
      <c r="I127" s="135">
        <f t="shared" si="32"/>
        <v>1.46</v>
      </c>
      <c r="J127" s="135">
        <f t="shared" si="32"/>
        <v>1.46</v>
      </c>
      <c r="K127" s="135">
        <f t="shared" si="32"/>
        <v>1.46</v>
      </c>
      <c r="L127" s="135">
        <f t="shared" si="32"/>
        <v>1.46</v>
      </c>
      <c r="M127" s="135">
        <f t="shared" si="32"/>
        <v>1.46</v>
      </c>
      <c r="N127" s="135">
        <f t="shared" si="32"/>
        <v>1.46</v>
      </c>
      <c r="O127" s="135">
        <f t="shared" si="32"/>
        <v>1.46</v>
      </c>
      <c r="P127" s="135">
        <f t="shared" si="32"/>
        <v>1.46</v>
      </c>
      <c r="Q127" s="135">
        <f t="shared" si="32"/>
        <v>1.46</v>
      </c>
      <c r="R127" s="135">
        <f t="shared" si="32"/>
        <v>1.46</v>
      </c>
      <c r="S127" s="135">
        <f t="shared" si="32"/>
        <v>1.46</v>
      </c>
      <c r="T127" s="135">
        <f t="shared" ref="T127:AF128" si="33">S127</f>
        <v>1.46</v>
      </c>
      <c r="U127" s="135">
        <f t="shared" si="33"/>
        <v>1.46</v>
      </c>
      <c r="V127" s="135">
        <f t="shared" si="33"/>
        <v>1.46</v>
      </c>
      <c r="W127" s="135">
        <f t="shared" si="33"/>
        <v>1.46</v>
      </c>
      <c r="X127" s="135">
        <f t="shared" si="33"/>
        <v>1.46</v>
      </c>
      <c r="Y127" s="135">
        <f t="shared" si="33"/>
        <v>1.46</v>
      </c>
      <c r="Z127" s="135">
        <f t="shared" si="33"/>
        <v>1.46</v>
      </c>
      <c r="AA127" s="135">
        <f t="shared" si="33"/>
        <v>1.46</v>
      </c>
      <c r="AB127" s="135">
        <f t="shared" si="33"/>
        <v>1.46</v>
      </c>
      <c r="AC127" s="135">
        <f t="shared" si="33"/>
        <v>1.46</v>
      </c>
      <c r="AD127" s="135">
        <f t="shared" si="33"/>
        <v>1.46</v>
      </c>
      <c r="AE127" s="135">
        <f t="shared" si="33"/>
        <v>1.46</v>
      </c>
      <c r="AF127" s="135">
        <f t="shared" si="33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9"/>
        <v>1.48</v>
      </c>
      <c r="C128" s="136">
        <v>1.48</v>
      </c>
      <c r="D128" s="135">
        <f t="shared" si="32"/>
        <v>1.48</v>
      </c>
      <c r="E128" s="135">
        <f t="shared" si="32"/>
        <v>1.48</v>
      </c>
      <c r="F128" s="135">
        <f t="shared" si="32"/>
        <v>1.48</v>
      </c>
      <c r="G128" s="135">
        <f t="shared" si="32"/>
        <v>1.48</v>
      </c>
      <c r="H128" s="135">
        <f t="shared" si="32"/>
        <v>1.48</v>
      </c>
      <c r="I128" s="135">
        <f t="shared" si="32"/>
        <v>1.48</v>
      </c>
      <c r="J128" s="135">
        <f t="shared" si="32"/>
        <v>1.48</v>
      </c>
      <c r="K128" s="135">
        <f t="shared" si="32"/>
        <v>1.48</v>
      </c>
      <c r="L128" s="135">
        <f t="shared" si="32"/>
        <v>1.48</v>
      </c>
      <c r="M128" s="135">
        <f t="shared" si="32"/>
        <v>1.48</v>
      </c>
      <c r="N128" s="135">
        <f t="shared" si="32"/>
        <v>1.48</v>
      </c>
      <c r="O128" s="135">
        <f t="shared" si="32"/>
        <v>1.48</v>
      </c>
      <c r="P128" s="135">
        <f t="shared" si="32"/>
        <v>1.48</v>
      </c>
      <c r="Q128" s="135">
        <f t="shared" si="32"/>
        <v>1.48</v>
      </c>
      <c r="R128" s="135">
        <f t="shared" si="32"/>
        <v>1.48</v>
      </c>
      <c r="S128" s="135">
        <f t="shared" si="32"/>
        <v>1.48</v>
      </c>
      <c r="T128" s="135">
        <f t="shared" si="33"/>
        <v>1.48</v>
      </c>
      <c r="U128" s="135">
        <f t="shared" si="33"/>
        <v>1.48</v>
      </c>
      <c r="V128" s="135">
        <f t="shared" si="33"/>
        <v>1.48</v>
      </c>
      <c r="W128" s="135">
        <f t="shared" si="33"/>
        <v>1.48</v>
      </c>
      <c r="X128" s="135">
        <f t="shared" si="33"/>
        <v>1.48</v>
      </c>
      <c r="Y128" s="135">
        <f t="shared" si="33"/>
        <v>1.48</v>
      </c>
      <c r="Z128" s="135">
        <f t="shared" si="33"/>
        <v>1.48</v>
      </c>
      <c r="AA128" s="135">
        <f t="shared" si="33"/>
        <v>1.48</v>
      </c>
      <c r="AB128" s="135">
        <f t="shared" si="33"/>
        <v>1.48</v>
      </c>
      <c r="AC128" s="135">
        <f t="shared" si="33"/>
        <v>1.48</v>
      </c>
      <c r="AD128" s="135">
        <f t="shared" si="33"/>
        <v>1.48</v>
      </c>
      <c r="AE128" s="135">
        <f t="shared" si="33"/>
        <v>1.48</v>
      </c>
      <c r="AF128" s="135">
        <f t="shared" si="33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4">AF130</f>
        <v>2.2000000000000002</v>
      </c>
      <c r="C130" s="136">
        <v>2.2000000000000002</v>
      </c>
      <c r="D130" s="135">
        <f t="shared" ref="D130:S137" si="35">C130</f>
        <v>2.2000000000000002</v>
      </c>
      <c r="E130" s="135">
        <f t="shared" si="35"/>
        <v>2.2000000000000002</v>
      </c>
      <c r="F130" s="135">
        <f t="shared" si="35"/>
        <v>2.2000000000000002</v>
      </c>
      <c r="G130" s="135">
        <f t="shared" si="35"/>
        <v>2.2000000000000002</v>
      </c>
      <c r="H130" s="135">
        <f t="shared" si="35"/>
        <v>2.2000000000000002</v>
      </c>
      <c r="I130" s="135">
        <f t="shared" si="35"/>
        <v>2.2000000000000002</v>
      </c>
      <c r="J130" s="135">
        <f t="shared" si="35"/>
        <v>2.2000000000000002</v>
      </c>
      <c r="K130" s="135">
        <f t="shared" si="35"/>
        <v>2.2000000000000002</v>
      </c>
      <c r="L130" s="135">
        <f t="shared" si="35"/>
        <v>2.2000000000000002</v>
      </c>
      <c r="M130" s="135">
        <f t="shared" si="35"/>
        <v>2.2000000000000002</v>
      </c>
      <c r="N130" s="135">
        <f t="shared" si="35"/>
        <v>2.2000000000000002</v>
      </c>
      <c r="O130" s="135">
        <f t="shared" si="35"/>
        <v>2.2000000000000002</v>
      </c>
      <c r="P130" s="135">
        <f t="shared" si="35"/>
        <v>2.2000000000000002</v>
      </c>
      <c r="Q130" s="135">
        <f t="shared" si="35"/>
        <v>2.2000000000000002</v>
      </c>
      <c r="R130" s="135">
        <f t="shared" si="35"/>
        <v>2.2000000000000002</v>
      </c>
      <c r="S130" s="135">
        <f t="shared" si="35"/>
        <v>2.2000000000000002</v>
      </c>
      <c r="T130" s="135">
        <f t="shared" ref="T130:AF137" si="36">S130</f>
        <v>2.2000000000000002</v>
      </c>
      <c r="U130" s="135">
        <f t="shared" si="36"/>
        <v>2.2000000000000002</v>
      </c>
      <c r="V130" s="135">
        <f t="shared" si="36"/>
        <v>2.2000000000000002</v>
      </c>
      <c r="W130" s="135">
        <f t="shared" si="36"/>
        <v>2.2000000000000002</v>
      </c>
      <c r="X130" s="135">
        <f t="shared" si="36"/>
        <v>2.2000000000000002</v>
      </c>
      <c r="Y130" s="135">
        <f t="shared" si="36"/>
        <v>2.2000000000000002</v>
      </c>
      <c r="Z130" s="135">
        <f t="shared" si="36"/>
        <v>2.2000000000000002</v>
      </c>
      <c r="AA130" s="135">
        <f t="shared" si="36"/>
        <v>2.2000000000000002</v>
      </c>
      <c r="AB130" s="135">
        <f t="shared" si="36"/>
        <v>2.2000000000000002</v>
      </c>
      <c r="AC130" s="135">
        <f t="shared" si="36"/>
        <v>2.2000000000000002</v>
      </c>
      <c r="AD130" s="135">
        <f t="shared" si="36"/>
        <v>2.2000000000000002</v>
      </c>
      <c r="AE130" s="135">
        <f t="shared" si="36"/>
        <v>2.2000000000000002</v>
      </c>
      <c r="AF130" s="135">
        <f t="shared" si="36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4"/>
        <v>2</v>
      </c>
      <c r="C131" s="136">
        <v>2</v>
      </c>
      <c r="D131" s="135">
        <f t="shared" si="35"/>
        <v>2</v>
      </c>
      <c r="E131" s="135">
        <f t="shared" si="35"/>
        <v>2</v>
      </c>
      <c r="F131" s="135">
        <f t="shared" si="35"/>
        <v>2</v>
      </c>
      <c r="G131" s="135">
        <f t="shared" si="35"/>
        <v>2</v>
      </c>
      <c r="H131" s="135">
        <f t="shared" si="35"/>
        <v>2</v>
      </c>
      <c r="I131" s="135">
        <f t="shared" si="35"/>
        <v>2</v>
      </c>
      <c r="J131" s="135">
        <f t="shared" si="35"/>
        <v>2</v>
      </c>
      <c r="K131" s="135">
        <f t="shared" si="35"/>
        <v>2</v>
      </c>
      <c r="L131" s="135">
        <f t="shared" si="35"/>
        <v>2</v>
      </c>
      <c r="M131" s="135">
        <f t="shared" si="35"/>
        <v>2</v>
      </c>
      <c r="N131" s="135">
        <f t="shared" si="35"/>
        <v>2</v>
      </c>
      <c r="O131" s="135">
        <f t="shared" si="35"/>
        <v>2</v>
      </c>
      <c r="P131" s="135">
        <f t="shared" si="35"/>
        <v>2</v>
      </c>
      <c r="Q131" s="135">
        <f t="shared" si="35"/>
        <v>2</v>
      </c>
      <c r="R131" s="135">
        <f t="shared" si="35"/>
        <v>2</v>
      </c>
      <c r="S131" s="135">
        <f t="shared" si="35"/>
        <v>2</v>
      </c>
      <c r="T131" s="135">
        <f t="shared" si="36"/>
        <v>2</v>
      </c>
      <c r="U131" s="135">
        <f t="shared" si="36"/>
        <v>2</v>
      </c>
      <c r="V131" s="135">
        <f t="shared" si="36"/>
        <v>2</v>
      </c>
      <c r="W131" s="135">
        <f t="shared" si="36"/>
        <v>2</v>
      </c>
      <c r="X131" s="135">
        <f t="shared" si="36"/>
        <v>2</v>
      </c>
      <c r="Y131" s="135">
        <f t="shared" si="36"/>
        <v>2</v>
      </c>
      <c r="Z131" s="135">
        <f t="shared" si="36"/>
        <v>2</v>
      </c>
      <c r="AA131" s="135">
        <f t="shared" si="36"/>
        <v>2</v>
      </c>
      <c r="AB131" s="135">
        <f t="shared" si="36"/>
        <v>2</v>
      </c>
      <c r="AC131" s="135">
        <f t="shared" si="36"/>
        <v>2</v>
      </c>
      <c r="AD131" s="135">
        <f t="shared" si="36"/>
        <v>2</v>
      </c>
      <c r="AE131" s="135">
        <f t="shared" si="36"/>
        <v>2</v>
      </c>
      <c r="AF131" s="135">
        <f t="shared" si="36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4"/>
        <v>1.25</v>
      </c>
      <c r="C132" s="136">
        <v>1.25</v>
      </c>
      <c r="D132" s="135">
        <f t="shared" si="35"/>
        <v>1.25</v>
      </c>
      <c r="E132" s="135">
        <f t="shared" si="35"/>
        <v>1.25</v>
      </c>
      <c r="F132" s="135">
        <f t="shared" si="35"/>
        <v>1.25</v>
      </c>
      <c r="G132" s="135">
        <f t="shared" si="35"/>
        <v>1.25</v>
      </c>
      <c r="H132" s="135">
        <f t="shared" si="35"/>
        <v>1.25</v>
      </c>
      <c r="I132" s="135">
        <f t="shared" si="35"/>
        <v>1.25</v>
      </c>
      <c r="J132" s="135">
        <f t="shared" si="35"/>
        <v>1.25</v>
      </c>
      <c r="K132" s="135">
        <f t="shared" si="35"/>
        <v>1.25</v>
      </c>
      <c r="L132" s="135">
        <f t="shared" si="35"/>
        <v>1.25</v>
      </c>
      <c r="M132" s="135">
        <f t="shared" si="35"/>
        <v>1.25</v>
      </c>
      <c r="N132" s="135">
        <f t="shared" si="35"/>
        <v>1.25</v>
      </c>
      <c r="O132" s="135">
        <f t="shared" si="35"/>
        <v>1.25</v>
      </c>
      <c r="P132" s="135">
        <f t="shared" si="35"/>
        <v>1.25</v>
      </c>
      <c r="Q132" s="135">
        <f t="shared" si="35"/>
        <v>1.25</v>
      </c>
      <c r="R132" s="135">
        <f t="shared" si="35"/>
        <v>1.25</v>
      </c>
      <c r="S132" s="135">
        <f t="shared" si="35"/>
        <v>1.25</v>
      </c>
      <c r="T132" s="135">
        <f t="shared" si="36"/>
        <v>1.25</v>
      </c>
      <c r="U132" s="135">
        <f t="shared" si="36"/>
        <v>1.25</v>
      </c>
      <c r="V132" s="135">
        <f t="shared" si="36"/>
        <v>1.25</v>
      </c>
      <c r="W132" s="135">
        <f t="shared" si="36"/>
        <v>1.25</v>
      </c>
      <c r="X132" s="135">
        <f t="shared" si="36"/>
        <v>1.25</v>
      </c>
      <c r="Y132" s="135">
        <f t="shared" si="36"/>
        <v>1.25</v>
      </c>
      <c r="Z132" s="135">
        <f t="shared" si="36"/>
        <v>1.25</v>
      </c>
      <c r="AA132" s="135">
        <f t="shared" si="36"/>
        <v>1.25</v>
      </c>
      <c r="AB132" s="135">
        <f t="shared" si="36"/>
        <v>1.25</v>
      </c>
      <c r="AC132" s="135">
        <f t="shared" si="36"/>
        <v>1.25</v>
      </c>
      <c r="AD132" s="135">
        <f t="shared" si="36"/>
        <v>1.25</v>
      </c>
      <c r="AE132" s="135">
        <f t="shared" si="36"/>
        <v>1.25</v>
      </c>
      <c r="AF132" s="135">
        <f t="shared" si="36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4"/>
        <v>1.1499999999999999</v>
      </c>
      <c r="C133" s="136">
        <v>1.1499999999999999</v>
      </c>
      <c r="D133" s="135">
        <f t="shared" si="35"/>
        <v>1.1499999999999999</v>
      </c>
      <c r="E133" s="135">
        <f t="shared" si="35"/>
        <v>1.1499999999999999</v>
      </c>
      <c r="F133" s="135">
        <f t="shared" si="35"/>
        <v>1.1499999999999999</v>
      </c>
      <c r="G133" s="135">
        <f t="shared" si="35"/>
        <v>1.1499999999999999</v>
      </c>
      <c r="H133" s="135">
        <f t="shared" si="35"/>
        <v>1.1499999999999999</v>
      </c>
      <c r="I133" s="135">
        <f t="shared" si="35"/>
        <v>1.1499999999999999</v>
      </c>
      <c r="J133" s="135">
        <f t="shared" si="35"/>
        <v>1.1499999999999999</v>
      </c>
      <c r="K133" s="135">
        <f t="shared" si="35"/>
        <v>1.1499999999999999</v>
      </c>
      <c r="L133" s="135">
        <f t="shared" si="35"/>
        <v>1.1499999999999999</v>
      </c>
      <c r="M133" s="135">
        <f t="shared" si="35"/>
        <v>1.1499999999999999</v>
      </c>
      <c r="N133" s="135">
        <f t="shared" si="35"/>
        <v>1.1499999999999999</v>
      </c>
      <c r="O133" s="135">
        <f t="shared" si="35"/>
        <v>1.1499999999999999</v>
      </c>
      <c r="P133" s="135">
        <f t="shared" si="35"/>
        <v>1.1499999999999999</v>
      </c>
      <c r="Q133" s="135">
        <f t="shared" si="35"/>
        <v>1.1499999999999999</v>
      </c>
      <c r="R133" s="135">
        <f t="shared" si="35"/>
        <v>1.1499999999999999</v>
      </c>
      <c r="S133" s="135">
        <f t="shared" si="35"/>
        <v>1.1499999999999999</v>
      </c>
      <c r="T133" s="135">
        <f t="shared" si="36"/>
        <v>1.1499999999999999</v>
      </c>
      <c r="U133" s="135">
        <f t="shared" si="36"/>
        <v>1.1499999999999999</v>
      </c>
      <c r="V133" s="135">
        <f t="shared" si="36"/>
        <v>1.1499999999999999</v>
      </c>
      <c r="W133" s="135">
        <f t="shared" si="36"/>
        <v>1.1499999999999999</v>
      </c>
      <c r="X133" s="135">
        <f t="shared" si="36"/>
        <v>1.1499999999999999</v>
      </c>
      <c r="Y133" s="135">
        <f t="shared" si="36"/>
        <v>1.1499999999999999</v>
      </c>
      <c r="Z133" s="135">
        <f t="shared" si="36"/>
        <v>1.1499999999999999</v>
      </c>
      <c r="AA133" s="135">
        <f t="shared" si="36"/>
        <v>1.1499999999999999</v>
      </c>
      <c r="AB133" s="135">
        <f t="shared" si="36"/>
        <v>1.1499999999999999</v>
      </c>
      <c r="AC133" s="135">
        <f t="shared" si="36"/>
        <v>1.1499999999999999</v>
      </c>
      <c r="AD133" s="135">
        <f t="shared" si="36"/>
        <v>1.1499999999999999</v>
      </c>
      <c r="AE133" s="135">
        <f t="shared" si="36"/>
        <v>1.1499999999999999</v>
      </c>
      <c r="AF133" s="135">
        <f t="shared" si="36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4"/>
        <v>2.133</v>
      </c>
      <c r="C134" s="136">
        <v>2.133</v>
      </c>
      <c r="D134" s="135">
        <f t="shared" si="35"/>
        <v>2.133</v>
      </c>
      <c r="E134" s="135">
        <f t="shared" si="35"/>
        <v>2.133</v>
      </c>
      <c r="F134" s="135">
        <f t="shared" si="35"/>
        <v>2.133</v>
      </c>
      <c r="G134" s="135">
        <f t="shared" si="35"/>
        <v>2.133</v>
      </c>
      <c r="H134" s="135">
        <f t="shared" si="35"/>
        <v>2.133</v>
      </c>
      <c r="I134" s="135">
        <f t="shared" si="35"/>
        <v>2.133</v>
      </c>
      <c r="J134" s="135">
        <f t="shared" si="35"/>
        <v>2.133</v>
      </c>
      <c r="K134" s="135">
        <f t="shared" si="35"/>
        <v>2.133</v>
      </c>
      <c r="L134" s="135">
        <f t="shared" si="35"/>
        <v>2.133</v>
      </c>
      <c r="M134" s="135">
        <f t="shared" si="35"/>
        <v>2.133</v>
      </c>
      <c r="N134" s="135">
        <f t="shared" si="35"/>
        <v>2.133</v>
      </c>
      <c r="O134" s="135">
        <f t="shared" si="35"/>
        <v>2.133</v>
      </c>
      <c r="P134" s="135">
        <f t="shared" si="35"/>
        <v>2.133</v>
      </c>
      <c r="Q134" s="135">
        <f t="shared" si="35"/>
        <v>2.133</v>
      </c>
      <c r="R134" s="135">
        <f t="shared" si="35"/>
        <v>2.133</v>
      </c>
      <c r="S134" s="135">
        <f t="shared" si="35"/>
        <v>2.133</v>
      </c>
      <c r="T134" s="135">
        <f t="shared" si="36"/>
        <v>2.133</v>
      </c>
      <c r="U134" s="135">
        <f t="shared" si="36"/>
        <v>2.133</v>
      </c>
      <c r="V134" s="135">
        <f t="shared" si="36"/>
        <v>2.133</v>
      </c>
      <c r="W134" s="135">
        <f t="shared" si="36"/>
        <v>2.133</v>
      </c>
      <c r="X134" s="135">
        <f t="shared" si="36"/>
        <v>2.133</v>
      </c>
      <c r="Y134" s="135">
        <f t="shared" si="36"/>
        <v>2.133</v>
      </c>
      <c r="Z134" s="135">
        <f t="shared" si="36"/>
        <v>2.133</v>
      </c>
      <c r="AA134" s="135">
        <f t="shared" si="36"/>
        <v>2.133</v>
      </c>
      <c r="AB134" s="135">
        <f t="shared" si="36"/>
        <v>2.133</v>
      </c>
      <c r="AC134" s="135">
        <f t="shared" si="36"/>
        <v>2.133</v>
      </c>
      <c r="AD134" s="135">
        <f t="shared" si="36"/>
        <v>2.133</v>
      </c>
      <c r="AE134" s="135">
        <f t="shared" si="36"/>
        <v>2.133</v>
      </c>
      <c r="AF134" s="135">
        <f t="shared" si="36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4"/>
        <v>2.09</v>
      </c>
      <c r="C135" s="136">
        <v>2.09</v>
      </c>
      <c r="D135" s="135">
        <f t="shared" si="35"/>
        <v>2.09</v>
      </c>
      <c r="E135" s="135">
        <f t="shared" si="35"/>
        <v>2.09</v>
      </c>
      <c r="F135" s="135">
        <f t="shared" si="35"/>
        <v>2.09</v>
      </c>
      <c r="G135" s="135">
        <f t="shared" si="35"/>
        <v>2.09</v>
      </c>
      <c r="H135" s="135">
        <f t="shared" si="35"/>
        <v>2.09</v>
      </c>
      <c r="I135" s="135">
        <f t="shared" si="35"/>
        <v>2.09</v>
      </c>
      <c r="J135" s="135">
        <f t="shared" si="35"/>
        <v>2.09</v>
      </c>
      <c r="K135" s="135">
        <f t="shared" si="35"/>
        <v>2.09</v>
      </c>
      <c r="L135" s="135">
        <f t="shared" si="35"/>
        <v>2.09</v>
      </c>
      <c r="M135" s="135">
        <f t="shared" si="35"/>
        <v>2.09</v>
      </c>
      <c r="N135" s="135">
        <f t="shared" si="35"/>
        <v>2.09</v>
      </c>
      <c r="O135" s="135">
        <f t="shared" si="35"/>
        <v>2.09</v>
      </c>
      <c r="P135" s="135">
        <f t="shared" si="35"/>
        <v>2.09</v>
      </c>
      <c r="Q135" s="135">
        <f t="shared" si="35"/>
        <v>2.09</v>
      </c>
      <c r="R135" s="135">
        <f t="shared" si="35"/>
        <v>2.09</v>
      </c>
      <c r="S135" s="135">
        <f t="shared" si="35"/>
        <v>2.09</v>
      </c>
      <c r="T135" s="135">
        <f t="shared" si="36"/>
        <v>2.09</v>
      </c>
      <c r="U135" s="135">
        <f t="shared" si="36"/>
        <v>2.09</v>
      </c>
      <c r="V135" s="135">
        <f t="shared" si="36"/>
        <v>2.09</v>
      </c>
      <c r="W135" s="135">
        <f t="shared" si="36"/>
        <v>2.09</v>
      </c>
      <c r="X135" s="135">
        <f t="shared" si="36"/>
        <v>2.09</v>
      </c>
      <c r="Y135" s="135">
        <f t="shared" si="36"/>
        <v>2.09</v>
      </c>
      <c r="Z135" s="135">
        <f t="shared" si="36"/>
        <v>2.09</v>
      </c>
      <c r="AA135" s="135">
        <f t="shared" si="36"/>
        <v>2.09</v>
      </c>
      <c r="AB135" s="135">
        <f t="shared" si="36"/>
        <v>2.09</v>
      </c>
      <c r="AC135" s="135">
        <f t="shared" si="36"/>
        <v>2.09</v>
      </c>
      <c r="AD135" s="135">
        <f t="shared" si="36"/>
        <v>2.09</v>
      </c>
      <c r="AE135" s="135">
        <f t="shared" si="36"/>
        <v>2.09</v>
      </c>
      <c r="AF135" s="135">
        <f t="shared" si="36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4"/>
        <v>1.1399999999999999</v>
      </c>
      <c r="C136" s="136">
        <v>1.1399999999999999</v>
      </c>
      <c r="D136" s="135">
        <f t="shared" si="35"/>
        <v>1.1399999999999999</v>
      </c>
      <c r="E136" s="135">
        <f t="shared" si="35"/>
        <v>1.1399999999999999</v>
      </c>
      <c r="F136" s="135">
        <f t="shared" si="35"/>
        <v>1.1399999999999999</v>
      </c>
      <c r="G136" s="135">
        <f t="shared" si="35"/>
        <v>1.1399999999999999</v>
      </c>
      <c r="H136" s="135">
        <f t="shared" si="35"/>
        <v>1.1399999999999999</v>
      </c>
      <c r="I136" s="135">
        <f t="shared" si="35"/>
        <v>1.1399999999999999</v>
      </c>
      <c r="J136" s="135">
        <f t="shared" si="35"/>
        <v>1.1399999999999999</v>
      </c>
      <c r="K136" s="135">
        <f t="shared" si="35"/>
        <v>1.1399999999999999</v>
      </c>
      <c r="L136" s="135">
        <f t="shared" si="35"/>
        <v>1.1399999999999999</v>
      </c>
      <c r="M136" s="135">
        <f t="shared" si="35"/>
        <v>1.1399999999999999</v>
      </c>
      <c r="N136" s="135">
        <f t="shared" si="35"/>
        <v>1.1399999999999999</v>
      </c>
      <c r="O136" s="135">
        <f t="shared" si="35"/>
        <v>1.1399999999999999</v>
      </c>
      <c r="P136" s="135">
        <f t="shared" si="35"/>
        <v>1.1399999999999999</v>
      </c>
      <c r="Q136" s="135">
        <f t="shared" si="35"/>
        <v>1.1399999999999999</v>
      </c>
      <c r="R136" s="135">
        <f t="shared" si="35"/>
        <v>1.1399999999999999</v>
      </c>
      <c r="S136" s="135">
        <f t="shared" si="35"/>
        <v>1.1399999999999999</v>
      </c>
      <c r="T136" s="135">
        <f t="shared" si="36"/>
        <v>1.1399999999999999</v>
      </c>
      <c r="U136" s="135">
        <f t="shared" si="36"/>
        <v>1.1399999999999999</v>
      </c>
      <c r="V136" s="135">
        <f t="shared" si="36"/>
        <v>1.1399999999999999</v>
      </c>
      <c r="W136" s="135">
        <f t="shared" si="36"/>
        <v>1.1399999999999999</v>
      </c>
      <c r="X136" s="135">
        <f t="shared" si="36"/>
        <v>1.1399999999999999</v>
      </c>
      <c r="Y136" s="135">
        <f t="shared" si="36"/>
        <v>1.1399999999999999</v>
      </c>
      <c r="Z136" s="135">
        <f t="shared" si="36"/>
        <v>1.1399999999999999</v>
      </c>
      <c r="AA136" s="135">
        <f t="shared" si="36"/>
        <v>1.1399999999999999</v>
      </c>
      <c r="AB136" s="135">
        <f t="shared" si="36"/>
        <v>1.1399999999999999</v>
      </c>
      <c r="AC136" s="135">
        <f t="shared" si="36"/>
        <v>1.1399999999999999</v>
      </c>
      <c r="AD136" s="135">
        <f t="shared" si="36"/>
        <v>1.1399999999999999</v>
      </c>
      <c r="AE136" s="135">
        <f t="shared" si="36"/>
        <v>1.1399999999999999</v>
      </c>
      <c r="AF136" s="135">
        <f t="shared" si="36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4"/>
        <v>0.82</v>
      </c>
      <c r="C137" s="136">
        <v>0.82</v>
      </c>
      <c r="D137" s="135">
        <f t="shared" si="35"/>
        <v>0.82</v>
      </c>
      <c r="E137" s="135">
        <f t="shared" si="35"/>
        <v>0.82</v>
      </c>
      <c r="F137" s="135">
        <f t="shared" si="35"/>
        <v>0.82</v>
      </c>
      <c r="G137" s="135">
        <f t="shared" si="35"/>
        <v>0.82</v>
      </c>
      <c r="H137" s="135">
        <f t="shared" si="35"/>
        <v>0.82</v>
      </c>
      <c r="I137" s="135">
        <f t="shared" si="35"/>
        <v>0.82</v>
      </c>
      <c r="J137" s="135">
        <f t="shared" si="35"/>
        <v>0.82</v>
      </c>
      <c r="K137" s="135">
        <f t="shared" si="35"/>
        <v>0.82</v>
      </c>
      <c r="L137" s="135">
        <f t="shared" si="35"/>
        <v>0.82</v>
      </c>
      <c r="M137" s="135">
        <f t="shared" si="35"/>
        <v>0.82</v>
      </c>
      <c r="N137" s="135">
        <f t="shared" si="35"/>
        <v>0.82</v>
      </c>
      <c r="O137" s="135">
        <f t="shared" si="35"/>
        <v>0.82</v>
      </c>
      <c r="P137" s="135">
        <f t="shared" si="35"/>
        <v>0.82</v>
      </c>
      <c r="Q137" s="135">
        <f t="shared" si="35"/>
        <v>0.82</v>
      </c>
      <c r="R137" s="135">
        <f t="shared" si="35"/>
        <v>0.82</v>
      </c>
      <c r="S137" s="135">
        <f t="shared" si="35"/>
        <v>0.82</v>
      </c>
      <c r="T137" s="135">
        <f t="shared" si="36"/>
        <v>0.82</v>
      </c>
      <c r="U137" s="135">
        <f t="shared" si="36"/>
        <v>0.82</v>
      </c>
      <c r="V137" s="135">
        <f t="shared" si="36"/>
        <v>0.82</v>
      </c>
      <c r="W137" s="135">
        <f t="shared" si="36"/>
        <v>0.82</v>
      </c>
      <c r="X137" s="135">
        <f t="shared" si="36"/>
        <v>0.82</v>
      </c>
      <c r="Y137" s="135">
        <f t="shared" si="36"/>
        <v>0.82</v>
      </c>
      <c r="Z137" s="135">
        <f t="shared" si="36"/>
        <v>0.82</v>
      </c>
      <c r="AA137" s="135">
        <f t="shared" si="36"/>
        <v>0.82</v>
      </c>
      <c r="AB137" s="135">
        <f t="shared" si="36"/>
        <v>0.82</v>
      </c>
      <c r="AC137" s="135">
        <f t="shared" si="36"/>
        <v>0.82</v>
      </c>
      <c r="AD137" s="135">
        <f t="shared" si="36"/>
        <v>0.82</v>
      </c>
      <c r="AE137" s="135">
        <f t="shared" si="36"/>
        <v>0.82</v>
      </c>
      <c r="AF137" s="135">
        <f t="shared" si="36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7">AF139</f>
        <v>2</v>
      </c>
      <c r="C139" s="136">
        <v>2</v>
      </c>
      <c r="D139" s="135">
        <f t="shared" ref="D139:S145" si="38">C139</f>
        <v>2</v>
      </c>
      <c r="E139" s="135">
        <f t="shared" si="38"/>
        <v>2</v>
      </c>
      <c r="F139" s="135">
        <f t="shared" si="38"/>
        <v>2</v>
      </c>
      <c r="G139" s="135">
        <f t="shared" si="38"/>
        <v>2</v>
      </c>
      <c r="H139" s="135">
        <f t="shared" si="38"/>
        <v>2</v>
      </c>
      <c r="I139" s="135">
        <f t="shared" si="38"/>
        <v>2</v>
      </c>
      <c r="J139" s="135">
        <f t="shared" si="38"/>
        <v>2</v>
      </c>
      <c r="K139" s="135">
        <f t="shared" si="38"/>
        <v>2</v>
      </c>
      <c r="L139" s="135">
        <f t="shared" si="38"/>
        <v>2</v>
      </c>
      <c r="M139" s="135">
        <f t="shared" si="38"/>
        <v>2</v>
      </c>
      <c r="N139" s="135">
        <f t="shared" si="38"/>
        <v>2</v>
      </c>
      <c r="O139" s="135">
        <f t="shared" si="38"/>
        <v>2</v>
      </c>
      <c r="P139" s="135">
        <f t="shared" si="38"/>
        <v>2</v>
      </c>
      <c r="Q139" s="135">
        <f t="shared" si="38"/>
        <v>2</v>
      </c>
      <c r="R139" s="135">
        <f t="shared" si="38"/>
        <v>2</v>
      </c>
      <c r="S139" s="135">
        <f t="shared" si="38"/>
        <v>2</v>
      </c>
      <c r="T139" s="135">
        <f t="shared" ref="T139:AF145" si="39">S139</f>
        <v>2</v>
      </c>
      <c r="U139" s="135">
        <f t="shared" si="39"/>
        <v>2</v>
      </c>
      <c r="V139" s="135">
        <f t="shared" si="39"/>
        <v>2</v>
      </c>
      <c r="W139" s="135">
        <f t="shared" si="39"/>
        <v>2</v>
      </c>
      <c r="X139" s="135">
        <f t="shared" si="39"/>
        <v>2</v>
      </c>
      <c r="Y139" s="135">
        <f t="shared" si="39"/>
        <v>2</v>
      </c>
      <c r="Z139" s="135">
        <f t="shared" si="39"/>
        <v>2</v>
      </c>
      <c r="AA139" s="135">
        <f t="shared" si="39"/>
        <v>2</v>
      </c>
      <c r="AB139" s="135">
        <f t="shared" si="39"/>
        <v>2</v>
      </c>
      <c r="AC139" s="135">
        <f t="shared" si="39"/>
        <v>2</v>
      </c>
      <c r="AD139" s="135">
        <f t="shared" si="39"/>
        <v>2</v>
      </c>
      <c r="AE139" s="135">
        <f t="shared" si="39"/>
        <v>2</v>
      </c>
      <c r="AF139" s="135">
        <f t="shared" si="39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7"/>
        <v>5.61</v>
      </c>
      <c r="C140" s="136">
        <v>5.61</v>
      </c>
      <c r="D140" s="135">
        <f t="shared" si="38"/>
        <v>5.61</v>
      </c>
      <c r="E140" s="135">
        <f t="shared" si="38"/>
        <v>5.61</v>
      </c>
      <c r="F140" s="135">
        <f t="shared" si="38"/>
        <v>5.61</v>
      </c>
      <c r="G140" s="135">
        <f t="shared" si="38"/>
        <v>5.61</v>
      </c>
      <c r="H140" s="135">
        <f t="shared" si="38"/>
        <v>5.61</v>
      </c>
      <c r="I140" s="135">
        <f t="shared" si="38"/>
        <v>5.61</v>
      </c>
      <c r="J140" s="135">
        <f t="shared" si="38"/>
        <v>5.61</v>
      </c>
      <c r="K140" s="135">
        <f t="shared" si="38"/>
        <v>5.61</v>
      </c>
      <c r="L140" s="135">
        <f t="shared" si="38"/>
        <v>5.61</v>
      </c>
      <c r="M140" s="135">
        <f t="shared" si="38"/>
        <v>5.61</v>
      </c>
      <c r="N140" s="135">
        <f t="shared" si="38"/>
        <v>5.61</v>
      </c>
      <c r="O140" s="135">
        <f t="shared" si="38"/>
        <v>5.61</v>
      </c>
      <c r="P140" s="135">
        <f t="shared" si="38"/>
        <v>5.61</v>
      </c>
      <c r="Q140" s="135">
        <f t="shared" si="38"/>
        <v>5.61</v>
      </c>
      <c r="R140" s="135">
        <f t="shared" si="38"/>
        <v>5.61</v>
      </c>
      <c r="S140" s="135">
        <f t="shared" si="38"/>
        <v>5.61</v>
      </c>
      <c r="T140" s="135">
        <f t="shared" si="39"/>
        <v>5.61</v>
      </c>
      <c r="U140" s="135">
        <f t="shared" si="39"/>
        <v>5.61</v>
      </c>
      <c r="V140" s="135">
        <f t="shared" si="39"/>
        <v>5.61</v>
      </c>
      <c r="W140" s="135">
        <f t="shared" si="39"/>
        <v>5.61</v>
      </c>
      <c r="X140" s="135">
        <f t="shared" si="39"/>
        <v>5.61</v>
      </c>
      <c r="Y140" s="135">
        <f t="shared" si="39"/>
        <v>5.61</v>
      </c>
      <c r="Z140" s="135">
        <f t="shared" si="39"/>
        <v>5.61</v>
      </c>
      <c r="AA140" s="135">
        <f t="shared" si="39"/>
        <v>5.61</v>
      </c>
      <c r="AB140" s="135">
        <f t="shared" si="39"/>
        <v>5.61</v>
      </c>
      <c r="AC140" s="135">
        <f t="shared" si="39"/>
        <v>5.61</v>
      </c>
      <c r="AD140" s="135">
        <f t="shared" si="39"/>
        <v>5.61</v>
      </c>
      <c r="AE140" s="135">
        <f t="shared" si="39"/>
        <v>5.61</v>
      </c>
      <c r="AF140" s="135">
        <f t="shared" si="39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7"/>
        <v>1.25</v>
      </c>
      <c r="C141" s="136">
        <v>1.25</v>
      </c>
      <c r="D141" s="135">
        <f t="shared" si="38"/>
        <v>1.25</v>
      </c>
      <c r="E141" s="135">
        <f t="shared" si="38"/>
        <v>1.25</v>
      </c>
      <c r="F141" s="135">
        <f t="shared" si="38"/>
        <v>1.25</v>
      </c>
      <c r="G141" s="135">
        <f t="shared" si="38"/>
        <v>1.25</v>
      </c>
      <c r="H141" s="135">
        <f t="shared" si="38"/>
        <v>1.25</v>
      </c>
      <c r="I141" s="135">
        <f t="shared" si="38"/>
        <v>1.25</v>
      </c>
      <c r="J141" s="135">
        <f t="shared" si="38"/>
        <v>1.25</v>
      </c>
      <c r="K141" s="135">
        <f t="shared" si="38"/>
        <v>1.25</v>
      </c>
      <c r="L141" s="135">
        <f t="shared" si="38"/>
        <v>1.25</v>
      </c>
      <c r="M141" s="135">
        <f t="shared" si="38"/>
        <v>1.25</v>
      </c>
      <c r="N141" s="135">
        <f t="shared" si="38"/>
        <v>1.25</v>
      </c>
      <c r="O141" s="135">
        <f t="shared" si="38"/>
        <v>1.25</v>
      </c>
      <c r="P141" s="135">
        <f t="shared" si="38"/>
        <v>1.25</v>
      </c>
      <c r="Q141" s="135">
        <f t="shared" si="38"/>
        <v>1.25</v>
      </c>
      <c r="R141" s="135">
        <f t="shared" si="38"/>
        <v>1.25</v>
      </c>
      <c r="S141" s="135">
        <f t="shared" si="38"/>
        <v>1.25</v>
      </c>
      <c r="T141" s="135">
        <f t="shared" si="39"/>
        <v>1.25</v>
      </c>
      <c r="U141" s="135">
        <f t="shared" si="39"/>
        <v>1.25</v>
      </c>
      <c r="V141" s="135">
        <f t="shared" si="39"/>
        <v>1.25</v>
      </c>
      <c r="W141" s="135">
        <f t="shared" si="39"/>
        <v>1.25</v>
      </c>
      <c r="X141" s="135">
        <f t="shared" si="39"/>
        <v>1.25</v>
      </c>
      <c r="Y141" s="135">
        <f t="shared" si="39"/>
        <v>1.25</v>
      </c>
      <c r="Z141" s="135">
        <f t="shared" si="39"/>
        <v>1.25</v>
      </c>
      <c r="AA141" s="135">
        <f t="shared" si="39"/>
        <v>1.25</v>
      </c>
      <c r="AB141" s="135">
        <f t="shared" si="39"/>
        <v>1.25</v>
      </c>
      <c r="AC141" s="135">
        <f t="shared" si="39"/>
        <v>1.25</v>
      </c>
      <c r="AD141" s="135">
        <f t="shared" si="39"/>
        <v>1.25</v>
      </c>
      <c r="AE141" s="135">
        <f t="shared" si="39"/>
        <v>1.25</v>
      </c>
      <c r="AF141" s="135">
        <f t="shared" si="39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7"/>
        <v>1.25</v>
      </c>
      <c r="C142" s="136">
        <v>1.25</v>
      </c>
      <c r="D142" s="135">
        <f t="shared" si="38"/>
        <v>1.25</v>
      </c>
      <c r="E142" s="135">
        <f t="shared" si="38"/>
        <v>1.25</v>
      </c>
      <c r="F142" s="135">
        <f t="shared" si="38"/>
        <v>1.25</v>
      </c>
      <c r="G142" s="135">
        <f t="shared" si="38"/>
        <v>1.25</v>
      </c>
      <c r="H142" s="135">
        <f t="shared" si="38"/>
        <v>1.25</v>
      </c>
      <c r="I142" s="135">
        <f t="shared" si="38"/>
        <v>1.25</v>
      </c>
      <c r="J142" s="135">
        <f t="shared" si="38"/>
        <v>1.25</v>
      </c>
      <c r="K142" s="135">
        <f t="shared" si="38"/>
        <v>1.25</v>
      </c>
      <c r="L142" s="135">
        <f t="shared" si="38"/>
        <v>1.25</v>
      </c>
      <c r="M142" s="135">
        <f t="shared" si="38"/>
        <v>1.25</v>
      </c>
      <c r="N142" s="135">
        <f t="shared" si="38"/>
        <v>1.25</v>
      </c>
      <c r="O142" s="135">
        <f t="shared" si="38"/>
        <v>1.25</v>
      </c>
      <c r="P142" s="135">
        <f t="shared" si="38"/>
        <v>1.25</v>
      </c>
      <c r="Q142" s="135">
        <f t="shared" si="38"/>
        <v>1.25</v>
      </c>
      <c r="R142" s="135">
        <f t="shared" si="38"/>
        <v>1.25</v>
      </c>
      <c r="S142" s="135">
        <f t="shared" si="38"/>
        <v>1.25</v>
      </c>
      <c r="T142" s="135">
        <f t="shared" si="39"/>
        <v>1.25</v>
      </c>
      <c r="U142" s="135">
        <f t="shared" si="39"/>
        <v>1.25</v>
      </c>
      <c r="V142" s="135">
        <f t="shared" si="39"/>
        <v>1.25</v>
      </c>
      <c r="W142" s="135">
        <f t="shared" si="39"/>
        <v>1.25</v>
      </c>
      <c r="X142" s="135">
        <f t="shared" si="39"/>
        <v>1.25</v>
      </c>
      <c r="Y142" s="135">
        <f t="shared" si="39"/>
        <v>1.25</v>
      </c>
      <c r="Z142" s="135">
        <f t="shared" si="39"/>
        <v>1.25</v>
      </c>
      <c r="AA142" s="135">
        <f t="shared" si="39"/>
        <v>1.25</v>
      </c>
      <c r="AB142" s="135">
        <f t="shared" si="39"/>
        <v>1.25</v>
      </c>
      <c r="AC142" s="135">
        <f t="shared" si="39"/>
        <v>1.25</v>
      </c>
      <c r="AD142" s="135">
        <f t="shared" si="39"/>
        <v>1.25</v>
      </c>
      <c r="AE142" s="135">
        <f t="shared" si="39"/>
        <v>1.25</v>
      </c>
      <c r="AF142" s="135">
        <f t="shared" si="39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7"/>
        <v>1.46</v>
      </c>
      <c r="C143" s="136">
        <v>1.46</v>
      </c>
      <c r="D143" s="135">
        <f t="shared" si="38"/>
        <v>1.46</v>
      </c>
      <c r="E143" s="135">
        <f t="shared" si="38"/>
        <v>1.46</v>
      </c>
      <c r="F143" s="135">
        <f t="shared" si="38"/>
        <v>1.46</v>
      </c>
      <c r="G143" s="135">
        <f t="shared" si="38"/>
        <v>1.46</v>
      </c>
      <c r="H143" s="135">
        <f t="shared" si="38"/>
        <v>1.46</v>
      </c>
      <c r="I143" s="135">
        <f t="shared" si="38"/>
        <v>1.46</v>
      </c>
      <c r="J143" s="135">
        <f t="shared" si="38"/>
        <v>1.46</v>
      </c>
      <c r="K143" s="135">
        <f t="shared" si="38"/>
        <v>1.46</v>
      </c>
      <c r="L143" s="135">
        <f t="shared" si="38"/>
        <v>1.46</v>
      </c>
      <c r="M143" s="135">
        <f t="shared" si="38"/>
        <v>1.46</v>
      </c>
      <c r="N143" s="135">
        <f t="shared" si="38"/>
        <v>1.46</v>
      </c>
      <c r="O143" s="135">
        <f t="shared" si="38"/>
        <v>1.46</v>
      </c>
      <c r="P143" s="135">
        <f t="shared" si="38"/>
        <v>1.46</v>
      </c>
      <c r="Q143" s="135">
        <f t="shared" si="38"/>
        <v>1.46</v>
      </c>
      <c r="R143" s="135">
        <f t="shared" si="38"/>
        <v>1.46</v>
      </c>
      <c r="S143" s="135">
        <f t="shared" si="38"/>
        <v>1.46</v>
      </c>
      <c r="T143" s="135">
        <f t="shared" si="39"/>
        <v>1.46</v>
      </c>
      <c r="U143" s="135">
        <f t="shared" si="39"/>
        <v>1.46</v>
      </c>
      <c r="V143" s="135">
        <f t="shared" si="39"/>
        <v>1.46</v>
      </c>
      <c r="W143" s="135">
        <f t="shared" si="39"/>
        <v>1.46</v>
      </c>
      <c r="X143" s="135">
        <f t="shared" si="39"/>
        <v>1.46</v>
      </c>
      <c r="Y143" s="135">
        <f t="shared" si="39"/>
        <v>1.46</v>
      </c>
      <c r="Z143" s="135">
        <f t="shared" si="39"/>
        <v>1.46</v>
      </c>
      <c r="AA143" s="135">
        <f t="shared" si="39"/>
        <v>1.46</v>
      </c>
      <c r="AB143" s="135">
        <f t="shared" si="39"/>
        <v>1.46</v>
      </c>
      <c r="AC143" s="135">
        <f t="shared" si="39"/>
        <v>1.46</v>
      </c>
      <c r="AD143" s="135">
        <f t="shared" si="39"/>
        <v>1.46</v>
      </c>
      <c r="AE143" s="135">
        <f t="shared" si="39"/>
      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7"/>
        <v>3</v>
      </c>
      <c r="C144" s="136">
        <v>3</v>
      </c>
      <c r="D144" s="135">
        <f t="shared" si="38"/>
        <v>3</v>
      </c>
      <c r="E144" s="135">
        <f t="shared" si="38"/>
        <v>3</v>
      </c>
      <c r="F144" s="135">
        <f t="shared" si="38"/>
        <v>3</v>
      </c>
      <c r="G144" s="135">
        <f t="shared" si="38"/>
        <v>3</v>
      </c>
      <c r="H144" s="135">
        <f t="shared" si="38"/>
        <v>3</v>
      </c>
      <c r="I144" s="135">
        <f t="shared" si="38"/>
        <v>3</v>
      </c>
      <c r="J144" s="135">
        <f t="shared" si="38"/>
        <v>3</v>
      </c>
      <c r="K144" s="135">
        <f t="shared" si="38"/>
        <v>3</v>
      </c>
      <c r="L144" s="135">
        <f t="shared" si="38"/>
        <v>3</v>
      </c>
      <c r="M144" s="135">
        <f t="shared" si="38"/>
        <v>3</v>
      </c>
      <c r="N144" s="135">
        <f t="shared" si="38"/>
        <v>3</v>
      </c>
      <c r="O144" s="135">
        <f t="shared" si="38"/>
        <v>3</v>
      </c>
      <c r="P144" s="135">
        <f t="shared" si="38"/>
        <v>3</v>
      </c>
      <c r="Q144" s="135">
        <f t="shared" si="38"/>
        <v>3</v>
      </c>
      <c r="R144" s="135">
        <f t="shared" si="38"/>
        <v>3</v>
      </c>
      <c r="S144" s="135">
        <f t="shared" si="38"/>
        <v>3</v>
      </c>
      <c r="T144" s="135">
        <f t="shared" si="39"/>
        <v>3</v>
      </c>
      <c r="U144" s="135">
        <f t="shared" si="39"/>
        <v>3</v>
      </c>
      <c r="V144" s="135">
        <f t="shared" si="39"/>
        <v>3</v>
      </c>
      <c r="W144" s="135">
        <f t="shared" si="39"/>
        <v>3</v>
      </c>
      <c r="X144" s="135">
        <f t="shared" si="39"/>
        <v>3</v>
      </c>
      <c r="Y144" s="135">
        <f t="shared" si="39"/>
        <v>3</v>
      </c>
      <c r="Z144" s="135">
        <f t="shared" si="39"/>
        <v>3</v>
      </c>
      <c r="AA144" s="135">
        <f t="shared" si="39"/>
        <v>3</v>
      </c>
      <c r="AB144" s="135">
        <f t="shared" si="39"/>
        <v>3</v>
      </c>
      <c r="AC144" s="135">
        <f t="shared" si="39"/>
        <v>3</v>
      </c>
      <c r="AD144" s="135">
        <f t="shared" si="39"/>
        <v>3</v>
      </c>
      <c r="AE144" s="135">
        <f t="shared" si="39"/>
        <v>3</v>
      </c>
      <c r="AF144" s="135">
        <f t="shared" si="39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7"/>
        <v>3.3</v>
      </c>
      <c r="C145" s="136">
        <v>3.3</v>
      </c>
      <c r="D145" s="135">
        <f t="shared" si="38"/>
        <v>3.3</v>
      </c>
      <c r="E145" s="135">
        <f t="shared" si="38"/>
        <v>3.3</v>
      </c>
      <c r="F145" s="135">
        <f t="shared" si="38"/>
        <v>3.3</v>
      </c>
      <c r="G145" s="135">
        <f t="shared" si="38"/>
        <v>3.3</v>
      </c>
      <c r="H145" s="135">
        <f t="shared" si="38"/>
        <v>3.3</v>
      </c>
      <c r="I145" s="135">
        <f t="shared" si="38"/>
        <v>3.3</v>
      </c>
      <c r="J145" s="135">
        <f t="shared" si="38"/>
        <v>3.3</v>
      </c>
      <c r="K145" s="135">
        <f t="shared" si="38"/>
        <v>3.3</v>
      </c>
      <c r="L145" s="135">
        <f t="shared" si="38"/>
        <v>3.3</v>
      </c>
      <c r="M145" s="135">
        <f t="shared" si="38"/>
        <v>3.3</v>
      </c>
      <c r="N145" s="135">
        <f t="shared" si="38"/>
        <v>3.3</v>
      </c>
      <c r="O145" s="135">
        <f t="shared" si="38"/>
        <v>3.3</v>
      </c>
      <c r="P145" s="135">
        <f t="shared" si="38"/>
        <v>3.3</v>
      </c>
      <c r="Q145" s="135">
        <f t="shared" si="38"/>
        <v>3.3</v>
      </c>
      <c r="R145" s="135">
        <f t="shared" si="38"/>
        <v>3.3</v>
      </c>
      <c r="S145" s="135">
        <f t="shared" si="38"/>
        <v>3.3</v>
      </c>
      <c r="T145" s="135">
        <f t="shared" si="39"/>
        <v>3.3</v>
      </c>
      <c r="U145" s="135">
        <f t="shared" si="39"/>
        <v>3.3</v>
      </c>
      <c r="V145" s="135">
        <f t="shared" si="39"/>
        <v>3.3</v>
      </c>
      <c r="W145" s="135">
        <f t="shared" si="39"/>
        <v>3.3</v>
      </c>
      <c r="X145" s="135">
        <f t="shared" si="39"/>
        <v>3.3</v>
      </c>
      <c r="Y145" s="135">
        <f t="shared" si="39"/>
        <v>3.3</v>
      </c>
      <c r="Z145" s="135">
        <f t="shared" si="39"/>
        <v>3.3</v>
      </c>
      <c r="AA145" s="135">
        <f t="shared" si="39"/>
        <v>3.3</v>
      </c>
      <c r="AB145" s="135">
        <f t="shared" si="39"/>
        <v>3.3</v>
      </c>
      <c r="AC145" s="135">
        <f t="shared" si="39"/>
        <v>3.3</v>
      </c>
      <c r="AD145" s="135">
        <f t="shared" si="39"/>
        <v>3.3</v>
      </c>
      <c r="AE145" s="135">
        <f t="shared" si="39"/>
        <v>3.3</v>
      </c>
      <c r="AF145" s="135">
        <f t="shared" si="39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0">C147</f>
        <v>1.76</v>
      </c>
      <c r="E147" s="135">
        <f t="shared" si="40"/>
        <v>1.76</v>
      </c>
      <c r="F147" s="135">
        <f t="shared" si="40"/>
        <v>1.76</v>
      </c>
      <c r="G147" s="135">
        <f t="shared" si="40"/>
        <v>1.76</v>
      </c>
      <c r="H147" s="135">
        <f t="shared" si="40"/>
        <v>1.76</v>
      </c>
      <c r="I147" s="135">
        <f t="shared" si="40"/>
        <v>1.76</v>
      </c>
      <c r="J147" s="135">
        <f t="shared" si="40"/>
        <v>1.76</v>
      </c>
      <c r="K147" s="135">
        <f t="shared" si="40"/>
        <v>1.76</v>
      </c>
      <c r="L147" s="135">
        <f t="shared" si="40"/>
        <v>1.76</v>
      </c>
      <c r="M147" s="135">
        <f t="shared" si="40"/>
        <v>1.76</v>
      </c>
      <c r="N147" s="135">
        <f t="shared" si="40"/>
        <v>1.76</v>
      </c>
      <c r="O147" s="135">
        <f t="shared" si="40"/>
        <v>1.76</v>
      </c>
      <c r="P147" s="135">
        <f t="shared" si="40"/>
        <v>1.76</v>
      </c>
      <c r="Q147" s="135">
        <f t="shared" si="40"/>
        <v>1.76</v>
      </c>
      <c r="R147" s="135">
        <f t="shared" si="40"/>
        <v>1.76</v>
      </c>
      <c r="S147" s="135">
        <f t="shared" si="40"/>
        <v>1.76</v>
      </c>
      <c r="T147" s="135">
        <f t="shared" ref="T147:AF148" si="41">S147</f>
        <v>1.76</v>
      </c>
      <c r="U147" s="135">
        <f t="shared" si="41"/>
        <v>1.76</v>
      </c>
      <c r="V147" s="135">
        <f t="shared" si="41"/>
        <v>1.76</v>
      </c>
      <c r="W147" s="135">
        <f t="shared" si="41"/>
        <v>1.76</v>
      </c>
      <c r="X147" s="135">
        <f t="shared" si="41"/>
        <v>1.76</v>
      </c>
      <c r="Y147" s="135">
        <f t="shared" si="41"/>
        <v>1.76</v>
      </c>
      <c r="Z147" s="135">
        <f t="shared" si="41"/>
        <v>1.76</v>
      </c>
      <c r="AA147" s="135">
        <f t="shared" si="41"/>
        <v>1.76</v>
      </c>
      <c r="AB147" s="135">
        <f t="shared" si="41"/>
        <v>1.76</v>
      </c>
      <c r="AC147" s="135">
        <f t="shared" si="41"/>
        <v>1.76</v>
      </c>
      <c r="AD147" s="135">
        <f t="shared" si="41"/>
        <v>1.76</v>
      </c>
      <c r="AE147" s="135">
        <f t="shared" si="41"/>
        <v>1.76</v>
      </c>
      <c r="AF147" s="135">
        <f t="shared" si="41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0"/>
        <v>0</v>
      </c>
      <c r="E148" s="135">
        <f t="shared" si="40"/>
        <v>0</v>
      </c>
      <c r="F148" s="135">
        <f t="shared" si="40"/>
        <v>0</v>
      </c>
      <c r="G148" s="135">
        <f t="shared" si="40"/>
        <v>0</v>
      </c>
      <c r="H148" s="135">
        <f t="shared" si="40"/>
        <v>0</v>
      </c>
      <c r="I148" s="135">
        <f t="shared" si="40"/>
        <v>0</v>
      </c>
      <c r="J148" s="135">
        <f t="shared" si="40"/>
        <v>0</v>
      </c>
      <c r="K148" s="135">
        <f t="shared" si="40"/>
        <v>0</v>
      </c>
      <c r="L148" s="135">
        <f t="shared" si="40"/>
        <v>0</v>
      </c>
      <c r="M148" s="135">
        <f t="shared" si="40"/>
        <v>0</v>
      </c>
      <c r="N148" s="135">
        <f t="shared" si="40"/>
        <v>0</v>
      </c>
      <c r="O148" s="135">
        <f t="shared" si="40"/>
        <v>0</v>
      </c>
      <c r="P148" s="135">
        <f t="shared" si="40"/>
        <v>0</v>
      </c>
      <c r="Q148" s="135">
        <f t="shared" si="40"/>
        <v>0</v>
      </c>
      <c r="R148" s="135">
        <f t="shared" si="40"/>
        <v>0</v>
      </c>
      <c r="S148" s="135">
        <f t="shared" si="40"/>
        <v>0</v>
      </c>
      <c r="T148" s="135">
        <f t="shared" si="41"/>
        <v>0</v>
      </c>
      <c r="U148" s="135">
        <f t="shared" si="41"/>
        <v>0</v>
      </c>
      <c r="V148" s="135">
        <f t="shared" si="41"/>
        <v>0</v>
      </c>
      <c r="W148" s="135">
        <f t="shared" si="41"/>
        <v>0</v>
      </c>
      <c r="X148" s="135">
        <f t="shared" si="41"/>
        <v>0</v>
      </c>
      <c r="Y148" s="135">
        <f t="shared" si="41"/>
        <v>0</v>
      </c>
      <c r="Z148" s="135">
        <f t="shared" si="41"/>
        <v>0</v>
      </c>
      <c r="AA148" s="135">
        <f t="shared" si="41"/>
        <v>0</v>
      </c>
      <c r="AB148" s="135">
        <f t="shared" si="41"/>
        <v>0</v>
      </c>
      <c r="AC148" s="135">
        <f t="shared" si="41"/>
        <v>0</v>
      </c>
      <c r="AD148" s="135">
        <f t="shared" si="41"/>
        <v>0</v>
      </c>
      <c r="AE148" s="135">
        <f t="shared" si="41"/>
        <v>0</v>
      </c>
      <c r="AF148" s="135">
        <f t="shared" si="41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2">C150</f>
        <v>0.1</v>
      </c>
      <c r="E150" s="135">
        <f t="shared" si="42"/>
        <v>0.1</v>
      </c>
      <c r="F150" s="135">
        <f t="shared" si="42"/>
        <v>0.1</v>
      </c>
      <c r="G150" s="135">
        <f t="shared" si="42"/>
        <v>0.1</v>
      </c>
      <c r="H150" s="135">
        <f t="shared" si="42"/>
        <v>0.1</v>
      </c>
      <c r="I150" s="135">
        <f t="shared" si="42"/>
        <v>0.1</v>
      </c>
      <c r="J150" s="135">
        <f t="shared" si="42"/>
        <v>0.1</v>
      </c>
      <c r="K150" s="135">
        <f t="shared" si="42"/>
        <v>0.1</v>
      </c>
      <c r="L150" s="135">
        <f t="shared" si="42"/>
        <v>0.1</v>
      </c>
      <c r="M150" s="135">
        <f t="shared" si="42"/>
        <v>0.1</v>
      </c>
      <c r="N150" s="135">
        <f t="shared" si="42"/>
        <v>0.1</v>
      </c>
      <c r="O150" s="135">
        <f t="shared" si="42"/>
        <v>0.1</v>
      </c>
      <c r="P150" s="135">
        <f t="shared" si="42"/>
        <v>0.1</v>
      </c>
      <c r="Q150" s="135">
        <f t="shared" si="42"/>
        <v>0.1</v>
      </c>
      <c r="R150" s="135">
        <f t="shared" si="42"/>
        <v>0.1</v>
      </c>
      <c r="S150" s="135">
        <f t="shared" si="42"/>
        <v>0.1</v>
      </c>
      <c r="T150" s="135">
        <f t="shared" ref="T150:AF153" si="43">S150</f>
        <v>0.1</v>
      </c>
      <c r="U150" s="135">
        <f t="shared" si="43"/>
        <v>0.1</v>
      </c>
      <c r="V150" s="135">
        <f t="shared" si="43"/>
        <v>0.1</v>
      </c>
      <c r="W150" s="135">
        <f t="shared" si="43"/>
        <v>0.1</v>
      </c>
      <c r="X150" s="135">
        <f t="shared" si="43"/>
        <v>0.1</v>
      </c>
      <c r="Y150" s="135">
        <f t="shared" si="43"/>
        <v>0.1</v>
      </c>
      <c r="Z150" s="135">
        <f t="shared" si="43"/>
        <v>0.1</v>
      </c>
      <c r="AA150" s="135">
        <f t="shared" si="43"/>
        <v>0.1</v>
      </c>
      <c r="AB150" s="135">
        <f t="shared" si="43"/>
        <v>0.1</v>
      </c>
      <c r="AC150" s="135">
        <f t="shared" si="43"/>
        <v>0.1</v>
      </c>
      <c r="AD150" s="135">
        <f t="shared" si="43"/>
        <v>0.1</v>
      </c>
      <c r="AE150" s="135">
        <f t="shared" si="43"/>
        <v>0.1</v>
      </c>
      <c r="AF150" s="135">
        <f t="shared" si="43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2"/>
        <v>2.0499999999999998</v>
      </c>
      <c r="E151" s="135">
        <f t="shared" si="42"/>
        <v>2.0499999999999998</v>
      </c>
      <c r="F151" s="135">
        <f t="shared" si="42"/>
        <v>2.0499999999999998</v>
      </c>
      <c r="G151" s="135">
        <f t="shared" si="42"/>
        <v>2.0499999999999998</v>
      </c>
      <c r="H151" s="135">
        <f t="shared" si="42"/>
        <v>2.0499999999999998</v>
      </c>
      <c r="I151" s="135">
        <f t="shared" si="42"/>
        <v>2.0499999999999998</v>
      </c>
      <c r="J151" s="135">
        <f t="shared" si="42"/>
        <v>2.0499999999999998</v>
      </c>
      <c r="K151" s="135">
        <f t="shared" si="42"/>
        <v>2.0499999999999998</v>
      </c>
      <c r="L151" s="135">
        <f t="shared" si="42"/>
        <v>2.0499999999999998</v>
      </c>
      <c r="M151" s="135">
        <f t="shared" si="42"/>
        <v>2.0499999999999998</v>
      </c>
      <c r="N151" s="135">
        <f t="shared" si="42"/>
        <v>2.0499999999999998</v>
      </c>
      <c r="O151" s="135">
        <f t="shared" si="42"/>
        <v>2.0499999999999998</v>
      </c>
      <c r="P151" s="135">
        <f t="shared" si="42"/>
        <v>2.0499999999999998</v>
      </c>
      <c r="Q151" s="135">
        <f t="shared" si="42"/>
        <v>2.0499999999999998</v>
      </c>
      <c r="R151" s="135">
        <f t="shared" si="42"/>
        <v>2.0499999999999998</v>
      </c>
      <c r="S151" s="135">
        <f t="shared" si="42"/>
        <v>2.0499999999999998</v>
      </c>
      <c r="T151" s="135">
        <f t="shared" si="43"/>
        <v>2.0499999999999998</v>
      </c>
      <c r="U151" s="135">
        <f t="shared" si="43"/>
        <v>2.0499999999999998</v>
      </c>
      <c r="V151" s="135">
        <f t="shared" si="43"/>
        <v>2.0499999999999998</v>
      </c>
      <c r="W151" s="135">
        <f t="shared" si="43"/>
        <v>2.0499999999999998</v>
      </c>
      <c r="X151" s="135">
        <f t="shared" si="43"/>
        <v>2.0499999999999998</v>
      </c>
      <c r="Y151" s="135">
        <f t="shared" si="43"/>
        <v>2.0499999999999998</v>
      </c>
      <c r="Z151" s="135">
        <f t="shared" si="43"/>
        <v>2.0499999999999998</v>
      </c>
      <c r="AA151" s="135">
        <f t="shared" si="43"/>
        <v>2.0499999999999998</v>
      </c>
      <c r="AB151" s="135">
        <f t="shared" si="43"/>
        <v>2.0499999999999998</v>
      </c>
      <c r="AC151" s="135">
        <f t="shared" si="43"/>
        <v>2.0499999999999998</v>
      </c>
      <c r="AD151" s="135">
        <f t="shared" si="43"/>
        <v>2.0499999999999998</v>
      </c>
      <c r="AE151" s="135">
        <f t="shared" si="43"/>
        <v>2.0499999999999998</v>
      </c>
      <c r="AF151" s="135">
        <f t="shared" si="43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2"/>
        <v>2.7</v>
      </c>
      <c r="E152" s="135">
        <f t="shared" si="42"/>
        <v>2.7</v>
      </c>
      <c r="F152" s="135">
        <f t="shared" si="42"/>
        <v>2.7</v>
      </c>
      <c r="G152" s="135">
        <f t="shared" si="42"/>
        <v>2.7</v>
      </c>
      <c r="H152" s="135">
        <f t="shared" si="42"/>
        <v>2.7</v>
      </c>
      <c r="I152" s="135">
        <f t="shared" si="42"/>
        <v>2.7</v>
      </c>
      <c r="J152" s="135">
        <f t="shared" si="42"/>
        <v>2.7</v>
      </c>
      <c r="K152" s="135">
        <f t="shared" si="42"/>
        <v>2.7</v>
      </c>
      <c r="L152" s="135">
        <f t="shared" si="42"/>
        <v>2.7</v>
      </c>
      <c r="M152" s="135">
        <f t="shared" si="42"/>
        <v>2.7</v>
      </c>
      <c r="N152" s="135">
        <f t="shared" si="42"/>
        <v>2.7</v>
      </c>
      <c r="O152" s="135">
        <f t="shared" si="42"/>
        <v>2.7</v>
      </c>
      <c r="P152" s="135">
        <f t="shared" si="42"/>
        <v>2.7</v>
      </c>
      <c r="Q152" s="135">
        <f t="shared" si="42"/>
        <v>2.7</v>
      </c>
      <c r="R152" s="135">
        <f t="shared" si="42"/>
        <v>2.7</v>
      </c>
      <c r="S152" s="135">
        <f t="shared" si="42"/>
        <v>2.7</v>
      </c>
      <c r="T152" s="135">
        <f t="shared" si="43"/>
        <v>2.7</v>
      </c>
      <c r="U152" s="135">
        <f t="shared" si="43"/>
        <v>2.7</v>
      </c>
      <c r="V152" s="135">
        <f t="shared" si="43"/>
        <v>2.7</v>
      </c>
      <c r="W152" s="135">
        <f t="shared" si="43"/>
        <v>2.7</v>
      </c>
      <c r="X152" s="135">
        <f t="shared" si="43"/>
        <v>2.7</v>
      </c>
      <c r="Y152" s="135">
        <f t="shared" si="43"/>
        <v>2.7</v>
      </c>
      <c r="Z152" s="135">
        <f t="shared" si="43"/>
        <v>2.7</v>
      </c>
      <c r="AA152" s="135">
        <f t="shared" si="43"/>
        <v>2.7</v>
      </c>
      <c r="AB152" s="135">
        <f t="shared" si="43"/>
        <v>2.7</v>
      </c>
      <c r="AC152" s="135">
        <f t="shared" si="43"/>
        <v>2.7</v>
      </c>
      <c r="AD152" s="135">
        <f t="shared" si="43"/>
        <v>2.7</v>
      </c>
      <c r="AE152" s="135">
        <f t="shared" si="43"/>
        <v>2.7</v>
      </c>
      <c r="AF152" s="135">
        <f t="shared" si="43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2"/>
        <v>2.15</v>
      </c>
      <c r="E153" s="135">
        <f t="shared" si="42"/>
        <v>2.15</v>
      </c>
      <c r="F153" s="135">
        <f t="shared" si="42"/>
        <v>2.15</v>
      </c>
      <c r="G153" s="135">
        <f t="shared" si="42"/>
        <v>2.15</v>
      </c>
      <c r="H153" s="135">
        <f t="shared" si="42"/>
        <v>2.15</v>
      </c>
      <c r="I153" s="135">
        <f t="shared" si="42"/>
        <v>2.15</v>
      </c>
      <c r="J153" s="135">
        <f t="shared" si="42"/>
        <v>2.15</v>
      </c>
      <c r="K153" s="135">
        <f t="shared" si="42"/>
        <v>2.15</v>
      </c>
      <c r="L153" s="135">
        <f t="shared" si="42"/>
        <v>2.15</v>
      </c>
      <c r="M153" s="135">
        <f t="shared" si="42"/>
        <v>2.15</v>
      </c>
      <c r="N153" s="135">
        <f t="shared" si="42"/>
        <v>2.15</v>
      </c>
      <c r="O153" s="135">
        <f t="shared" si="42"/>
        <v>2.15</v>
      </c>
      <c r="P153" s="135">
        <f t="shared" si="42"/>
        <v>2.15</v>
      </c>
      <c r="Q153" s="135">
        <f t="shared" si="42"/>
        <v>2.15</v>
      </c>
      <c r="R153" s="135">
        <f t="shared" si="42"/>
        <v>2.15</v>
      </c>
      <c r="S153" s="135">
        <f t="shared" si="42"/>
        <v>2.15</v>
      </c>
      <c r="T153" s="135">
        <f t="shared" si="43"/>
        <v>2.15</v>
      </c>
      <c r="U153" s="135">
        <f t="shared" si="43"/>
        <v>2.15</v>
      </c>
      <c r="V153" s="135">
        <f t="shared" si="43"/>
        <v>2.15</v>
      </c>
      <c r="W153" s="135">
        <f t="shared" si="43"/>
        <v>2.15</v>
      </c>
      <c r="X153" s="135">
        <f t="shared" si="43"/>
        <v>2.15</v>
      </c>
      <c r="Y153" s="135">
        <f t="shared" si="43"/>
        <v>2.15</v>
      </c>
      <c r="Z153" s="135">
        <f t="shared" si="43"/>
        <v>2.15</v>
      </c>
      <c r="AA153" s="135">
        <f t="shared" si="43"/>
        <v>2.15</v>
      </c>
      <c r="AB153" s="135">
        <f t="shared" si="43"/>
        <v>2.15</v>
      </c>
      <c r="AC153" s="135">
        <f t="shared" si="43"/>
        <v>2.15</v>
      </c>
      <c r="AD153" s="135">
        <f t="shared" si="43"/>
        <v>2.15</v>
      </c>
      <c r="AE153" s="135">
        <f t="shared" si="43"/>
        <v>2.15</v>
      </c>
      <c r="AF153" s="135">
        <f t="shared" si="43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4">AF155</f>
        <v>0.9</v>
      </c>
      <c r="C155" s="136">
        <v>0.9</v>
      </c>
      <c r="D155" s="135">
        <f t="shared" ref="D155:S167" si="45">C155</f>
        <v>0.9</v>
      </c>
      <c r="E155" s="135">
        <f t="shared" si="45"/>
        <v>0.9</v>
      </c>
      <c r="F155" s="135">
        <f t="shared" si="45"/>
        <v>0.9</v>
      </c>
      <c r="G155" s="135">
        <f t="shared" si="45"/>
        <v>0.9</v>
      </c>
      <c r="H155" s="135">
        <f t="shared" si="45"/>
        <v>0.9</v>
      </c>
      <c r="I155" s="135">
        <f t="shared" si="45"/>
        <v>0.9</v>
      </c>
      <c r="J155" s="135">
        <f t="shared" si="45"/>
        <v>0.9</v>
      </c>
      <c r="K155" s="135">
        <f t="shared" si="45"/>
        <v>0.9</v>
      </c>
      <c r="L155" s="135">
        <f t="shared" si="45"/>
        <v>0.9</v>
      </c>
      <c r="M155" s="135">
        <f t="shared" si="45"/>
        <v>0.9</v>
      </c>
      <c r="N155" s="135">
        <f t="shared" si="45"/>
        <v>0.9</v>
      </c>
      <c r="O155" s="135">
        <f t="shared" si="45"/>
        <v>0.9</v>
      </c>
      <c r="P155" s="135">
        <f t="shared" si="45"/>
        <v>0.9</v>
      </c>
      <c r="Q155" s="135">
        <f t="shared" si="45"/>
        <v>0.9</v>
      </c>
      <c r="R155" s="135">
        <f t="shared" si="45"/>
        <v>0.9</v>
      </c>
      <c r="S155" s="135">
        <f t="shared" si="45"/>
        <v>0.9</v>
      </c>
      <c r="T155" s="135">
        <f t="shared" ref="S155:AF167" si="46">S155</f>
        <v>0.9</v>
      </c>
      <c r="U155" s="135">
        <f t="shared" si="46"/>
        <v>0.9</v>
      </c>
      <c r="V155" s="135">
        <f t="shared" si="46"/>
        <v>0.9</v>
      </c>
      <c r="W155" s="135">
        <f t="shared" si="46"/>
        <v>0.9</v>
      </c>
      <c r="X155" s="135">
        <f t="shared" si="46"/>
        <v>0.9</v>
      </c>
      <c r="Y155" s="135">
        <f t="shared" si="46"/>
        <v>0.9</v>
      </c>
      <c r="Z155" s="135">
        <f t="shared" si="46"/>
        <v>0.9</v>
      </c>
      <c r="AA155" s="135">
        <f t="shared" si="46"/>
        <v>0.9</v>
      </c>
      <c r="AB155" s="135">
        <f t="shared" si="46"/>
        <v>0.9</v>
      </c>
      <c r="AC155" s="135">
        <f t="shared" si="46"/>
        <v>0.9</v>
      </c>
      <c r="AD155" s="135">
        <f t="shared" si="46"/>
        <v>0.9</v>
      </c>
      <c r="AE155" s="135">
        <f t="shared" si="46"/>
        <v>0.9</v>
      </c>
      <c r="AF155" s="135">
        <f t="shared" si="46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4"/>
        <v>1.08</v>
      </c>
      <c r="C156" s="136">
        <v>1.08</v>
      </c>
      <c r="D156" s="135">
        <f t="shared" si="45"/>
        <v>1.08</v>
      </c>
      <c r="E156" s="135">
        <f t="shared" si="45"/>
        <v>1.08</v>
      </c>
      <c r="F156" s="135">
        <f t="shared" si="45"/>
        <v>1.08</v>
      </c>
      <c r="G156" s="135">
        <f t="shared" si="45"/>
        <v>1.08</v>
      </c>
      <c r="H156" s="135">
        <f t="shared" si="45"/>
        <v>1.08</v>
      </c>
      <c r="I156" s="135">
        <f t="shared" si="45"/>
        <v>1.08</v>
      </c>
      <c r="J156" s="135">
        <f t="shared" si="45"/>
        <v>1.08</v>
      </c>
      <c r="K156" s="135">
        <f t="shared" si="45"/>
        <v>1.08</v>
      </c>
      <c r="L156" s="135">
        <f t="shared" si="45"/>
        <v>1.08</v>
      </c>
      <c r="M156" s="135">
        <f t="shared" si="45"/>
        <v>1.08</v>
      </c>
      <c r="N156" s="135">
        <f t="shared" si="45"/>
        <v>1.08</v>
      </c>
      <c r="O156" s="135">
        <f t="shared" si="45"/>
        <v>1.08</v>
      </c>
      <c r="P156" s="135">
        <f t="shared" si="45"/>
        <v>1.08</v>
      </c>
      <c r="Q156" s="135">
        <f t="shared" si="45"/>
        <v>1.08</v>
      </c>
      <c r="R156" s="135">
        <f t="shared" si="45"/>
        <v>1.08</v>
      </c>
      <c r="S156" s="135">
        <f t="shared" si="45"/>
        <v>1.08</v>
      </c>
      <c r="T156" s="135">
        <f t="shared" si="46"/>
        <v>1.08</v>
      </c>
      <c r="U156" s="135">
        <f t="shared" si="46"/>
        <v>1.08</v>
      </c>
      <c r="V156" s="135">
        <f t="shared" si="46"/>
        <v>1.08</v>
      </c>
      <c r="W156" s="135">
        <f t="shared" si="46"/>
        <v>1.08</v>
      </c>
      <c r="X156" s="135">
        <f t="shared" si="46"/>
        <v>1.08</v>
      </c>
      <c r="Y156" s="135">
        <f t="shared" si="46"/>
        <v>1.08</v>
      </c>
      <c r="Z156" s="135">
        <f t="shared" si="46"/>
        <v>1.08</v>
      </c>
      <c r="AA156" s="135">
        <f t="shared" si="46"/>
        <v>1.08</v>
      </c>
      <c r="AB156" s="135">
        <f t="shared" si="46"/>
        <v>1.08</v>
      </c>
      <c r="AC156" s="135">
        <f t="shared" si="46"/>
        <v>1.08</v>
      </c>
      <c r="AD156" s="135">
        <f t="shared" si="46"/>
        <v>1.08</v>
      </c>
      <c r="AE156" s="135">
        <f t="shared" si="46"/>
        <v>1.08</v>
      </c>
      <c r="AF156" s="135">
        <f t="shared" si="46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4"/>
        <v>2.37</v>
      </c>
      <c r="C157" s="136">
        <v>2.37</v>
      </c>
      <c r="D157" s="135">
        <f t="shared" si="45"/>
        <v>2.37</v>
      </c>
      <c r="E157" s="135">
        <f t="shared" si="45"/>
        <v>2.37</v>
      </c>
      <c r="F157" s="135">
        <f t="shared" si="45"/>
        <v>2.37</v>
      </c>
      <c r="G157" s="135">
        <f t="shared" si="45"/>
        <v>2.37</v>
      </c>
      <c r="H157" s="135">
        <f t="shared" si="45"/>
        <v>2.37</v>
      </c>
      <c r="I157" s="135">
        <f t="shared" si="45"/>
        <v>2.37</v>
      </c>
      <c r="J157" s="135">
        <f t="shared" si="45"/>
        <v>2.37</v>
      </c>
      <c r="K157" s="135">
        <f t="shared" si="45"/>
        <v>2.37</v>
      </c>
      <c r="L157" s="135">
        <f t="shared" si="45"/>
        <v>2.37</v>
      </c>
      <c r="M157" s="135">
        <f t="shared" si="45"/>
        <v>2.37</v>
      </c>
      <c r="N157" s="135">
        <f t="shared" si="45"/>
        <v>2.37</v>
      </c>
      <c r="O157" s="135">
        <f t="shared" si="45"/>
        <v>2.37</v>
      </c>
      <c r="P157" s="135">
        <f t="shared" si="45"/>
        <v>2.37</v>
      </c>
      <c r="Q157" s="135">
        <f t="shared" si="45"/>
        <v>2.37</v>
      </c>
      <c r="R157" s="135">
        <f t="shared" si="45"/>
        <v>2.37</v>
      </c>
      <c r="S157" s="135">
        <f t="shared" si="45"/>
        <v>2.37</v>
      </c>
      <c r="T157" s="135">
        <f t="shared" si="46"/>
        <v>2.37</v>
      </c>
      <c r="U157" s="135">
        <f t="shared" si="46"/>
        <v>2.37</v>
      </c>
      <c r="V157" s="135">
        <f t="shared" si="46"/>
        <v>2.37</v>
      </c>
      <c r="W157" s="135">
        <f t="shared" si="46"/>
        <v>2.37</v>
      </c>
      <c r="X157" s="135">
        <f t="shared" si="46"/>
        <v>2.37</v>
      </c>
      <c r="Y157" s="135">
        <f t="shared" si="46"/>
        <v>2.37</v>
      </c>
      <c r="Z157" s="135">
        <f t="shared" si="46"/>
        <v>2.37</v>
      </c>
      <c r="AA157" s="135">
        <f t="shared" si="46"/>
        <v>2.37</v>
      </c>
      <c r="AB157" s="135">
        <f t="shared" si="46"/>
        <v>2.37</v>
      </c>
      <c r="AC157" s="135">
        <f t="shared" si="46"/>
        <v>2.37</v>
      </c>
      <c r="AD157" s="135">
        <f t="shared" si="46"/>
        <v>2.37</v>
      </c>
      <c r="AE157" s="135">
        <f t="shared" si="46"/>
        <v>2.37</v>
      </c>
      <c r="AF157" s="135">
        <f t="shared" si="46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4"/>
        <v>1.81</v>
      </c>
      <c r="C158" s="136">
        <v>1.81</v>
      </c>
      <c r="D158" s="135">
        <f t="shared" si="45"/>
        <v>1.81</v>
      </c>
      <c r="E158" s="135">
        <f t="shared" si="45"/>
        <v>1.81</v>
      </c>
      <c r="F158" s="135">
        <f t="shared" si="45"/>
        <v>1.81</v>
      </c>
      <c r="G158" s="135">
        <f t="shared" si="45"/>
        <v>1.81</v>
      </c>
      <c r="H158" s="135">
        <f t="shared" si="45"/>
        <v>1.81</v>
      </c>
      <c r="I158" s="135">
        <f t="shared" si="45"/>
        <v>1.81</v>
      </c>
      <c r="J158" s="135">
        <f t="shared" si="45"/>
        <v>1.81</v>
      </c>
      <c r="K158" s="135">
        <f t="shared" si="45"/>
        <v>1.81</v>
      </c>
      <c r="L158" s="135">
        <f t="shared" si="45"/>
        <v>1.81</v>
      </c>
      <c r="M158" s="135">
        <f t="shared" si="45"/>
        <v>1.81</v>
      </c>
      <c r="N158" s="135">
        <f t="shared" si="45"/>
        <v>1.81</v>
      </c>
      <c r="O158" s="135">
        <f t="shared" si="45"/>
        <v>1.81</v>
      </c>
      <c r="P158" s="135">
        <f t="shared" si="45"/>
        <v>1.81</v>
      </c>
      <c r="Q158" s="135">
        <f t="shared" si="45"/>
        <v>1.81</v>
      </c>
      <c r="R158" s="135">
        <f t="shared" si="45"/>
        <v>1.81</v>
      </c>
      <c r="S158" s="135">
        <f t="shared" si="45"/>
        <v>1.81</v>
      </c>
      <c r="T158" s="135">
        <f t="shared" si="46"/>
        <v>1.81</v>
      </c>
      <c r="U158" s="135">
        <f t="shared" si="46"/>
        <v>1.81</v>
      </c>
      <c r="V158" s="135">
        <f t="shared" si="46"/>
        <v>1.81</v>
      </c>
      <c r="W158" s="135">
        <f t="shared" si="46"/>
        <v>1.81</v>
      </c>
      <c r="X158" s="135">
        <f t="shared" si="46"/>
        <v>1.81</v>
      </c>
      <c r="Y158" s="135">
        <f t="shared" si="46"/>
        <v>1.81</v>
      </c>
      <c r="Z158" s="135">
        <f t="shared" si="46"/>
        <v>1.81</v>
      </c>
      <c r="AA158" s="135">
        <f t="shared" si="46"/>
        <v>1.81</v>
      </c>
      <c r="AB158" s="135">
        <f t="shared" si="46"/>
        <v>1.81</v>
      </c>
      <c r="AC158" s="135">
        <f t="shared" si="46"/>
        <v>1.81</v>
      </c>
      <c r="AD158" s="135">
        <f t="shared" si="46"/>
        <v>1.81</v>
      </c>
      <c r="AE158" s="135">
        <f t="shared" si="46"/>
        <v>1.81</v>
      </c>
      <c r="AF158" s="135">
        <f t="shared" si="46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4"/>
        <v>1.0900000000000001</v>
      </c>
      <c r="C159" s="136">
        <v>1.0900000000000001</v>
      </c>
      <c r="D159" s="135">
        <f t="shared" si="45"/>
        <v>1.0900000000000001</v>
      </c>
      <c r="E159" s="135">
        <f t="shared" si="45"/>
        <v>1.0900000000000001</v>
      </c>
      <c r="F159" s="135">
        <f t="shared" si="45"/>
        <v>1.0900000000000001</v>
      </c>
      <c r="G159" s="135">
        <f t="shared" si="45"/>
        <v>1.0900000000000001</v>
      </c>
      <c r="H159" s="135">
        <f t="shared" si="45"/>
        <v>1.0900000000000001</v>
      </c>
      <c r="I159" s="135">
        <f t="shared" si="45"/>
        <v>1.0900000000000001</v>
      </c>
      <c r="J159" s="135">
        <f t="shared" si="45"/>
        <v>1.0900000000000001</v>
      </c>
      <c r="K159" s="135">
        <f t="shared" si="45"/>
        <v>1.0900000000000001</v>
      </c>
      <c r="L159" s="135">
        <f t="shared" si="45"/>
        <v>1.0900000000000001</v>
      </c>
      <c r="M159" s="135">
        <f t="shared" si="45"/>
        <v>1.0900000000000001</v>
      </c>
      <c r="N159" s="135">
        <f t="shared" si="45"/>
        <v>1.0900000000000001</v>
      </c>
      <c r="O159" s="135">
        <f t="shared" si="45"/>
        <v>1.0900000000000001</v>
      </c>
      <c r="P159" s="135">
        <f t="shared" si="45"/>
        <v>1.0900000000000001</v>
      </c>
      <c r="Q159" s="135">
        <f t="shared" si="45"/>
        <v>1.0900000000000001</v>
      </c>
      <c r="R159" s="135">
        <f t="shared" si="45"/>
        <v>1.0900000000000001</v>
      </c>
      <c r="S159" s="135">
        <f t="shared" si="45"/>
        <v>1.0900000000000001</v>
      </c>
      <c r="T159" s="135">
        <f t="shared" si="46"/>
        <v>1.0900000000000001</v>
      </c>
      <c r="U159" s="135">
        <f t="shared" si="46"/>
        <v>1.0900000000000001</v>
      </c>
      <c r="V159" s="135">
        <f t="shared" si="46"/>
        <v>1.0900000000000001</v>
      </c>
      <c r="W159" s="135">
        <f t="shared" si="46"/>
        <v>1.0900000000000001</v>
      </c>
      <c r="X159" s="135">
        <f t="shared" si="46"/>
        <v>1.0900000000000001</v>
      </c>
      <c r="Y159" s="135">
        <f t="shared" si="46"/>
        <v>1.0900000000000001</v>
      </c>
      <c r="Z159" s="135">
        <f t="shared" si="46"/>
        <v>1.0900000000000001</v>
      </c>
      <c r="AA159" s="135">
        <f t="shared" si="46"/>
        <v>1.0900000000000001</v>
      </c>
      <c r="AB159" s="135">
        <f t="shared" si="46"/>
        <v>1.0900000000000001</v>
      </c>
      <c r="AC159" s="135">
        <f t="shared" si="46"/>
        <v>1.0900000000000001</v>
      </c>
      <c r="AD159" s="135">
        <f t="shared" si="46"/>
        <v>1.0900000000000001</v>
      </c>
      <c r="AE159" s="135">
        <f t="shared" si="46"/>
        <v>1.0900000000000001</v>
      </c>
      <c r="AF159" s="135">
        <f t="shared" si="46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4"/>
        <v>1.58</v>
      </c>
      <c r="C160" s="136">
        <v>1.58</v>
      </c>
      <c r="D160" s="135">
        <f t="shared" si="45"/>
        <v>1.58</v>
      </c>
      <c r="E160" s="135">
        <f t="shared" si="45"/>
        <v>1.58</v>
      </c>
      <c r="F160" s="135">
        <f t="shared" si="45"/>
        <v>1.58</v>
      </c>
      <c r="G160" s="135">
        <f t="shared" si="45"/>
        <v>1.58</v>
      </c>
      <c r="H160" s="135">
        <f t="shared" si="45"/>
        <v>1.58</v>
      </c>
      <c r="I160" s="135">
        <f t="shared" si="45"/>
        <v>1.58</v>
      </c>
      <c r="J160" s="135">
        <f t="shared" si="45"/>
        <v>1.58</v>
      </c>
      <c r="K160" s="135">
        <f t="shared" si="45"/>
        <v>1.58</v>
      </c>
      <c r="L160" s="135">
        <f t="shared" si="45"/>
        <v>1.58</v>
      </c>
      <c r="M160" s="135">
        <f t="shared" si="45"/>
        <v>1.58</v>
      </c>
      <c r="N160" s="135">
        <f t="shared" si="45"/>
        <v>1.58</v>
      </c>
      <c r="O160" s="135">
        <f t="shared" si="45"/>
        <v>1.58</v>
      </c>
      <c r="P160" s="135">
        <f t="shared" si="45"/>
        <v>1.58</v>
      </c>
      <c r="Q160" s="135">
        <f t="shared" si="45"/>
        <v>1.58</v>
      </c>
      <c r="R160" s="135">
        <f t="shared" si="45"/>
        <v>1.58</v>
      </c>
      <c r="S160" s="135">
        <f t="shared" si="45"/>
        <v>1.58</v>
      </c>
      <c r="T160" s="135">
        <f t="shared" si="46"/>
        <v>1.58</v>
      </c>
      <c r="U160" s="135">
        <f t="shared" si="46"/>
        <v>1.58</v>
      </c>
      <c r="V160" s="135">
        <f t="shared" si="46"/>
        <v>1.58</v>
      </c>
      <c r="W160" s="135">
        <f t="shared" si="46"/>
        <v>1.58</v>
      </c>
      <c r="X160" s="135">
        <f t="shared" si="46"/>
        <v>1.58</v>
      </c>
      <c r="Y160" s="135">
        <f t="shared" si="46"/>
        <v>1.58</v>
      </c>
      <c r="Z160" s="135">
        <f t="shared" si="46"/>
        <v>1.58</v>
      </c>
      <c r="AA160" s="135">
        <f t="shared" si="46"/>
        <v>1.58</v>
      </c>
      <c r="AB160" s="135">
        <f t="shared" si="46"/>
        <v>1.58</v>
      </c>
      <c r="AC160" s="135">
        <f t="shared" si="46"/>
        <v>1.58</v>
      </c>
      <c r="AD160" s="135">
        <f t="shared" si="46"/>
        <v>1.58</v>
      </c>
      <c r="AE160" s="135">
        <f t="shared" si="46"/>
        <v>1.58</v>
      </c>
      <c r="AF160" s="135">
        <f t="shared" si="46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4"/>
        <v>2</v>
      </c>
      <c r="C161" s="136">
        <v>2</v>
      </c>
      <c r="D161" s="135">
        <f t="shared" si="45"/>
        <v>2</v>
      </c>
      <c r="E161" s="135">
        <f t="shared" si="45"/>
        <v>2</v>
      </c>
      <c r="F161" s="135">
        <f t="shared" si="45"/>
        <v>2</v>
      </c>
      <c r="G161" s="135">
        <f t="shared" si="45"/>
        <v>2</v>
      </c>
      <c r="H161" s="135">
        <f t="shared" si="45"/>
        <v>2</v>
      </c>
      <c r="I161" s="135">
        <f t="shared" si="45"/>
        <v>2</v>
      </c>
      <c r="J161" s="135">
        <f t="shared" si="45"/>
        <v>2</v>
      </c>
      <c r="K161" s="135">
        <f t="shared" si="45"/>
        <v>2</v>
      </c>
      <c r="L161" s="135">
        <f t="shared" si="45"/>
        <v>2</v>
      </c>
      <c r="M161" s="135">
        <f t="shared" si="45"/>
        <v>2</v>
      </c>
      <c r="N161" s="135">
        <f t="shared" si="45"/>
        <v>2</v>
      </c>
      <c r="O161" s="135">
        <f t="shared" si="45"/>
        <v>2</v>
      </c>
      <c r="P161" s="135">
        <f t="shared" si="45"/>
        <v>2</v>
      </c>
      <c r="Q161" s="135">
        <f t="shared" si="45"/>
        <v>2</v>
      </c>
      <c r="R161" s="135">
        <f t="shared" si="45"/>
        <v>2</v>
      </c>
      <c r="S161" s="135">
        <f t="shared" si="45"/>
        <v>2</v>
      </c>
      <c r="T161" s="135">
        <f t="shared" si="46"/>
        <v>2</v>
      </c>
      <c r="U161" s="135">
        <f t="shared" si="46"/>
        <v>2</v>
      </c>
      <c r="V161" s="135">
        <f t="shared" si="46"/>
        <v>2</v>
      </c>
      <c r="W161" s="135">
        <f t="shared" si="46"/>
        <v>2</v>
      </c>
      <c r="X161" s="135">
        <f t="shared" si="46"/>
        <v>2</v>
      </c>
      <c r="Y161" s="135">
        <f t="shared" si="46"/>
        <v>2</v>
      </c>
      <c r="Z161" s="135">
        <f t="shared" si="46"/>
        <v>2</v>
      </c>
      <c r="AA161" s="135">
        <f t="shared" si="46"/>
        <v>2</v>
      </c>
      <c r="AB161" s="135">
        <f t="shared" si="46"/>
        <v>2</v>
      </c>
      <c r="AC161" s="135">
        <f t="shared" si="46"/>
        <v>2</v>
      </c>
      <c r="AD161" s="135">
        <f t="shared" si="46"/>
        <v>2</v>
      </c>
      <c r="AE161" s="135">
        <f t="shared" si="46"/>
        <v>2</v>
      </c>
      <c r="AF161" s="135">
        <f t="shared" si="46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4"/>
        <v>0.47</v>
      </c>
      <c r="C162" s="136">
        <v>0.47</v>
      </c>
      <c r="D162" s="135">
        <f t="shared" si="45"/>
        <v>0.47</v>
      </c>
      <c r="E162" s="135">
        <f t="shared" si="45"/>
        <v>0.47</v>
      </c>
      <c r="F162" s="135">
        <f t="shared" si="45"/>
        <v>0.47</v>
      </c>
      <c r="G162" s="135">
        <f t="shared" si="45"/>
        <v>0.47</v>
      </c>
      <c r="H162" s="135">
        <f t="shared" si="45"/>
        <v>0.47</v>
      </c>
      <c r="I162" s="135">
        <f t="shared" si="45"/>
        <v>0.47</v>
      </c>
      <c r="J162" s="135">
        <f t="shared" si="45"/>
        <v>0.47</v>
      </c>
      <c r="K162" s="135">
        <f t="shared" si="45"/>
        <v>0.47</v>
      </c>
      <c r="L162" s="135">
        <f t="shared" si="45"/>
        <v>0.47</v>
      </c>
      <c r="M162" s="135">
        <f t="shared" si="45"/>
        <v>0.47</v>
      </c>
      <c r="N162" s="135">
        <f t="shared" si="45"/>
        <v>0.47</v>
      </c>
      <c r="O162" s="135">
        <f t="shared" si="45"/>
        <v>0.47</v>
      </c>
      <c r="P162" s="135">
        <f t="shared" si="45"/>
        <v>0.47</v>
      </c>
      <c r="Q162" s="135">
        <f t="shared" si="45"/>
        <v>0.47</v>
      </c>
      <c r="R162" s="135">
        <f t="shared" si="45"/>
        <v>0.47</v>
      </c>
      <c r="S162" s="135">
        <f t="shared" si="45"/>
        <v>0.47</v>
      </c>
      <c r="T162" s="135">
        <f t="shared" si="46"/>
        <v>0.47</v>
      </c>
      <c r="U162" s="135">
        <f t="shared" si="46"/>
        <v>0.47</v>
      </c>
      <c r="V162" s="135">
        <f t="shared" si="46"/>
        <v>0.47</v>
      </c>
      <c r="W162" s="135">
        <f t="shared" si="46"/>
        <v>0.47</v>
      </c>
      <c r="X162" s="135">
        <f t="shared" si="46"/>
        <v>0.47</v>
      </c>
      <c r="Y162" s="135">
        <f t="shared" si="46"/>
        <v>0.47</v>
      </c>
      <c r="Z162" s="135">
        <f t="shared" si="46"/>
        <v>0.47</v>
      </c>
      <c r="AA162" s="135">
        <f t="shared" si="46"/>
        <v>0.47</v>
      </c>
      <c r="AB162" s="135">
        <f t="shared" si="46"/>
        <v>0.47</v>
      </c>
      <c r="AC162" s="135">
        <f t="shared" si="46"/>
        <v>0.47</v>
      </c>
      <c r="AD162" s="135">
        <f t="shared" si="46"/>
        <v>0.47</v>
      </c>
      <c r="AE162" s="135">
        <f t="shared" si="46"/>
        <v>0.47</v>
      </c>
      <c r="AF162" s="135">
        <f t="shared" si="46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4"/>
        <v>0</v>
      </c>
      <c r="C163" s="136">
        <v>0</v>
      </c>
      <c r="D163" s="135">
        <f t="shared" si="45"/>
        <v>0</v>
      </c>
      <c r="E163" s="135">
        <f t="shared" si="45"/>
        <v>0</v>
      </c>
      <c r="F163" s="135">
        <f t="shared" si="45"/>
        <v>0</v>
      </c>
      <c r="G163" s="135">
        <f t="shared" si="45"/>
        <v>0</v>
      </c>
      <c r="H163" s="135">
        <f t="shared" si="45"/>
        <v>0</v>
      </c>
      <c r="I163" s="135">
        <f t="shared" si="45"/>
        <v>0</v>
      </c>
      <c r="J163" s="135">
        <f t="shared" si="45"/>
        <v>0</v>
      </c>
      <c r="K163" s="135">
        <f t="shared" si="45"/>
        <v>0</v>
      </c>
      <c r="L163" s="135">
        <f t="shared" si="45"/>
        <v>0</v>
      </c>
      <c r="M163" s="135">
        <f t="shared" si="45"/>
        <v>0</v>
      </c>
      <c r="N163" s="135">
        <f t="shared" si="45"/>
        <v>0</v>
      </c>
      <c r="O163" s="135">
        <f t="shared" si="45"/>
        <v>0</v>
      </c>
      <c r="P163" s="135">
        <f t="shared" si="45"/>
        <v>0</v>
      </c>
      <c r="Q163" s="135">
        <f t="shared" si="45"/>
        <v>0</v>
      </c>
      <c r="R163" s="135">
        <f t="shared" si="45"/>
        <v>0</v>
      </c>
      <c r="S163" s="135">
        <f t="shared" si="45"/>
        <v>0</v>
      </c>
      <c r="T163" s="135">
        <f t="shared" si="46"/>
        <v>0</v>
      </c>
      <c r="U163" s="135">
        <f t="shared" si="46"/>
        <v>0</v>
      </c>
      <c r="V163" s="135">
        <f t="shared" si="46"/>
        <v>0</v>
      </c>
      <c r="W163" s="135">
        <f t="shared" si="46"/>
        <v>0</v>
      </c>
      <c r="X163" s="135">
        <f t="shared" si="46"/>
        <v>0</v>
      </c>
      <c r="Y163" s="135">
        <f t="shared" si="46"/>
        <v>0</v>
      </c>
      <c r="Z163" s="135">
        <f t="shared" si="46"/>
        <v>0</v>
      </c>
      <c r="AA163" s="135">
        <f t="shared" si="46"/>
        <v>0</v>
      </c>
      <c r="AB163" s="135">
        <f t="shared" si="46"/>
        <v>0</v>
      </c>
      <c r="AC163" s="135">
        <f t="shared" si="46"/>
        <v>0</v>
      </c>
      <c r="AD163" s="135">
        <f t="shared" si="46"/>
        <v>0</v>
      </c>
      <c r="AE163" s="135">
        <f t="shared" si="46"/>
        <v>0</v>
      </c>
      <c r="AF163" s="135">
        <f t="shared" si="46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4"/>
        <v>0</v>
      </c>
      <c r="C164" s="136">
        <v>0</v>
      </c>
      <c r="D164" s="135">
        <f t="shared" si="45"/>
        <v>0</v>
      </c>
      <c r="E164" s="135">
        <f t="shared" si="45"/>
        <v>0</v>
      </c>
      <c r="F164" s="135">
        <f t="shared" si="45"/>
        <v>0</v>
      </c>
      <c r="G164" s="135">
        <f t="shared" si="45"/>
        <v>0</v>
      </c>
      <c r="H164" s="135">
        <f t="shared" si="45"/>
        <v>0</v>
      </c>
      <c r="I164" s="135">
        <f t="shared" si="45"/>
        <v>0</v>
      </c>
      <c r="J164" s="135">
        <f t="shared" si="45"/>
        <v>0</v>
      </c>
      <c r="K164" s="135">
        <f t="shared" si="45"/>
        <v>0</v>
      </c>
      <c r="L164" s="135">
        <f t="shared" si="45"/>
        <v>0</v>
      </c>
      <c r="M164" s="135">
        <f t="shared" si="45"/>
        <v>0</v>
      </c>
      <c r="N164" s="135">
        <f t="shared" si="45"/>
        <v>0</v>
      </c>
      <c r="O164" s="135">
        <f t="shared" si="45"/>
        <v>0</v>
      </c>
      <c r="P164" s="135">
        <f t="shared" si="45"/>
        <v>0</v>
      </c>
      <c r="Q164" s="135">
        <f t="shared" si="45"/>
        <v>0</v>
      </c>
      <c r="R164" s="135">
        <f t="shared" si="45"/>
        <v>0</v>
      </c>
      <c r="S164" s="135">
        <f t="shared" si="46"/>
        <v>0</v>
      </c>
      <c r="T164" s="135">
        <f t="shared" si="46"/>
        <v>0</v>
      </c>
      <c r="U164" s="135">
        <f t="shared" si="46"/>
        <v>0</v>
      </c>
      <c r="V164" s="135">
        <f t="shared" si="46"/>
        <v>0</v>
      </c>
      <c r="W164" s="135">
        <f t="shared" si="46"/>
        <v>0</v>
      </c>
      <c r="X164" s="135">
        <f t="shared" si="46"/>
        <v>0</v>
      </c>
      <c r="Y164" s="135">
        <f t="shared" si="46"/>
        <v>0</v>
      </c>
      <c r="Z164" s="135">
        <f t="shared" si="46"/>
        <v>0</v>
      </c>
      <c r="AA164" s="135">
        <f t="shared" si="46"/>
        <v>0</v>
      </c>
      <c r="AB164" s="135">
        <f t="shared" si="46"/>
        <v>0</v>
      </c>
      <c r="AC164" s="135">
        <f t="shared" si="46"/>
        <v>0</v>
      </c>
      <c r="AD164" s="135">
        <f t="shared" si="46"/>
        <v>0</v>
      </c>
      <c r="AE164" s="135">
        <f t="shared" si="46"/>
        <v>0</v>
      </c>
      <c r="AF164" s="135">
        <f t="shared" si="46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4"/>
        <v>0.8</v>
      </c>
      <c r="C165" s="136">
        <v>0.8</v>
      </c>
      <c r="D165" s="135">
        <f t="shared" si="45"/>
        <v>0.8</v>
      </c>
      <c r="E165" s="135">
        <f t="shared" si="45"/>
        <v>0.8</v>
      </c>
      <c r="F165" s="135">
        <f t="shared" si="45"/>
        <v>0.8</v>
      </c>
      <c r="G165" s="135">
        <f t="shared" si="45"/>
        <v>0.8</v>
      </c>
      <c r="H165" s="135">
        <f t="shared" si="45"/>
        <v>0.8</v>
      </c>
      <c r="I165" s="135">
        <f t="shared" si="45"/>
        <v>0.8</v>
      </c>
      <c r="J165" s="135">
        <f t="shared" si="45"/>
        <v>0.8</v>
      </c>
      <c r="K165" s="135">
        <f t="shared" si="45"/>
        <v>0.8</v>
      </c>
      <c r="L165" s="135">
        <f t="shared" si="45"/>
        <v>0.8</v>
      </c>
      <c r="M165" s="135">
        <f t="shared" si="45"/>
        <v>0.8</v>
      </c>
      <c r="N165" s="135">
        <f t="shared" si="45"/>
        <v>0.8</v>
      </c>
      <c r="O165" s="135">
        <f t="shared" si="45"/>
        <v>0.8</v>
      </c>
      <c r="P165" s="135">
        <f t="shared" si="45"/>
        <v>0.8</v>
      </c>
      <c r="Q165" s="135">
        <f t="shared" si="45"/>
        <v>0.8</v>
      </c>
      <c r="R165" s="135">
        <f t="shared" si="45"/>
        <v>0.8</v>
      </c>
      <c r="S165" s="135">
        <f t="shared" si="46"/>
        <v>0.8</v>
      </c>
      <c r="T165" s="135">
        <f t="shared" si="46"/>
        <v>0.8</v>
      </c>
      <c r="U165" s="135">
        <f t="shared" si="46"/>
        <v>0.8</v>
      </c>
      <c r="V165" s="135">
        <f t="shared" si="46"/>
        <v>0.8</v>
      </c>
      <c r="W165" s="135">
        <f t="shared" si="46"/>
        <v>0.8</v>
      </c>
      <c r="X165" s="135">
        <f t="shared" si="46"/>
        <v>0.8</v>
      </c>
      <c r="Y165" s="135">
        <f t="shared" si="46"/>
        <v>0.8</v>
      </c>
      <c r="Z165" s="135">
        <f t="shared" si="46"/>
        <v>0.8</v>
      </c>
      <c r="AA165" s="135">
        <f t="shared" si="46"/>
        <v>0.8</v>
      </c>
      <c r="AB165" s="135">
        <f t="shared" si="46"/>
        <v>0.8</v>
      </c>
      <c r="AC165" s="135">
        <f t="shared" si="46"/>
        <v>0.8</v>
      </c>
      <c r="AD165" s="135">
        <f t="shared" si="46"/>
        <v>0.8</v>
      </c>
      <c r="AE165" s="135">
        <f t="shared" si="46"/>
        <v>0.8</v>
      </c>
      <c r="AF165" s="135">
        <f t="shared" si="46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4"/>
        <v>1.5</v>
      </c>
      <c r="C166" s="136">
        <v>1.5</v>
      </c>
      <c r="D166" s="135">
        <f t="shared" si="45"/>
        <v>1.5</v>
      </c>
      <c r="E166" s="135">
        <f t="shared" si="45"/>
        <v>1.5</v>
      </c>
      <c r="F166" s="135">
        <f t="shared" si="45"/>
        <v>1.5</v>
      </c>
      <c r="G166" s="135">
        <f t="shared" si="45"/>
        <v>1.5</v>
      </c>
      <c r="H166" s="135">
        <f t="shared" si="45"/>
        <v>1.5</v>
      </c>
      <c r="I166" s="135">
        <f t="shared" si="45"/>
        <v>1.5</v>
      </c>
      <c r="J166" s="135">
        <f t="shared" si="45"/>
        <v>1.5</v>
      </c>
      <c r="K166" s="135">
        <f t="shared" si="45"/>
        <v>1.5</v>
      </c>
      <c r="L166" s="135">
        <f t="shared" si="45"/>
        <v>1.5</v>
      </c>
      <c r="M166" s="135">
        <f t="shared" si="45"/>
        <v>1.5</v>
      </c>
      <c r="N166" s="135">
        <f t="shared" si="45"/>
        <v>1.5</v>
      </c>
      <c r="O166" s="135">
        <f t="shared" si="45"/>
        <v>1.5</v>
      </c>
      <c r="P166" s="135">
        <f t="shared" si="45"/>
        <v>1.5</v>
      </c>
      <c r="Q166" s="135">
        <f t="shared" si="45"/>
        <v>1.5</v>
      </c>
      <c r="R166" s="135">
        <f t="shared" si="45"/>
        <v>1.5</v>
      </c>
      <c r="S166" s="135">
        <f t="shared" si="46"/>
        <v>1.5</v>
      </c>
      <c r="T166" s="135">
        <f t="shared" si="46"/>
        <v>1.5</v>
      </c>
      <c r="U166" s="135">
        <f t="shared" si="46"/>
        <v>1.5</v>
      </c>
      <c r="V166" s="135">
        <f t="shared" si="46"/>
        <v>1.5</v>
      </c>
      <c r="W166" s="135">
        <f t="shared" si="46"/>
        <v>1.5</v>
      </c>
      <c r="X166" s="135">
        <f t="shared" si="46"/>
        <v>1.5</v>
      </c>
      <c r="Y166" s="135">
        <f t="shared" si="46"/>
        <v>1.5</v>
      </c>
      <c r="Z166" s="135">
        <f t="shared" si="46"/>
        <v>1.5</v>
      </c>
      <c r="AA166" s="135">
        <f t="shared" si="46"/>
        <v>1.5</v>
      </c>
      <c r="AB166" s="135">
        <f t="shared" si="46"/>
        <v>1.5</v>
      </c>
      <c r="AC166" s="135">
        <f t="shared" si="46"/>
        <v>1.5</v>
      </c>
      <c r="AD166" s="135">
        <f t="shared" si="46"/>
        <v>1.5</v>
      </c>
      <c r="AE166" s="135">
        <f t="shared" si="46"/>
        <v>1.5</v>
      </c>
      <c r="AF166" s="135">
        <f t="shared" si="46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4"/>
        <v>1</v>
      </c>
      <c r="C167" s="136">
        <v>1</v>
      </c>
      <c r="D167" s="135">
        <f t="shared" si="45"/>
        <v>1</v>
      </c>
      <c r="E167" s="135">
        <f t="shared" si="45"/>
        <v>1</v>
      </c>
      <c r="F167" s="135">
        <f t="shared" si="45"/>
        <v>1</v>
      </c>
      <c r="G167" s="135">
        <f t="shared" si="45"/>
        <v>1</v>
      </c>
      <c r="H167" s="135">
        <f t="shared" si="45"/>
        <v>1</v>
      </c>
      <c r="I167" s="135">
        <f t="shared" si="45"/>
        <v>1</v>
      </c>
      <c r="J167" s="135">
        <f t="shared" si="45"/>
        <v>1</v>
      </c>
      <c r="K167" s="135">
        <f t="shared" si="45"/>
        <v>1</v>
      </c>
      <c r="L167" s="135">
        <f t="shared" si="45"/>
        <v>1</v>
      </c>
      <c r="M167" s="135">
        <f t="shared" si="45"/>
        <v>1</v>
      </c>
      <c r="N167" s="135">
        <f t="shared" si="45"/>
        <v>1</v>
      </c>
      <c r="O167" s="135">
        <f t="shared" si="45"/>
        <v>1</v>
      </c>
      <c r="P167" s="135">
        <f t="shared" si="45"/>
        <v>1</v>
      </c>
      <c r="Q167" s="135">
        <f t="shared" si="45"/>
        <v>1</v>
      </c>
      <c r="R167" s="135">
        <f t="shared" si="45"/>
        <v>1</v>
      </c>
      <c r="S167" s="135">
        <f t="shared" si="46"/>
        <v>1</v>
      </c>
      <c r="T167" s="135">
        <f t="shared" si="46"/>
        <v>1</v>
      </c>
      <c r="U167" s="135">
        <f t="shared" si="46"/>
        <v>1</v>
      </c>
      <c r="V167" s="135">
        <f t="shared" si="46"/>
        <v>1</v>
      </c>
      <c r="W167" s="135">
        <f t="shared" si="46"/>
        <v>1</v>
      </c>
      <c r="X167" s="135">
        <f t="shared" si="46"/>
        <v>1</v>
      </c>
      <c r="Y167" s="135">
        <f t="shared" si="46"/>
        <v>1</v>
      </c>
      <c r="Z167" s="135">
        <f t="shared" si="46"/>
        <v>1</v>
      </c>
      <c r="AA167" s="135">
        <f t="shared" si="46"/>
        <v>1</v>
      </c>
      <c r="AB167" s="135">
        <f t="shared" si="46"/>
        <v>1</v>
      </c>
      <c r="AC167" s="135">
        <f t="shared" si="46"/>
        <v>1</v>
      </c>
      <c r="AD167" s="135">
        <f t="shared" si="46"/>
        <v>1</v>
      </c>
      <c r="AE167" s="135">
        <f t="shared" si="46"/>
        <v>1</v>
      </c>
      <c r="AF167" s="135">
        <f t="shared" si="46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7">AF169</f>
        <v>1</v>
      </c>
      <c r="C169" s="136">
        <v>1</v>
      </c>
      <c r="D169" s="135">
        <f t="shared" ref="D169:S176" si="48">C169</f>
        <v>1</v>
      </c>
      <c r="E169" s="135">
        <f t="shared" si="48"/>
        <v>1</v>
      </c>
      <c r="F169" s="135">
        <f t="shared" si="48"/>
        <v>1</v>
      </c>
      <c r="G169" s="135">
        <f t="shared" si="48"/>
        <v>1</v>
      </c>
      <c r="H169" s="135">
        <f t="shared" si="48"/>
        <v>1</v>
      </c>
      <c r="I169" s="135">
        <f t="shared" si="48"/>
        <v>1</v>
      </c>
      <c r="J169" s="135">
        <f t="shared" si="48"/>
        <v>1</v>
      </c>
      <c r="K169" s="135">
        <f t="shared" si="48"/>
        <v>1</v>
      </c>
      <c r="L169" s="135">
        <f t="shared" si="48"/>
        <v>1</v>
      </c>
      <c r="M169" s="135">
        <f t="shared" si="48"/>
        <v>1</v>
      </c>
      <c r="N169" s="135">
        <f t="shared" si="48"/>
        <v>1</v>
      </c>
      <c r="O169" s="135">
        <f t="shared" si="48"/>
        <v>1</v>
      </c>
      <c r="P169" s="135">
        <f t="shared" si="48"/>
        <v>1</v>
      </c>
      <c r="Q169" s="135">
        <f t="shared" si="48"/>
        <v>1</v>
      </c>
      <c r="R169" s="135">
        <f t="shared" si="48"/>
        <v>1</v>
      </c>
      <c r="S169" s="135">
        <f t="shared" si="48"/>
        <v>1</v>
      </c>
      <c r="T169" s="135">
        <f t="shared" ref="S169:AF176" si="49">S169</f>
        <v>1</v>
      </c>
      <c r="U169" s="135">
        <f t="shared" si="49"/>
        <v>1</v>
      </c>
      <c r="V169" s="135">
        <f t="shared" si="49"/>
        <v>1</v>
      </c>
      <c r="W169" s="135">
        <f t="shared" si="49"/>
        <v>1</v>
      </c>
      <c r="X169" s="135">
        <f t="shared" si="49"/>
        <v>1</v>
      </c>
      <c r="Y169" s="135">
        <f t="shared" si="49"/>
        <v>1</v>
      </c>
      <c r="Z169" s="135">
        <f t="shared" si="49"/>
        <v>1</v>
      </c>
      <c r="AA169" s="135">
        <f t="shared" si="49"/>
        <v>1</v>
      </c>
      <c r="AB169" s="135">
        <f t="shared" si="49"/>
        <v>1</v>
      </c>
      <c r="AC169" s="135">
        <f t="shared" si="49"/>
        <v>1</v>
      </c>
      <c r="AD169" s="135">
        <f t="shared" si="49"/>
        <v>1</v>
      </c>
      <c r="AE169" s="135">
        <f t="shared" si="49"/>
        <v>1</v>
      </c>
      <c r="AF169" s="135">
        <f t="shared" si="49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7"/>
        <v>0.42</v>
      </c>
      <c r="C170" s="136">
        <v>0.42</v>
      </c>
      <c r="D170" s="135">
        <f t="shared" si="48"/>
        <v>0.42</v>
      </c>
      <c r="E170" s="135">
        <f t="shared" si="48"/>
        <v>0.42</v>
      </c>
      <c r="F170" s="135">
        <f t="shared" si="48"/>
        <v>0.42</v>
      </c>
      <c r="G170" s="135">
        <f t="shared" si="48"/>
        <v>0.42</v>
      </c>
      <c r="H170" s="135">
        <f t="shared" si="48"/>
        <v>0.42</v>
      </c>
      <c r="I170" s="135">
        <f t="shared" si="48"/>
        <v>0.42</v>
      </c>
      <c r="J170" s="135">
        <f t="shared" si="48"/>
        <v>0.42</v>
      </c>
      <c r="K170" s="135">
        <f t="shared" si="48"/>
        <v>0.42</v>
      </c>
      <c r="L170" s="135">
        <f t="shared" si="48"/>
        <v>0.42</v>
      </c>
      <c r="M170" s="135">
        <f t="shared" si="48"/>
        <v>0.42</v>
      </c>
      <c r="N170" s="135">
        <f t="shared" si="48"/>
        <v>0.42</v>
      </c>
      <c r="O170" s="135">
        <f t="shared" si="48"/>
        <v>0.42</v>
      </c>
      <c r="P170" s="135">
        <f t="shared" si="48"/>
        <v>0.42</v>
      </c>
      <c r="Q170" s="135">
        <f t="shared" si="48"/>
        <v>0.42</v>
      </c>
      <c r="R170" s="135">
        <f t="shared" si="48"/>
        <v>0.42</v>
      </c>
      <c r="S170" s="135">
        <f t="shared" si="49"/>
        <v>0.42</v>
      </c>
      <c r="T170" s="135">
        <f t="shared" si="49"/>
        <v>0.42</v>
      </c>
      <c r="U170" s="135">
        <f t="shared" si="49"/>
        <v>0.42</v>
      </c>
      <c r="V170" s="135">
        <f t="shared" si="49"/>
        <v>0.42</v>
      </c>
      <c r="W170" s="135">
        <f t="shared" si="49"/>
        <v>0.42</v>
      </c>
      <c r="X170" s="135">
        <f t="shared" si="49"/>
        <v>0.42</v>
      </c>
      <c r="Y170" s="135">
        <f t="shared" si="49"/>
        <v>0.42</v>
      </c>
      <c r="Z170" s="135">
        <f t="shared" si="49"/>
        <v>0.42</v>
      </c>
      <c r="AA170" s="135">
        <f t="shared" si="49"/>
        <v>0.42</v>
      </c>
      <c r="AB170" s="135">
        <f t="shared" si="49"/>
        <v>0.42</v>
      </c>
      <c r="AC170" s="135">
        <f t="shared" si="49"/>
        <v>0.42</v>
      </c>
      <c r="AD170" s="135">
        <f t="shared" si="49"/>
        <v>0.42</v>
      </c>
      <c r="AE170" s="135">
        <f t="shared" si="49"/>
        <v>0.42</v>
      </c>
      <c r="AF170" s="135">
        <f t="shared" si="49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7"/>
        <v>0.46</v>
      </c>
      <c r="C171" s="136">
        <v>0.46</v>
      </c>
      <c r="D171" s="135">
        <f t="shared" si="48"/>
        <v>0.46</v>
      </c>
      <c r="E171" s="135">
        <f t="shared" si="48"/>
        <v>0.46</v>
      </c>
      <c r="F171" s="135">
        <f t="shared" si="48"/>
        <v>0.46</v>
      </c>
      <c r="G171" s="135">
        <f t="shared" si="48"/>
        <v>0.46</v>
      </c>
      <c r="H171" s="135">
        <f t="shared" si="48"/>
        <v>0.46</v>
      </c>
      <c r="I171" s="135">
        <f t="shared" si="48"/>
        <v>0.46</v>
      </c>
      <c r="J171" s="135">
        <f t="shared" si="48"/>
        <v>0.46</v>
      </c>
      <c r="K171" s="135">
        <f t="shared" si="48"/>
        <v>0.46</v>
      </c>
      <c r="L171" s="135">
        <f t="shared" si="48"/>
        <v>0.46</v>
      </c>
      <c r="M171" s="135">
        <f t="shared" si="48"/>
        <v>0.46</v>
      </c>
      <c r="N171" s="135">
        <f t="shared" si="48"/>
        <v>0.46</v>
      </c>
      <c r="O171" s="135">
        <f t="shared" si="48"/>
        <v>0.46</v>
      </c>
      <c r="P171" s="135">
        <f t="shared" si="48"/>
        <v>0.46</v>
      </c>
      <c r="Q171" s="135">
        <f t="shared" si="48"/>
        <v>0.46</v>
      </c>
      <c r="R171" s="135">
        <f t="shared" si="48"/>
        <v>0.46</v>
      </c>
      <c r="S171" s="135">
        <f t="shared" si="49"/>
        <v>0.46</v>
      </c>
      <c r="T171" s="135">
        <f t="shared" si="49"/>
        <v>0.46</v>
      </c>
      <c r="U171" s="135">
        <f t="shared" si="49"/>
        <v>0.46</v>
      </c>
      <c r="V171" s="135">
        <f t="shared" si="49"/>
        <v>0.46</v>
      </c>
      <c r="W171" s="135">
        <f t="shared" si="49"/>
        <v>0.46</v>
      </c>
      <c r="X171" s="135">
        <f t="shared" si="49"/>
        <v>0.46</v>
      </c>
      <c r="Y171" s="135">
        <f t="shared" si="49"/>
        <v>0.46</v>
      </c>
      <c r="Z171" s="135">
        <f t="shared" si="49"/>
        <v>0.46</v>
      </c>
      <c r="AA171" s="135">
        <f t="shared" si="49"/>
        <v>0.46</v>
      </c>
      <c r="AB171" s="135">
        <f t="shared" si="49"/>
        <v>0.46</v>
      </c>
      <c r="AC171" s="135">
        <f t="shared" si="49"/>
        <v>0.46</v>
      </c>
      <c r="AD171" s="135">
        <f t="shared" si="49"/>
        <v>0.46</v>
      </c>
      <c r="AE171" s="135">
        <f t="shared" si="49"/>
        <v>0.46</v>
      </c>
      <c r="AF171" s="135">
        <f t="shared" si="49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7"/>
        <v>0.85</v>
      </c>
      <c r="C172" s="136">
        <v>0.85</v>
      </c>
      <c r="D172" s="135">
        <f t="shared" si="48"/>
        <v>0.85</v>
      </c>
      <c r="E172" s="135">
        <f t="shared" si="48"/>
        <v>0.85</v>
      </c>
      <c r="F172" s="135">
        <f t="shared" si="48"/>
        <v>0.85</v>
      </c>
      <c r="G172" s="135">
        <f t="shared" si="48"/>
        <v>0.85</v>
      </c>
      <c r="H172" s="135">
        <f t="shared" si="48"/>
        <v>0.85</v>
      </c>
      <c r="I172" s="135">
        <f t="shared" si="48"/>
        <v>0.85</v>
      </c>
      <c r="J172" s="135">
        <f t="shared" si="48"/>
        <v>0.85</v>
      </c>
      <c r="K172" s="135">
        <f t="shared" si="48"/>
        <v>0.85</v>
      </c>
      <c r="L172" s="135">
        <f t="shared" si="48"/>
        <v>0.85</v>
      </c>
      <c r="M172" s="135">
        <f t="shared" si="48"/>
        <v>0.85</v>
      </c>
      <c r="N172" s="135">
        <f t="shared" si="48"/>
        <v>0.85</v>
      </c>
      <c r="O172" s="135">
        <f t="shared" si="48"/>
        <v>0.85</v>
      </c>
      <c r="P172" s="135">
        <f t="shared" si="48"/>
        <v>0.85</v>
      </c>
      <c r="Q172" s="135">
        <f t="shared" si="48"/>
        <v>0.85</v>
      </c>
      <c r="R172" s="135">
        <f t="shared" si="48"/>
        <v>0.85</v>
      </c>
      <c r="S172" s="135">
        <f t="shared" si="49"/>
        <v>0.85</v>
      </c>
      <c r="T172" s="135">
        <f t="shared" si="49"/>
        <v>0.85</v>
      </c>
      <c r="U172" s="135">
        <f t="shared" si="49"/>
        <v>0.85</v>
      </c>
      <c r="V172" s="135">
        <f t="shared" si="49"/>
        <v>0.85</v>
      </c>
      <c r="W172" s="135">
        <f t="shared" si="49"/>
        <v>0.85</v>
      </c>
      <c r="X172" s="135">
        <f t="shared" si="49"/>
        <v>0.85</v>
      </c>
      <c r="Y172" s="135">
        <f t="shared" si="49"/>
        <v>0.85</v>
      </c>
      <c r="Z172" s="135">
        <f t="shared" si="49"/>
        <v>0.85</v>
      </c>
      <c r="AA172" s="135">
        <f t="shared" si="49"/>
        <v>0.85</v>
      </c>
      <c r="AB172" s="135">
        <f t="shared" si="49"/>
        <v>0.85</v>
      </c>
      <c r="AC172" s="135">
        <f t="shared" si="49"/>
        <v>0.85</v>
      </c>
      <c r="AD172" s="135">
        <f t="shared" si="49"/>
        <v>0.85</v>
      </c>
      <c r="AE172" s="135">
        <f t="shared" si="49"/>
        <v>0.85</v>
      </c>
      <c r="AF172" s="135">
        <f t="shared" si="49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7"/>
        <v>0.9</v>
      </c>
      <c r="C173" s="136">
        <v>0.9</v>
      </c>
      <c r="D173" s="135">
        <f t="shared" si="48"/>
        <v>0.9</v>
      </c>
      <c r="E173" s="135">
        <f t="shared" si="48"/>
        <v>0.9</v>
      </c>
      <c r="F173" s="135">
        <f t="shared" si="48"/>
        <v>0.9</v>
      </c>
      <c r="G173" s="135">
        <f t="shared" si="48"/>
        <v>0.9</v>
      </c>
      <c r="H173" s="135">
        <f t="shared" si="48"/>
        <v>0.9</v>
      </c>
      <c r="I173" s="135">
        <f t="shared" si="48"/>
        <v>0.9</v>
      </c>
      <c r="J173" s="135">
        <f t="shared" si="48"/>
        <v>0.9</v>
      </c>
      <c r="K173" s="135">
        <f t="shared" si="48"/>
        <v>0.9</v>
      </c>
      <c r="L173" s="135">
        <f t="shared" si="48"/>
        <v>0.9</v>
      </c>
      <c r="M173" s="135">
        <f t="shared" si="48"/>
        <v>0.9</v>
      </c>
      <c r="N173" s="135">
        <f t="shared" si="48"/>
        <v>0.9</v>
      </c>
      <c r="O173" s="135">
        <f t="shared" si="48"/>
        <v>0.9</v>
      </c>
      <c r="P173" s="135">
        <f t="shared" si="48"/>
        <v>0.9</v>
      </c>
      <c r="Q173" s="135">
        <f t="shared" si="48"/>
        <v>0.9</v>
      </c>
      <c r="R173" s="135">
        <f t="shared" si="48"/>
        <v>0.9</v>
      </c>
      <c r="S173" s="135">
        <f t="shared" si="49"/>
        <v>0.9</v>
      </c>
      <c r="T173" s="135">
        <f t="shared" si="49"/>
        <v>0.9</v>
      </c>
      <c r="U173" s="135">
        <f t="shared" si="49"/>
        <v>0.9</v>
      </c>
      <c r="V173" s="135">
        <f t="shared" si="49"/>
        <v>0.9</v>
      </c>
      <c r="W173" s="135">
        <f t="shared" si="49"/>
        <v>0.9</v>
      </c>
      <c r="X173" s="135">
        <f t="shared" si="49"/>
        <v>0.9</v>
      </c>
      <c r="Y173" s="135">
        <f t="shared" si="49"/>
        <v>0.9</v>
      </c>
      <c r="Z173" s="135">
        <f t="shared" si="49"/>
        <v>0.9</v>
      </c>
      <c r="AA173" s="135">
        <f t="shared" si="49"/>
        <v>0.9</v>
      </c>
      <c r="AB173" s="135">
        <f t="shared" si="49"/>
        <v>0.9</v>
      </c>
      <c r="AC173" s="135">
        <f t="shared" si="49"/>
        <v>0.9</v>
      </c>
      <c r="AD173" s="135">
        <f t="shared" si="49"/>
        <v>0.9</v>
      </c>
      <c r="AE173" s="135">
        <f t="shared" si="49"/>
        <v>0.9</v>
      </c>
      <c r="AF173" s="135">
        <f t="shared" si="49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7"/>
        <v>0.44</v>
      </c>
      <c r="C174" s="136">
        <v>0.44</v>
      </c>
      <c r="D174" s="135">
        <f t="shared" si="48"/>
        <v>0.44</v>
      </c>
      <c r="E174" s="135">
        <f t="shared" si="48"/>
        <v>0.44</v>
      </c>
      <c r="F174" s="135">
        <f t="shared" si="48"/>
        <v>0.44</v>
      </c>
      <c r="G174" s="135">
        <f t="shared" si="48"/>
        <v>0.44</v>
      </c>
      <c r="H174" s="135">
        <f t="shared" si="48"/>
        <v>0.44</v>
      </c>
      <c r="I174" s="135">
        <f t="shared" si="48"/>
        <v>0.44</v>
      </c>
      <c r="J174" s="135">
        <f t="shared" si="48"/>
        <v>0.44</v>
      </c>
      <c r="K174" s="135">
        <f t="shared" si="48"/>
        <v>0.44</v>
      </c>
      <c r="L174" s="135">
        <f t="shared" si="48"/>
        <v>0.44</v>
      </c>
      <c r="M174" s="135">
        <f t="shared" si="48"/>
        <v>0.44</v>
      </c>
      <c r="N174" s="135">
        <f t="shared" si="48"/>
        <v>0.44</v>
      </c>
      <c r="O174" s="135">
        <f t="shared" si="48"/>
        <v>0.44</v>
      </c>
      <c r="P174" s="135">
        <f t="shared" si="48"/>
        <v>0.44</v>
      </c>
      <c r="Q174" s="135">
        <f t="shared" si="48"/>
        <v>0.44</v>
      </c>
      <c r="R174" s="135">
        <f t="shared" si="48"/>
        <v>0.44</v>
      </c>
      <c r="S174" s="135">
        <f t="shared" si="49"/>
        <v>0.44</v>
      </c>
      <c r="T174" s="135">
        <f t="shared" si="49"/>
        <v>0.44</v>
      </c>
      <c r="U174" s="135">
        <f t="shared" si="49"/>
        <v>0.44</v>
      </c>
      <c r="V174" s="135">
        <f t="shared" si="49"/>
        <v>0.44</v>
      </c>
      <c r="W174" s="135">
        <f t="shared" si="49"/>
        <v>0.44</v>
      </c>
      <c r="X174" s="135">
        <f t="shared" si="49"/>
        <v>0.44</v>
      </c>
      <c r="Y174" s="135">
        <f t="shared" si="49"/>
        <v>0.44</v>
      </c>
      <c r="Z174" s="135">
        <f t="shared" si="49"/>
        <v>0.44</v>
      </c>
      <c r="AA174" s="135">
        <f t="shared" si="49"/>
        <v>0.44</v>
      </c>
      <c r="AB174" s="135">
        <f t="shared" si="49"/>
        <v>0.44</v>
      </c>
      <c r="AC174" s="135">
        <f t="shared" si="49"/>
        <v>0.44</v>
      </c>
      <c r="AD174" s="135">
        <f t="shared" si="49"/>
        <v>0.44</v>
      </c>
      <c r="AE174" s="135">
        <f t="shared" si="49"/>
        <v>0.44</v>
      </c>
      <c r="AF174" s="135">
        <f t="shared" si="49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7"/>
        <v>2.1</v>
      </c>
      <c r="C175" s="136">
        <v>2.1</v>
      </c>
      <c r="D175" s="135">
        <f t="shared" si="48"/>
        <v>2.1</v>
      </c>
      <c r="E175" s="135">
        <f t="shared" si="48"/>
        <v>2.1</v>
      </c>
      <c r="F175" s="135">
        <f t="shared" si="48"/>
        <v>2.1</v>
      </c>
      <c r="G175" s="135">
        <f t="shared" si="48"/>
        <v>2.1</v>
      </c>
      <c r="H175" s="135">
        <f t="shared" si="48"/>
        <v>2.1</v>
      </c>
      <c r="I175" s="135">
        <f t="shared" si="48"/>
        <v>2.1</v>
      </c>
      <c r="J175" s="135">
        <f t="shared" si="48"/>
        <v>2.1</v>
      </c>
      <c r="K175" s="135">
        <f t="shared" si="48"/>
        <v>2.1</v>
      </c>
      <c r="L175" s="135">
        <f t="shared" si="48"/>
        <v>2.1</v>
      </c>
      <c r="M175" s="135">
        <f t="shared" si="48"/>
        <v>2.1</v>
      </c>
      <c r="N175" s="135">
        <f t="shared" si="48"/>
        <v>2.1</v>
      </c>
      <c r="O175" s="135">
        <f t="shared" si="48"/>
        <v>2.1</v>
      </c>
      <c r="P175" s="135">
        <f t="shared" si="48"/>
        <v>2.1</v>
      </c>
      <c r="Q175" s="135">
        <f t="shared" si="48"/>
        <v>2.1</v>
      </c>
      <c r="R175" s="135">
        <f t="shared" si="48"/>
        <v>2.1</v>
      </c>
      <c r="S175" s="135">
        <f t="shared" si="49"/>
        <v>2.1</v>
      </c>
      <c r="T175" s="135">
        <f t="shared" si="49"/>
        <v>2.1</v>
      </c>
      <c r="U175" s="135">
        <f t="shared" si="49"/>
        <v>2.1</v>
      </c>
      <c r="V175" s="135">
        <f t="shared" si="49"/>
        <v>2.1</v>
      </c>
      <c r="W175" s="135">
        <f t="shared" si="49"/>
        <v>2.1</v>
      </c>
      <c r="X175" s="135">
        <f t="shared" si="49"/>
        <v>2.1</v>
      </c>
      <c r="Y175" s="135">
        <f t="shared" si="49"/>
        <v>2.1</v>
      </c>
      <c r="Z175" s="135">
        <f t="shared" si="49"/>
        <v>2.1</v>
      </c>
      <c r="AA175" s="135">
        <f t="shared" si="49"/>
        <v>2.1</v>
      </c>
      <c r="AB175" s="135">
        <f t="shared" si="49"/>
        <v>2.1</v>
      </c>
      <c r="AC175" s="135">
        <f t="shared" si="49"/>
        <v>2.1</v>
      </c>
      <c r="AD175" s="135">
        <f t="shared" si="49"/>
        <v>2.1</v>
      </c>
      <c r="AE175" s="135">
        <f t="shared" si="49"/>
        <v>2.1</v>
      </c>
      <c r="AF175" s="135">
        <f t="shared" si="49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7"/>
        <v>0.9</v>
      </c>
      <c r="C176" s="136">
        <v>0.9</v>
      </c>
      <c r="D176" s="135">
        <f t="shared" si="48"/>
        <v>0.9</v>
      </c>
      <c r="E176" s="135">
        <f t="shared" si="48"/>
        <v>0.9</v>
      </c>
      <c r="F176" s="135">
        <f t="shared" si="48"/>
        <v>0.9</v>
      </c>
      <c r="G176" s="135">
        <f t="shared" si="48"/>
        <v>0.9</v>
      </c>
      <c r="H176" s="135">
        <f t="shared" si="48"/>
        <v>0.9</v>
      </c>
      <c r="I176" s="135">
        <f t="shared" si="48"/>
        <v>0.9</v>
      </c>
      <c r="J176" s="135">
        <f t="shared" si="48"/>
        <v>0.9</v>
      </c>
      <c r="K176" s="135">
        <f t="shared" si="48"/>
        <v>0.9</v>
      </c>
      <c r="L176" s="135">
        <f t="shared" si="48"/>
        <v>0.9</v>
      </c>
      <c r="M176" s="135">
        <f t="shared" si="48"/>
        <v>0.9</v>
      </c>
      <c r="N176" s="135">
        <f t="shared" si="48"/>
        <v>0.9</v>
      </c>
      <c r="O176" s="135">
        <f t="shared" si="48"/>
        <v>0.9</v>
      </c>
      <c r="P176" s="135">
        <f t="shared" si="48"/>
        <v>0.9</v>
      </c>
      <c r="Q176" s="135">
        <f t="shared" si="48"/>
        <v>0.9</v>
      </c>
      <c r="R176" s="135">
        <f t="shared" si="48"/>
        <v>0.9</v>
      </c>
      <c r="S176" s="135">
        <f t="shared" si="49"/>
        <v>0.9</v>
      </c>
      <c r="T176" s="135">
        <f t="shared" si="49"/>
        <v>0.9</v>
      </c>
      <c r="U176" s="135">
        <f t="shared" si="49"/>
        <v>0.9</v>
      </c>
      <c r="V176" s="135">
        <f t="shared" si="49"/>
        <v>0.9</v>
      </c>
      <c r="W176" s="135">
        <f t="shared" si="49"/>
        <v>0.9</v>
      </c>
      <c r="X176" s="135">
        <f t="shared" si="49"/>
        <v>0.9</v>
      </c>
      <c r="Y176" s="135">
        <f t="shared" si="49"/>
        <v>0.9</v>
      </c>
      <c r="Z176" s="135">
        <f t="shared" si="49"/>
        <v>0.9</v>
      </c>
      <c r="AA176" s="135">
        <f t="shared" si="49"/>
        <v>0.9</v>
      </c>
      <c r="AB176" s="135">
        <f t="shared" si="49"/>
        <v>0.9</v>
      </c>
      <c r="AC176" s="135">
        <f t="shared" si="49"/>
        <v>0.9</v>
      </c>
      <c r="AD176" s="135">
        <f t="shared" si="49"/>
        <v>0.9</v>
      </c>
      <c r="AE176" s="135">
        <f t="shared" si="49"/>
        <v>0.9</v>
      </c>
      <c r="AF176" s="135">
        <f t="shared" si="49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0">AF178</f>
        <v>0.57999999999999996</v>
      </c>
      <c r="C178" s="136">
        <v>0.57999999999999996</v>
      </c>
      <c r="D178" s="135">
        <f t="shared" ref="D178:S190" si="51">C178</f>
        <v>0.57999999999999996</v>
      </c>
      <c r="E178" s="135">
        <f t="shared" si="51"/>
        <v>0.57999999999999996</v>
      </c>
      <c r="F178" s="135">
        <f t="shared" si="51"/>
        <v>0.57999999999999996</v>
      </c>
      <c r="G178" s="135">
        <f t="shared" si="51"/>
        <v>0.57999999999999996</v>
      </c>
      <c r="H178" s="135">
        <f t="shared" si="51"/>
        <v>0.57999999999999996</v>
      </c>
      <c r="I178" s="135">
        <f t="shared" si="51"/>
        <v>0.57999999999999996</v>
      </c>
      <c r="J178" s="135">
        <f t="shared" si="51"/>
        <v>0.57999999999999996</v>
      </c>
      <c r="K178" s="135">
        <f t="shared" si="51"/>
        <v>0.57999999999999996</v>
      </c>
      <c r="L178" s="135">
        <f t="shared" si="51"/>
        <v>0.57999999999999996</v>
      </c>
      <c r="M178" s="135">
        <f t="shared" si="51"/>
        <v>0.57999999999999996</v>
      </c>
      <c r="N178" s="135">
        <f t="shared" si="51"/>
        <v>0.57999999999999996</v>
      </c>
      <c r="O178" s="135">
        <f t="shared" si="51"/>
        <v>0.57999999999999996</v>
      </c>
      <c r="P178" s="135">
        <f t="shared" si="51"/>
        <v>0.57999999999999996</v>
      </c>
      <c r="Q178" s="135">
        <f t="shared" si="51"/>
        <v>0.57999999999999996</v>
      </c>
      <c r="R178" s="135">
        <f t="shared" si="51"/>
        <v>0.57999999999999996</v>
      </c>
      <c r="S178" s="135">
        <f t="shared" si="51"/>
        <v>0.57999999999999996</v>
      </c>
      <c r="T178" s="135">
        <f t="shared" ref="S178:AF190" si="52">S178</f>
        <v>0.57999999999999996</v>
      </c>
      <c r="U178" s="135">
        <f t="shared" si="52"/>
        <v>0.57999999999999996</v>
      </c>
      <c r="V178" s="135">
        <f t="shared" si="52"/>
        <v>0.57999999999999996</v>
      </c>
      <c r="W178" s="135">
        <f t="shared" si="52"/>
        <v>0.57999999999999996</v>
      </c>
      <c r="X178" s="135">
        <f t="shared" si="52"/>
        <v>0.57999999999999996</v>
      </c>
      <c r="Y178" s="135">
        <f t="shared" si="52"/>
        <v>0.57999999999999996</v>
      </c>
      <c r="Z178" s="135">
        <f t="shared" si="52"/>
        <v>0.57999999999999996</v>
      </c>
      <c r="AA178" s="135">
        <f t="shared" si="52"/>
        <v>0.57999999999999996</v>
      </c>
      <c r="AB178" s="135">
        <f t="shared" si="52"/>
        <v>0.57999999999999996</v>
      </c>
      <c r="AC178" s="135">
        <f t="shared" si="52"/>
        <v>0.57999999999999996</v>
      </c>
      <c r="AD178" s="135">
        <f t="shared" si="52"/>
        <v>0.57999999999999996</v>
      </c>
      <c r="AE178" s="135">
        <f t="shared" si="52"/>
        <v>0.57999999999999996</v>
      </c>
      <c r="AF178" s="135">
        <f t="shared" si="52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0"/>
        <v>0.8</v>
      </c>
      <c r="C179" s="136">
        <v>0.8</v>
      </c>
      <c r="D179" s="135">
        <f t="shared" si="51"/>
        <v>0.8</v>
      </c>
      <c r="E179" s="135">
        <f t="shared" si="51"/>
        <v>0.8</v>
      </c>
      <c r="F179" s="135">
        <f t="shared" si="51"/>
        <v>0.8</v>
      </c>
      <c r="G179" s="135">
        <f t="shared" si="51"/>
        <v>0.8</v>
      </c>
      <c r="H179" s="135">
        <f t="shared" si="51"/>
        <v>0.8</v>
      </c>
      <c r="I179" s="135">
        <f t="shared" si="51"/>
        <v>0.8</v>
      </c>
      <c r="J179" s="135">
        <f t="shared" si="51"/>
        <v>0.8</v>
      </c>
      <c r="K179" s="135">
        <f t="shared" si="51"/>
        <v>0.8</v>
      </c>
      <c r="L179" s="135">
        <f t="shared" si="51"/>
        <v>0.8</v>
      </c>
      <c r="M179" s="135">
        <f t="shared" si="51"/>
        <v>0.8</v>
      </c>
      <c r="N179" s="135">
        <f t="shared" si="51"/>
        <v>0.8</v>
      </c>
      <c r="O179" s="135">
        <f t="shared" si="51"/>
        <v>0.8</v>
      </c>
      <c r="P179" s="135">
        <f t="shared" si="51"/>
        <v>0.8</v>
      </c>
      <c r="Q179" s="135">
        <f t="shared" si="51"/>
        <v>0.8</v>
      </c>
      <c r="R179" s="135">
        <f t="shared" si="51"/>
        <v>0.8</v>
      </c>
      <c r="S179" s="135">
        <f t="shared" si="51"/>
        <v>0.8</v>
      </c>
      <c r="T179" s="135">
        <f t="shared" si="52"/>
        <v>0.8</v>
      </c>
      <c r="U179" s="135">
        <f t="shared" si="52"/>
        <v>0.8</v>
      </c>
      <c r="V179" s="135">
        <f t="shared" si="52"/>
        <v>0.8</v>
      </c>
      <c r="W179" s="135">
        <f t="shared" si="52"/>
        <v>0.8</v>
      </c>
      <c r="X179" s="135">
        <f t="shared" si="52"/>
        <v>0.8</v>
      </c>
      <c r="Y179" s="135">
        <f t="shared" si="52"/>
        <v>0.8</v>
      </c>
      <c r="Z179" s="135">
        <f t="shared" si="52"/>
        <v>0.8</v>
      </c>
      <c r="AA179" s="135">
        <f t="shared" si="52"/>
        <v>0.8</v>
      </c>
      <c r="AB179" s="135">
        <f t="shared" si="52"/>
        <v>0.8</v>
      </c>
      <c r="AC179" s="135">
        <f t="shared" si="52"/>
        <v>0.8</v>
      </c>
      <c r="AD179" s="135">
        <f t="shared" si="52"/>
        <v>0.8</v>
      </c>
      <c r="AE179" s="135">
        <f t="shared" si="52"/>
        <v>0.8</v>
      </c>
      <c r="AF179" s="135">
        <f t="shared" si="52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0"/>
        <v>0</v>
      </c>
      <c r="C180" s="136">
        <v>0</v>
      </c>
      <c r="D180" s="135">
        <f t="shared" si="51"/>
        <v>0</v>
      </c>
      <c r="E180" s="135">
        <f t="shared" si="51"/>
        <v>0</v>
      </c>
      <c r="F180" s="135">
        <f t="shared" si="51"/>
        <v>0</v>
      </c>
      <c r="G180" s="135">
        <f t="shared" si="51"/>
        <v>0</v>
      </c>
      <c r="H180" s="135">
        <f t="shared" si="51"/>
        <v>0</v>
      </c>
      <c r="I180" s="135">
        <f t="shared" si="51"/>
        <v>0</v>
      </c>
      <c r="J180" s="135">
        <f t="shared" si="51"/>
        <v>0</v>
      </c>
      <c r="K180" s="135">
        <f t="shared" si="51"/>
        <v>0</v>
      </c>
      <c r="L180" s="135">
        <f t="shared" si="51"/>
        <v>0</v>
      </c>
      <c r="M180" s="135">
        <f t="shared" si="51"/>
        <v>0</v>
      </c>
      <c r="N180" s="135">
        <f t="shared" si="51"/>
        <v>0</v>
      </c>
      <c r="O180" s="135">
        <f t="shared" si="51"/>
        <v>0</v>
      </c>
      <c r="P180" s="135">
        <f t="shared" si="51"/>
        <v>0</v>
      </c>
      <c r="Q180" s="135">
        <f t="shared" si="51"/>
        <v>0</v>
      </c>
      <c r="R180" s="135">
        <f t="shared" si="51"/>
        <v>0</v>
      </c>
      <c r="S180" s="135">
        <f t="shared" si="51"/>
        <v>0</v>
      </c>
      <c r="T180" s="135">
        <f t="shared" si="52"/>
        <v>0</v>
      </c>
      <c r="U180" s="135">
        <f t="shared" si="52"/>
        <v>0</v>
      </c>
      <c r="V180" s="135">
        <f t="shared" si="52"/>
        <v>0</v>
      </c>
      <c r="W180" s="135">
        <f t="shared" si="52"/>
        <v>0</v>
      </c>
      <c r="X180" s="135">
        <f t="shared" si="52"/>
        <v>0</v>
      </c>
      <c r="Y180" s="135">
        <f t="shared" si="52"/>
        <v>0</v>
      </c>
      <c r="Z180" s="135">
        <f t="shared" si="52"/>
        <v>0</v>
      </c>
      <c r="AA180" s="135">
        <f t="shared" si="52"/>
        <v>0</v>
      </c>
      <c r="AB180" s="135">
        <f t="shared" si="52"/>
        <v>0</v>
      </c>
      <c r="AC180" s="135">
        <f t="shared" si="52"/>
        <v>0</v>
      </c>
      <c r="AD180" s="135">
        <f t="shared" si="52"/>
        <v>0</v>
      </c>
      <c r="AE180" s="135">
        <f t="shared" si="52"/>
        <v>0</v>
      </c>
      <c r="AF180" s="135">
        <f t="shared" si="52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0"/>
        <v>0.6</v>
      </c>
      <c r="C181" s="136">
        <v>0.6</v>
      </c>
      <c r="D181" s="135">
        <f t="shared" si="51"/>
        <v>0.6</v>
      </c>
      <c r="E181" s="135">
        <f t="shared" si="51"/>
        <v>0.6</v>
      </c>
      <c r="F181" s="135">
        <f t="shared" si="51"/>
        <v>0.6</v>
      </c>
      <c r="G181" s="135">
        <f t="shared" si="51"/>
        <v>0.6</v>
      </c>
      <c r="H181" s="135">
        <f t="shared" si="51"/>
        <v>0.6</v>
      </c>
      <c r="I181" s="135">
        <f t="shared" si="51"/>
        <v>0.6</v>
      </c>
      <c r="J181" s="135">
        <f t="shared" si="51"/>
        <v>0.6</v>
      </c>
      <c r="K181" s="135">
        <f t="shared" si="51"/>
        <v>0.6</v>
      </c>
      <c r="L181" s="135">
        <f t="shared" si="51"/>
        <v>0.6</v>
      </c>
      <c r="M181" s="135">
        <f t="shared" si="51"/>
        <v>0.6</v>
      </c>
      <c r="N181" s="135">
        <f t="shared" si="51"/>
        <v>0.6</v>
      </c>
      <c r="O181" s="135">
        <f t="shared" si="51"/>
        <v>0.6</v>
      </c>
      <c r="P181" s="135">
        <f t="shared" si="51"/>
        <v>0.6</v>
      </c>
      <c r="Q181" s="135">
        <f t="shared" si="51"/>
        <v>0.6</v>
      </c>
      <c r="R181" s="135">
        <f t="shared" si="51"/>
        <v>0.6</v>
      </c>
      <c r="S181" s="135">
        <f t="shared" si="51"/>
        <v>0.6</v>
      </c>
      <c r="T181" s="135">
        <f t="shared" si="52"/>
        <v>0.6</v>
      </c>
      <c r="U181" s="135">
        <f t="shared" si="52"/>
        <v>0.6</v>
      </c>
      <c r="V181" s="135">
        <f t="shared" si="52"/>
        <v>0.6</v>
      </c>
      <c r="W181" s="135">
        <f t="shared" si="52"/>
        <v>0.6</v>
      </c>
      <c r="X181" s="135">
        <f t="shared" si="52"/>
        <v>0.6</v>
      </c>
      <c r="Y181" s="135">
        <f t="shared" si="52"/>
        <v>0.6</v>
      </c>
      <c r="Z181" s="135">
        <f t="shared" si="52"/>
        <v>0.6</v>
      </c>
      <c r="AA181" s="135">
        <f t="shared" si="52"/>
        <v>0.6</v>
      </c>
      <c r="AB181" s="135">
        <f t="shared" si="52"/>
        <v>0.6</v>
      </c>
      <c r="AC181" s="135">
        <f t="shared" si="52"/>
        <v>0.6</v>
      </c>
      <c r="AD181" s="135">
        <f t="shared" si="52"/>
        <v>0.6</v>
      </c>
      <c r="AE181" s="135">
        <f t="shared" si="52"/>
        <v>0.6</v>
      </c>
      <c r="AF181" s="135">
        <f t="shared" si="52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0"/>
        <v>0.6</v>
      </c>
      <c r="C182" s="136">
        <v>0.6</v>
      </c>
      <c r="D182" s="135">
        <f t="shared" si="51"/>
        <v>0.6</v>
      </c>
      <c r="E182" s="135">
        <f t="shared" si="51"/>
        <v>0.6</v>
      </c>
      <c r="F182" s="135">
        <f t="shared" si="51"/>
        <v>0.6</v>
      </c>
      <c r="G182" s="135">
        <f t="shared" si="51"/>
        <v>0.6</v>
      </c>
      <c r="H182" s="135">
        <f t="shared" si="51"/>
        <v>0.6</v>
      </c>
      <c r="I182" s="135">
        <f t="shared" si="51"/>
        <v>0.6</v>
      </c>
      <c r="J182" s="135">
        <f t="shared" si="51"/>
        <v>0.6</v>
      </c>
      <c r="K182" s="135">
        <f t="shared" si="51"/>
        <v>0.6</v>
      </c>
      <c r="L182" s="135">
        <f t="shared" si="51"/>
        <v>0.6</v>
      </c>
      <c r="M182" s="135">
        <f t="shared" si="51"/>
        <v>0.6</v>
      </c>
      <c r="N182" s="135">
        <f t="shared" si="51"/>
        <v>0.6</v>
      </c>
      <c r="O182" s="135">
        <f t="shared" si="51"/>
        <v>0.6</v>
      </c>
      <c r="P182" s="135">
        <f t="shared" si="51"/>
        <v>0.6</v>
      </c>
      <c r="Q182" s="135">
        <f t="shared" si="51"/>
        <v>0.6</v>
      </c>
      <c r="R182" s="135">
        <f t="shared" si="51"/>
        <v>0.6</v>
      </c>
      <c r="S182" s="135">
        <f t="shared" si="51"/>
        <v>0.6</v>
      </c>
      <c r="T182" s="135">
        <f t="shared" si="52"/>
        <v>0.6</v>
      </c>
      <c r="U182" s="135">
        <f t="shared" si="52"/>
        <v>0.6</v>
      </c>
      <c r="V182" s="135">
        <f t="shared" si="52"/>
        <v>0.6</v>
      </c>
      <c r="W182" s="135">
        <f t="shared" si="52"/>
        <v>0.6</v>
      </c>
      <c r="X182" s="135">
        <f t="shared" si="52"/>
        <v>0.6</v>
      </c>
      <c r="Y182" s="135">
        <f t="shared" si="52"/>
        <v>0.6</v>
      </c>
      <c r="Z182" s="135">
        <f t="shared" si="52"/>
        <v>0.6</v>
      </c>
      <c r="AA182" s="135">
        <f t="shared" si="52"/>
        <v>0.6</v>
      </c>
      <c r="AB182" s="135">
        <f t="shared" si="52"/>
        <v>0.6</v>
      </c>
      <c r="AC182" s="135">
        <f t="shared" si="52"/>
        <v>0.6</v>
      </c>
      <c r="AD182" s="135">
        <f t="shared" si="52"/>
        <v>0.6</v>
      </c>
      <c r="AE182" s="135">
        <f t="shared" si="52"/>
        <v>0.6</v>
      </c>
      <c r="AF182" s="135">
        <f t="shared" si="52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0"/>
        <v>0.35</v>
      </c>
      <c r="C183" s="136">
        <v>0.35</v>
      </c>
      <c r="D183" s="135">
        <f t="shared" si="51"/>
        <v>0.35</v>
      </c>
      <c r="E183" s="135">
        <f t="shared" si="51"/>
        <v>0.35</v>
      </c>
      <c r="F183" s="135">
        <f t="shared" si="51"/>
        <v>0.35</v>
      </c>
      <c r="G183" s="135">
        <f t="shared" si="51"/>
        <v>0.35</v>
      </c>
      <c r="H183" s="135">
        <f t="shared" si="51"/>
        <v>0.35</v>
      </c>
      <c r="I183" s="135">
        <f t="shared" si="51"/>
        <v>0.35</v>
      </c>
      <c r="J183" s="135">
        <f t="shared" si="51"/>
        <v>0.35</v>
      </c>
      <c r="K183" s="135">
        <f t="shared" si="51"/>
        <v>0.35</v>
      </c>
      <c r="L183" s="135">
        <f t="shared" si="51"/>
        <v>0.35</v>
      </c>
      <c r="M183" s="135">
        <f t="shared" si="51"/>
        <v>0.35</v>
      </c>
      <c r="N183" s="135">
        <f t="shared" si="51"/>
        <v>0.35</v>
      </c>
      <c r="O183" s="135">
        <f t="shared" si="51"/>
        <v>0.35</v>
      </c>
      <c r="P183" s="135">
        <f t="shared" si="51"/>
        <v>0.35</v>
      </c>
      <c r="Q183" s="135">
        <f t="shared" si="51"/>
        <v>0.35</v>
      </c>
      <c r="R183" s="135">
        <f t="shared" si="51"/>
        <v>0.35</v>
      </c>
      <c r="S183" s="135">
        <f t="shared" si="51"/>
        <v>0.35</v>
      </c>
      <c r="T183" s="135">
        <f t="shared" si="52"/>
        <v>0.35</v>
      </c>
      <c r="U183" s="135">
        <f t="shared" si="52"/>
        <v>0.35</v>
      </c>
      <c r="V183" s="135">
        <f t="shared" si="52"/>
        <v>0.35</v>
      </c>
      <c r="W183" s="135">
        <f t="shared" si="52"/>
        <v>0.35</v>
      </c>
      <c r="X183" s="135">
        <f t="shared" si="52"/>
        <v>0.35</v>
      </c>
      <c r="Y183" s="135">
        <f t="shared" si="52"/>
        <v>0.35</v>
      </c>
      <c r="Z183" s="135">
        <f t="shared" si="52"/>
        <v>0.35</v>
      </c>
      <c r="AA183" s="135">
        <f t="shared" si="52"/>
        <v>0.35</v>
      </c>
      <c r="AB183" s="135">
        <f t="shared" si="52"/>
        <v>0.35</v>
      </c>
      <c r="AC183" s="135">
        <f t="shared" si="52"/>
        <v>0.35</v>
      </c>
      <c r="AD183" s="135">
        <f t="shared" si="52"/>
        <v>0.35</v>
      </c>
      <c r="AE183" s="135">
        <f t="shared" si="52"/>
        <v>0.35</v>
      </c>
      <c r="AF183" s="135">
        <f t="shared" si="52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0"/>
        <v>0.28999999999999998</v>
      </c>
      <c r="C184" s="136">
        <v>0.28999999999999998</v>
      </c>
      <c r="D184" s="135">
        <f t="shared" si="51"/>
        <v>0.28999999999999998</v>
      </c>
      <c r="E184" s="135">
        <f t="shared" si="51"/>
        <v>0.28999999999999998</v>
      </c>
      <c r="F184" s="135">
        <f t="shared" si="51"/>
        <v>0.28999999999999998</v>
      </c>
      <c r="G184" s="135">
        <f t="shared" si="51"/>
        <v>0.28999999999999998</v>
      </c>
      <c r="H184" s="135">
        <f t="shared" si="51"/>
        <v>0.28999999999999998</v>
      </c>
      <c r="I184" s="135">
        <f t="shared" si="51"/>
        <v>0.28999999999999998</v>
      </c>
      <c r="J184" s="135">
        <f t="shared" si="51"/>
        <v>0.28999999999999998</v>
      </c>
      <c r="K184" s="135">
        <f t="shared" si="51"/>
        <v>0.28999999999999998</v>
      </c>
      <c r="L184" s="135">
        <f t="shared" si="51"/>
        <v>0.28999999999999998</v>
      </c>
      <c r="M184" s="135">
        <f t="shared" si="51"/>
        <v>0.28999999999999998</v>
      </c>
      <c r="N184" s="135">
        <f t="shared" si="51"/>
        <v>0.28999999999999998</v>
      </c>
      <c r="O184" s="135">
        <f t="shared" si="51"/>
        <v>0.28999999999999998</v>
      </c>
      <c r="P184" s="135">
        <f t="shared" si="51"/>
        <v>0.28999999999999998</v>
      </c>
      <c r="Q184" s="135">
        <f t="shared" si="51"/>
        <v>0.28999999999999998</v>
      </c>
      <c r="R184" s="135">
        <f t="shared" si="51"/>
        <v>0.28999999999999998</v>
      </c>
      <c r="S184" s="135">
        <f t="shared" si="51"/>
        <v>0.28999999999999998</v>
      </c>
      <c r="T184" s="135">
        <f t="shared" si="52"/>
        <v>0.28999999999999998</v>
      </c>
      <c r="U184" s="135">
        <f t="shared" si="52"/>
        <v>0.28999999999999998</v>
      </c>
      <c r="V184" s="135">
        <f t="shared" si="52"/>
        <v>0.28999999999999998</v>
      </c>
      <c r="W184" s="135">
        <f t="shared" si="52"/>
        <v>0.28999999999999998</v>
      </c>
      <c r="X184" s="135">
        <f t="shared" si="52"/>
        <v>0.28999999999999998</v>
      </c>
      <c r="Y184" s="135">
        <f t="shared" si="52"/>
        <v>0.28999999999999998</v>
      </c>
      <c r="Z184" s="135">
        <f t="shared" si="52"/>
        <v>0.28999999999999998</v>
      </c>
      <c r="AA184" s="135">
        <f t="shared" si="52"/>
        <v>0.28999999999999998</v>
      </c>
      <c r="AB184" s="135">
        <f t="shared" si="52"/>
        <v>0.28999999999999998</v>
      </c>
      <c r="AC184" s="135">
        <f t="shared" si="52"/>
        <v>0.28999999999999998</v>
      </c>
      <c r="AD184" s="135">
        <f t="shared" si="52"/>
        <v>0.28999999999999998</v>
      </c>
      <c r="AE184" s="135">
        <f t="shared" si="52"/>
        <v>0.28999999999999998</v>
      </c>
      <c r="AF184" s="135">
        <f t="shared" si="52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0"/>
        <v>0.06</v>
      </c>
      <c r="C185" s="136">
        <v>0.06</v>
      </c>
      <c r="D185" s="135">
        <f t="shared" si="51"/>
        <v>0.06</v>
      </c>
      <c r="E185" s="135">
        <f t="shared" si="51"/>
        <v>0.06</v>
      </c>
      <c r="F185" s="135">
        <f t="shared" si="51"/>
        <v>0.06</v>
      </c>
      <c r="G185" s="135">
        <f t="shared" si="51"/>
        <v>0.06</v>
      </c>
      <c r="H185" s="135">
        <f t="shared" si="51"/>
        <v>0.06</v>
      </c>
      <c r="I185" s="135">
        <f t="shared" si="51"/>
        <v>0.06</v>
      </c>
      <c r="J185" s="135">
        <f t="shared" si="51"/>
        <v>0.06</v>
      </c>
      <c r="K185" s="135">
        <f t="shared" si="51"/>
        <v>0.06</v>
      </c>
      <c r="L185" s="135">
        <f t="shared" si="51"/>
        <v>0.06</v>
      </c>
      <c r="M185" s="135">
        <f t="shared" si="51"/>
        <v>0.06</v>
      </c>
      <c r="N185" s="135">
        <f t="shared" si="51"/>
        <v>0.06</v>
      </c>
      <c r="O185" s="135">
        <f t="shared" si="51"/>
        <v>0.06</v>
      </c>
      <c r="P185" s="135">
        <f t="shared" si="51"/>
        <v>0.06</v>
      </c>
      <c r="Q185" s="135">
        <f t="shared" si="51"/>
        <v>0.06</v>
      </c>
      <c r="R185" s="135">
        <f t="shared" si="51"/>
        <v>0.06</v>
      </c>
      <c r="S185" s="135">
        <f t="shared" si="51"/>
        <v>0.06</v>
      </c>
      <c r="T185" s="135">
        <f t="shared" si="52"/>
        <v>0.06</v>
      </c>
      <c r="U185" s="135">
        <f t="shared" si="52"/>
        <v>0.06</v>
      </c>
      <c r="V185" s="135">
        <f t="shared" si="52"/>
        <v>0.06</v>
      </c>
      <c r="W185" s="135">
        <f t="shared" si="52"/>
        <v>0.06</v>
      </c>
      <c r="X185" s="135">
        <f t="shared" si="52"/>
        <v>0.06</v>
      </c>
      <c r="Y185" s="135">
        <f t="shared" si="52"/>
        <v>0.06</v>
      </c>
      <c r="Z185" s="135">
        <f t="shared" si="52"/>
        <v>0.06</v>
      </c>
      <c r="AA185" s="135">
        <f t="shared" si="52"/>
        <v>0.06</v>
      </c>
      <c r="AB185" s="135">
        <f t="shared" si="52"/>
        <v>0.06</v>
      </c>
      <c r="AC185" s="135">
        <f t="shared" si="52"/>
        <v>0.06</v>
      </c>
      <c r="AD185" s="135">
        <f t="shared" si="52"/>
        <v>0.06</v>
      </c>
      <c r="AE185" s="135">
        <f t="shared" si="52"/>
        <v>0.06</v>
      </c>
      <c r="AF185" s="135">
        <f t="shared" si="52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0"/>
        <v>0.11</v>
      </c>
      <c r="C186" s="136">
        <v>0.11</v>
      </c>
      <c r="D186" s="135">
        <f t="shared" si="51"/>
        <v>0.11</v>
      </c>
      <c r="E186" s="135">
        <f t="shared" si="51"/>
        <v>0.11</v>
      </c>
      <c r="F186" s="135">
        <f t="shared" si="51"/>
        <v>0.11</v>
      </c>
      <c r="G186" s="135">
        <f t="shared" si="51"/>
        <v>0.11</v>
      </c>
      <c r="H186" s="135">
        <f t="shared" si="51"/>
        <v>0.11</v>
      </c>
      <c r="I186" s="135">
        <f t="shared" si="51"/>
        <v>0.11</v>
      </c>
      <c r="J186" s="135">
        <f t="shared" si="51"/>
        <v>0.11</v>
      </c>
      <c r="K186" s="135">
        <f t="shared" si="51"/>
        <v>0.11</v>
      </c>
      <c r="L186" s="135">
        <f t="shared" si="51"/>
        <v>0.11</v>
      </c>
      <c r="M186" s="135">
        <f t="shared" si="51"/>
        <v>0.11</v>
      </c>
      <c r="N186" s="135">
        <f t="shared" si="51"/>
        <v>0.11</v>
      </c>
      <c r="O186" s="135">
        <f t="shared" si="51"/>
        <v>0.11</v>
      </c>
      <c r="P186" s="135">
        <f t="shared" si="51"/>
        <v>0.11</v>
      </c>
      <c r="Q186" s="135">
        <f t="shared" si="51"/>
        <v>0.11</v>
      </c>
      <c r="R186" s="135">
        <f t="shared" si="51"/>
        <v>0.11</v>
      </c>
      <c r="S186" s="135">
        <f t="shared" si="51"/>
        <v>0.11</v>
      </c>
      <c r="T186" s="135">
        <f t="shared" si="52"/>
        <v>0.11</v>
      </c>
      <c r="U186" s="135">
        <f t="shared" si="52"/>
        <v>0.11</v>
      </c>
      <c r="V186" s="135">
        <f t="shared" si="52"/>
        <v>0.11</v>
      </c>
      <c r="W186" s="135">
        <f t="shared" si="52"/>
        <v>0.11</v>
      </c>
      <c r="X186" s="135">
        <f t="shared" si="52"/>
        <v>0.11</v>
      </c>
      <c r="Y186" s="135">
        <f t="shared" si="52"/>
        <v>0.11</v>
      </c>
      <c r="Z186" s="135">
        <f t="shared" si="52"/>
        <v>0.11</v>
      </c>
      <c r="AA186" s="135">
        <f t="shared" si="52"/>
        <v>0.11</v>
      </c>
      <c r="AB186" s="135">
        <f t="shared" si="52"/>
        <v>0.11</v>
      </c>
      <c r="AC186" s="135">
        <f t="shared" si="52"/>
        <v>0.11</v>
      </c>
      <c r="AD186" s="135">
        <f t="shared" si="52"/>
        <v>0.11</v>
      </c>
      <c r="AE186" s="135">
        <f t="shared" si="52"/>
        <v>0.11</v>
      </c>
      <c r="AF186" s="135">
        <f t="shared" si="52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0"/>
        <v>0.1</v>
      </c>
      <c r="C187" s="136">
        <v>0.1</v>
      </c>
      <c r="D187" s="135">
        <f t="shared" si="51"/>
        <v>0.1</v>
      </c>
      <c r="E187" s="135">
        <f t="shared" si="51"/>
        <v>0.1</v>
      </c>
      <c r="F187" s="135">
        <f t="shared" si="51"/>
        <v>0.1</v>
      </c>
      <c r="G187" s="135">
        <f t="shared" si="51"/>
        <v>0.1</v>
      </c>
      <c r="H187" s="135">
        <f t="shared" si="51"/>
        <v>0.1</v>
      </c>
      <c r="I187" s="135">
        <f t="shared" si="51"/>
        <v>0.1</v>
      </c>
      <c r="J187" s="135">
        <f t="shared" si="51"/>
        <v>0.1</v>
      </c>
      <c r="K187" s="135">
        <f t="shared" si="51"/>
        <v>0.1</v>
      </c>
      <c r="L187" s="135">
        <f t="shared" si="51"/>
        <v>0.1</v>
      </c>
      <c r="M187" s="135">
        <f t="shared" si="51"/>
        <v>0.1</v>
      </c>
      <c r="N187" s="135">
        <f t="shared" si="51"/>
        <v>0.1</v>
      </c>
      <c r="O187" s="135">
        <f t="shared" si="51"/>
        <v>0.1</v>
      </c>
      <c r="P187" s="135">
        <f t="shared" si="51"/>
        <v>0.1</v>
      </c>
      <c r="Q187" s="135">
        <f t="shared" si="51"/>
        <v>0.1</v>
      </c>
      <c r="R187" s="135">
        <f t="shared" si="51"/>
        <v>0.1</v>
      </c>
      <c r="S187" s="135">
        <f t="shared" si="52"/>
        <v>0.1</v>
      </c>
      <c r="T187" s="135">
        <f t="shared" si="52"/>
        <v>0.1</v>
      </c>
      <c r="U187" s="135">
        <f t="shared" si="52"/>
        <v>0.1</v>
      </c>
      <c r="V187" s="135">
        <f t="shared" si="52"/>
        <v>0.1</v>
      </c>
      <c r="W187" s="135">
        <f t="shared" si="52"/>
        <v>0.1</v>
      </c>
      <c r="X187" s="135">
        <f t="shared" si="52"/>
        <v>0.1</v>
      </c>
      <c r="Y187" s="135">
        <f t="shared" si="52"/>
        <v>0.1</v>
      </c>
      <c r="Z187" s="135">
        <f t="shared" si="52"/>
        <v>0.1</v>
      </c>
      <c r="AA187" s="135">
        <f t="shared" si="52"/>
        <v>0.1</v>
      </c>
      <c r="AB187" s="135">
        <f t="shared" si="52"/>
        <v>0.1</v>
      </c>
      <c r="AC187" s="135">
        <f t="shared" si="52"/>
        <v>0.1</v>
      </c>
      <c r="AD187" s="135">
        <f t="shared" si="52"/>
        <v>0.1</v>
      </c>
      <c r="AE187" s="135">
        <f t="shared" si="52"/>
        <v>0.1</v>
      </c>
      <c r="AF187" s="135">
        <f t="shared" si="52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0"/>
        <v>0.09</v>
      </c>
      <c r="C188" s="136">
        <v>0.09</v>
      </c>
      <c r="D188" s="135">
        <f t="shared" si="51"/>
        <v>0.09</v>
      </c>
      <c r="E188" s="135">
        <f t="shared" si="51"/>
        <v>0.09</v>
      </c>
      <c r="F188" s="135">
        <f t="shared" si="51"/>
        <v>0.09</v>
      </c>
      <c r="G188" s="135">
        <f t="shared" si="51"/>
        <v>0.09</v>
      </c>
      <c r="H188" s="135">
        <f t="shared" si="51"/>
        <v>0.09</v>
      </c>
      <c r="I188" s="135">
        <f t="shared" si="51"/>
        <v>0.09</v>
      </c>
      <c r="J188" s="135">
        <f t="shared" si="51"/>
        <v>0.09</v>
      </c>
      <c r="K188" s="135">
        <f t="shared" si="51"/>
        <v>0.09</v>
      </c>
      <c r="L188" s="135">
        <f t="shared" si="51"/>
        <v>0.09</v>
      </c>
      <c r="M188" s="135">
        <f t="shared" si="51"/>
        <v>0.09</v>
      </c>
      <c r="N188" s="135">
        <f t="shared" si="51"/>
        <v>0.09</v>
      </c>
      <c r="O188" s="135">
        <f t="shared" si="51"/>
        <v>0.09</v>
      </c>
      <c r="P188" s="135">
        <f t="shared" si="51"/>
        <v>0.09</v>
      </c>
      <c r="Q188" s="135">
        <f t="shared" si="51"/>
        <v>0.09</v>
      </c>
      <c r="R188" s="135">
        <f t="shared" si="51"/>
        <v>0.09</v>
      </c>
      <c r="S188" s="135">
        <f t="shared" si="52"/>
        <v>0.09</v>
      </c>
      <c r="T188" s="135">
        <f t="shared" si="52"/>
        <v>0.09</v>
      </c>
      <c r="U188" s="135">
        <f t="shared" si="52"/>
        <v>0.09</v>
      </c>
      <c r="V188" s="135">
        <f t="shared" si="52"/>
        <v>0.09</v>
      </c>
      <c r="W188" s="135">
        <f t="shared" si="52"/>
        <v>0.09</v>
      </c>
      <c r="X188" s="135">
        <f t="shared" si="52"/>
        <v>0.09</v>
      </c>
      <c r="Y188" s="135">
        <f t="shared" si="52"/>
        <v>0.09</v>
      </c>
      <c r="Z188" s="135">
        <f t="shared" si="52"/>
        <v>0.09</v>
      </c>
      <c r="AA188" s="135">
        <f t="shared" si="52"/>
        <v>0.09</v>
      </c>
      <c r="AB188" s="135">
        <f t="shared" si="52"/>
        <v>0.09</v>
      </c>
      <c r="AC188" s="135">
        <f t="shared" si="52"/>
        <v>0.09</v>
      </c>
      <c r="AD188" s="135">
        <f t="shared" si="52"/>
        <v>0.09</v>
      </c>
      <c r="AE188" s="135">
        <f t="shared" si="52"/>
        <v>0.09</v>
      </c>
      <c r="AF188" s="135">
        <f t="shared" si="52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0"/>
        <v>0.04</v>
      </c>
      <c r="C189" s="52">
        <v>0.04</v>
      </c>
      <c r="D189" s="135">
        <f t="shared" si="51"/>
        <v>0.04</v>
      </c>
      <c r="E189" s="135">
        <f t="shared" si="51"/>
        <v>0.04</v>
      </c>
      <c r="F189" s="135">
        <f t="shared" si="51"/>
        <v>0.04</v>
      </c>
      <c r="G189" s="135">
        <f t="shared" si="51"/>
        <v>0.04</v>
      </c>
      <c r="H189" s="135">
        <f t="shared" si="51"/>
        <v>0.04</v>
      </c>
      <c r="I189" s="135">
        <f t="shared" si="51"/>
        <v>0.04</v>
      </c>
      <c r="J189" s="135">
        <f t="shared" si="51"/>
        <v>0.04</v>
      </c>
      <c r="K189" s="135">
        <f t="shared" si="51"/>
        <v>0.04</v>
      </c>
      <c r="L189" s="135">
        <f t="shared" si="51"/>
        <v>0.04</v>
      </c>
      <c r="M189" s="135">
        <f t="shared" si="51"/>
        <v>0.04</v>
      </c>
      <c r="N189" s="135">
        <f t="shared" si="51"/>
        <v>0.04</v>
      </c>
      <c r="O189" s="135">
        <f t="shared" si="51"/>
        <v>0.04</v>
      </c>
      <c r="P189" s="135">
        <f t="shared" si="51"/>
        <v>0.04</v>
      </c>
      <c r="Q189" s="135">
        <f t="shared" si="51"/>
        <v>0.04</v>
      </c>
      <c r="R189" s="135">
        <f t="shared" si="51"/>
        <v>0.04</v>
      </c>
      <c r="S189" s="135">
        <f t="shared" si="52"/>
        <v>0.04</v>
      </c>
      <c r="T189" s="135">
        <f t="shared" si="52"/>
        <v>0.04</v>
      </c>
      <c r="U189" s="135">
        <f t="shared" si="52"/>
        <v>0.04</v>
      </c>
      <c r="V189" s="135">
        <f t="shared" si="52"/>
        <v>0.04</v>
      </c>
      <c r="W189" s="135">
        <f t="shared" si="52"/>
        <v>0.04</v>
      </c>
      <c r="X189" s="135">
        <f t="shared" si="52"/>
        <v>0.04</v>
      </c>
      <c r="Y189" s="135">
        <f t="shared" si="52"/>
        <v>0.04</v>
      </c>
      <c r="Z189" s="135">
        <f t="shared" si="52"/>
        <v>0.04</v>
      </c>
      <c r="AA189" s="135">
        <f t="shared" si="52"/>
        <v>0.04</v>
      </c>
      <c r="AB189" s="135">
        <f t="shared" si="52"/>
        <v>0.04</v>
      </c>
      <c r="AC189" s="135">
        <f t="shared" si="52"/>
        <v>0.04</v>
      </c>
      <c r="AD189" s="135">
        <f t="shared" si="52"/>
        <v>0.04</v>
      </c>
      <c r="AE189" s="135">
        <f t="shared" si="52"/>
        <v>0.04</v>
      </c>
      <c r="AF189" s="135">
        <f t="shared" si="52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0"/>
        <v>2.3E-2</v>
      </c>
      <c r="C190" s="52">
        <v>2.3E-2</v>
      </c>
      <c r="D190" s="135">
        <f>C190</f>
        <v>2.3E-2</v>
      </c>
      <c r="E190" s="135">
        <f t="shared" si="51"/>
        <v>2.3E-2</v>
      </c>
      <c r="F190" s="135">
        <f t="shared" si="51"/>
        <v>2.3E-2</v>
      </c>
      <c r="G190" s="135">
        <f t="shared" si="51"/>
        <v>2.3E-2</v>
      </c>
      <c r="H190" s="135">
        <f t="shared" si="51"/>
        <v>2.3E-2</v>
      </c>
      <c r="I190" s="135">
        <f t="shared" si="51"/>
        <v>2.3E-2</v>
      </c>
      <c r="J190" s="135">
        <f t="shared" si="51"/>
        <v>2.3E-2</v>
      </c>
      <c r="K190" s="135">
        <f t="shared" si="51"/>
        <v>2.3E-2</v>
      </c>
      <c r="L190" s="135">
        <f t="shared" si="51"/>
        <v>2.3E-2</v>
      </c>
      <c r="M190" s="135">
        <f t="shared" si="51"/>
        <v>2.3E-2</v>
      </c>
      <c r="N190" s="135">
        <f t="shared" si="51"/>
        <v>2.3E-2</v>
      </c>
      <c r="O190" s="135">
        <f t="shared" si="51"/>
        <v>2.3E-2</v>
      </c>
      <c r="P190" s="135">
        <f t="shared" si="51"/>
        <v>2.3E-2</v>
      </c>
      <c r="Q190" s="135">
        <f t="shared" si="51"/>
        <v>2.3E-2</v>
      </c>
      <c r="R190" s="135">
        <f t="shared" si="51"/>
        <v>2.3E-2</v>
      </c>
      <c r="S190" s="135">
        <f t="shared" si="52"/>
        <v>2.3E-2</v>
      </c>
      <c r="T190" s="135">
        <f t="shared" si="52"/>
        <v>2.3E-2</v>
      </c>
      <c r="U190" s="135">
        <f t="shared" si="52"/>
        <v>2.3E-2</v>
      </c>
      <c r="V190" s="135">
        <f t="shared" si="52"/>
        <v>2.3E-2</v>
      </c>
      <c r="W190" s="135">
        <f t="shared" si="52"/>
        <v>2.3E-2</v>
      </c>
      <c r="X190" s="135">
        <f t="shared" si="52"/>
        <v>2.3E-2</v>
      </c>
      <c r="Y190" s="135">
        <f t="shared" si="52"/>
        <v>2.3E-2</v>
      </c>
      <c r="Z190" s="135">
        <f t="shared" si="52"/>
        <v>2.3E-2</v>
      </c>
      <c r="AA190" s="135">
        <f t="shared" si="52"/>
        <v>2.3E-2</v>
      </c>
      <c r="AB190" s="135">
        <f t="shared" si="52"/>
        <v>2.3E-2</v>
      </c>
      <c r="AC190" s="135">
        <f t="shared" si="52"/>
        <v>2.3E-2</v>
      </c>
      <c r="AD190" s="135">
        <f t="shared" si="52"/>
        <v>2.3E-2</v>
      </c>
      <c r="AE190" s="135">
        <f t="shared" si="52"/>
        <v>2.3E-2</v>
      </c>
      <c r="AF190" s="135">
        <f t="shared" si="52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3">SUM(C101:C190)</f>
        <v>194.70600000000002</v>
      </c>
      <c r="D191" s="140">
        <f t="shared" si="53"/>
        <v>194.70600000000002</v>
      </c>
      <c r="E191" s="140">
        <f t="shared" si="53"/>
        <v>194.70600000000002</v>
      </c>
      <c r="F191" s="140">
        <f t="shared" si="53"/>
        <v>194.70600000000002</v>
      </c>
      <c r="G191" s="140">
        <f t="shared" si="53"/>
        <v>194.70600000000002</v>
      </c>
      <c r="H191" s="140">
        <f t="shared" si="53"/>
        <v>194.70600000000002</v>
      </c>
      <c r="I191" s="140">
        <f t="shared" si="53"/>
        <v>194.70600000000002</v>
      </c>
      <c r="J191" s="140">
        <f t="shared" si="53"/>
        <v>192.10600000000005</v>
      </c>
      <c r="K191" s="140">
        <f t="shared" si="53"/>
        <v>192.10600000000005</v>
      </c>
      <c r="L191" s="140">
        <f t="shared" si="53"/>
        <v>192.10600000000005</v>
      </c>
      <c r="M191" s="140">
        <f t="shared" si="53"/>
        <v>192.10600000000005</v>
      </c>
      <c r="N191" s="140">
        <f t="shared" si="53"/>
        <v>192.10600000000005</v>
      </c>
      <c r="O191" s="140">
        <f t="shared" si="53"/>
        <v>192.10600000000005</v>
      </c>
      <c r="P191" s="140">
        <f t="shared" si="53"/>
        <v>192.10600000000005</v>
      </c>
      <c r="Q191" s="140">
        <f t="shared" si="53"/>
        <v>192.10600000000005</v>
      </c>
      <c r="R191" s="140">
        <f t="shared" si="53"/>
        <v>192.10600000000005</v>
      </c>
      <c r="S191" s="140">
        <f t="shared" si="53"/>
        <v>192.10600000000005</v>
      </c>
      <c r="T191" s="140">
        <f t="shared" si="53"/>
        <v>192.10600000000005</v>
      </c>
      <c r="U191" s="140">
        <f t="shared" si="53"/>
        <v>192.10600000000005</v>
      </c>
      <c r="V191" s="140">
        <f t="shared" si="53"/>
        <v>192.10600000000005</v>
      </c>
      <c r="W191" s="140">
        <f t="shared" si="53"/>
        <v>192.10600000000005</v>
      </c>
      <c r="X191" s="140">
        <f t="shared" si="53"/>
        <v>192.10600000000005</v>
      </c>
      <c r="Y191" s="140">
        <f t="shared" si="53"/>
        <v>192.10600000000005</v>
      </c>
      <c r="Z191" s="140">
        <f t="shared" si="53"/>
        <v>192.10600000000005</v>
      </c>
      <c r="AA191" s="140">
        <f t="shared" si="53"/>
        <v>192.10600000000005</v>
      </c>
      <c r="AB191" s="140">
        <f t="shared" si="53"/>
        <v>192.10600000000005</v>
      </c>
      <c r="AC191" s="140">
        <f t="shared" si="53"/>
        <v>192.10600000000005</v>
      </c>
      <c r="AD191" s="140">
        <f t="shared" si="53"/>
        <v>192.10600000000005</v>
      </c>
      <c r="AE191" s="140">
        <f t="shared" si="53"/>
        <v>192.10600000000005</v>
      </c>
      <c r="AF191" s="140">
        <f t="shared" si="53"/>
        <v>192.10600000000005</v>
      </c>
      <c r="AG191" s="141">
        <f t="shared" si="53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4">AF193</f>
        <v>0.3</v>
      </c>
      <c r="C193" s="142">
        <v>0.3</v>
      </c>
      <c r="D193" s="142">
        <f t="shared" ref="D193:S198" si="55">C193</f>
        <v>0.3</v>
      </c>
      <c r="E193" s="142">
        <f t="shared" si="55"/>
        <v>0.3</v>
      </c>
      <c r="F193" s="142">
        <f t="shared" si="55"/>
        <v>0.3</v>
      </c>
      <c r="G193" s="142">
        <f t="shared" si="55"/>
        <v>0.3</v>
      </c>
      <c r="H193" s="142">
        <f t="shared" si="55"/>
        <v>0.3</v>
      </c>
      <c r="I193" s="142">
        <f t="shared" si="55"/>
        <v>0.3</v>
      </c>
      <c r="J193" s="142">
        <f t="shared" si="55"/>
        <v>0.3</v>
      </c>
      <c r="K193" s="142">
        <f t="shared" si="55"/>
        <v>0.3</v>
      </c>
      <c r="L193" s="142">
        <f t="shared" si="55"/>
        <v>0.3</v>
      </c>
      <c r="M193" s="142">
        <f t="shared" si="55"/>
        <v>0.3</v>
      </c>
      <c r="N193" s="142">
        <f t="shared" si="55"/>
        <v>0.3</v>
      </c>
      <c r="O193" s="142">
        <f t="shared" si="55"/>
        <v>0.3</v>
      </c>
      <c r="P193" s="142">
        <f t="shared" si="55"/>
        <v>0.3</v>
      </c>
      <c r="Q193" s="142">
        <f t="shared" si="55"/>
        <v>0.3</v>
      </c>
      <c r="R193" s="142">
        <f t="shared" si="55"/>
        <v>0.3</v>
      </c>
      <c r="S193" s="142">
        <f t="shared" si="55"/>
        <v>0.3</v>
      </c>
      <c r="T193" s="142">
        <f t="shared" ref="T193:AF198" si="56">S193</f>
        <v>0.3</v>
      </c>
      <c r="U193" s="142">
        <f t="shared" si="56"/>
        <v>0.3</v>
      </c>
      <c r="V193" s="142">
        <f t="shared" si="56"/>
        <v>0.3</v>
      </c>
      <c r="W193" s="142">
        <f t="shared" si="56"/>
        <v>0.3</v>
      </c>
      <c r="X193" s="142">
        <f t="shared" si="56"/>
        <v>0.3</v>
      </c>
      <c r="Y193" s="142">
        <f t="shared" si="56"/>
        <v>0.3</v>
      </c>
      <c r="Z193" s="142">
        <f t="shared" si="56"/>
        <v>0.3</v>
      </c>
      <c r="AA193" s="142">
        <f t="shared" si="56"/>
        <v>0.3</v>
      </c>
      <c r="AB193" s="142">
        <f t="shared" si="56"/>
        <v>0.3</v>
      </c>
      <c r="AC193" s="142">
        <f t="shared" si="56"/>
        <v>0.3</v>
      </c>
      <c r="AD193" s="142">
        <f t="shared" si="56"/>
        <v>0.3</v>
      </c>
      <c r="AE193" s="142">
        <f t="shared" si="56"/>
        <v>0.3</v>
      </c>
      <c r="AF193" s="142">
        <f t="shared" si="56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4"/>
        <v>0.4</v>
      </c>
      <c r="C194" s="135">
        <v>0.4</v>
      </c>
      <c r="D194" s="135">
        <f t="shared" si="55"/>
        <v>0.4</v>
      </c>
      <c r="E194" s="135">
        <f t="shared" si="55"/>
        <v>0.4</v>
      </c>
      <c r="F194" s="135">
        <f t="shared" si="55"/>
        <v>0.4</v>
      </c>
      <c r="G194" s="135">
        <f t="shared" si="55"/>
        <v>0.4</v>
      </c>
      <c r="H194" s="135">
        <f t="shared" si="55"/>
        <v>0.4</v>
      </c>
      <c r="I194" s="135">
        <f t="shared" si="55"/>
        <v>0.4</v>
      </c>
      <c r="J194" s="135">
        <f t="shared" si="55"/>
        <v>0.4</v>
      </c>
      <c r="K194" s="135">
        <f t="shared" si="55"/>
        <v>0.4</v>
      </c>
      <c r="L194" s="135">
        <f t="shared" si="55"/>
        <v>0.4</v>
      </c>
      <c r="M194" s="135">
        <f t="shared" si="55"/>
        <v>0.4</v>
      </c>
      <c r="N194" s="135">
        <f t="shared" si="55"/>
        <v>0.4</v>
      </c>
      <c r="O194" s="135">
        <f t="shared" si="55"/>
        <v>0.4</v>
      </c>
      <c r="P194" s="135">
        <f t="shared" si="55"/>
        <v>0.4</v>
      </c>
      <c r="Q194" s="135">
        <f t="shared" si="55"/>
        <v>0.4</v>
      </c>
      <c r="R194" s="135">
        <f t="shared" si="55"/>
        <v>0.4</v>
      </c>
      <c r="S194" s="135">
        <f t="shared" si="55"/>
        <v>0.4</v>
      </c>
      <c r="T194" s="135">
        <f t="shared" si="56"/>
        <v>0.4</v>
      </c>
      <c r="U194" s="135">
        <f t="shared" si="56"/>
        <v>0.4</v>
      </c>
      <c r="V194" s="135">
        <f t="shared" si="56"/>
        <v>0.4</v>
      </c>
      <c r="W194" s="135">
        <f>V194</f>
        <v>0.4</v>
      </c>
      <c r="X194" s="135">
        <f>W194</f>
        <v>0.4</v>
      </c>
      <c r="Y194" s="135">
        <f t="shared" si="56"/>
        <v>0.4</v>
      </c>
      <c r="Z194" s="135">
        <f t="shared" si="56"/>
        <v>0.4</v>
      </c>
      <c r="AA194" s="135">
        <f t="shared" si="56"/>
        <v>0.4</v>
      </c>
      <c r="AB194" s="135">
        <f t="shared" si="56"/>
        <v>0.4</v>
      </c>
      <c r="AC194" s="135">
        <f t="shared" si="56"/>
        <v>0.4</v>
      </c>
      <c r="AD194" s="135">
        <f t="shared" si="56"/>
        <v>0.4</v>
      </c>
      <c r="AE194" s="135">
        <f t="shared" si="56"/>
        <v>0.4</v>
      </c>
      <c r="AF194" s="135">
        <f t="shared" si="56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4"/>
        <v>1.5</v>
      </c>
      <c r="C195" s="135">
        <v>1.5</v>
      </c>
      <c r="D195" s="135">
        <f t="shared" si="55"/>
        <v>1.5</v>
      </c>
      <c r="E195" s="135">
        <f t="shared" si="55"/>
        <v>1.5</v>
      </c>
      <c r="F195" s="135">
        <f t="shared" si="55"/>
        <v>1.5</v>
      </c>
      <c r="G195" s="135">
        <f t="shared" si="55"/>
        <v>1.5</v>
      </c>
      <c r="H195" s="135">
        <f t="shared" si="55"/>
        <v>1.5</v>
      </c>
      <c r="I195" s="135">
        <f t="shared" si="55"/>
        <v>1.5</v>
      </c>
      <c r="J195" s="135">
        <f t="shared" si="55"/>
        <v>1.5</v>
      </c>
      <c r="K195" s="135">
        <f t="shared" si="55"/>
        <v>1.5</v>
      </c>
      <c r="L195" s="135">
        <f t="shared" si="55"/>
        <v>1.5</v>
      </c>
      <c r="M195" s="135">
        <f t="shared" si="55"/>
        <v>1.5</v>
      </c>
      <c r="N195" s="135">
        <f t="shared" si="55"/>
        <v>1.5</v>
      </c>
      <c r="O195" s="135">
        <f t="shared" si="55"/>
        <v>1.5</v>
      </c>
      <c r="P195" s="135">
        <f t="shared" si="55"/>
        <v>1.5</v>
      </c>
      <c r="Q195" s="135">
        <f t="shared" si="55"/>
        <v>1.5</v>
      </c>
      <c r="R195" s="135">
        <f t="shared" si="55"/>
        <v>1.5</v>
      </c>
      <c r="S195" s="135">
        <f t="shared" si="55"/>
        <v>1.5</v>
      </c>
      <c r="T195" s="135">
        <f t="shared" si="56"/>
        <v>1.5</v>
      </c>
      <c r="U195" s="135">
        <f t="shared" si="56"/>
        <v>1.5</v>
      </c>
      <c r="V195" s="135">
        <f t="shared" si="56"/>
        <v>1.5</v>
      </c>
      <c r="W195" s="135">
        <f t="shared" si="56"/>
        <v>1.5</v>
      </c>
      <c r="X195" s="135">
        <f t="shared" si="56"/>
        <v>1.5</v>
      </c>
      <c r="Y195" s="135">
        <f t="shared" si="56"/>
        <v>1.5</v>
      </c>
      <c r="Z195" s="135">
        <f t="shared" si="56"/>
        <v>1.5</v>
      </c>
      <c r="AA195" s="135">
        <f t="shared" si="56"/>
        <v>1.5</v>
      </c>
      <c r="AB195" s="135">
        <f t="shared" si="56"/>
        <v>1.5</v>
      </c>
      <c r="AC195" s="135">
        <f t="shared" si="56"/>
        <v>1.5</v>
      </c>
      <c r="AD195" s="135">
        <f t="shared" si="56"/>
        <v>1.5</v>
      </c>
      <c r="AE195" s="135">
        <f t="shared" si="56"/>
        <v>1.5</v>
      </c>
      <c r="AF195" s="135">
        <f t="shared" si="56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4"/>
        <v>0.3</v>
      </c>
      <c r="C196" s="135">
        <v>0.3</v>
      </c>
      <c r="D196" s="135">
        <f t="shared" si="55"/>
        <v>0.3</v>
      </c>
      <c r="E196" s="135">
        <f t="shared" si="55"/>
        <v>0.3</v>
      </c>
      <c r="F196" s="135">
        <f t="shared" si="55"/>
        <v>0.3</v>
      </c>
      <c r="G196" s="135">
        <f t="shared" si="55"/>
        <v>0.3</v>
      </c>
      <c r="H196" s="135">
        <f t="shared" si="55"/>
        <v>0.3</v>
      </c>
      <c r="I196" s="135">
        <f t="shared" si="55"/>
        <v>0.3</v>
      </c>
      <c r="J196" s="135">
        <f t="shared" si="55"/>
        <v>0.3</v>
      </c>
      <c r="K196" s="135">
        <f t="shared" si="55"/>
        <v>0.3</v>
      </c>
      <c r="L196" s="135">
        <f t="shared" si="55"/>
        <v>0.3</v>
      </c>
      <c r="M196" s="135">
        <f t="shared" si="55"/>
        <v>0.3</v>
      </c>
      <c r="N196" s="135">
        <f t="shared" si="55"/>
        <v>0.3</v>
      </c>
      <c r="O196" s="135">
        <f t="shared" si="55"/>
        <v>0.3</v>
      </c>
      <c r="P196" s="135">
        <f t="shared" si="55"/>
        <v>0.3</v>
      </c>
      <c r="Q196" s="135">
        <f t="shared" si="55"/>
        <v>0.3</v>
      </c>
      <c r="R196" s="135">
        <f t="shared" si="55"/>
        <v>0.3</v>
      </c>
      <c r="S196" s="135">
        <f t="shared" si="55"/>
        <v>0.3</v>
      </c>
      <c r="T196" s="135">
        <f t="shared" si="56"/>
        <v>0.3</v>
      </c>
      <c r="U196" s="135">
        <f t="shared" si="56"/>
        <v>0.3</v>
      </c>
      <c r="V196" s="135">
        <f t="shared" si="56"/>
        <v>0.3</v>
      </c>
      <c r="W196" s="135">
        <f t="shared" si="56"/>
        <v>0.3</v>
      </c>
      <c r="X196" s="135">
        <f t="shared" si="56"/>
        <v>0.3</v>
      </c>
      <c r="Y196" s="135">
        <f t="shared" si="56"/>
        <v>0.3</v>
      </c>
      <c r="Z196" s="135">
        <f t="shared" si="56"/>
        <v>0.3</v>
      </c>
      <c r="AA196" s="135">
        <f t="shared" si="56"/>
        <v>0.3</v>
      </c>
      <c r="AB196" s="135">
        <f t="shared" si="56"/>
        <v>0.3</v>
      </c>
      <c r="AC196" s="135">
        <f t="shared" si="56"/>
        <v>0.3</v>
      </c>
      <c r="AD196" s="135">
        <f t="shared" si="56"/>
        <v>0.3</v>
      </c>
      <c r="AE196" s="135">
        <f t="shared" si="56"/>
        <v>0.3</v>
      </c>
      <c r="AF196" s="135">
        <f t="shared" si="56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4"/>
        <v>0.4</v>
      </c>
      <c r="C197" s="135">
        <v>0.4</v>
      </c>
      <c r="D197" s="135">
        <f t="shared" si="55"/>
        <v>0.4</v>
      </c>
      <c r="E197" s="135">
        <f t="shared" si="55"/>
        <v>0.4</v>
      </c>
      <c r="F197" s="135">
        <f t="shared" si="55"/>
        <v>0.4</v>
      </c>
      <c r="G197" s="135">
        <f t="shared" si="55"/>
        <v>0.4</v>
      </c>
      <c r="H197" s="135">
        <f t="shared" si="55"/>
        <v>0.4</v>
      </c>
      <c r="I197" s="135">
        <f t="shared" si="55"/>
        <v>0.4</v>
      </c>
      <c r="J197" s="135">
        <f t="shared" si="55"/>
        <v>0.4</v>
      </c>
      <c r="K197" s="135">
        <f t="shared" si="55"/>
        <v>0.4</v>
      </c>
      <c r="L197" s="135">
        <f t="shared" si="55"/>
        <v>0.4</v>
      </c>
      <c r="M197" s="135">
        <f t="shared" si="55"/>
        <v>0.4</v>
      </c>
      <c r="N197" s="135">
        <f t="shared" si="55"/>
        <v>0.4</v>
      </c>
      <c r="O197" s="135">
        <f t="shared" si="55"/>
        <v>0.4</v>
      </c>
      <c r="P197" s="135">
        <f t="shared" si="55"/>
        <v>0.4</v>
      </c>
      <c r="Q197" s="135">
        <f t="shared" si="55"/>
        <v>0.4</v>
      </c>
      <c r="R197" s="135">
        <f t="shared" si="55"/>
        <v>0.4</v>
      </c>
      <c r="S197" s="135">
        <f t="shared" si="55"/>
        <v>0.4</v>
      </c>
      <c r="T197" s="135">
        <f t="shared" si="56"/>
        <v>0.4</v>
      </c>
      <c r="U197" s="135">
        <f t="shared" si="56"/>
        <v>0.4</v>
      </c>
      <c r="V197" s="135">
        <f t="shared" si="56"/>
        <v>0.4</v>
      </c>
      <c r="W197" s="135">
        <f t="shared" si="56"/>
        <v>0.4</v>
      </c>
      <c r="X197" s="135">
        <f t="shared" si="56"/>
        <v>0.4</v>
      </c>
      <c r="Y197" s="135">
        <f t="shared" si="56"/>
        <v>0.4</v>
      </c>
      <c r="Z197" s="135">
        <f t="shared" si="56"/>
        <v>0.4</v>
      </c>
      <c r="AA197" s="135">
        <f t="shared" si="56"/>
        <v>0.4</v>
      </c>
      <c r="AB197" s="135">
        <f t="shared" si="56"/>
        <v>0.4</v>
      </c>
      <c r="AC197" s="135">
        <f t="shared" si="56"/>
        <v>0.4</v>
      </c>
      <c r="AD197" s="135">
        <f t="shared" si="56"/>
        <v>0.4</v>
      </c>
      <c r="AE197" s="135">
        <f t="shared" si="56"/>
        <v>0.4</v>
      </c>
      <c r="AF197" s="135">
        <f t="shared" si="56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4"/>
        <v>0.64</v>
      </c>
      <c r="C198" s="145">
        <v>0.64</v>
      </c>
      <c r="D198" s="145">
        <f t="shared" si="55"/>
        <v>0.64</v>
      </c>
      <c r="E198" s="145">
        <f t="shared" si="55"/>
        <v>0.64</v>
      </c>
      <c r="F198" s="145">
        <f t="shared" si="55"/>
        <v>0.64</v>
      </c>
      <c r="G198" s="145">
        <f t="shared" si="55"/>
        <v>0.64</v>
      </c>
      <c r="H198" s="145">
        <f t="shared" si="55"/>
        <v>0.64</v>
      </c>
      <c r="I198" s="145">
        <f t="shared" si="55"/>
        <v>0.64</v>
      </c>
      <c r="J198" s="145">
        <f t="shared" si="55"/>
        <v>0.64</v>
      </c>
      <c r="K198" s="145">
        <f t="shared" si="55"/>
        <v>0.64</v>
      </c>
      <c r="L198" s="145">
        <f t="shared" si="55"/>
        <v>0.64</v>
      </c>
      <c r="M198" s="145">
        <f t="shared" si="55"/>
        <v>0.64</v>
      </c>
      <c r="N198" s="145">
        <f t="shared" si="55"/>
        <v>0.64</v>
      </c>
      <c r="O198" s="145">
        <f t="shared" si="55"/>
        <v>0.64</v>
      </c>
      <c r="P198" s="145">
        <f t="shared" si="55"/>
        <v>0.64</v>
      </c>
      <c r="Q198" s="145">
        <f t="shared" si="55"/>
        <v>0.64</v>
      </c>
      <c r="R198" s="145">
        <f t="shared" si="55"/>
        <v>0.64</v>
      </c>
      <c r="S198" s="145">
        <f t="shared" si="55"/>
        <v>0.64</v>
      </c>
      <c r="T198" s="145">
        <f t="shared" si="56"/>
        <v>0.64</v>
      </c>
      <c r="U198" s="145">
        <f t="shared" si="56"/>
        <v>0.64</v>
      </c>
      <c r="V198" s="145">
        <f t="shared" si="56"/>
        <v>0.64</v>
      </c>
      <c r="W198" s="145">
        <f t="shared" si="56"/>
        <v>0.64</v>
      </c>
      <c r="X198" s="145">
        <f t="shared" si="56"/>
        <v>0.64</v>
      </c>
      <c r="Y198" s="145">
        <f t="shared" si="56"/>
        <v>0.64</v>
      </c>
      <c r="Z198" s="145">
        <f t="shared" si="56"/>
        <v>0.64</v>
      </c>
      <c r="AA198" s="145">
        <f t="shared" si="56"/>
        <v>0.64</v>
      </c>
      <c r="AB198" s="145">
        <f t="shared" si="56"/>
        <v>0.64</v>
      </c>
      <c r="AC198" s="145">
        <f t="shared" si="56"/>
        <v>0.64</v>
      </c>
      <c r="AD198" s="145">
        <f t="shared" si="56"/>
        <v>0.64</v>
      </c>
      <c r="AE198" s="145">
        <f t="shared" si="56"/>
        <v>0.64</v>
      </c>
      <c r="AF198" s="145">
        <f t="shared" si="56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7">SUM(D193:D198)</f>
        <v>3.54</v>
      </c>
      <c r="E199" s="148">
        <f t="shared" si="57"/>
        <v>3.54</v>
      </c>
      <c r="F199" s="148">
        <f t="shared" si="57"/>
        <v>3.54</v>
      </c>
      <c r="G199" s="148">
        <f t="shared" si="57"/>
        <v>3.54</v>
      </c>
      <c r="H199" s="148">
        <f t="shared" si="57"/>
        <v>3.54</v>
      </c>
      <c r="I199" s="148">
        <f t="shared" si="57"/>
        <v>3.54</v>
      </c>
      <c r="J199" s="148">
        <f t="shared" si="57"/>
        <v>3.54</v>
      </c>
      <c r="K199" s="148">
        <f t="shared" si="57"/>
        <v>3.54</v>
      </c>
      <c r="L199" s="148">
        <f t="shared" si="57"/>
        <v>3.54</v>
      </c>
      <c r="M199" s="148">
        <f>SUM(M193:M198)</f>
        <v>3.54</v>
      </c>
      <c r="N199" s="148">
        <f t="shared" ref="N199:S199" si="58">SUM(N193:N198)</f>
        <v>3.54</v>
      </c>
      <c r="O199" s="148">
        <f t="shared" si="58"/>
        <v>3.54</v>
      </c>
      <c r="P199" s="148">
        <f t="shared" si="58"/>
        <v>3.54</v>
      </c>
      <c r="Q199" s="148">
        <f t="shared" si="58"/>
        <v>3.54</v>
      </c>
      <c r="R199" s="148">
        <f t="shared" si="58"/>
        <v>3.54</v>
      </c>
      <c r="S199" s="148">
        <f t="shared" si="58"/>
        <v>3.54</v>
      </c>
      <c r="T199" s="148">
        <f>SUM(T193:T198)</f>
        <v>3.54</v>
      </c>
      <c r="U199" s="148">
        <f t="shared" ref="U199:AG199" si="59">SUM(U193:U198)</f>
        <v>3.54</v>
      </c>
      <c r="V199" s="148">
        <f t="shared" si="59"/>
        <v>3.54</v>
      </c>
      <c r="W199" s="148">
        <f t="shared" si="59"/>
        <v>3.54</v>
      </c>
      <c r="X199" s="148">
        <f t="shared" si="59"/>
        <v>3.54</v>
      </c>
      <c r="Y199" s="148">
        <f t="shared" si="59"/>
        <v>3.54</v>
      </c>
      <c r="Z199" s="148">
        <f t="shared" si="59"/>
        <v>3.54</v>
      </c>
      <c r="AA199" s="148">
        <f t="shared" si="59"/>
        <v>3.54</v>
      </c>
      <c r="AB199" s="148">
        <f t="shared" si="59"/>
        <v>3.54</v>
      </c>
      <c r="AC199" s="148">
        <f t="shared" si="59"/>
        <v>3.54</v>
      </c>
      <c r="AD199" s="148">
        <f t="shared" si="59"/>
        <v>3.54</v>
      </c>
      <c r="AE199" s="148">
        <f t="shared" si="59"/>
        <v>3.54</v>
      </c>
      <c r="AF199" s="148">
        <f t="shared" si="59"/>
        <v>3.54</v>
      </c>
      <c r="AG199" s="149">
        <f t="shared" si="59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1534.44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2078/10/26)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0">B75</f>
        <v>951.24</v>
      </c>
      <c r="U213" s="173">
        <f t="shared" si="60"/>
        <v>989.24</v>
      </c>
      <c r="V213" s="173">
        <f t="shared" si="60"/>
        <v>968.24</v>
      </c>
      <c r="W213" s="173">
        <f t="shared" si="60"/>
        <v>945.44</v>
      </c>
      <c r="X213" s="173">
        <f t="shared" si="60"/>
        <v>956.93999999999994</v>
      </c>
      <c r="Y213" s="173">
        <f t="shared" si="60"/>
        <v>992.33999999999992</v>
      </c>
      <c r="Z213" s="173">
        <f t="shared" si="60"/>
        <v>1066.44</v>
      </c>
      <c r="AA213" s="173">
        <f t="shared" si="60"/>
        <v>1117.44</v>
      </c>
      <c r="AB213" s="173">
        <f t="shared" si="60"/>
        <v>1292.24</v>
      </c>
      <c r="AC213" s="173">
        <f t="shared" si="60"/>
        <v>1437.34</v>
      </c>
      <c r="AD213" s="173">
        <f t="shared" si="60"/>
        <v>1510.2399999999998</v>
      </c>
      <c r="AE213" s="173">
        <f t="shared" si="60"/>
        <v>1534.44</v>
      </c>
      <c r="AF213" s="173">
        <f t="shared" si="60"/>
        <v>1389.8400000000001</v>
      </c>
      <c r="AG213" s="173">
        <f t="shared" si="60"/>
        <v>1330.44</v>
      </c>
      <c r="AH213" s="173">
        <f t="shared" si="60"/>
        <v>1383.3400000000001</v>
      </c>
      <c r="AI213" s="173">
        <f t="shared" si="60"/>
        <v>1313.8400000000001</v>
      </c>
      <c r="AJ213" s="173">
        <f t="shared" si="60"/>
        <v>1259.8399999999999</v>
      </c>
      <c r="AK213" s="173">
        <f t="shared" si="60"/>
        <v>1259.5500000000002</v>
      </c>
      <c r="AL213" s="173">
        <f t="shared" si="60"/>
        <v>1252.9399999999998</v>
      </c>
      <c r="AM213" s="173">
        <f t="shared" si="60"/>
        <v>1274.54</v>
      </c>
      <c r="AN213" s="173">
        <f t="shared" si="60"/>
        <v>1319.3400000000001</v>
      </c>
      <c r="AO213" s="173">
        <f t="shared" si="60"/>
        <v>1334.8400000000001</v>
      </c>
      <c r="AP213" s="173">
        <f t="shared" si="60"/>
        <v>1456.24</v>
      </c>
      <c r="AQ213" s="173">
        <f t="shared" si="60"/>
        <v>1588.7400000000002</v>
      </c>
      <c r="AR213" s="173">
        <f t="shared" si="60"/>
        <v>1569.54</v>
      </c>
      <c r="AS213" s="173">
        <f t="shared" si="60"/>
        <v>1529.1399999999999</v>
      </c>
      <c r="AT213" s="173">
        <f t="shared" si="60"/>
        <v>1459.74</v>
      </c>
      <c r="AU213" s="173">
        <f t="shared" si="60"/>
        <v>1371.54</v>
      </c>
      <c r="AV213" s="173">
        <f t="shared" si="60"/>
        <v>1269.3399999999999</v>
      </c>
      <c r="AW213" s="173">
        <f t="shared" si="60"/>
        <v>1140.24</v>
      </c>
      <c r="AX213" s="173">
        <f t="shared" si="60"/>
        <v>1035.8399999999999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2">IF(C202&lt;100,"",C202-520)</f>
        <v/>
      </c>
      <c r="D235" s="119" t="str">
        <f t="shared" si="62"/>
        <v/>
      </c>
      <c r="E235" s="119" t="str">
        <f t="shared" si="62"/>
        <v/>
      </c>
      <c r="F235" s="119" t="str">
        <f t="shared" si="62"/>
        <v/>
      </c>
      <c r="G235" s="119" t="str">
        <f t="shared" si="62"/>
        <v/>
      </c>
      <c r="H235" s="119" t="str">
        <f t="shared" si="62"/>
        <v/>
      </c>
      <c r="I235" s="119" t="str">
        <f t="shared" si="62"/>
        <v/>
      </c>
      <c r="J235" s="119" t="str">
        <f t="shared" si="62"/>
        <v/>
      </c>
      <c r="K235" s="119" t="str">
        <f t="shared" si="62"/>
        <v/>
      </c>
      <c r="L235" s="119" t="str">
        <f t="shared" si="62"/>
        <v/>
      </c>
      <c r="M235" s="119" t="str">
        <f t="shared" si="62"/>
        <v/>
      </c>
      <c r="N235" s="119" t="str">
        <f t="shared" si="62"/>
        <v/>
      </c>
      <c r="O235" s="119" t="str">
        <f t="shared" si="62"/>
        <v/>
      </c>
      <c r="P235" s="119" t="str">
        <f t="shared" si="62"/>
        <v/>
      </c>
      <c r="Q235" s="119" t="str">
        <f t="shared" si="62"/>
        <v/>
      </c>
      <c r="R235" s="119" t="str">
        <f t="shared" si="62"/>
        <v/>
      </c>
      <c r="S235" s="119" t="str">
        <f t="shared" si="62"/>
        <v/>
      </c>
      <c r="T235" s="119" t="str">
        <f t="shared" si="62"/>
        <v/>
      </c>
      <c r="U235" s="119" t="str">
        <f t="shared" si="62"/>
        <v/>
      </c>
      <c r="V235" s="119" t="str">
        <f t="shared" si="62"/>
        <v/>
      </c>
      <c r="W235" s="119" t="str">
        <f t="shared" si="62"/>
        <v/>
      </c>
      <c r="X235" s="119" t="str">
        <f t="shared" si="62"/>
        <v/>
      </c>
      <c r="Y235" s="119" t="str">
        <f t="shared" si="62"/>
        <v/>
      </c>
      <c r="Z235" s="119" t="str">
        <f t="shared" si="62"/>
        <v/>
      </c>
      <c r="AA235" s="119" t="str">
        <f t="shared" si="62"/>
        <v/>
      </c>
      <c r="AB235" s="119" t="str">
        <f t="shared" si="62"/>
        <v/>
      </c>
      <c r="AC235" s="119" t="str">
        <f t="shared" si="62"/>
        <v/>
      </c>
      <c r="AD235" s="119" t="str">
        <f t="shared" si="62"/>
        <v/>
      </c>
      <c r="AE235" s="119" t="str">
        <f t="shared" si="62"/>
        <v/>
      </c>
      <c r="AF235" s="119" t="str">
        <f t="shared" si="62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3">IF(B203&lt;100,"",B203-620)</f>
        <v/>
      </c>
      <c r="C236" s="119" t="str">
        <f t="shared" si="63"/>
        <v/>
      </c>
      <c r="D236" s="119" t="str">
        <f t="shared" si="63"/>
        <v/>
      </c>
      <c r="E236" s="119" t="str">
        <f t="shared" si="63"/>
        <v/>
      </c>
      <c r="F236" s="119" t="str">
        <f t="shared" si="63"/>
        <v/>
      </c>
      <c r="G236" s="119" t="str">
        <f t="shared" si="63"/>
        <v/>
      </c>
      <c r="H236" s="119" t="str">
        <f t="shared" si="63"/>
        <v/>
      </c>
      <c r="I236" s="119" t="str">
        <f t="shared" si="63"/>
        <v/>
      </c>
      <c r="J236" s="119" t="str">
        <f t="shared" si="63"/>
        <v/>
      </c>
      <c r="K236" s="119" t="str">
        <f t="shared" si="63"/>
        <v/>
      </c>
      <c r="L236" s="119" t="str">
        <f t="shared" si="63"/>
        <v/>
      </c>
      <c r="M236" s="119" t="str">
        <f t="shared" si="63"/>
        <v/>
      </c>
      <c r="N236" s="119" t="str">
        <f t="shared" si="63"/>
        <v/>
      </c>
      <c r="O236" s="119" t="str">
        <f t="shared" si="63"/>
        <v/>
      </c>
      <c r="P236" s="119" t="str">
        <f t="shared" si="63"/>
        <v/>
      </c>
      <c r="Q236" s="119" t="str">
        <f t="shared" si="63"/>
        <v/>
      </c>
      <c r="R236" s="119" t="str">
        <f t="shared" si="63"/>
        <v/>
      </c>
      <c r="S236" s="119" t="str">
        <f t="shared" si="63"/>
        <v/>
      </c>
      <c r="T236" s="119" t="str">
        <f t="shared" si="63"/>
        <v/>
      </c>
      <c r="U236" s="119" t="str">
        <f t="shared" si="63"/>
        <v/>
      </c>
      <c r="V236" s="119" t="str">
        <f t="shared" si="63"/>
        <v/>
      </c>
      <c r="W236" s="119" t="str">
        <f t="shared" si="63"/>
        <v/>
      </c>
      <c r="X236" s="119" t="str">
        <f t="shared" si="63"/>
        <v/>
      </c>
      <c r="Y236" s="119" t="str">
        <f t="shared" si="63"/>
        <v/>
      </c>
      <c r="Z236" s="119" t="str">
        <f t="shared" si="63"/>
        <v/>
      </c>
      <c r="AA236" s="119" t="str">
        <f t="shared" si="63"/>
        <v/>
      </c>
      <c r="AB236" s="119" t="str">
        <f t="shared" si="63"/>
        <v/>
      </c>
      <c r="AC236" s="119" t="str">
        <f t="shared" si="63"/>
        <v/>
      </c>
      <c r="AD236" s="119" t="str">
        <f t="shared" si="63"/>
        <v/>
      </c>
      <c r="AE236" s="119" t="str">
        <f t="shared" si="63"/>
        <v/>
      </c>
      <c r="AF236" s="119" t="str">
        <f t="shared" si="63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4">IF(B204&lt;100,"",B204-330)</f>
        <v/>
      </c>
      <c r="C237" s="119" t="str">
        <f t="shared" si="64"/>
        <v/>
      </c>
      <c r="D237" s="119" t="str">
        <f t="shared" si="64"/>
        <v/>
      </c>
      <c r="E237" s="119" t="str">
        <f t="shared" si="64"/>
        <v/>
      </c>
      <c r="F237" s="119" t="str">
        <f t="shared" si="64"/>
        <v/>
      </c>
      <c r="G237" s="119" t="str">
        <f t="shared" si="64"/>
        <v/>
      </c>
      <c r="H237" s="119" t="str">
        <f t="shared" si="64"/>
        <v/>
      </c>
      <c r="I237" s="119" t="str">
        <f t="shared" si="64"/>
        <v/>
      </c>
      <c r="J237" s="119" t="str">
        <f t="shared" si="64"/>
        <v/>
      </c>
      <c r="K237" s="119" t="str">
        <f t="shared" si="64"/>
        <v/>
      </c>
      <c r="L237" s="119" t="str">
        <f t="shared" si="64"/>
        <v/>
      </c>
      <c r="M237" s="119" t="str">
        <f t="shared" si="64"/>
        <v/>
      </c>
      <c r="N237" s="119" t="str">
        <f t="shared" si="64"/>
        <v/>
      </c>
      <c r="O237" s="119" t="str">
        <f t="shared" si="64"/>
        <v/>
      </c>
      <c r="P237" s="119" t="str">
        <f t="shared" si="64"/>
        <v/>
      </c>
      <c r="Q237" s="119" t="str">
        <f t="shared" si="64"/>
        <v/>
      </c>
      <c r="R237" s="119" t="str">
        <f t="shared" si="64"/>
        <v/>
      </c>
      <c r="S237" s="119" t="str">
        <f t="shared" si="64"/>
        <v/>
      </c>
      <c r="T237" s="119" t="str">
        <f t="shared" si="64"/>
        <v/>
      </c>
      <c r="U237" s="119" t="str">
        <f t="shared" si="64"/>
        <v/>
      </c>
      <c r="V237" s="119" t="str">
        <f t="shared" si="64"/>
        <v/>
      </c>
      <c r="W237" s="119" t="str">
        <f t="shared" si="64"/>
        <v/>
      </c>
      <c r="X237" s="119" t="str">
        <f t="shared" si="64"/>
        <v/>
      </c>
      <c r="Y237" s="119" t="str">
        <f t="shared" si="64"/>
        <v/>
      </c>
      <c r="Z237" s="119" t="str">
        <f t="shared" si="64"/>
        <v/>
      </c>
      <c r="AA237" s="119" t="str">
        <f t="shared" si="64"/>
        <v/>
      </c>
      <c r="AB237" s="119" t="str">
        <f t="shared" si="64"/>
        <v/>
      </c>
      <c r="AC237" s="119" t="str">
        <f t="shared" si="64"/>
        <v/>
      </c>
      <c r="AD237" s="119" t="str">
        <f t="shared" si="64"/>
        <v/>
      </c>
      <c r="AE237" s="119" t="str">
        <f t="shared" si="64"/>
        <v/>
      </c>
      <c r="AF237" s="119" t="str">
        <f t="shared" si="64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5">IF(C205&lt;100,"",C205-1500)</f>
        <v/>
      </c>
      <c r="D238" s="119" t="str">
        <f t="shared" si="65"/>
        <v/>
      </c>
      <c r="E238" s="119" t="str">
        <f t="shared" si="65"/>
        <v/>
      </c>
      <c r="F238" s="119" t="str">
        <f t="shared" si="65"/>
        <v/>
      </c>
      <c r="G238" s="119" t="str">
        <f t="shared" si="65"/>
        <v/>
      </c>
      <c r="H238" s="119" t="str">
        <f t="shared" si="65"/>
        <v/>
      </c>
      <c r="I238" s="119" t="str">
        <f t="shared" si="65"/>
        <v/>
      </c>
      <c r="J238" s="119" t="str">
        <f t="shared" si="65"/>
        <v/>
      </c>
      <c r="K238" s="119" t="str">
        <f t="shared" si="65"/>
        <v/>
      </c>
      <c r="L238" s="119" t="str">
        <f t="shared" si="65"/>
        <v/>
      </c>
      <c r="M238" s="119" t="str">
        <f t="shared" si="65"/>
        <v/>
      </c>
      <c r="N238" s="119" t="str">
        <f t="shared" si="65"/>
        <v/>
      </c>
      <c r="O238" s="119" t="str">
        <f t="shared" si="65"/>
        <v/>
      </c>
      <c r="P238" s="119" t="str">
        <f t="shared" si="65"/>
        <v/>
      </c>
      <c r="Q238" s="119" t="str">
        <f t="shared" si="65"/>
        <v/>
      </c>
      <c r="R238" s="119" t="str">
        <f t="shared" si="65"/>
        <v/>
      </c>
      <c r="S238" s="119" t="str">
        <f t="shared" si="65"/>
        <v/>
      </c>
      <c r="T238" s="119" t="str">
        <f t="shared" si="65"/>
        <v/>
      </c>
      <c r="U238" s="119" t="str">
        <f t="shared" si="65"/>
        <v/>
      </c>
      <c r="V238" s="119" t="str">
        <f t="shared" si="65"/>
        <v/>
      </c>
      <c r="W238" s="119" t="str">
        <f t="shared" si="65"/>
        <v/>
      </c>
      <c r="X238" s="119" t="str">
        <f t="shared" si="65"/>
        <v/>
      </c>
      <c r="Y238" s="119" t="str">
        <f t="shared" si="65"/>
        <v/>
      </c>
      <c r="Z238" s="119" t="str">
        <f t="shared" si="65"/>
        <v/>
      </c>
      <c r="AA238" s="119" t="str">
        <f t="shared" si="65"/>
        <v/>
      </c>
      <c r="AB238" s="119" t="str">
        <f t="shared" si="65"/>
        <v/>
      </c>
      <c r="AC238" s="119" t="str">
        <f t="shared" si="65"/>
        <v/>
      </c>
      <c r="AD238" s="119" t="str">
        <f t="shared" si="65"/>
        <v/>
      </c>
      <c r="AE238" s="119" t="str">
        <f t="shared" si="65"/>
        <v/>
      </c>
      <c r="AF238" s="119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C57:L59 C63:D67 P39:R39 C60:M61 P40:Q42 M58:M59 AB81:AF81 B81:R81 C56:AF56 B82:AF83 D193:AF199 B193:B199 C68:AF72 B84:B91 M53:AF55 B73:AF80 B9:AF10 B191:AF191 AF57:AF61 B53:B72 AG73 AB94:AF99 B94:B99 U212:AF212 B36:L36 M39:P42 M37:R37 M11:R14 R39:R42 S58:W59 N58:R61 R40:U41 S13:X14 N45:X48 U40:Z42 AC84:AF84 X85:AF91 Z40:AE43 AE42:AF43 S11:AF11 Y18:AF30 S36:AF36">
    <cfRule type="expression" dxfId="2086" priority="269">
      <formula>B$9&gt;=20/24</formula>
    </cfRule>
    <cfRule type="expression" dxfId="2085" priority="270">
      <formula>AND(B$9&gt;=14/24,B$9&lt;20/24)</formula>
    </cfRule>
    <cfRule type="expression" dxfId="2084" priority="271">
      <formula>AND(B$9&gt;=8/24,B$9&lt;14/24)</formula>
    </cfRule>
    <cfRule type="expression" dxfId="2083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082" priority="264">
      <formula>M$9&gt;=20/24</formula>
    </cfRule>
    <cfRule type="expression" dxfId="2081" priority="265">
      <formula>AND(M$9&gt;=14/24,M$9&lt;20/24)</formula>
    </cfRule>
    <cfRule type="expression" dxfId="2080" priority="266">
      <formula>AND(M$9&gt;=8/24,M$9&lt;14/24)</formula>
    </cfRule>
    <cfRule type="expression" dxfId="2079" priority="267">
      <formula>M$9&lt;8/24</formula>
    </cfRule>
  </conditionalFormatting>
  <conditionalFormatting sqref="M43:U43">
    <cfRule type="expression" dxfId="2078" priority="260">
      <formula>M$9&gt;=20/24</formula>
    </cfRule>
    <cfRule type="expression" dxfId="2077" priority="261">
      <formula>AND(M$9&gt;=14/24,M$9&lt;20/24)</formula>
    </cfRule>
    <cfRule type="expression" dxfId="2076" priority="262">
      <formula>AND(M$9&gt;=8/24,M$9&lt;14/24)</formula>
    </cfRule>
    <cfRule type="expression" dxfId="2075" priority="263">
      <formula>M$9&lt;8/24</formula>
    </cfRule>
  </conditionalFormatting>
  <conditionalFormatting sqref="S39:AE39">
    <cfRule type="expression" dxfId="2074" priority="252">
      <formula>S$9&gt;=20/24</formula>
    </cfRule>
    <cfRule type="expression" dxfId="2073" priority="253">
      <formula>AND(S$9&gt;=14/24,S$9&lt;20/24)</formula>
    </cfRule>
    <cfRule type="expression" dxfId="2072" priority="254">
      <formula>AND(S$9&gt;=8/24,S$9&lt;14/24)</formula>
    </cfRule>
    <cfRule type="expression" dxfId="2071" priority="255">
      <formula>S$9&lt;8/24</formula>
    </cfRule>
  </conditionalFormatting>
  <conditionalFormatting sqref="S57:AE57">
    <cfRule type="expression" dxfId="2070" priority="248">
      <formula>S$9&gt;=20/24</formula>
    </cfRule>
    <cfRule type="expression" dxfId="2069" priority="249">
      <formula>AND(S$9&gt;=14/24,S$9&lt;20/24)</formula>
    </cfRule>
    <cfRule type="expression" dxfId="2068" priority="250">
      <formula>AND(S$9&gt;=8/24,S$9&lt;14/24)</formula>
    </cfRule>
    <cfRule type="expression" dxfId="2067" priority="251">
      <formula>S$9&lt;8/24</formula>
    </cfRule>
  </conditionalFormatting>
  <conditionalFormatting sqref="S81:AA81">
    <cfRule type="expression" dxfId="2066" priority="244">
      <formula>S$9&gt;=20/24</formula>
    </cfRule>
    <cfRule type="expression" dxfId="2065" priority="245">
      <formula>AND(S$9&gt;=14/24,S$9&lt;20/24)</formula>
    </cfRule>
    <cfRule type="expression" dxfId="2064" priority="246">
      <formula>AND(S$9&gt;=8/24,S$9&lt;14/24)</formula>
    </cfRule>
    <cfRule type="expression" dxfId="2063" priority="247">
      <formula>S$9&lt;8/24</formula>
    </cfRule>
  </conditionalFormatting>
  <conditionalFormatting sqref="U84:AB84">
    <cfRule type="expression" dxfId="2062" priority="240">
      <formula>U$9&gt;=20/24</formula>
    </cfRule>
    <cfRule type="expression" dxfId="2061" priority="241">
      <formula>AND(U$9&gt;=14/24,U$9&lt;20/24)</formula>
    </cfRule>
    <cfRule type="expression" dxfId="2060" priority="242">
      <formula>AND(U$9&gt;=8/24,U$9&lt;14/24)</formula>
    </cfRule>
    <cfRule type="expression" dxfId="2059" priority="243">
      <formula>U$9&lt;8/24</formula>
    </cfRule>
  </conditionalFormatting>
  <conditionalFormatting sqref="M49:X49">
    <cfRule type="expression" dxfId="2058" priority="232">
      <formula>M$9&gt;=20/24</formula>
    </cfRule>
    <cfRule type="expression" dxfId="2057" priority="233">
      <formula>AND(M$9&gt;=14/24,M$9&lt;20/24)</formula>
    </cfRule>
    <cfRule type="expression" dxfId="2056" priority="234">
      <formula>AND(M$9&gt;=8/24,M$9&lt;14/24)</formula>
    </cfRule>
    <cfRule type="expression" dxfId="2055" priority="235">
      <formula>M$9&lt;8/24</formula>
    </cfRule>
  </conditionalFormatting>
  <conditionalFormatting sqref="M50:X50">
    <cfRule type="expression" dxfId="2054" priority="228">
      <formula>M$9&gt;=20/24</formula>
    </cfRule>
    <cfRule type="expression" dxfId="2053" priority="229">
      <formula>AND(M$9&gt;=14/24,M$9&lt;20/24)</formula>
    </cfRule>
    <cfRule type="expression" dxfId="2052" priority="230">
      <formula>AND(M$9&gt;=8/24,M$9&lt;14/24)</formula>
    </cfRule>
    <cfRule type="expression" dxfId="2051" priority="231">
      <formula>M$9&lt;8/24</formula>
    </cfRule>
  </conditionalFormatting>
  <conditionalFormatting sqref="M45:X48">
    <cfRule type="expression" dxfId="2050" priority="224">
      <formula>M$9&gt;=20/24</formula>
    </cfRule>
    <cfRule type="expression" dxfId="2049" priority="225">
      <formula>AND(M$9&gt;=14/24,M$9&lt;20/24)</formula>
    </cfRule>
    <cfRule type="expression" dxfId="2048" priority="226">
      <formula>AND(M$9&gt;=8/24,M$9&lt;14/24)</formula>
    </cfRule>
    <cfRule type="expression" dxfId="2047" priority="227">
      <formula>M$9&lt;8/24</formula>
    </cfRule>
  </conditionalFormatting>
  <conditionalFormatting sqref="S37:AF37">
    <cfRule type="expression" dxfId="2046" priority="220">
      <formula>S$9&gt;=20/24</formula>
    </cfRule>
    <cfRule type="expression" dxfId="2045" priority="221">
      <formula>AND(S$9&gt;=14/24,S$9&lt;20/24)</formula>
    </cfRule>
    <cfRule type="expression" dxfId="2044" priority="222">
      <formula>AND(S$9&gt;=8/24,S$9&lt;14/24)</formula>
    </cfRule>
    <cfRule type="expression" dxfId="2043" priority="223">
      <formula>S$9&lt;8/24</formula>
    </cfRule>
  </conditionalFormatting>
  <conditionalFormatting sqref="Y31:AF32 Y35:AF35">
    <cfRule type="expression" dxfId="2042" priority="216">
      <formula>Y$9&gt;=20/24</formula>
    </cfRule>
    <cfRule type="expression" dxfId="2041" priority="217">
      <formula>AND(Y$9&gt;=14/24,Y$9&lt;20/24)</formula>
    </cfRule>
    <cfRule type="expression" dxfId="2040" priority="218">
      <formula>AND(Y$9&gt;=8/24,Y$9&lt;14/24)</formula>
    </cfRule>
    <cfRule type="expression" dxfId="2039" priority="219">
      <formula>Y$9&lt;8/24</formula>
    </cfRule>
  </conditionalFormatting>
  <conditionalFormatting sqref="S42:U43 U43:Z43 S45:AF48">
    <cfRule type="expression" dxfId="2038" priority="212">
      <formula>S$9&gt;=20/24</formula>
    </cfRule>
    <cfRule type="expression" dxfId="2037" priority="213">
      <formula>AND(S$9&gt;=14/24,S$9&lt;20/24)</formula>
    </cfRule>
    <cfRule type="expression" dxfId="2036" priority="214">
      <formula>AND(S$9&gt;=8/24,S$9&lt;14/24)</formula>
    </cfRule>
    <cfRule type="expression" dxfId="2035" priority="215">
      <formula>S$9&lt;8/24</formula>
    </cfRule>
  </conditionalFormatting>
  <conditionalFormatting sqref="S49:AF49">
    <cfRule type="expression" dxfId="2034" priority="208">
      <formula>S$9&gt;=20/24</formula>
    </cfRule>
    <cfRule type="expression" dxfId="2033" priority="209">
      <formula>AND(S$9&gt;=14/24,S$9&lt;20/24)</formula>
    </cfRule>
    <cfRule type="expression" dxfId="2032" priority="210">
      <formula>AND(S$9&gt;=8/24,S$9&lt;14/24)</formula>
    </cfRule>
    <cfRule type="expression" dxfId="2031" priority="211">
      <formula>S$9&lt;8/24</formula>
    </cfRule>
  </conditionalFormatting>
  <conditionalFormatting sqref="S50:AF50">
    <cfRule type="expression" dxfId="2030" priority="204">
      <formula>S$9&gt;=20/24</formula>
    </cfRule>
    <cfRule type="expression" dxfId="2029" priority="205">
      <formula>AND(S$9&gt;=14/24,S$9&lt;20/24)</formula>
    </cfRule>
    <cfRule type="expression" dxfId="2028" priority="206">
      <formula>AND(S$9&gt;=8/24,S$9&lt;14/24)</formula>
    </cfRule>
    <cfRule type="expression" dxfId="2027" priority="207">
      <formula>S$9&lt;8/24</formula>
    </cfRule>
  </conditionalFormatting>
  <conditionalFormatting sqref="S60:T61 X60:AE61 X62:AF67">
    <cfRule type="expression" dxfId="2026" priority="200">
      <formula>S$9&gt;=20/24</formula>
    </cfRule>
    <cfRule type="expression" dxfId="2025" priority="201">
      <formula>AND(S$9&gt;=14/24,S$9&lt;20/24)</formula>
    </cfRule>
    <cfRule type="expression" dxfId="2024" priority="202">
      <formula>AND(S$9&gt;=8/24,S$9&lt;14/24)</formula>
    </cfRule>
    <cfRule type="expression" dxfId="2023" priority="203">
      <formula>S$9&lt;8/24</formula>
    </cfRule>
  </conditionalFormatting>
  <conditionalFormatting sqref="C62:I62 I63:I67 J62:L67">
    <cfRule type="expression" dxfId="2022" priority="196">
      <formula>C$9&gt;=20/24</formula>
    </cfRule>
    <cfRule type="expression" dxfId="2021" priority="197">
      <formula>AND(C$9&gt;=14/24,C$9&lt;20/24)</formula>
    </cfRule>
    <cfRule type="expression" dxfId="2020" priority="198">
      <formula>AND(C$9&gt;=8/24,C$9&lt;14/24)</formula>
    </cfRule>
    <cfRule type="expression" dxfId="2019" priority="199">
      <formula>C$9&lt;8/24</formula>
    </cfRule>
  </conditionalFormatting>
  <conditionalFormatting sqref="U94:AA97">
    <cfRule type="expression" dxfId="2018" priority="192">
      <formula>U$9&gt;=20/24</formula>
    </cfRule>
    <cfRule type="expression" dxfId="2017" priority="193">
      <formula>AND(U$9&gt;=14/24,U$9&lt;20/24)</formula>
    </cfRule>
    <cfRule type="expression" dxfId="2016" priority="194">
      <formula>AND(U$9&gt;=8/24,U$9&lt;14/24)</formula>
    </cfRule>
    <cfRule type="expression" dxfId="2015" priority="195">
      <formula>U$9&lt;8/24</formula>
    </cfRule>
  </conditionalFormatting>
  <conditionalFormatting sqref="AG51 H11:M11 B11:G32 M12:M14 H12:L32 B34:L36 N11:R14 B37:R37 S36:T37 U36:X36 S13:X14 U37:AC37 Y34:AC36 B38:AF56 S11:AF11 Y18:AF32 AD34:AF37">
    <cfRule type="expression" dxfId="2014" priority="191">
      <formula>B11&gt;$AG11</formula>
    </cfRule>
  </conditionalFormatting>
  <conditionalFormatting sqref="A100:A156 A84:A97 A11:A14 A16:A32 A45:A72 A80:A82 A74:A78 A35:A43 A169:A199">
    <cfRule type="expression" dxfId="2013" priority="190">
      <formula>$AH11=0</formula>
    </cfRule>
  </conditionalFormatting>
  <conditionalFormatting sqref="U98:AA98">
    <cfRule type="expression" dxfId="2012" priority="186">
      <formula>U$9&gt;=20/24</formula>
    </cfRule>
    <cfRule type="expression" dxfId="2011" priority="187">
      <formula>AND(U$9&gt;=14/24,U$9&lt;20/24)</formula>
    </cfRule>
    <cfRule type="expression" dxfId="2010" priority="188">
      <formula>AND(U$9&gt;=8/24,U$9&lt;14/24)</formula>
    </cfRule>
    <cfRule type="expression" dxfId="2009" priority="189">
      <formula>U$9&lt;8/24</formula>
    </cfRule>
  </conditionalFormatting>
  <conditionalFormatting sqref="A98">
    <cfRule type="expression" dxfId="2008" priority="185">
      <formula>$AH98=0</formula>
    </cfRule>
  </conditionalFormatting>
  <conditionalFormatting sqref="E63:H67">
    <cfRule type="expression" dxfId="2007" priority="177">
      <formula>E$9&gt;=20/24</formula>
    </cfRule>
    <cfRule type="expression" dxfId="2006" priority="178">
      <formula>AND(E$9&gt;=14/24,E$9&lt;20/24)</formula>
    </cfRule>
    <cfRule type="expression" dxfId="2005" priority="179">
      <formula>AND(E$9&gt;=8/24,E$9&lt;14/24)</formula>
    </cfRule>
    <cfRule type="expression" dxfId="2004" priority="180">
      <formula>E$9&lt;8/24</formula>
    </cfRule>
  </conditionalFormatting>
  <conditionalFormatting sqref="M62:T67">
    <cfRule type="expression" dxfId="2003" priority="173">
      <formula>M$9&gt;=20/24</formula>
    </cfRule>
    <cfRule type="expression" dxfId="2002" priority="174">
      <formula>AND(M$9&gt;=14/24,M$9&lt;20/24)</formula>
    </cfRule>
    <cfRule type="expression" dxfId="2001" priority="175">
      <formula>AND(M$9&gt;=8/24,M$9&lt;14/24)</formula>
    </cfRule>
    <cfRule type="expression" dxfId="2000" priority="176">
      <formula>M$9&lt;8/24</formula>
    </cfRule>
  </conditionalFormatting>
  <conditionalFormatting sqref="AL32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Y34:AF34">
    <cfRule type="expression" dxfId="1999" priority="160">
      <formula>Y$9&gt;=20/24</formula>
    </cfRule>
    <cfRule type="expression" dxfId="1998" priority="161">
      <formula>AND(Y$9&gt;=14/24,Y$9&lt;20/24)</formula>
    </cfRule>
    <cfRule type="expression" dxfId="1997" priority="162">
      <formula>AND(Y$9&gt;=8/24,Y$9&lt;14/24)</formula>
    </cfRule>
    <cfRule type="expression" dxfId="1996" priority="163">
      <formula>Y$9&lt;8/24</formula>
    </cfRule>
  </conditionalFormatting>
  <conditionalFormatting sqref="A34">
    <cfRule type="expression" dxfId="1995" priority="159">
      <formula>$AH34=0</formula>
    </cfRule>
  </conditionalFormatting>
  <conditionalFormatting sqref="A83">
    <cfRule type="expression" dxfId="1994" priority="158">
      <formula>$AH83=0</formula>
    </cfRule>
  </conditionalFormatting>
  <conditionalFormatting sqref="M15:X15">
    <cfRule type="expression" dxfId="1993" priority="150">
      <formula>M$9&gt;=20/24</formula>
    </cfRule>
    <cfRule type="expression" dxfId="1992" priority="151">
      <formula>AND(M$9&gt;=14/24,M$9&lt;20/24)</formula>
    </cfRule>
    <cfRule type="expression" dxfId="1991" priority="152">
      <formula>AND(M$9&gt;=8/24,M$9&lt;14/24)</formula>
    </cfRule>
    <cfRule type="expression" dxfId="1990" priority="153">
      <formula>M$9&lt;8/24</formula>
    </cfRule>
  </conditionalFormatting>
  <conditionalFormatting sqref="M15:X15">
    <cfRule type="expression" dxfId="1989" priority="149">
      <formula>M15&gt;$AG15</formula>
    </cfRule>
  </conditionalFormatting>
  <conditionalFormatting sqref="A15">
    <cfRule type="expression" dxfId="1988" priority="148">
      <formula>$AH15=0</formula>
    </cfRule>
  </conditionalFormatting>
  <conditionalFormatting sqref="A163:A168">
    <cfRule type="expression" dxfId="1987" priority="147">
      <formula>$AH163=0</formula>
    </cfRule>
  </conditionalFormatting>
  <conditionalFormatting sqref="A157:A162">
    <cfRule type="expression" dxfId="1986" priority="146">
      <formula>$AH157=0</formula>
    </cfRule>
  </conditionalFormatting>
  <conditionalFormatting sqref="Z44:AF44">
    <cfRule type="expression" dxfId="1985" priority="142">
      <formula>Z$9&gt;=20/24</formula>
    </cfRule>
    <cfRule type="expression" dxfId="1984" priority="143">
      <formula>AND(Z$9&gt;=14/24,Z$9&lt;20/24)</formula>
    </cfRule>
    <cfRule type="expression" dxfId="1983" priority="144">
      <formula>AND(Z$9&gt;=8/24,Z$9&lt;14/24)</formula>
    </cfRule>
    <cfRule type="expression" dxfId="1982" priority="145">
      <formula>Z$9&lt;8/24</formula>
    </cfRule>
  </conditionalFormatting>
  <conditionalFormatting sqref="M44:X44">
    <cfRule type="expression" dxfId="1981" priority="138">
      <formula>M$9&gt;=20/24</formula>
    </cfRule>
    <cfRule type="expression" dxfId="1980" priority="139">
      <formula>AND(M$9&gt;=14/24,M$9&lt;20/24)</formula>
    </cfRule>
    <cfRule type="expression" dxfId="1979" priority="140">
      <formula>AND(M$9&gt;=8/24,M$9&lt;14/24)</formula>
    </cfRule>
    <cfRule type="expression" dxfId="1978" priority="141">
      <formula>M$9&lt;8/24</formula>
    </cfRule>
  </conditionalFormatting>
  <conditionalFormatting sqref="S44:AF44">
    <cfRule type="expression" dxfId="1977" priority="134">
      <formula>S$9&gt;=20/24</formula>
    </cfRule>
    <cfRule type="expression" dxfId="1976" priority="135">
      <formula>AND(S$9&gt;=14/24,S$9&lt;20/24)</formula>
    </cfRule>
    <cfRule type="expression" dxfId="1975" priority="136">
      <formula>AND(S$9&gt;=8/24,S$9&lt;14/24)</formula>
    </cfRule>
    <cfRule type="expression" dxfId="1974" priority="137">
      <formula>S$9&lt;8/24</formula>
    </cfRule>
  </conditionalFormatting>
  <conditionalFormatting sqref="A44">
    <cfRule type="expression" dxfId="1973" priority="133">
      <formula>$AH44=0</formula>
    </cfRule>
  </conditionalFormatting>
  <conditionalFormatting sqref="A79">
    <cfRule type="expression" dxfId="1972" priority="132">
      <formula>$AH79=0</formula>
    </cfRule>
  </conditionalFormatting>
  <conditionalFormatting sqref="A73">
    <cfRule type="expression" dxfId="1971" priority="131">
      <formula>$AH73=0</formula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970" priority="127">
      <formula>U$9&gt;=20/24</formula>
    </cfRule>
    <cfRule type="expression" dxfId="1969" priority="128">
      <formula>AND(U$9&gt;=14/24,U$9&lt;20/24)</formula>
    </cfRule>
    <cfRule type="expression" dxfId="1968" priority="129">
      <formula>AND(U$9&gt;=8/24,U$9&lt;14/24)</formula>
    </cfRule>
    <cfRule type="expression" dxfId="1967" priority="130">
      <formula>U$9&lt;8/24</formula>
    </cfRule>
  </conditionalFormatting>
  <conditionalFormatting sqref="U85:W91">
    <cfRule type="expression" dxfId="1966" priority="123">
      <formula>U$9&gt;=20/24</formula>
    </cfRule>
    <cfRule type="expression" dxfId="1965" priority="124">
      <formula>AND(U$9&gt;=14/24,U$9&lt;20/24)</formula>
    </cfRule>
    <cfRule type="expression" dxfId="1964" priority="125">
      <formula>AND(U$9&gt;=8/24,U$9&lt;14/24)</formula>
    </cfRule>
    <cfRule type="expression" dxfId="1963" priority="126">
      <formula>U$9&lt;8/24</formula>
    </cfRule>
  </conditionalFormatting>
  <conditionalFormatting sqref="S85:T91 C84:R91">
    <cfRule type="expression" dxfId="1962" priority="119">
      <formula>C$9&gt;=20/24</formula>
    </cfRule>
    <cfRule type="expression" dxfId="1961" priority="120">
      <formula>AND(C$9&gt;=14/24,C$9&lt;20/24)</formula>
    </cfRule>
    <cfRule type="expression" dxfId="1960" priority="121">
      <formula>AND(C$9&gt;=8/24,C$9&lt;14/24)</formula>
    </cfRule>
    <cfRule type="expression" dxfId="1959" priority="122">
      <formula>C$9&lt;8/24</formula>
    </cfRule>
  </conditionalFormatting>
  <conditionalFormatting sqref="S84:T84">
    <cfRule type="expression" dxfId="1958" priority="115">
      <formula>S$9&gt;=20/24</formula>
    </cfRule>
    <cfRule type="expression" dxfId="1957" priority="116">
      <formula>AND(S$9&gt;=14/24,S$9&lt;20/24)</formula>
    </cfRule>
    <cfRule type="expression" dxfId="1956" priority="117">
      <formula>AND(S$9&gt;=8/24,S$9&lt;14/24)</formula>
    </cfRule>
    <cfRule type="expression" dxfId="1955" priority="118">
      <formula>S$9&lt;8/24</formula>
    </cfRule>
  </conditionalFormatting>
  <conditionalFormatting sqref="C95:M97 C94:F94">
    <cfRule type="expression" dxfId="1954" priority="111">
      <formula>C$9&gt;=20/24</formula>
    </cfRule>
    <cfRule type="expression" dxfId="1953" priority="112">
      <formula>AND(C$9&gt;=14/24,C$9&lt;20/24)</formula>
    </cfRule>
    <cfRule type="expression" dxfId="1952" priority="113">
      <formula>AND(C$9&gt;=8/24,C$9&lt;14/24)</formula>
    </cfRule>
    <cfRule type="expression" dxfId="1951" priority="114">
      <formula>C$9&lt;8/24</formula>
    </cfRule>
  </conditionalFormatting>
  <conditionalFormatting sqref="N95:Q97 O94:Q94 R94:R97">
    <cfRule type="expression" dxfId="1950" priority="107">
      <formula>N$9&gt;=20/24</formula>
    </cfRule>
    <cfRule type="expression" dxfId="1949" priority="108">
      <formula>AND(N$9&gt;=14/24,N$9&lt;20/24)</formula>
    </cfRule>
    <cfRule type="expression" dxfId="1948" priority="109">
      <formula>AND(N$9&gt;=8/24,N$9&lt;14/24)</formula>
    </cfRule>
    <cfRule type="expression" dxfId="1947" priority="110">
      <formula>N$9&lt;8/24</formula>
    </cfRule>
  </conditionalFormatting>
  <conditionalFormatting sqref="S94:T97">
    <cfRule type="expression" dxfId="1946" priority="103">
      <formula>S$9&gt;=20/24</formula>
    </cfRule>
    <cfRule type="expression" dxfId="1945" priority="104">
      <formula>AND(S$9&gt;=14/24,S$9&lt;20/24)</formula>
    </cfRule>
    <cfRule type="expression" dxfId="1944" priority="105">
      <formula>AND(S$9&gt;=8/24,S$9&lt;14/24)</formula>
    </cfRule>
    <cfRule type="expression" dxfId="1943" priority="106">
      <formula>S$9&lt;8/24</formula>
    </cfRule>
  </conditionalFormatting>
  <conditionalFormatting sqref="C98:M98">
    <cfRule type="expression" dxfId="1942" priority="99">
      <formula>C$9&gt;=20/24</formula>
    </cfRule>
    <cfRule type="expression" dxfId="1941" priority="100">
      <formula>AND(C$9&gt;=14/24,C$9&lt;20/24)</formula>
    </cfRule>
    <cfRule type="expression" dxfId="1940" priority="101">
      <formula>AND(C$9&gt;=8/24,C$9&lt;14/24)</formula>
    </cfRule>
    <cfRule type="expression" dxfId="1939" priority="102">
      <formula>C$9&lt;8/24</formula>
    </cfRule>
  </conditionalFormatting>
  <conditionalFormatting sqref="N98:R98">
    <cfRule type="expression" dxfId="1938" priority="95">
      <formula>N$9&gt;=20/24</formula>
    </cfRule>
    <cfRule type="expression" dxfId="1937" priority="96">
      <formula>AND(N$9&gt;=14/24,N$9&lt;20/24)</formula>
    </cfRule>
    <cfRule type="expression" dxfId="1936" priority="97">
      <formula>AND(N$9&gt;=8/24,N$9&lt;14/24)</formula>
    </cfRule>
    <cfRule type="expression" dxfId="1935" priority="98">
      <formula>N$9&lt;8/24</formula>
    </cfRule>
  </conditionalFormatting>
  <conditionalFormatting sqref="S98:T98">
    <cfRule type="expression" dxfId="1934" priority="91">
      <formula>S$9&gt;=20/24</formula>
    </cfRule>
    <cfRule type="expression" dxfId="1933" priority="92">
      <formula>AND(S$9&gt;=14/24,S$9&lt;20/24)</formula>
    </cfRule>
    <cfRule type="expression" dxfId="1932" priority="93">
      <formula>AND(S$9&gt;=8/24,S$9&lt;14/24)</formula>
    </cfRule>
    <cfRule type="expression" dxfId="1931" priority="94">
      <formula>S$9&lt;8/24</formula>
    </cfRule>
  </conditionalFormatting>
  <conditionalFormatting sqref="M94:N94">
    <cfRule type="expression" dxfId="1930" priority="87">
      <formula>M$9&gt;=20/24</formula>
    </cfRule>
    <cfRule type="expression" dxfId="1929" priority="88">
      <formula>AND(M$9&gt;=14/24,M$9&lt;20/24)</formula>
    </cfRule>
    <cfRule type="expression" dxfId="1928" priority="89">
      <formula>AND(M$9&gt;=8/24,M$9&lt;14/24)</formula>
    </cfRule>
    <cfRule type="expression" dxfId="1927" priority="90">
      <formula>M$9&lt;8/24</formula>
    </cfRule>
  </conditionalFormatting>
  <conditionalFormatting sqref="G94:L94">
    <cfRule type="expression" dxfId="1926" priority="83">
      <formula>G$9&gt;=20/24</formula>
    </cfRule>
    <cfRule type="expression" dxfId="1925" priority="84">
      <formula>AND(G$9&gt;=14/24,G$9&lt;20/24)</formula>
    </cfRule>
    <cfRule type="expression" dxfId="1924" priority="85">
      <formula>AND(G$9&gt;=8/24,G$9&lt;14/24)</formula>
    </cfRule>
    <cfRule type="expression" dxfId="1923" priority="86">
      <formula>G$9&lt;8/24</formula>
    </cfRule>
  </conditionalFormatting>
  <conditionalFormatting sqref="U94:W94">
    <cfRule type="expression" dxfId="1922" priority="79">
      <formula>U$9&gt;=20/24</formula>
    </cfRule>
    <cfRule type="expression" dxfId="1921" priority="80">
      <formula>AND(U$9&gt;=14/24,U$9&lt;20/24)</formula>
    </cfRule>
    <cfRule type="expression" dxfId="1920" priority="81">
      <formula>AND(U$9&gt;=8/24,U$9&lt;14/24)</formula>
    </cfRule>
    <cfRule type="expression" dxfId="1919" priority="82">
      <formula>U$9&lt;8/24</formula>
    </cfRule>
  </conditionalFormatting>
  <conditionalFormatting sqref="N94:T94">
    <cfRule type="expression" dxfId="1918" priority="75">
      <formula>N$9&gt;=20/24</formula>
    </cfRule>
    <cfRule type="expression" dxfId="1917" priority="76">
      <formula>AND(N$9&gt;=14/24,N$9&lt;20/24)</formula>
    </cfRule>
    <cfRule type="expression" dxfId="1916" priority="77">
      <formula>AND(N$9&gt;=8/24,N$9&lt;14/24)</formula>
    </cfRule>
    <cfRule type="expression" dxfId="1915" priority="78">
      <formula>N$9&lt;8/24</formula>
    </cfRule>
  </conditionalFormatting>
  <conditionalFormatting sqref="U99:AA99">
    <cfRule type="expression" dxfId="1914" priority="71">
      <formula>U$9&gt;=20/24</formula>
    </cfRule>
    <cfRule type="expression" dxfId="1913" priority="72">
      <formula>AND(U$9&gt;=14/24,U$9&lt;20/24)</formula>
    </cfRule>
    <cfRule type="expression" dxfId="1912" priority="73">
      <formula>AND(U$9&gt;=8/24,U$9&lt;14/24)</formula>
    </cfRule>
    <cfRule type="expression" dxfId="1911" priority="74">
      <formula>U$9&lt;8/24</formula>
    </cfRule>
  </conditionalFormatting>
  <conditionalFormatting sqref="C99:M99">
    <cfRule type="expression" dxfId="1910" priority="67">
      <formula>C$9&gt;=20/24</formula>
    </cfRule>
    <cfRule type="expression" dxfId="1909" priority="68">
      <formula>AND(C$9&gt;=14/24,C$9&lt;20/24)</formula>
    </cfRule>
    <cfRule type="expression" dxfId="1908" priority="69">
      <formula>AND(C$9&gt;=8/24,C$9&lt;14/24)</formula>
    </cfRule>
    <cfRule type="expression" dxfId="1907" priority="70">
      <formula>C$9&lt;8/24</formula>
    </cfRule>
  </conditionalFormatting>
  <conditionalFormatting sqref="N99:R99">
    <cfRule type="expression" dxfId="1906" priority="63">
      <formula>N$9&gt;=20/24</formula>
    </cfRule>
    <cfRule type="expression" dxfId="1905" priority="64">
      <formula>AND(N$9&gt;=14/24,N$9&lt;20/24)</formula>
    </cfRule>
    <cfRule type="expression" dxfId="1904" priority="65">
      <formula>AND(N$9&gt;=8/24,N$9&lt;14/24)</formula>
    </cfRule>
    <cfRule type="expression" dxfId="1903" priority="66">
      <formula>N$9&lt;8/24</formula>
    </cfRule>
  </conditionalFormatting>
  <conditionalFormatting sqref="S99:T99">
    <cfRule type="expression" dxfId="1902" priority="59">
      <formula>S$9&gt;=20/24</formula>
    </cfRule>
    <cfRule type="expression" dxfId="1901" priority="60">
      <formula>AND(S$9&gt;=14/24,S$9&lt;20/24)</formula>
    </cfRule>
    <cfRule type="expression" dxfId="1900" priority="61">
      <formula>AND(S$9&gt;=8/24,S$9&lt;14/24)</formula>
    </cfRule>
    <cfRule type="expression" dxfId="1899" priority="62">
      <formula>S$9&lt;8/24</formula>
    </cfRule>
  </conditionalFormatting>
  <conditionalFormatting sqref="S12:X12 Y12:AF16">
    <cfRule type="expression" dxfId="1898" priority="55">
      <formula>S$9&gt;=20/24</formula>
    </cfRule>
    <cfRule type="expression" dxfId="1897" priority="56">
      <formula>AND(S$9&gt;=14/24,S$9&lt;20/24)</formula>
    </cfRule>
    <cfRule type="expression" dxfId="1896" priority="57">
      <formula>AND(S$9&gt;=8/24,S$9&lt;14/24)</formula>
    </cfRule>
    <cfRule type="expression" dxfId="1895" priority="58">
      <formula>S$9&lt;8/24</formula>
    </cfRule>
  </conditionalFormatting>
  <conditionalFormatting sqref="Y17:AF17">
    <cfRule type="expression" dxfId="1894" priority="51">
      <formula>Y$9&gt;=20/24</formula>
    </cfRule>
    <cfRule type="expression" dxfId="1893" priority="52">
      <formula>AND(Y$9&gt;=14/24,Y$9&lt;20/24)</formula>
    </cfRule>
    <cfRule type="expression" dxfId="1892" priority="53">
      <formula>AND(Y$9&gt;=8/24,Y$9&lt;14/24)</formula>
    </cfRule>
    <cfRule type="expression" dxfId="1891" priority="54">
      <formula>Y$9&lt;8/24</formula>
    </cfRule>
  </conditionalFormatting>
  <conditionalFormatting sqref="S12:X12 Y12:AF13">
    <cfRule type="expression" dxfId="1890" priority="47">
      <formula>S$9&gt;=20/24</formula>
    </cfRule>
    <cfRule type="expression" dxfId="1889" priority="48">
      <formula>AND(S$9&gt;=14/24,S$9&lt;20/24)</formula>
    </cfRule>
    <cfRule type="expression" dxfId="1888" priority="49">
      <formula>AND(S$9&gt;=8/24,S$9&lt;14/24)</formula>
    </cfRule>
    <cfRule type="expression" dxfId="1887" priority="50">
      <formula>S$9&lt;8/24</formula>
    </cfRule>
  </conditionalFormatting>
  <conditionalFormatting sqref="AB58:AE59">
    <cfRule type="expression" dxfId="1886" priority="43">
      <formula>AB$9&gt;=20/24</formula>
    </cfRule>
    <cfRule type="expression" dxfId="1885" priority="44">
      <formula>AND(AB$9&gt;=14/24,AB$9&lt;20/24)</formula>
    </cfRule>
    <cfRule type="expression" dxfId="1884" priority="45">
      <formula>AND(AB$9&gt;=8/24,AB$9&lt;14/24)</formula>
    </cfRule>
    <cfRule type="expression" dxfId="1883" priority="46">
      <formula>AB$9&lt;8/24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82" priority="276">
      <formula>C$9&gt;=20/24</formula>
    </cfRule>
    <cfRule type="expression" dxfId="1881" priority="277">
      <formula>AND(C$9&gt;=14/24,C$9&lt;20/24)</formula>
    </cfRule>
    <cfRule type="expression" dxfId="1880" priority="278">
      <formula>AND(C$9&gt;=8/24,C$9&lt;14/24)</formula>
    </cfRule>
    <cfRule type="expression" dxfId="1879" priority="279">
      <formula>C$9&lt;8/24</formula>
    </cfRule>
  </conditionalFormatting>
  <conditionalFormatting sqref="A200">
    <cfRule type="expression" dxfId="1878" priority="280">
      <formula>$AH200=0</formula>
    </cfRule>
  </conditionalFormatting>
  <conditionalFormatting sqref="AG212">
    <cfRule type="expression" dxfId="1877" priority="281">
      <formula>B$9&gt;=20/24</formula>
    </cfRule>
    <cfRule type="expression" dxfId="1876" priority="282">
      <formula>AND(B$9&gt;=14/24,B$9&lt;20/24)</formula>
    </cfRule>
    <cfRule type="expression" dxfId="1875" priority="283">
      <formula>AND(B$9&gt;=8/24,B$9&lt;14/24)</formula>
    </cfRule>
    <cfRule type="expression" dxfId="1874" priority="284">
      <formula>B$9&lt;8/24</formula>
    </cfRule>
  </conditionalFormatting>
  <conditionalFormatting sqref="S8">
    <cfRule type="expression" dxfId="1873" priority="37">
      <formula>U$9&gt;=20/24</formula>
    </cfRule>
    <cfRule type="expression" dxfId="1872" priority="38">
      <formula>AND(U$9&gt;=14/24,U$9&lt;20/24)</formula>
    </cfRule>
    <cfRule type="expression" dxfId="1871" priority="39">
      <formula>AND(U$9&gt;=8/24,U$9&lt;14/24)</formula>
    </cfRule>
    <cfRule type="expression" dxfId="1870" priority="40">
      <formula>U$9&lt;8/24</formula>
    </cfRule>
  </conditionalFormatting>
  <conditionalFormatting sqref="AB8">
    <cfRule type="expression" dxfId="1869" priority="33">
      <formula>AD$9&gt;=20/24</formula>
    </cfRule>
    <cfRule type="expression" dxfId="1868" priority="34">
      <formula>AND(AD$9&gt;=14/24,AD$9&lt;20/24)</formula>
    </cfRule>
    <cfRule type="expression" dxfId="1867" priority="35">
      <formula>AND(AD$9&gt;=8/24,AD$9&lt;14/24)</formula>
    </cfRule>
    <cfRule type="expression" dxfId="1866" priority="36">
      <formula>AD$9&lt;8/24</formula>
    </cfRule>
  </conditionalFormatting>
  <conditionalFormatting sqref="AH212:AX212">
    <cfRule type="expression" dxfId="1865" priority="285">
      <formula>AG$9&gt;=20/24</formula>
    </cfRule>
    <cfRule type="expression" dxfId="1864" priority="286">
      <formula>AND(AG$9&gt;=14/24,AG$9&lt;20/24)</formula>
    </cfRule>
    <cfRule type="expression" dxfId="1863" priority="287">
      <formula>AND(AG$9&gt;=8/24,AG$9&lt;14/24)</formula>
    </cfRule>
    <cfRule type="expression" dxfId="1862" priority="288">
      <formula>AG$9&lt;8/24</formula>
    </cfRule>
  </conditionalFormatting>
  <conditionalFormatting sqref="T212">
    <cfRule type="expression" dxfId="1861" priority="289">
      <formula>AX$9&gt;=20/24</formula>
    </cfRule>
    <cfRule type="expression" dxfId="1860" priority="290">
      <formula>AND(AX$9&gt;=14/24,AX$9&lt;20/24)</formula>
    </cfRule>
    <cfRule type="expression" dxfId="1859" priority="291">
      <formula>AND(AX$9&gt;=8/24,AX$9&lt;14/24)</formula>
    </cfRule>
    <cfRule type="expression" dxfId="1858" priority="292">
      <formula>AX$9&lt;8/24</formula>
    </cfRule>
  </conditionalFormatting>
  <conditionalFormatting sqref="A99">
    <cfRule type="expression" dxfId="1857" priority="32">
      <formula>$AH99=0</formula>
    </cfRule>
  </conditionalFormatting>
  <conditionalFormatting sqref="Y33:AF33">
    <cfRule type="expression" dxfId="1856" priority="20">
      <formula>Y$9&gt;=20/24</formula>
    </cfRule>
    <cfRule type="expression" dxfId="1855" priority="21">
      <formula>AND(Y$9&gt;=14/24,Y$9&lt;20/24)</formula>
    </cfRule>
    <cfRule type="expression" dxfId="1854" priority="22">
      <formula>AND(Y$9&gt;=8/24,Y$9&lt;14/24)</formula>
    </cfRule>
    <cfRule type="expression" dxfId="1853" priority="23">
      <formula>Y$9&lt;8/24</formula>
    </cfRule>
  </conditionalFormatting>
  <conditionalFormatting sqref="B33:L33 Y33:AF33">
    <cfRule type="expression" dxfId="1852" priority="19">
      <formula>B33&gt;$AG33</formula>
    </cfRule>
  </conditionalFormatting>
  <conditionalFormatting sqref="M36:R36 M16:X32">
    <cfRule type="expression" dxfId="1851" priority="15">
      <formula>M$9&gt;=20/24</formula>
    </cfRule>
    <cfRule type="expression" dxfId="1850" priority="16">
      <formula>AND(M$9&gt;=14/24,M$9&lt;20/24)</formula>
    </cfRule>
    <cfRule type="expression" dxfId="1849" priority="17">
      <formula>AND(M$9&gt;=8/24,M$9&lt;14/24)</formula>
    </cfRule>
    <cfRule type="expression" dxfId="1848" priority="18">
      <formula>M$9&lt;8/24</formula>
    </cfRule>
  </conditionalFormatting>
  <conditionalFormatting sqref="M35:X35">
    <cfRule type="expression" dxfId="1847" priority="11">
      <formula>M$9&gt;=20/24</formula>
    </cfRule>
    <cfRule type="expression" dxfId="1846" priority="12">
      <formula>AND(M$9&gt;=14/24,M$9&lt;20/24)</formula>
    </cfRule>
    <cfRule type="expression" dxfId="1845" priority="13">
      <formula>AND(M$9&gt;=8/24,M$9&lt;14/24)</formula>
    </cfRule>
    <cfRule type="expression" dxfId="1844" priority="14">
      <formula>M$9&lt;8/24</formula>
    </cfRule>
  </conditionalFormatting>
  <conditionalFormatting sqref="M34:R36 M16:X32 S34:X35">
    <cfRule type="expression" dxfId="1843" priority="10">
      <formula>M16&gt;$AG16</formula>
    </cfRule>
  </conditionalFormatting>
  <conditionalFormatting sqref="M34:X34">
    <cfRule type="expression" dxfId="1842" priority="6">
      <formula>M$9&gt;=20/24</formula>
    </cfRule>
    <cfRule type="expression" dxfId="1841" priority="7">
      <formula>AND(M$9&gt;=14/24,M$9&lt;20/24)</formula>
    </cfRule>
    <cfRule type="expression" dxfId="1840" priority="8">
      <formula>AND(M$9&gt;=8/24,M$9&lt;14/24)</formula>
    </cfRule>
    <cfRule type="expression" dxfId="1839" priority="9">
      <formula>M$9&lt;8/24</formula>
    </cfRule>
  </conditionalFormatting>
  <conditionalFormatting sqref="M33:X33">
    <cfRule type="expression" dxfId="1838" priority="2">
      <formula>M$9&gt;=20/24</formula>
    </cfRule>
    <cfRule type="expression" dxfId="1837" priority="3">
      <formula>AND(M$9&gt;=14/24,M$9&lt;20/24)</formula>
    </cfRule>
    <cfRule type="expression" dxfId="1836" priority="4">
      <formula>AND(M$9&gt;=8/24,M$9&lt;14/24)</formula>
    </cfRule>
    <cfRule type="expression" dxfId="1835" priority="5">
      <formula>M$9&lt;8/24</formula>
    </cfRule>
  </conditionalFormatting>
  <conditionalFormatting sqref="M33:X33">
    <cfRule type="expression" dxfId="1834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" id="{1F2DF9FB-980C-42A9-8FC4-5FFFEDA7C22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52" sqref="AE5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2078/10/27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426.4</v>
      </c>
      <c r="C5" s="32">
        <f t="shared" si="0"/>
        <v>392</v>
      </c>
      <c r="D5" s="32">
        <f t="shared" si="0"/>
        <v>370.9</v>
      </c>
      <c r="E5" s="32">
        <f t="shared" si="0"/>
        <v>373</v>
      </c>
      <c r="F5" s="32">
        <f t="shared" si="0"/>
        <v>388</v>
      </c>
      <c r="G5" s="32">
        <f t="shared" si="0"/>
        <v>402</v>
      </c>
      <c r="H5" s="32">
        <f t="shared" si="0"/>
        <v>411.3</v>
      </c>
      <c r="I5" s="32">
        <f t="shared" si="0"/>
        <v>409</v>
      </c>
      <c r="J5" s="32">
        <f t="shared" si="0"/>
        <v>374.1</v>
      </c>
      <c r="K5" s="32">
        <f t="shared" si="0"/>
        <v>389.6</v>
      </c>
      <c r="L5" s="32">
        <f t="shared" si="0"/>
        <v>266</v>
      </c>
      <c r="M5" s="32">
        <f t="shared" si="0"/>
        <v>266</v>
      </c>
      <c r="N5" s="32">
        <f t="shared" si="0"/>
        <v>381.7</v>
      </c>
      <c r="O5" s="32">
        <f t="shared" si="0"/>
        <v>487</v>
      </c>
      <c r="P5" s="32">
        <f t="shared" si="0"/>
        <v>519.19999999999993</v>
      </c>
      <c r="Q5" s="32">
        <f t="shared" si="0"/>
        <v>498.09999999999997</v>
      </c>
      <c r="R5" s="32">
        <f t="shared" si="0"/>
        <v>510.1</v>
      </c>
      <c r="S5" s="32">
        <f t="shared" si="0"/>
        <v>502.6</v>
      </c>
      <c r="T5" s="32">
        <f t="shared" si="0"/>
        <v>499.4</v>
      </c>
      <c r="U5" s="32">
        <f t="shared" si="0"/>
        <v>316.00000000000006</v>
      </c>
      <c r="V5" s="32">
        <f t="shared" si="0"/>
        <v>381.59999999999997</v>
      </c>
      <c r="W5" s="32">
        <f t="shared" si="0"/>
        <v>286.5</v>
      </c>
      <c r="X5" s="32">
        <f t="shared" si="0"/>
        <v>288.29999999999995</v>
      </c>
      <c r="Y5" s="32">
        <f t="shared" si="0"/>
        <v>242.6</v>
      </c>
      <c r="Z5" s="32">
        <f t="shared" si="0"/>
        <v>246</v>
      </c>
      <c r="AA5" s="32">
        <f t="shared" si="0"/>
        <v>343.09999999999997</v>
      </c>
      <c r="AB5" s="32">
        <f t="shared" si="0"/>
        <v>466.79999999999995</v>
      </c>
      <c r="AC5" s="32">
        <f t="shared" si="0"/>
        <v>466.79999999999995</v>
      </c>
      <c r="AD5" s="32">
        <f t="shared" si="0"/>
        <v>496.6</v>
      </c>
      <c r="AE5" s="32">
        <f t="shared" si="0"/>
        <v>401</v>
      </c>
      <c r="AF5" s="32">
        <f>B68</f>
        <v>424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1487MW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Load=884</v>
      </c>
      <c r="B7" s="37">
        <f>B75</f>
        <v>955.13999999999987</v>
      </c>
      <c r="C7" s="37">
        <f t="shared" ref="C7:AF7" si="1">C75</f>
        <v>940.74</v>
      </c>
      <c r="D7" s="37">
        <f t="shared" si="1"/>
        <v>906.33999999999992</v>
      </c>
      <c r="E7" s="37">
        <f t="shared" si="1"/>
        <v>884.04</v>
      </c>
      <c r="F7" s="37">
        <f t="shared" si="1"/>
        <v>911.14</v>
      </c>
      <c r="G7" s="37">
        <f t="shared" si="1"/>
        <v>961.33999999999992</v>
      </c>
      <c r="H7" s="37">
        <f t="shared" si="1"/>
        <v>1012.1399999999999</v>
      </c>
      <c r="I7" s="37">
        <f t="shared" si="1"/>
        <v>1079.6400000000001</v>
      </c>
      <c r="J7" s="37">
        <f t="shared" si="1"/>
        <v>1212.6400000000001</v>
      </c>
      <c r="K7" s="37">
        <f t="shared" si="1"/>
        <v>1441.64</v>
      </c>
      <c r="L7" s="37">
        <f t="shared" si="1"/>
        <v>1487.24</v>
      </c>
      <c r="M7" s="37">
        <f t="shared" si="1"/>
        <v>1482.94</v>
      </c>
      <c r="N7" s="37">
        <f t="shared" si="1"/>
        <v>1432.94</v>
      </c>
      <c r="O7" s="37">
        <f t="shared" si="1"/>
        <v>1304.44</v>
      </c>
      <c r="P7" s="37">
        <f t="shared" si="1"/>
        <v>1335.44</v>
      </c>
      <c r="Q7" s="37">
        <f t="shared" si="1"/>
        <v>1258.1399999999999</v>
      </c>
      <c r="R7" s="37">
        <f t="shared" si="1"/>
        <v>1228.54</v>
      </c>
      <c r="S7" s="37">
        <f t="shared" si="1"/>
        <v>1230.6400000000001</v>
      </c>
      <c r="T7" s="37">
        <f t="shared" si="1"/>
        <v>1215.54</v>
      </c>
      <c r="U7" s="37">
        <f t="shared" si="1"/>
        <v>1207.54</v>
      </c>
      <c r="V7" s="37">
        <f t="shared" si="1"/>
        <v>1039.6400000000001</v>
      </c>
      <c r="W7" s="37">
        <f t="shared" si="1"/>
        <v>1293.8400000000001</v>
      </c>
      <c r="X7" s="37">
        <f t="shared" si="1"/>
        <v>1334.3400000000001</v>
      </c>
      <c r="Y7" s="37">
        <f t="shared" si="1"/>
        <v>1584.44</v>
      </c>
      <c r="Z7" s="37">
        <f t="shared" si="1"/>
        <v>1560.3400000000001</v>
      </c>
      <c r="AA7" s="37">
        <f t="shared" si="1"/>
        <v>1527.7400000000002</v>
      </c>
      <c r="AB7" s="37">
        <f t="shared" si="1"/>
        <v>1436.44</v>
      </c>
      <c r="AC7" s="37">
        <f t="shared" si="1"/>
        <v>1415.24</v>
      </c>
      <c r="AD7" s="37">
        <f t="shared" si="1"/>
        <v>1370.84</v>
      </c>
      <c r="AE7" s="37">
        <f t="shared" si="1"/>
        <v>1164.44</v>
      </c>
      <c r="AF7" s="37">
        <f t="shared" si="1"/>
        <v>1024.3399999999999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10</v>
      </c>
      <c r="F11" s="49">
        <v>10</v>
      </c>
      <c r="G11" s="49">
        <v>12</v>
      </c>
      <c r="H11" s="49">
        <v>12</v>
      </c>
      <c r="I11" s="49">
        <v>12</v>
      </c>
      <c r="J11" s="49">
        <v>70</v>
      </c>
      <c r="K11" s="49">
        <v>228</v>
      </c>
      <c r="L11" s="49">
        <v>280</v>
      </c>
      <c r="M11" s="50">
        <v>350</v>
      </c>
      <c r="N11" s="50">
        <v>300</v>
      </c>
      <c r="O11" s="50">
        <v>130</v>
      </c>
      <c r="P11" s="50">
        <v>50</v>
      </c>
      <c r="Q11" s="50">
        <v>15</v>
      </c>
      <c r="R11" s="50">
        <v>15</v>
      </c>
      <c r="S11" s="50">
        <v>15</v>
      </c>
      <c r="T11" s="50">
        <v>15</v>
      </c>
      <c r="U11" s="50">
        <v>15</v>
      </c>
      <c r="V11" s="50">
        <v>15</v>
      </c>
      <c r="W11" s="50">
        <v>200</v>
      </c>
      <c r="X11" s="50">
        <v>220</v>
      </c>
      <c r="Y11" s="50">
        <v>385</v>
      </c>
      <c r="Z11" s="51">
        <v>400</v>
      </c>
      <c r="AA11" s="51">
        <v>380</v>
      </c>
      <c r="AB11" s="50">
        <v>200</v>
      </c>
      <c r="AC11" s="50">
        <v>90</v>
      </c>
      <c r="AD11" s="50">
        <v>70</v>
      </c>
      <c r="AE11" s="50">
        <v>15</v>
      </c>
      <c r="AF11" s="50">
        <v>12</v>
      </c>
      <c r="AG11" s="52">
        <v>456</v>
      </c>
      <c r="AH11" s="53">
        <f>MAX(B11:AF11)</f>
        <v>400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>
        <v>36</v>
      </c>
      <c r="C12" s="49">
        <v>36</v>
      </c>
      <c r="D12" s="49">
        <v>36</v>
      </c>
      <c r="E12" s="49">
        <v>36</v>
      </c>
      <c r="F12" s="49">
        <v>36</v>
      </c>
      <c r="G12" s="49">
        <v>36</v>
      </c>
      <c r="H12" s="49">
        <v>36</v>
      </c>
      <c r="I12" s="49">
        <v>36</v>
      </c>
      <c r="J12" s="49">
        <v>36</v>
      </c>
      <c r="K12" s="49">
        <v>36</v>
      </c>
      <c r="L12" s="49">
        <v>36</v>
      </c>
      <c r="M12" s="49">
        <v>33</v>
      </c>
      <c r="N12" s="49">
        <v>33</v>
      </c>
      <c r="O12" s="49">
        <v>33</v>
      </c>
      <c r="P12" s="49">
        <v>33</v>
      </c>
      <c r="Q12" s="49">
        <v>33</v>
      </c>
      <c r="R12" s="49">
        <v>33</v>
      </c>
      <c r="S12" s="57">
        <v>33</v>
      </c>
      <c r="T12" s="57">
        <v>33</v>
      </c>
      <c r="U12" s="57">
        <v>33</v>
      </c>
      <c r="V12" s="57">
        <v>33</v>
      </c>
      <c r="W12" s="57">
        <v>33</v>
      </c>
      <c r="X12" s="57">
        <v>33</v>
      </c>
      <c r="Y12" s="57">
        <v>33</v>
      </c>
      <c r="Z12" s="57">
        <v>33</v>
      </c>
      <c r="AA12" s="57">
        <v>33</v>
      </c>
      <c r="AB12" s="57">
        <v>33</v>
      </c>
      <c r="AC12" s="57">
        <v>33</v>
      </c>
      <c r="AD12" s="57">
        <v>33</v>
      </c>
      <c r="AE12" s="57">
        <v>33</v>
      </c>
      <c r="AF12" s="57">
        <v>33</v>
      </c>
      <c r="AG12" s="58">
        <v>60</v>
      </c>
      <c r="AH12" s="53">
        <f t="shared" ref="AH12:AH75" si="2">MAX(B12:AF12)</f>
        <v>36</v>
      </c>
      <c r="AI12" s="54">
        <f t="shared" ref="AI12:AI75" si="3">MIN(B12:AF12)</f>
        <v>33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>
        <v>19.600000000000001</v>
      </c>
      <c r="C13" s="49">
        <v>19.600000000000001</v>
      </c>
      <c r="D13" s="49">
        <v>19.600000000000001</v>
      </c>
      <c r="E13" s="49">
        <v>16.399999999999999</v>
      </c>
      <c r="F13" s="49">
        <v>19.399999999999999</v>
      </c>
      <c r="G13" s="49">
        <v>19.600000000000001</v>
      </c>
      <c r="H13" s="49">
        <v>19.7</v>
      </c>
      <c r="I13" s="49">
        <v>19.399999999999999</v>
      </c>
      <c r="J13" s="49">
        <v>19.399999999999999</v>
      </c>
      <c r="K13" s="49">
        <v>19.399999999999999</v>
      </c>
      <c r="L13" s="49">
        <v>19.399999999999999</v>
      </c>
      <c r="M13" s="49">
        <v>19.399999999999999</v>
      </c>
      <c r="N13" s="49">
        <v>19.399999999999999</v>
      </c>
      <c r="O13" s="49">
        <v>19.399999999999999</v>
      </c>
      <c r="P13" s="49">
        <v>19.399999999999999</v>
      </c>
      <c r="Q13" s="49">
        <v>19.399999999999999</v>
      </c>
      <c r="R13" s="49">
        <v>19.399999999999999</v>
      </c>
      <c r="S13" s="49">
        <v>19.399999999999999</v>
      </c>
      <c r="T13" s="49">
        <v>19.8</v>
      </c>
      <c r="U13" s="49">
        <v>20</v>
      </c>
      <c r="V13" s="49">
        <v>20.100000000000001</v>
      </c>
      <c r="W13" s="49">
        <v>20</v>
      </c>
      <c r="X13" s="49">
        <v>20</v>
      </c>
      <c r="Y13" s="57">
        <v>19.3</v>
      </c>
      <c r="Z13" s="57">
        <v>19.3</v>
      </c>
      <c r="AA13" s="57">
        <v>19.3</v>
      </c>
      <c r="AB13" s="57">
        <v>19.3</v>
      </c>
      <c r="AC13" s="57">
        <v>19.3</v>
      </c>
      <c r="AD13" s="57">
        <v>19.3</v>
      </c>
      <c r="AE13" s="57">
        <v>19.3</v>
      </c>
      <c r="AF13" s="57">
        <v>19.3</v>
      </c>
      <c r="AG13" s="58">
        <v>52.4</v>
      </c>
      <c r="AH13" s="53">
        <f t="shared" si="2"/>
        <v>20.100000000000001</v>
      </c>
      <c r="AI13" s="54">
        <f t="shared" si="3"/>
        <v>16.399999999999999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>
        <v>36.799999999999997</v>
      </c>
      <c r="C14" s="49">
        <v>36.799999999999997</v>
      </c>
      <c r="D14" s="49">
        <v>36.799999999999997</v>
      </c>
      <c r="E14" s="49">
        <v>37.299999999999997</v>
      </c>
      <c r="F14" s="49">
        <v>37.299999999999997</v>
      </c>
      <c r="G14" s="49">
        <v>37.299999999999997</v>
      </c>
      <c r="H14" s="49">
        <v>39</v>
      </c>
      <c r="I14" s="49">
        <v>39</v>
      </c>
      <c r="J14" s="49">
        <v>39</v>
      </c>
      <c r="K14" s="49">
        <v>39</v>
      </c>
      <c r="L14" s="49">
        <v>39</v>
      </c>
      <c r="M14" s="49">
        <v>39</v>
      </c>
      <c r="N14" s="49">
        <v>39</v>
      </c>
      <c r="O14" s="49">
        <v>39</v>
      </c>
      <c r="P14" s="49">
        <v>38</v>
      </c>
      <c r="Q14" s="49">
        <v>38</v>
      </c>
      <c r="R14" s="49">
        <v>38</v>
      </c>
      <c r="S14" s="50">
        <v>38</v>
      </c>
      <c r="T14" s="50">
        <v>38</v>
      </c>
      <c r="U14" s="50">
        <v>37.299999999999997</v>
      </c>
      <c r="V14" s="50">
        <v>37.6</v>
      </c>
      <c r="W14" s="50">
        <v>37.5</v>
      </c>
      <c r="X14" s="50">
        <v>37.5</v>
      </c>
      <c r="Y14" s="59">
        <v>37.700000000000003</v>
      </c>
      <c r="Z14" s="59">
        <v>37.700000000000003</v>
      </c>
      <c r="AA14" s="59">
        <v>37.700000000000003</v>
      </c>
      <c r="AB14" s="59">
        <v>37.700000000000003</v>
      </c>
      <c r="AC14" s="59">
        <v>37.700000000000003</v>
      </c>
      <c r="AD14" s="59">
        <v>37.700000000000003</v>
      </c>
      <c r="AE14" s="59">
        <v>37.700000000000003</v>
      </c>
      <c r="AF14" s="59">
        <v>37.700000000000003</v>
      </c>
      <c r="AG14" s="58">
        <v>50</v>
      </c>
      <c r="AH14" s="53">
        <f t="shared" si="2"/>
        <v>39</v>
      </c>
      <c r="AI14" s="54">
        <f t="shared" si="3"/>
        <v>36.799999999999997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>
        <v>20.8</v>
      </c>
      <c r="C15" s="60">
        <v>20.8</v>
      </c>
      <c r="D15" s="60">
        <v>20.8</v>
      </c>
      <c r="E15" s="60">
        <v>22.1</v>
      </c>
      <c r="F15" s="60">
        <v>21.3</v>
      </c>
      <c r="G15" s="60">
        <v>21.3</v>
      </c>
      <c r="H15" s="60">
        <v>20.8</v>
      </c>
      <c r="I15" s="60">
        <v>20.7</v>
      </c>
      <c r="J15" s="60">
        <v>20.7</v>
      </c>
      <c r="K15" s="60">
        <v>20.7</v>
      </c>
      <c r="L15" s="60">
        <v>20.7</v>
      </c>
      <c r="M15" s="60">
        <v>20.7</v>
      </c>
      <c r="N15" s="60">
        <v>20.7</v>
      </c>
      <c r="O15" s="60">
        <v>20.7</v>
      </c>
      <c r="P15" s="60">
        <v>20.7</v>
      </c>
      <c r="Q15" s="60">
        <v>20.7</v>
      </c>
      <c r="R15" s="60">
        <v>20.7</v>
      </c>
      <c r="S15" s="50">
        <v>20.7</v>
      </c>
      <c r="T15" s="50">
        <v>20.5</v>
      </c>
      <c r="U15" s="50">
        <v>21.2</v>
      </c>
      <c r="V15" s="50">
        <v>22.1</v>
      </c>
      <c r="W15" s="50">
        <v>22</v>
      </c>
      <c r="X15" s="50">
        <v>22</v>
      </c>
      <c r="Y15" s="59">
        <v>22.6</v>
      </c>
      <c r="Z15" s="59">
        <v>22.6</v>
      </c>
      <c r="AA15" s="59">
        <v>22.6</v>
      </c>
      <c r="AB15" s="59">
        <v>22.6</v>
      </c>
      <c r="AC15" s="59">
        <v>22.6</v>
      </c>
      <c r="AD15" s="59">
        <v>22.6</v>
      </c>
      <c r="AE15" s="59">
        <v>22.6</v>
      </c>
      <c r="AF15" s="59">
        <v>22.6</v>
      </c>
      <c r="AG15" s="61">
        <v>45</v>
      </c>
      <c r="AH15" s="53">
        <f t="shared" si="2"/>
        <v>22.6</v>
      </c>
      <c r="AI15" s="54">
        <f t="shared" si="3"/>
        <v>20.5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49">
        <v>10</v>
      </c>
      <c r="N16" s="49">
        <v>10</v>
      </c>
      <c r="O16" s="49">
        <v>10</v>
      </c>
      <c r="P16" s="49">
        <v>10</v>
      </c>
      <c r="Q16" s="49">
        <v>10</v>
      </c>
      <c r="R16" s="49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49">
        <v>9</v>
      </c>
      <c r="N17" s="49">
        <v>9</v>
      </c>
      <c r="O17" s="49">
        <v>9</v>
      </c>
      <c r="P17" s="49">
        <v>9</v>
      </c>
      <c r="Q17" s="49">
        <v>9</v>
      </c>
      <c r="R17" s="49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9">
        <v>9</v>
      </c>
      <c r="Z17" s="59">
        <v>9</v>
      </c>
      <c r="AA17" s="59">
        <v>9</v>
      </c>
      <c r="AB17" s="59">
        <v>9</v>
      </c>
      <c r="AC17" s="59">
        <v>9</v>
      </c>
      <c r="AD17" s="59">
        <v>9</v>
      </c>
      <c r="AE17" s="59">
        <v>9</v>
      </c>
      <c r="AF17" s="59">
        <v>9</v>
      </c>
      <c r="AG17" s="58">
        <v>42</v>
      </c>
      <c r="AH17" s="53">
        <f t="shared" si="2"/>
        <v>9</v>
      </c>
      <c r="AI17" s="54">
        <f t="shared" si="3"/>
        <v>9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>
        <v>7.5</v>
      </c>
      <c r="C18" s="49">
        <v>7.5</v>
      </c>
      <c r="D18" s="49">
        <v>7.5</v>
      </c>
      <c r="E18" s="49">
        <v>7.5</v>
      </c>
      <c r="F18" s="49">
        <v>7.5</v>
      </c>
      <c r="G18" s="49">
        <v>7.5</v>
      </c>
      <c r="H18" s="49">
        <v>7.5</v>
      </c>
      <c r="I18" s="49">
        <v>7.5</v>
      </c>
      <c r="J18" s="49">
        <v>7.5</v>
      </c>
      <c r="K18" s="49">
        <v>7.5</v>
      </c>
      <c r="L18" s="49">
        <v>7.5</v>
      </c>
      <c r="M18" s="49">
        <v>7.5</v>
      </c>
      <c r="N18" s="49">
        <v>7.5</v>
      </c>
      <c r="O18" s="49">
        <v>7.5</v>
      </c>
      <c r="P18" s="49">
        <v>7.5</v>
      </c>
      <c r="Q18" s="49">
        <v>7.5</v>
      </c>
      <c r="R18" s="49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8">
        <v>36</v>
      </c>
      <c r="AH18" s="53">
        <f t="shared" si="2"/>
        <v>7.5</v>
      </c>
      <c r="AI18" s="54">
        <f t="shared" si="3"/>
        <v>7.5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>
        <v>9.6</v>
      </c>
      <c r="C19" s="49">
        <v>9.6</v>
      </c>
      <c r="D19" s="49">
        <v>9.6</v>
      </c>
      <c r="E19" s="49">
        <v>10.6</v>
      </c>
      <c r="F19" s="49">
        <v>10.4</v>
      </c>
      <c r="G19" s="49">
        <v>10.6</v>
      </c>
      <c r="H19" s="49">
        <v>10.3</v>
      </c>
      <c r="I19" s="49">
        <v>10.3</v>
      </c>
      <c r="J19" s="49">
        <v>10.3</v>
      </c>
      <c r="K19" s="49">
        <v>10.3</v>
      </c>
      <c r="L19" s="49">
        <v>10.3</v>
      </c>
      <c r="M19" s="49">
        <v>10.3</v>
      </c>
      <c r="N19" s="49">
        <v>10.3</v>
      </c>
      <c r="O19" s="49">
        <v>10.3</v>
      </c>
      <c r="P19" s="49">
        <v>10.3</v>
      </c>
      <c r="Q19" s="49">
        <v>10.3</v>
      </c>
      <c r="R19" s="49">
        <v>10.3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8">
        <v>30</v>
      </c>
      <c r="AH19" s="53">
        <f t="shared" si="2"/>
        <v>10.6</v>
      </c>
      <c r="AI19" s="54">
        <f t="shared" si="3"/>
        <v>9.6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>
        <v>12.6</v>
      </c>
      <c r="C22" s="49">
        <v>12.6</v>
      </c>
      <c r="D22" s="49">
        <v>12.6</v>
      </c>
      <c r="E22" s="49">
        <v>12.6</v>
      </c>
      <c r="F22" s="49">
        <v>12.6</v>
      </c>
      <c r="G22" s="49">
        <v>12.6</v>
      </c>
      <c r="H22" s="49">
        <v>12.6</v>
      </c>
      <c r="I22" s="49">
        <v>12.6</v>
      </c>
      <c r="J22" s="49">
        <v>12.6</v>
      </c>
      <c r="K22" s="49">
        <v>12.6</v>
      </c>
      <c r="L22" s="49">
        <v>12.6</v>
      </c>
      <c r="M22" s="49">
        <v>12.6</v>
      </c>
      <c r="N22" s="49">
        <v>12.6</v>
      </c>
      <c r="O22" s="49">
        <v>12.6</v>
      </c>
      <c r="P22" s="49">
        <v>12.6</v>
      </c>
      <c r="Q22" s="49">
        <v>12.6</v>
      </c>
      <c r="R22" s="49">
        <v>12.6</v>
      </c>
      <c r="S22" s="50">
        <v>12.6</v>
      </c>
      <c r="T22" s="50">
        <v>12.6</v>
      </c>
      <c r="U22" s="50">
        <v>12.6</v>
      </c>
      <c r="V22" s="50">
        <v>12.6</v>
      </c>
      <c r="W22" s="50">
        <v>10.5</v>
      </c>
      <c r="X22" s="50">
        <v>10.5</v>
      </c>
      <c r="Y22" s="50">
        <v>17</v>
      </c>
      <c r="Z22" s="50">
        <v>17</v>
      </c>
      <c r="AA22" s="50">
        <v>17</v>
      </c>
      <c r="AB22" s="50">
        <v>17</v>
      </c>
      <c r="AC22" s="50">
        <v>17</v>
      </c>
      <c r="AD22" s="50">
        <v>17</v>
      </c>
      <c r="AE22" s="50">
        <v>17</v>
      </c>
      <c r="AF22" s="50">
        <v>17</v>
      </c>
      <c r="AG22" s="58">
        <v>25</v>
      </c>
      <c r="AH22" s="53">
        <f t="shared" si="2"/>
        <v>17</v>
      </c>
      <c r="AI22" s="54">
        <f t="shared" si="3"/>
        <v>10.5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49">
        <v>8</v>
      </c>
      <c r="N23" s="49">
        <v>8</v>
      </c>
      <c r="O23" s="49">
        <v>8</v>
      </c>
      <c r="P23" s="49">
        <v>8</v>
      </c>
      <c r="Q23" s="49">
        <v>8</v>
      </c>
      <c r="R23" s="49">
        <v>8</v>
      </c>
      <c r="S23" s="50">
        <v>8</v>
      </c>
      <c r="T23" s="50">
        <v>8</v>
      </c>
      <c r="U23" s="50">
        <v>9.1999999999999993</v>
      </c>
      <c r="V23" s="50">
        <v>10.7</v>
      </c>
      <c r="W23" s="50">
        <v>10.7</v>
      </c>
      <c r="X23" s="50">
        <v>10.7</v>
      </c>
      <c r="Y23" s="50">
        <v>10.7</v>
      </c>
      <c r="Z23" s="50">
        <v>10.7</v>
      </c>
      <c r="AA23" s="50">
        <v>10.7</v>
      </c>
      <c r="AB23" s="50">
        <v>10.7</v>
      </c>
      <c r="AC23" s="50">
        <v>10.7</v>
      </c>
      <c r="AD23" s="50">
        <v>10.7</v>
      </c>
      <c r="AE23" s="50">
        <v>10.7</v>
      </c>
      <c r="AF23" s="50">
        <v>10.7</v>
      </c>
      <c r="AG23" s="58">
        <v>25</v>
      </c>
      <c r="AH23" s="53">
        <f t="shared" si="2"/>
        <v>10.7</v>
      </c>
      <c r="AI23" s="54">
        <f t="shared" si="3"/>
        <v>8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>
        <v>10</v>
      </c>
      <c r="C24" s="49">
        <v>10</v>
      </c>
      <c r="D24" s="49">
        <v>10</v>
      </c>
      <c r="E24" s="49">
        <v>11.4</v>
      </c>
      <c r="F24" s="49">
        <v>11.4</v>
      </c>
      <c r="G24" s="49">
        <v>11.1</v>
      </c>
      <c r="H24" s="49">
        <v>11.1</v>
      </c>
      <c r="I24" s="49">
        <v>11.1</v>
      </c>
      <c r="J24" s="49">
        <v>11.1</v>
      </c>
      <c r="K24" s="49">
        <v>11.1</v>
      </c>
      <c r="L24" s="49">
        <v>11.1</v>
      </c>
      <c r="M24" s="49">
        <v>11.1</v>
      </c>
      <c r="N24" s="49">
        <v>11.1</v>
      </c>
      <c r="O24" s="49">
        <v>11.1</v>
      </c>
      <c r="P24" s="49">
        <v>11.1</v>
      </c>
      <c r="Q24" s="49">
        <v>11.1</v>
      </c>
      <c r="R24" s="49">
        <v>11.1</v>
      </c>
      <c r="S24" s="50">
        <v>11.1</v>
      </c>
      <c r="T24" s="50">
        <v>11.1</v>
      </c>
      <c r="U24" s="50">
        <v>11.1</v>
      </c>
      <c r="V24" s="50">
        <v>11.1</v>
      </c>
      <c r="W24" s="50">
        <v>11.1</v>
      </c>
      <c r="X24" s="50">
        <v>11.1</v>
      </c>
      <c r="Y24" s="50">
        <v>11.1</v>
      </c>
      <c r="Z24" s="50">
        <v>11.1</v>
      </c>
      <c r="AA24" s="50">
        <v>11.1</v>
      </c>
      <c r="AB24" s="50">
        <v>11.1</v>
      </c>
      <c r="AC24" s="50">
        <v>11.1</v>
      </c>
      <c r="AD24" s="50">
        <v>11.1</v>
      </c>
      <c r="AE24" s="50">
        <v>11.1</v>
      </c>
      <c r="AF24" s="50">
        <v>11.1</v>
      </c>
      <c r="AG24" s="58">
        <v>25</v>
      </c>
      <c r="AH24" s="53">
        <f t="shared" si="2"/>
        <v>11.4</v>
      </c>
      <c r="AI24" s="54">
        <f t="shared" si="3"/>
        <v>10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49">
        <v>6.2</v>
      </c>
      <c r="N26" s="49">
        <v>6.2</v>
      </c>
      <c r="O26" s="49">
        <v>6.2</v>
      </c>
      <c r="P26" s="49">
        <v>6.2</v>
      </c>
      <c r="Q26" s="49">
        <v>6.2</v>
      </c>
      <c r="R26" s="49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49">
        <v>4</v>
      </c>
      <c r="N29" s="49">
        <v>4</v>
      </c>
      <c r="O29" s="49">
        <v>4</v>
      </c>
      <c r="P29" s="49">
        <v>4</v>
      </c>
      <c r="Q29" s="49">
        <v>4</v>
      </c>
      <c r="R29" s="49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>
        <v>6</v>
      </c>
      <c r="C31" s="60">
        <v>6</v>
      </c>
      <c r="D31" s="60">
        <v>6</v>
      </c>
      <c r="E31" s="60">
        <v>6</v>
      </c>
      <c r="F31" s="60">
        <v>6</v>
      </c>
      <c r="G31" s="60">
        <v>6</v>
      </c>
      <c r="H31" s="60">
        <v>6</v>
      </c>
      <c r="I31" s="60">
        <v>6</v>
      </c>
      <c r="J31" s="60">
        <v>6</v>
      </c>
      <c r="K31" s="60">
        <v>6</v>
      </c>
      <c r="L31" s="60">
        <v>6</v>
      </c>
      <c r="M31" s="60">
        <v>6</v>
      </c>
      <c r="N31" s="60">
        <v>6</v>
      </c>
      <c r="O31" s="60">
        <v>6</v>
      </c>
      <c r="P31" s="60">
        <v>6</v>
      </c>
      <c r="Q31" s="60">
        <v>6</v>
      </c>
      <c r="R31" s="6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>
        <v>0</v>
      </c>
      <c r="C33" s="60">
        <v>0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>
        <v>4.2</v>
      </c>
      <c r="C34" s="60">
        <v>4.2</v>
      </c>
      <c r="D34" s="60">
        <v>4.2</v>
      </c>
      <c r="E34" s="60">
        <v>4.2</v>
      </c>
      <c r="F34" s="60">
        <v>4.2</v>
      </c>
      <c r="G34" s="60">
        <v>4.2</v>
      </c>
      <c r="H34" s="60">
        <v>4.2</v>
      </c>
      <c r="I34" s="60">
        <v>4.2</v>
      </c>
      <c r="J34" s="60">
        <v>4.2</v>
      </c>
      <c r="K34" s="60">
        <v>4.2</v>
      </c>
      <c r="L34" s="60">
        <v>4.2</v>
      </c>
      <c r="M34" s="60">
        <v>4.2</v>
      </c>
      <c r="N34" s="60">
        <v>4.2</v>
      </c>
      <c r="O34" s="60">
        <v>4.2</v>
      </c>
      <c r="P34" s="60">
        <v>4.2</v>
      </c>
      <c r="Q34" s="60">
        <v>4.2</v>
      </c>
      <c r="R34" s="6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0">
        <v>51.5</v>
      </c>
      <c r="C37" s="60">
        <v>51.8</v>
      </c>
      <c r="D37" s="60">
        <v>52.1</v>
      </c>
      <c r="E37" s="60">
        <v>51.9</v>
      </c>
      <c r="F37" s="60">
        <v>52</v>
      </c>
      <c r="G37" s="60">
        <v>51.9</v>
      </c>
      <c r="H37" s="60">
        <v>52.2</v>
      </c>
      <c r="I37" s="60">
        <v>51.2</v>
      </c>
      <c r="J37" s="60">
        <v>50.6</v>
      </c>
      <c r="K37" s="60">
        <v>48.6</v>
      </c>
      <c r="L37" s="60">
        <v>48.6</v>
      </c>
      <c r="M37" s="60">
        <v>48.6</v>
      </c>
      <c r="N37" s="60">
        <v>48.6</v>
      </c>
      <c r="O37" s="69">
        <f>17.3+34.3</f>
        <v>51.599999999999994</v>
      </c>
      <c r="P37" s="69">
        <f>17.3+33.7</f>
        <v>51</v>
      </c>
      <c r="Q37" s="69">
        <f>17.4+33.7</f>
        <v>51.1</v>
      </c>
      <c r="R37" s="69">
        <f>17.4+33.7</f>
        <v>51.1</v>
      </c>
      <c r="S37" s="69">
        <f>17.4+33.7</f>
        <v>51.1</v>
      </c>
      <c r="T37" s="69">
        <f>33.3+17</f>
        <v>50.3</v>
      </c>
      <c r="U37" s="69">
        <f>31.2+16.2</f>
        <v>47.4</v>
      </c>
      <c r="V37" s="69">
        <f>30.1+15.8</f>
        <v>45.900000000000006</v>
      </c>
      <c r="W37" s="69">
        <f>30.7+15.8</f>
        <v>46.5</v>
      </c>
      <c r="X37" s="69">
        <f>29.4+15.2</f>
        <v>44.599999999999994</v>
      </c>
      <c r="Y37" s="69">
        <v>43.9</v>
      </c>
      <c r="Z37" s="69">
        <f>29+14.7</f>
        <v>43.7</v>
      </c>
      <c r="AA37" s="69">
        <f>29.6+15</f>
        <v>44.6</v>
      </c>
      <c r="AB37" s="69">
        <v>44</v>
      </c>
      <c r="AC37" s="69">
        <v>45</v>
      </c>
      <c r="AD37" s="69">
        <v>45</v>
      </c>
      <c r="AE37" s="69">
        <v>45.5</v>
      </c>
      <c r="AF37" s="69">
        <v>50</v>
      </c>
      <c r="AG37" s="66">
        <v>240</v>
      </c>
      <c r="AH37" s="53">
        <f t="shared" si="2"/>
        <v>52.2</v>
      </c>
      <c r="AI37" s="54">
        <f t="shared" si="3"/>
        <v>43.7</v>
      </c>
      <c r="AK37" s="55"/>
    </row>
    <row r="38" spans="1:88" ht="15.75" thickBot="1" x14ac:dyDescent="0.3">
      <c r="A38" s="70" t="s">
        <v>46</v>
      </c>
      <c r="B38" s="71">
        <f>SUM(B11:B36)</f>
        <v>411.49999999999994</v>
      </c>
      <c r="C38" s="71">
        <f t="shared" ref="C38:AF38" si="4">SUM(C11:C36)</f>
        <v>411.49999999999994</v>
      </c>
      <c r="D38" s="71">
        <f t="shared" si="4"/>
        <v>411.49999999999994</v>
      </c>
      <c r="E38" s="71">
        <f t="shared" si="4"/>
        <v>410.49999999999994</v>
      </c>
      <c r="F38" s="71">
        <f t="shared" si="4"/>
        <v>412.5</v>
      </c>
      <c r="G38" s="71">
        <f t="shared" si="4"/>
        <v>414.59999999999991</v>
      </c>
      <c r="H38" s="71">
        <f t="shared" si="4"/>
        <v>415.59999999999997</v>
      </c>
      <c r="I38" s="71">
        <f t="shared" si="4"/>
        <v>415.2</v>
      </c>
      <c r="J38" s="71">
        <f t="shared" si="4"/>
        <v>473.2</v>
      </c>
      <c r="K38" s="71">
        <f t="shared" si="4"/>
        <v>631.20000000000005</v>
      </c>
      <c r="L38" s="71">
        <f t="shared" si="4"/>
        <v>683.2</v>
      </c>
      <c r="M38" s="71">
        <f t="shared" si="4"/>
        <v>750.2</v>
      </c>
      <c r="N38" s="71">
        <f t="shared" si="4"/>
        <v>700.2</v>
      </c>
      <c r="O38" s="71">
        <f t="shared" si="4"/>
        <v>530.20000000000005</v>
      </c>
      <c r="P38" s="71">
        <f t="shared" si="4"/>
        <v>449.2</v>
      </c>
      <c r="Q38" s="71">
        <f t="shared" si="4"/>
        <v>414.2</v>
      </c>
      <c r="R38" s="71">
        <f t="shared" si="4"/>
        <v>414.2</v>
      </c>
      <c r="S38" s="71">
        <f t="shared" si="4"/>
        <v>414.2</v>
      </c>
      <c r="T38" s="71">
        <f t="shared" si="4"/>
        <v>414.4</v>
      </c>
      <c r="U38" s="71">
        <f t="shared" si="4"/>
        <v>415.79999999999995</v>
      </c>
      <c r="V38" s="71">
        <f t="shared" si="4"/>
        <v>418.59999999999997</v>
      </c>
      <c r="W38" s="71">
        <f t="shared" si="4"/>
        <v>601.20000000000005</v>
      </c>
      <c r="X38" s="71">
        <f t="shared" si="4"/>
        <v>621.20000000000005</v>
      </c>
      <c r="Y38" s="71">
        <f t="shared" si="4"/>
        <v>792.80000000000018</v>
      </c>
      <c r="Z38" s="71">
        <f t="shared" si="4"/>
        <v>807.80000000000018</v>
      </c>
      <c r="AA38" s="71">
        <f t="shared" si="4"/>
        <v>787.80000000000018</v>
      </c>
      <c r="AB38" s="71">
        <f t="shared" si="4"/>
        <v>607.79999999999995</v>
      </c>
      <c r="AC38" s="71">
        <f t="shared" si="4"/>
        <v>497.8</v>
      </c>
      <c r="AD38" s="71">
        <f t="shared" si="4"/>
        <v>477.8</v>
      </c>
      <c r="AE38" s="71">
        <f t="shared" si="4"/>
        <v>422.79999999999995</v>
      </c>
      <c r="AF38" s="71">
        <f t="shared" si="4"/>
        <v>419.79999999999995</v>
      </c>
      <c r="AG38" s="66">
        <f>SUM(AG11:AG37)</f>
        <v>1492.8299999999997</v>
      </c>
      <c r="AH38" s="53">
        <f t="shared" si="2"/>
        <v>807.80000000000018</v>
      </c>
      <c r="AI38" s="54">
        <f t="shared" si="3"/>
        <v>410.49999999999994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49">
        <v>0</v>
      </c>
      <c r="E39" s="60">
        <v>0</v>
      </c>
      <c r="F39" s="60">
        <v>0</v>
      </c>
      <c r="G39" s="60">
        <v>0</v>
      </c>
      <c r="H39" s="60">
        <v>30</v>
      </c>
      <c r="I39" s="60">
        <v>60</v>
      </c>
      <c r="J39" s="60">
        <v>125</v>
      </c>
      <c r="K39" s="60">
        <v>145</v>
      </c>
      <c r="L39" s="60">
        <v>132</v>
      </c>
      <c r="M39" s="50">
        <v>144.5</v>
      </c>
      <c r="N39" s="50">
        <v>144.5</v>
      </c>
      <c r="O39" s="50">
        <v>131.80000000000001</v>
      </c>
      <c r="P39" s="50">
        <v>131.69999999999999</v>
      </c>
      <c r="Q39" s="50">
        <v>97.2</v>
      </c>
      <c r="R39" s="50">
        <v>97.2</v>
      </c>
      <c r="S39" s="50">
        <v>86.2</v>
      </c>
      <c r="T39" s="50">
        <v>86</v>
      </c>
      <c r="U39" s="50">
        <v>86.1</v>
      </c>
      <c r="V39" s="50">
        <v>77.900000000000006</v>
      </c>
      <c r="W39" s="50">
        <v>85.9</v>
      </c>
      <c r="X39" s="50">
        <v>145.1</v>
      </c>
      <c r="Y39" s="50">
        <v>145.19999999999999</v>
      </c>
      <c r="Z39" s="50">
        <v>145.4</v>
      </c>
      <c r="AA39" s="50">
        <v>145.1</v>
      </c>
      <c r="AB39" s="50">
        <v>144.9</v>
      </c>
      <c r="AC39" s="50">
        <v>129</v>
      </c>
      <c r="AD39" s="50">
        <v>120</v>
      </c>
      <c r="AE39" s="50">
        <v>71.900000000000006</v>
      </c>
      <c r="AF39" s="49">
        <v>33.200000000000003</v>
      </c>
      <c r="AG39" s="61">
        <v>144</v>
      </c>
      <c r="AH39" s="53">
        <f t="shared" si="2"/>
        <v>145.4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46</v>
      </c>
      <c r="J40" s="60">
        <v>46</v>
      </c>
      <c r="K40" s="60">
        <v>70</v>
      </c>
      <c r="L40" s="60">
        <v>60.9</v>
      </c>
      <c r="M40" s="72">
        <v>69</v>
      </c>
      <c r="N40" s="72">
        <v>69</v>
      </c>
      <c r="O40" s="72">
        <v>51</v>
      </c>
      <c r="P40" s="72">
        <v>50.2</v>
      </c>
      <c r="Q40" s="72">
        <v>44.2</v>
      </c>
      <c r="R40" s="72">
        <v>44.2</v>
      </c>
      <c r="S40" s="72">
        <v>43.9</v>
      </c>
      <c r="T40" s="72">
        <v>34.6</v>
      </c>
      <c r="U40" s="72">
        <v>34.799999999999997</v>
      </c>
      <c r="V40" s="72">
        <v>34.9</v>
      </c>
      <c r="W40" s="72">
        <v>34.700000000000003</v>
      </c>
      <c r="X40" s="72">
        <v>54.1</v>
      </c>
      <c r="Y40" s="72">
        <v>69.099999999999994</v>
      </c>
      <c r="Z40" s="72">
        <v>70.2</v>
      </c>
      <c r="AA40" s="72">
        <v>70.2</v>
      </c>
      <c r="AB40" s="72">
        <v>69.099999999999994</v>
      </c>
      <c r="AC40" s="72">
        <v>62</v>
      </c>
      <c r="AD40" s="72">
        <v>60</v>
      </c>
      <c r="AE40" s="72">
        <v>22.8</v>
      </c>
      <c r="AF40" s="60">
        <v>35.1</v>
      </c>
      <c r="AG40" s="66">
        <v>70</v>
      </c>
      <c r="AH40" s="53">
        <f t="shared" si="2"/>
        <v>70.2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16.8</v>
      </c>
      <c r="C41" s="60">
        <v>0</v>
      </c>
      <c r="D41" s="60">
        <v>0</v>
      </c>
      <c r="E41" s="60">
        <v>0</v>
      </c>
      <c r="F41" s="60">
        <v>23</v>
      </c>
      <c r="G41" s="60">
        <v>46</v>
      </c>
      <c r="H41" s="60">
        <v>46.5</v>
      </c>
      <c r="I41" s="60">
        <v>34.1</v>
      </c>
      <c r="J41" s="60">
        <v>47</v>
      </c>
      <c r="K41" s="60">
        <v>62</v>
      </c>
      <c r="L41" s="60">
        <v>62</v>
      </c>
      <c r="M41" s="72">
        <v>67</v>
      </c>
      <c r="N41" s="72">
        <v>67</v>
      </c>
      <c r="O41" s="72">
        <v>58.7</v>
      </c>
      <c r="P41" s="72">
        <v>63.7</v>
      </c>
      <c r="Q41" s="72">
        <v>45.5</v>
      </c>
      <c r="R41" s="72">
        <v>45.5</v>
      </c>
      <c r="S41" s="72">
        <v>40</v>
      </c>
      <c r="T41" s="72">
        <v>40.200000000000003</v>
      </c>
      <c r="U41" s="72">
        <v>32.700000000000003</v>
      </c>
      <c r="V41" s="72">
        <v>32.6</v>
      </c>
      <c r="W41" s="72">
        <v>32.5</v>
      </c>
      <c r="X41" s="72">
        <v>45.9</v>
      </c>
      <c r="Y41" s="72">
        <v>68.099999999999994</v>
      </c>
      <c r="Z41" s="72">
        <v>66.900000000000006</v>
      </c>
      <c r="AA41" s="72">
        <v>67.599999999999994</v>
      </c>
      <c r="AB41" s="72">
        <v>66.8</v>
      </c>
      <c r="AC41" s="72">
        <v>48.7</v>
      </c>
      <c r="AD41" s="72">
        <v>48.7</v>
      </c>
      <c r="AE41" s="72">
        <v>33.799999999999997</v>
      </c>
      <c r="AF41" s="60">
        <v>34.9</v>
      </c>
      <c r="AG41" s="66">
        <v>69</v>
      </c>
      <c r="AH41" s="53">
        <f t="shared" si="2"/>
        <v>68.099999999999994</v>
      </c>
      <c r="AI41" s="54">
        <f t="shared" si="3"/>
        <v>0</v>
      </c>
      <c r="AK41" s="55"/>
    </row>
    <row r="42" spans="1:88" x14ac:dyDescent="0.25">
      <c r="A42" s="65" t="s">
        <v>50</v>
      </c>
      <c r="B42" s="60">
        <v>50.4</v>
      </c>
      <c r="C42" s="60">
        <v>50.4</v>
      </c>
      <c r="D42" s="60">
        <v>50.4</v>
      </c>
      <c r="E42" s="60">
        <v>50.2</v>
      </c>
      <c r="F42" s="60">
        <v>50.2</v>
      </c>
      <c r="G42" s="60">
        <v>50.3</v>
      </c>
      <c r="H42" s="60">
        <v>50.6</v>
      </c>
      <c r="I42" s="60">
        <v>50.6</v>
      </c>
      <c r="J42" s="60">
        <v>50</v>
      </c>
      <c r="K42" s="60">
        <v>50.6</v>
      </c>
      <c r="L42" s="60">
        <v>50.6</v>
      </c>
      <c r="M42" s="60">
        <v>50.6</v>
      </c>
      <c r="N42" s="60">
        <v>50.6</v>
      </c>
      <c r="O42" s="60">
        <v>50.6</v>
      </c>
      <c r="P42" s="60">
        <v>48.3</v>
      </c>
      <c r="Q42" s="60">
        <v>50.6</v>
      </c>
      <c r="R42" s="60">
        <v>50.6</v>
      </c>
      <c r="S42" s="60">
        <v>50.4</v>
      </c>
      <c r="T42" s="72">
        <v>47.4</v>
      </c>
      <c r="U42" s="72">
        <v>47.4</v>
      </c>
      <c r="V42" s="72">
        <v>50.4</v>
      </c>
      <c r="W42" s="72">
        <v>50.4</v>
      </c>
      <c r="X42" s="72">
        <v>52.4</v>
      </c>
      <c r="Y42" s="72">
        <v>52.1</v>
      </c>
      <c r="Z42" s="72">
        <v>52.1</v>
      </c>
      <c r="AA42" s="72">
        <v>49.9</v>
      </c>
      <c r="AB42" s="72">
        <v>45.1</v>
      </c>
      <c r="AC42" s="72">
        <v>53</v>
      </c>
      <c r="AD42" s="72">
        <v>53</v>
      </c>
      <c r="AE42" s="72">
        <v>52.9</v>
      </c>
      <c r="AF42" s="72">
        <v>52.9</v>
      </c>
      <c r="AG42" s="66">
        <v>60</v>
      </c>
      <c r="AH42" s="53">
        <f t="shared" si="2"/>
        <v>53</v>
      </c>
      <c r="AI42" s="54">
        <f t="shared" si="3"/>
        <v>45.1</v>
      </c>
      <c r="AK42" s="55"/>
    </row>
    <row r="43" spans="1:88" x14ac:dyDescent="0.25">
      <c r="A43" s="65" t="s">
        <v>51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10</v>
      </c>
      <c r="H43" s="60">
        <v>15</v>
      </c>
      <c r="I43" s="60">
        <v>10</v>
      </c>
      <c r="J43" s="60">
        <v>10</v>
      </c>
      <c r="K43" s="60">
        <v>14</v>
      </c>
      <c r="L43" s="60">
        <v>14</v>
      </c>
      <c r="M43" s="60">
        <v>10.199999999999999</v>
      </c>
      <c r="N43" s="60">
        <v>10.199999999999999</v>
      </c>
      <c r="O43" s="60">
        <v>10.199999999999999</v>
      </c>
      <c r="P43" s="60">
        <v>10.199999999999999</v>
      </c>
      <c r="Q43" s="60">
        <v>10.199999999999999</v>
      </c>
      <c r="R43" s="60">
        <v>10.199999999999999</v>
      </c>
      <c r="S43" s="60">
        <v>10.199999999999999</v>
      </c>
      <c r="T43" s="50">
        <v>10.5</v>
      </c>
      <c r="U43" s="50">
        <v>10.1</v>
      </c>
      <c r="V43" s="50">
        <v>10.8</v>
      </c>
      <c r="W43" s="50">
        <v>10.5</v>
      </c>
      <c r="X43" s="50">
        <v>10</v>
      </c>
      <c r="Y43" s="50">
        <v>15</v>
      </c>
      <c r="Z43" s="50">
        <v>30</v>
      </c>
      <c r="AA43" s="72">
        <v>25</v>
      </c>
      <c r="AB43" s="72">
        <v>14.9</v>
      </c>
      <c r="AC43" s="72">
        <v>13.1</v>
      </c>
      <c r="AD43" s="72">
        <v>13.1</v>
      </c>
      <c r="AE43" s="72">
        <v>0</v>
      </c>
      <c r="AF43" s="72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>
        <v>16</v>
      </c>
      <c r="C45" s="60">
        <v>16</v>
      </c>
      <c r="D45" s="60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79">
        <v>16</v>
      </c>
      <c r="N45" s="79">
        <v>16</v>
      </c>
      <c r="O45" s="79">
        <v>16</v>
      </c>
      <c r="P45" s="79">
        <v>16</v>
      </c>
      <c r="Q45" s="79">
        <v>16</v>
      </c>
      <c r="R45" s="79">
        <v>16</v>
      </c>
      <c r="S45" s="79">
        <v>16</v>
      </c>
      <c r="T45" s="79">
        <v>16</v>
      </c>
      <c r="U45" s="79">
        <v>16</v>
      </c>
      <c r="V45" s="79">
        <v>16</v>
      </c>
      <c r="W45" s="79">
        <v>16</v>
      </c>
      <c r="X45" s="79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60">
        <v>5</v>
      </c>
      <c r="C46" s="60">
        <v>5</v>
      </c>
      <c r="D46" s="60">
        <v>5</v>
      </c>
      <c r="E46" s="60">
        <v>5</v>
      </c>
      <c r="F46" s="60">
        <v>5</v>
      </c>
      <c r="G46" s="60">
        <v>5</v>
      </c>
      <c r="H46" s="60">
        <v>5</v>
      </c>
      <c r="I46" s="60">
        <v>5</v>
      </c>
      <c r="J46" s="60">
        <v>5</v>
      </c>
      <c r="K46" s="60">
        <v>5</v>
      </c>
      <c r="L46" s="60">
        <v>5</v>
      </c>
      <c r="M46" s="60">
        <v>5</v>
      </c>
      <c r="N46" s="60">
        <v>5</v>
      </c>
      <c r="O46" s="60">
        <v>5</v>
      </c>
      <c r="P46" s="60">
        <v>5</v>
      </c>
      <c r="Q46" s="60">
        <v>5</v>
      </c>
      <c r="R46" s="60">
        <v>5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6">
        <v>15</v>
      </c>
      <c r="AH46" s="53">
        <f t="shared" si="2"/>
        <v>5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60">
        <v>12</v>
      </c>
      <c r="C47" s="60">
        <v>12</v>
      </c>
      <c r="D47" s="60">
        <v>12</v>
      </c>
      <c r="E47" s="60">
        <v>12</v>
      </c>
      <c r="F47" s="60">
        <v>12</v>
      </c>
      <c r="G47" s="60">
        <v>12</v>
      </c>
      <c r="H47" s="60">
        <v>12</v>
      </c>
      <c r="I47" s="60">
        <v>12</v>
      </c>
      <c r="J47" s="60">
        <v>12</v>
      </c>
      <c r="K47" s="60">
        <v>12</v>
      </c>
      <c r="L47" s="60">
        <v>12</v>
      </c>
      <c r="M47" s="60">
        <v>12</v>
      </c>
      <c r="N47" s="60">
        <v>12</v>
      </c>
      <c r="O47" s="60">
        <v>12</v>
      </c>
      <c r="P47" s="60">
        <v>12</v>
      </c>
      <c r="Q47" s="60">
        <v>12</v>
      </c>
      <c r="R47" s="60">
        <v>12</v>
      </c>
      <c r="S47" s="60">
        <v>12</v>
      </c>
      <c r="T47" s="60">
        <v>12</v>
      </c>
      <c r="U47" s="60">
        <v>12</v>
      </c>
      <c r="V47" s="60">
        <v>12</v>
      </c>
      <c r="W47" s="60">
        <v>12</v>
      </c>
      <c r="X47" s="6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6">
        <v>14.1</v>
      </c>
      <c r="AH47" s="53">
        <f t="shared" si="2"/>
        <v>12</v>
      </c>
      <c r="AI47" s="54">
        <f t="shared" si="3"/>
        <v>12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>
        <v>5.9</v>
      </c>
      <c r="C48" s="60">
        <v>5.9</v>
      </c>
      <c r="D48" s="60">
        <v>5.9</v>
      </c>
      <c r="E48" s="60">
        <v>5.9</v>
      </c>
      <c r="F48" s="60">
        <v>5.9</v>
      </c>
      <c r="G48" s="60">
        <v>5.9</v>
      </c>
      <c r="H48" s="60">
        <v>5.9</v>
      </c>
      <c r="I48" s="60">
        <v>5.9</v>
      </c>
      <c r="J48" s="60">
        <v>5.9</v>
      </c>
      <c r="K48" s="60">
        <v>5.9</v>
      </c>
      <c r="L48" s="60">
        <v>5.9</v>
      </c>
      <c r="M48" s="60">
        <v>5.9</v>
      </c>
      <c r="N48" s="60">
        <v>5.9</v>
      </c>
      <c r="O48" s="60">
        <v>5.9</v>
      </c>
      <c r="P48" s="60">
        <v>5.9</v>
      </c>
      <c r="Q48" s="60">
        <v>5.9</v>
      </c>
      <c r="R48" s="60">
        <v>5.9</v>
      </c>
      <c r="S48" s="60">
        <v>5.9</v>
      </c>
      <c r="T48" s="60">
        <v>5.9</v>
      </c>
      <c r="U48" s="60">
        <v>5.9</v>
      </c>
      <c r="V48" s="60">
        <v>5.9</v>
      </c>
      <c r="W48" s="60">
        <v>5.9</v>
      </c>
      <c r="X48" s="6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60">
        <v>6</v>
      </c>
      <c r="C49" s="60">
        <v>6</v>
      </c>
      <c r="D49" s="6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60">
        <v>6</v>
      </c>
      <c r="N49" s="60">
        <v>6</v>
      </c>
      <c r="O49" s="60">
        <v>6</v>
      </c>
      <c r="P49" s="60">
        <v>6</v>
      </c>
      <c r="Q49" s="60">
        <v>6</v>
      </c>
      <c r="R49" s="60">
        <v>6</v>
      </c>
      <c r="S49" s="60">
        <v>6</v>
      </c>
      <c r="T49" s="60">
        <v>6</v>
      </c>
      <c r="U49" s="60">
        <v>6</v>
      </c>
      <c r="V49" s="60">
        <v>6</v>
      </c>
      <c r="W49" s="60">
        <v>6</v>
      </c>
      <c r="X49" s="6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60">
        <v>4</v>
      </c>
      <c r="C50" s="60">
        <v>4</v>
      </c>
      <c r="D50" s="6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60">
        <v>4</v>
      </c>
      <c r="T50" s="60">
        <v>4</v>
      </c>
      <c r="U50" s="60">
        <v>4</v>
      </c>
      <c r="V50" s="60">
        <v>4</v>
      </c>
      <c r="W50" s="60">
        <v>4</v>
      </c>
      <c r="X50" s="6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119.64000000000001</v>
      </c>
      <c r="C52" s="71">
        <f t="shared" ref="C52:AF52" si="6">SUM(C39:C51)</f>
        <v>102.84000000000002</v>
      </c>
      <c r="D52" s="71">
        <f t="shared" si="6"/>
        <v>102.84000000000002</v>
      </c>
      <c r="E52" s="71">
        <f t="shared" si="6"/>
        <v>102.64000000000001</v>
      </c>
      <c r="F52" s="71">
        <f t="shared" si="6"/>
        <v>125.64000000000001</v>
      </c>
      <c r="G52" s="71">
        <f t="shared" si="6"/>
        <v>158.74</v>
      </c>
      <c r="H52" s="71">
        <f t="shared" si="6"/>
        <v>194.54</v>
      </c>
      <c r="I52" s="71">
        <f t="shared" si="6"/>
        <v>253.14</v>
      </c>
      <c r="J52" s="71">
        <f t="shared" si="6"/>
        <v>330.44</v>
      </c>
      <c r="K52" s="71">
        <f t="shared" si="6"/>
        <v>394.04</v>
      </c>
      <c r="L52" s="71">
        <f t="shared" si="6"/>
        <v>371.94</v>
      </c>
      <c r="M52" s="71">
        <f t="shared" si="6"/>
        <v>393.74</v>
      </c>
      <c r="N52" s="71">
        <f t="shared" si="6"/>
        <v>393.74</v>
      </c>
      <c r="O52" s="71">
        <f t="shared" si="6"/>
        <v>354.74</v>
      </c>
      <c r="P52" s="71">
        <f t="shared" si="6"/>
        <v>356.53999999999996</v>
      </c>
      <c r="Q52" s="71">
        <f t="shared" si="6"/>
        <v>300.14</v>
      </c>
      <c r="R52" s="71">
        <f t="shared" si="6"/>
        <v>300.14</v>
      </c>
      <c r="S52" s="71">
        <f t="shared" si="6"/>
        <v>278.14</v>
      </c>
      <c r="T52" s="71">
        <f t="shared" si="6"/>
        <v>266.14000000000004</v>
      </c>
      <c r="U52" s="71">
        <f t="shared" si="6"/>
        <v>258.54000000000002</v>
      </c>
      <c r="V52" s="71">
        <f t="shared" si="6"/>
        <v>254.04000000000002</v>
      </c>
      <c r="W52" s="71">
        <f t="shared" si="6"/>
        <v>261.44000000000005</v>
      </c>
      <c r="X52" s="71">
        <f t="shared" si="6"/>
        <v>354.94</v>
      </c>
      <c r="Y52" s="71">
        <f t="shared" si="6"/>
        <v>396.94</v>
      </c>
      <c r="Z52" s="71">
        <f t="shared" si="6"/>
        <v>412.04</v>
      </c>
      <c r="AA52" s="71">
        <f t="shared" si="6"/>
        <v>405.23999999999995</v>
      </c>
      <c r="AB52" s="71">
        <f t="shared" si="6"/>
        <v>388.24</v>
      </c>
      <c r="AC52" s="71">
        <f t="shared" si="6"/>
        <v>353.24</v>
      </c>
      <c r="AD52" s="71">
        <f t="shared" si="6"/>
        <v>342.24</v>
      </c>
      <c r="AE52" s="71">
        <f t="shared" si="6"/>
        <v>228.84</v>
      </c>
      <c r="AF52" s="71">
        <f t="shared" si="6"/>
        <v>203.54000000000002</v>
      </c>
      <c r="AG52" s="76">
        <f>SUM(AG39:AG51)</f>
        <v>489.91</v>
      </c>
      <c r="AH52" s="53">
        <f t="shared" si="2"/>
        <v>412.04</v>
      </c>
      <c r="AI52" s="54">
        <f t="shared" si="3"/>
        <v>102.64000000000001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25</v>
      </c>
      <c r="L53" s="60">
        <v>25.3</v>
      </c>
      <c r="M53" s="77">
        <v>45</v>
      </c>
      <c r="N53" s="77">
        <v>45</v>
      </c>
      <c r="O53" s="77">
        <v>24.1</v>
      </c>
      <c r="P53" s="77">
        <v>24.3</v>
      </c>
      <c r="Q53" s="50">
        <v>13.7</v>
      </c>
      <c r="R53" s="50">
        <v>9.4</v>
      </c>
      <c r="S53" s="50">
        <v>20.2</v>
      </c>
      <c r="T53" s="50">
        <v>19.600000000000001</v>
      </c>
      <c r="U53" s="50">
        <v>20.2</v>
      </c>
      <c r="V53" s="50">
        <v>30</v>
      </c>
      <c r="W53" s="50">
        <v>30.5</v>
      </c>
      <c r="X53" s="50">
        <v>44.1</v>
      </c>
      <c r="Y53" s="50">
        <v>59.3</v>
      </c>
      <c r="Z53" s="50">
        <v>59.3</v>
      </c>
      <c r="AA53" s="50">
        <v>49.8</v>
      </c>
      <c r="AB53" s="50">
        <v>58.7</v>
      </c>
      <c r="AC53" s="50">
        <v>59</v>
      </c>
      <c r="AD53" s="50">
        <v>50</v>
      </c>
      <c r="AE53" s="50">
        <v>9.4</v>
      </c>
      <c r="AF53" s="50">
        <v>0</v>
      </c>
      <c r="AG53" s="61">
        <v>60</v>
      </c>
      <c r="AH53" s="53">
        <f t="shared" si="2"/>
        <v>59.3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12.7</v>
      </c>
      <c r="L54" s="60">
        <v>12.6</v>
      </c>
      <c r="M54" s="77">
        <v>20</v>
      </c>
      <c r="N54" s="77">
        <v>20</v>
      </c>
      <c r="O54" s="77">
        <v>10</v>
      </c>
      <c r="P54" s="77">
        <v>13.5</v>
      </c>
      <c r="Q54" s="72">
        <v>8</v>
      </c>
      <c r="R54" s="72">
        <v>4.9000000000000004</v>
      </c>
      <c r="S54" s="50">
        <v>5.9</v>
      </c>
      <c r="T54" s="50">
        <v>9.4</v>
      </c>
      <c r="U54" s="50">
        <v>10</v>
      </c>
      <c r="V54" s="72">
        <v>15.4</v>
      </c>
      <c r="W54" s="72">
        <v>14</v>
      </c>
      <c r="X54" s="72">
        <v>20.2</v>
      </c>
      <c r="Y54" s="72">
        <v>28.3</v>
      </c>
      <c r="Z54" s="72">
        <v>28.3</v>
      </c>
      <c r="AA54" s="72">
        <v>28.5</v>
      </c>
      <c r="AB54" s="72">
        <v>28.3</v>
      </c>
      <c r="AC54" s="72">
        <v>28.1</v>
      </c>
      <c r="AD54" s="72">
        <v>26</v>
      </c>
      <c r="AE54" s="72">
        <v>5</v>
      </c>
      <c r="AF54" s="72">
        <v>0</v>
      </c>
      <c r="AG54" s="66">
        <v>32</v>
      </c>
      <c r="AH54" s="53">
        <f t="shared" si="2"/>
        <v>28.5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4.5999999999999996</v>
      </c>
      <c r="L55" s="79">
        <v>4.5999999999999996</v>
      </c>
      <c r="M55" s="80">
        <v>8</v>
      </c>
      <c r="N55" s="80">
        <v>8</v>
      </c>
      <c r="O55" s="80">
        <v>3.7</v>
      </c>
      <c r="P55" s="80">
        <v>4.9000000000000004</v>
      </c>
      <c r="Q55" s="78">
        <v>2.9</v>
      </c>
      <c r="R55" s="78">
        <v>1.8</v>
      </c>
      <c r="S55" s="50">
        <v>2.1</v>
      </c>
      <c r="T55" s="50">
        <v>3.4</v>
      </c>
      <c r="U55" s="50">
        <v>3.6</v>
      </c>
      <c r="V55" s="78">
        <v>5.6</v>
      </c>
      <c r="W55" s="78">
        <v>5.0999999999999996</v>
      </c>
      <c r="X55" s="78">
        <v>7.4</v>
      </c>
      <c r="Y55" s="78">
        <v>10.3</v>
      </c>
      <c r="Z55" s="78">
        <v>10.3</v>
      </c>
      <c r="AA55" s="78">
        <v>10.4</v>
      </c>
      <c r="AB55" s="78">
        <v>10.3</v>
      </c>
      <c r="AC55" s="78">
        <v>10.3</v>
      </c>
      <c r="AD55" s="78">
        <v>8</v>
      </c>
      <c r="AE55" s="78">
        <v>1.8</v>
      </c>
      <c r="AF55" s="78">
        <v>0</v>
      </c>
      <c r="AG55" s="81">
        <v>14</v>
      </c>
      <c r="AH55" s="53">
        <f t="shared" si="2"/>
        <v>10.4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ref="I56" si="8">SUM(I53:I55)</f>
        <v>0</v>
      </c>
      <c r="J56" s="71">
        <f t="shared" si="7"/>
        <v>0</v>
      </c>
      <c r="K56" s="71">
        <f t="shared" si="7"/>
        <v>42.300000000000004</v>
      </c>
      <c r="L56" s="71">
        <f t="shared" si="7"/>
        <v>42.5</v>
      </c>
      <c r="M56" s="71">
        <f t="shared" si="7"/>
        <v>73</v>
      </c>
      <c r="N56" s="71">
        <f t="shared" si="7"/>
        <v>73</v>
      </c>
      <c r="O56" s="71">
        <f t="shared" si="7"/>
        <v>37.800000000000004</v>
      </c>
      <c r="P56" s="71">
        <f t="shared" si="7"/>
        <v>42.699999999999996</v>
      </c>
      <c r="Q56" s="71">
        <f t="shared" si="7"/>
        <v>24.599999999999998</v>
      </c>
      <c r="R56" s="71">
        <f t="shared" si="7"/>
        <v>16.100000000000001</v>
      </c>
      <c r="S56" s="71">
        <f t="shared" si="7"/>
        <v>28.200000000000003</v>
      </c>
      <c r="T56" s="71">
        <f t="shared" si="7"/>
        <v>32.4</v>
      </c>
      <c r="U56" s="71">
        <f t="shared" si="7"/>
        <v>33.799999999999997</v>
      </c>
      <c r="V56" s="71">
        <f t="shared" si="7"/>
        <v>51</v>
      </c>
      <c r="W56" s="71">
        <f t="shared" si="7"/>
        <v>49.6</v>
      </c>
      <c r="X56" s="71">
        <f t="shared" si="7"/>
        <v>71.7</v>
      </c>
      <c r="Y56" s="71">
        <f t="shared" si="7"/>
        <v>97.899999999999991</v>
      </c>
      <c r="Z56" s="71">
        <f t="shared" si="7"/>
        <v>97.899999999999991</v>
      </c>
      <c r="AA56" s="71">
        <f t="shared" si="7"/>
        <v>88.7</v>
      </c>
      <c r="AB56" s="71">
        <f t="shared" si="7"/>
        <v>97.3</v>
      </c>
      <c r="AC56" s="71">
        <f t="shared" si="7"/>
        <v>97.399999999999991</v>
      </c>
      <c r="AD56" s="71">
        <f t="shared" si="7"/>
        <v>84</v>
      </c>
      <c r="AE56" s="71">
        <f t="shared" si="7"/>
        <v>16.2</v>
      </c>
      <c r="AF56" s="71">
        <f t="shared" si="7"/>
        <v>0</v>
      </c>
      <c r="AG56" s="76">
        <f>SUM(AG53:AG55)</f>
        <v>106</v>
      </c>
      <c r="AH56" s="53">
        <f t="shared" si="2"/>
        <v>97.899999999999991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66</v>
      </c>
      <c r="C57" s="50">
        <v>61.4</v>
      </c>
      <c r="D57" s="50">
        <v>60</v>
      </c>
      <c r="E57" s="50">
        <v>77</v>
      </c>
      <c r="F57" s="50">
        <v>75</v>
      </c>
      <c r="G57" s="50">
        <v>63</v>
      </c>
      <c r="H57" s="50">
        <v>72</v>
      </c>
      <c r="I57" s="50">
        <v>66.3</v>
      </c>
      <c r="J57" s="50">
        <v>70</v>
      </c>
      <c r="K57" s="50">
        <v>71.099999999999994</v>
      </c>
      <c r="L57" s="50">
        <v>72.599999999999994</v>
      </c>
      <c r="M57" s="50">
        <v>73</v>
      </c>
      <c r="N57" s="50">
        <v>73</v>
      </c>
      <c r="O57" s="50">
        <v>71.7</v>
      </c>
      <c r="P57" s="50">
        <v>72.2</v>
      </c>
      <c r="Q57" s="50">
        <v>64.900000000000006</v>
      </c>
      <c r="R57" s="50">
        <v>67.2</v>
      </c>
      <c r="S57" s="50">
        <v>67.2</v>
      </c>
      <c r="T57" s="50">
        <v>69.7</v>
      </c>
      <c r="U57" s="50">
        <v>73.099999999999994</v>
      </c>
      <c r="V57" s="50">
        <v>75.5</v>
      </c>
      <c r="W57" s="50">
        <v>73.8</v>
      </c>
      <c r="X57" s="50">
        <v>69.2</v>
      </c>
      <c r="Y57" s="50">
        <v>78</v>
      </c>
      <c r="Z57" s="50">
        <v>70</v>
      </c>
      <c r="AA57" s="50">
        <v>68</v>
      </c>
      <c r="AB57" s="50">
        <v>70</v>
      </c>
      <c r="AC57" s="50">
        <v>72</v>
      </c>
      <c r="AD57" s="50">
        <v>72</v>
      </c>
      <c r="AE57" s="50">
        <v>70</v>
      </c>
      <c r="AF57" s="50">
        <v>66</v>
      </c>
      <c r="AG57" s="61"/>
      <c r="AH57" s="53">
        <f t="shared" si="2"/>
        <v>78</v>
      </c>
      <c r="AI57" s="54">
        <f t="shared" si="3"/>
        <v>60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75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75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310</v>
      </c>
      <c r="C59" s="72">
        <v>315</v>
      </c>
      <c r="D59" s="72">
        <v>286</v>
      </c>
      <c r="E59" s="72">
        <v>293.89999999999998</v>
      </c>
      <c r="F59" s="72">
        <v>298</v>
      </c>
      <c r="G59" s="72">
        <v>325</v>
      </c>
      <c r="H59" s="50">
        <v>330</v>
      </c>
      <c r="I59" s="50">
        <v>345</v>
      </c>
      <c r="J59" s="50">
        <v>339</v>
      </c>
      <c r="K59" s="50">
        <v>188</v>
      </c>
      <c r="L59" s="50">
        <v>183</v>
      </c>
      <c r="M59" s="72">
        <v>65</v>
      </c>
      <c r="N59" s="72">
        <v>65</v>
      </c>
      <c r="O59" s="72">
        <v>187</v>
      </c>
      <c r="P59" s="72">
        <v>299</v>
      </c>
      <c r="Q59" s="72">
        <v>340</v>
      </c>
      <c r="R59" s="72">
        <v>328</v>
      </c>
      <c r="S59" s="72">
        <v>329</v>
      </c>
      <c r="T59" s="72">
        <v>338.1</v>
      </c>
      <c r="U59" s="72">
        <v>331.3</v>
      </c>
      <c r="V59" s="72">
        <v>137.80000000000001</v>
      </c>
      <c r="W59" s="72">
        <v>206.1</v>
      </c>
      <c r="X59" s="83">
        <v>120.4</v>
      </c>
      <c r="Y59" s="83">
        <v>100.2</v>
      </c>
      <c r="Z59" s="83">
        <v>55.3</v>
      </c>
      <c r="AA59" s="83">
        <v>50.5</v>
      </c>
      <c r="AB59" s="72">
        <v>67.599999999999994</v>
      </c>
      <c r="AC59" s="72">
        <v>253</v>
      </c>
      <c r="AD59" s="72">
        <v>253</v>
      </c>
      <c r="AE59" s="72">
        <v>341.5</v>
      </c>
      <c r="AF59" s="72">
        <v>335</v>
      </c>
      <c r="AG59" s="84"/>
      <c r="AH59" s="53">
        <f t="shared" si="2"/>
        <v>345</v>
      </c>
      <c r="AI59" s="54">
        <f t="shared" si="3"/>
        <v>50.5</v>
      </c>
      <c r="AK59" s="55"/>
    </row>
    <row r="60" spans="1:37" x14ac:dyDescent="0.25">
      <c r="A60" s="65" t="s">
        <v>68</v>
      </c>
      <c r="B60" s="57">
        <v>48</v>
      </c>
      <c r="C60" s="57">
        <v>50</v>
      </c>
      <c r="D60" s="57">
        <v>46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41</v>
      </c>
      <c r="L60" s="57">
        <v>62</v>
      </c>
      <c r="M60" s="72">
        <v>60</v>
      </c>
      <c r="N60" s="72">
        <v>60</v>
      </c>
      <c r="O60" s="72">
        <v>56.3</v>
      </c>
      <c r="P60" s="72">
        <v>52.5</v>
      </c>
      <c r="Q60" s="72">
        <v>52</v>
      </c>
      <c r="R60" s="72">
        <v>55.4</v>
      </c>
      <c r="S60" s="72">
        <v>54.6</v>
      </c>
      <c r="T60" s="72">
        <v>42.8</v>
      </c>
      <c r="U60" s="72">
        <v>38.299999999999997</v>
      </c>
      <c r="V60" s="72">
        <v>50.1</v>
      </c>
      <c r="W60" s="72">
        <v>44.7</v>
      </c>
      <c r="X60" s="72">
        <v>39.9</v>
      </c>
      <c r="Y60" s="72">
        <v>52.6</v>
      </c>
      <c r="Z60" s="72">
        <v>51.4</v>
      </c>
      <c r="AA60" s="72">
        <v>57.3</v>
      </c>
      <c r="AB60" s="72">
        <v>58.3</v>
      </c>
      <c r="AC60" s="72">
        <v>55.4</v>
      </c>
      <c r="AD60" s="72">
        <v>55.4</v>
      </c>
      <c r="AE60" s="72">
        <v>0</v>
      </c>
      <c r="AF60" s="57">
        <v>0</v>
      </c>
      <c r="AG60" s="84"/>
      <c r="AH60" s="53">
        <f t="shared" si="2"/>
        <v>62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74</v>
      </c>
      <c r="L61" s="57">
        <v>72</v>
      </c>
      <c r="M61" s="50">
        <v>68</v>
      </c>
      <c r="N61" s="50">
        <v>68</v>
      </c>
      <c r="O61" s="50">
        <v>66.7</v>
      </c>
      <c r="P61" s="50">
        <v>63.3</v>
      </c>
      <c r="Q61" s="50">
        <v>62.3</v>
      </c>
      <c r="R61" s="50">
        <v>47.5</v>
      </c>
      <c r="S61" s="50">
        <v>59.3</v>
      </c>
      <c r="T61" s="50">
        <v>52</v>
      </c>
      <c r="U61" s="50">
        <v>56.7</v>
      </c>
      <c r="V61" s="50">
        <v>52.6</v>
      </c>
      <c r="W61" s="50">
        <v>57</v>
      </c>
      <c r="X61" s="50">
        <v>57</v>
      </c>
      <c r="Y61" s="50">
        <v>57.5</v>
      </c>
      <c r="Z61" s="50">
        <v>65.900000000000006</v>
      </c>
      <c r="AA61" s="50">
        <v>70.2</v>
      </c>
      <c r="AB61" s="50">
        <v>72.2</v>
      </c>
      <c r="AC61" s="50">
        <v>86.4</v>
      </c>
      <c r="AD61" s="50">
        <v>86.4</v>
      </c>
      <c r="AE61" s="50">
        <v>85.1</v>
      </c>
      <c r="AF61" s="50">
        <v>0</v>
      </c>
      <c r="AG61" s="84"/>
      <c r="AH61" s="53">
        <f t="shared" si="2"/>
        <v>86.4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7">
        <v>0</v>
      </c>
      <c r="F63" s="57">
        <v>0</v>
      </c>
      <c r="G63" s="57">
        <v>0</v>
      </c>
      <c r="H63" s="57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72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72">
        <v>0</v>
      </c>
      <c r="U64" s="59">
        <v>0</v>
      </c>
      <c r="V64" s="59">
        <v>0</v>
      </c>
      <c r="W64" s="59">
        <v>0</v>
      </c>
      <c r="X64" s="59">
        <v>0</v>
      </c>
      <c r="Y64" s="57">
        <v>0</v>
      </c>
      <c r="Z64" s="57">
        <v>0</v>
      </c>
      <c r="AA64" s="59">
        <v>0</v>
      </c>
      <c r="AB64" s="59">
        <v>0</v>
      </c>
      <c r="AC64" s="59">
        <v>0</v>
      </c>
      <c r="AD64" s="59">
        <v>0</v>
      </c>
      <c r="AE64" s="57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72">
        <v>0</v>
      </c>
      <c r="U65" s="59">
        <v>0</v>
      </c>
      <c r="V65" s="59">
        <v>0</v>
      </c>
      <c r="W65" s="59">
        <v>0</v>
      </c>
      <c r="X65" s="59">
        <v>0</v>
      </c>
      <c r="Y65" s="57">
        <v>0</v>
      </c>
      <c r="Z65" s="57">
        <v>0</v>
      </c>
      <c r="AA65" s="59">
        <v>0</v>
      </c>
      <c r="AB65" s="59">
        <v>0</v>
      </c>
      <c r="AC65" s="59">
        <v>0</v>
      </c>
      <c r="AD65" s="59">
        <v>0</v>
      </c>
      <c r="AE65" s="57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57">
        <v>0</v>
      </c>
      <c r="F66" s="57">
        <v>0</v>
      </c>
      <c r="G66" s="57">
        <v>0</v>
      </c>
      <c r="H66" s="57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59">
        <v>0</v>
      </c>
      <c r="V66" s="59">
        <v>0</v>
      </c>
      <c r="W66" s="59">
        <v>0</v>
      </c>
      <c r="X66" s="59">
        <v>0</v>
      </c>
      <c r="Y66" s="62">
        <v>0</v>
      </c>
      <c r="Z66" s="62">
        <v>0</v>
      </c>
      <c r="AA66" s="59">
        <v>0</v>
      </c>
      <c r="AB66" s="59">
        <v>0</v>
      </c>
      <c r="AC66" s="59">
        <v>0</v>
      </c>
      <c r="AD66" s="59">
        <v>0</v>
      </c>
      <c r="AE66" s="62">
        <v>0</v>
      </c>
      <c r="AF66" s="62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57">
        <v>0</v>
      </c>
      <c r="F67" s="57">
        <v>0</v>
      </c>
      <c r="G67" s="57">
        <v>0</v>
      </c>
      <c r="H67" s="57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72">
        <v>0</v>
      </c>
      <c r="U67" s="59">
        <v>0</v>
      </c>
      <c r="V67" s="59">
        <v>0</v>
      </c>
      <c r="W67" s="59">
        <v>0</v>
      </c>
      <c r="X67" s="59">
        <v>0</v>
      </c>
      <c r="Y67" s="62">
        <v>0</v>
      </c>
      <c r="Z67" s="62">
        <v>0</v>
      </c>
      <c r="AA67" s="59">
        <v>0</v>
      </c>
      <c r="AB67" s="59">
        <v>0</v>
      </c>
      <c r="AC67" s="59">
        <v>0</v>
      </c>
      <c r="AD67" s="59">
        <v>0</v>
      </c>
      <c r="AE67" s="62">
        <v>0</v>
      </c>
      <c r="AF67" s="62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424</v>
      </c>
      <c r="C68" s="71">
        <f>SUM(C57:C67)</f>
        <v>426.4</v>
      </c>
      <c r="D68" s="71">
        <f t="shared" ref="D68:AF68" si="9">SUM(D57:D67)</f>
        <v>392</v>
      </c>
      <c r="E68" s="71">
        <f t="shared" si="9"/>
        <v>370.9</v>
      </c>
      <c r="F68" s="71">
        <f t="shared" si="9"/>
        <v>373</v>
      </c>
      <c r="G68" s="71">
        <f t="shared" si="9"/>
        <v>388</v>
      </c>
      <c r="H68" s="71">
        <f t="shared" si="9"/>
        <v>402</v>
      </c>
      <c r="I68" s="71">
        <f t="shared" si="9"/>
        <v>411.3</v>
      </c>
      <c r="J68" s="71">
        <f t="shared" si="9"/>
        <v>409</v>
      </c>
      <c r="K68" s="71">
        <f t="shared" si="9"/>
        <v>374.1</v>
      </c>
      <c r="L68" s="71">
        <f t="shared" si="9"/>
        <v>389.6</v>
      </c>
      <c r="M68" s="71">
        <f t="shared" si="9"/>
        <v>266</v>
      </c>
      <c r="N68" s="71">
        <f t="shared" si="9"/>
        <v>266</v>
      </c>
      <c r="O68" s="71">
        <f t="shared" si="9"/>
        <v>381.7</v>
      </c>
      <c r="P68" s="71">
        <f t="shared" si="9"/>
        <v>487</v>
      </c>
      <c r="Q68" s="71">
        <f t="shared" si="9"/>
        <v>519.19999999999993</v>
      </c>
      <c r="R68" s="71">
        <f t="shared" si="9"/>
        <v>498.09999999999997</v>
      </c>
      <c r="S68" s="71">
        <f t="shared" si="9"/>
        <v>510.1</v>
      </c>
      <c r="T68" s="71">
        <f t="shared" si="9"/>
        <v>502.6</v>
      </c>
      <c r="U68" s="71">
        <f t="shared" si="9"/>
        <v>499.4</v>
      </c>
      <c r="V68" s="71">
        <f t="shared" si="9"/>
        <v>316.00000000000006</v>
      </c>
      <c r="W68" s="71">
        <f t="shared" si="9"/>
        <v>381.59999999999997</v>
      </c>
      <c r="X68" s="71">
        <f t="shared" si="9"/>
        <v>286.5</v>
      </c>
      <c r="Y68" s="71">
        <f t="shared" si="9"/>
        <v>288.29999999999995</v>
      </c>
      <c r="Z68" s="71">
        <f t="shared" si="9"/>
        <v>242.6</v>
      </c>
      <c r="AA68" s="71">
        <f t="shared" si="9"/>
        <v>246</v>
      </c>
      <c r="AB68" s="71">
        <f t="shared" si="9"/>
        <v>343.09999999999997</v>
      </c>
      <c r="AC68" s="71">
        <f t="shared" si="9"/>
        <v>466.79999999999995</v>
      </c>
      <c r="AD68" s="71">
        <f t="shared" si="9"/>
        <v>466.79999999999995</v>
      </c>
      <c r="AE68" s="71">
        <f t="shared" si="9"/>
        <v>496.6</v>
      </c>
      <c r="AF68" s="71">
        <f t="shared" si="9"/>
        <v>401</v>
      </c>
      <c r="AG68" s="76">
        <f>SUM(AG57:AG67)</f>
        <v>0</v>
      </c>
      <c r="AH68" s="53">
        <f t="shared" si="2"/>
        <v>519.19999999999993</v>
      </c>
      <c r="AI68" s="54">
        <f t="shared" si="3"/>
        <v>242.6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8.5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8.5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10">SUM(D69:D71)</f>
        <v>0</v>
      </c>
      <c r="E72" s="71">
        <f t="shared" si="10"/>
        <v>0</v>
      </c>
      <c r="F72" s="71">
        <f t="shared" si="10"/>
        <v>0</v>
      </c>
      <c r="G72" s="71">
        <f t="shared" si="10"/>
        <v>0</v>
      </c>
      <c r="H72" s="71">
        <f t="shared" si="10"/>
        <v>0</v>
      </c>
      <c r="I72" s="71">
        <f t="shared" si="10"/>
        <v>0</v>
      </c>
      <c r="J72" s="71">
        <f t="shared" si="10"/>
        <v>0</v>
      </c>
      <c r="K72" s="71">
        <f t="shared" si="10"/>
        <v>0</v>
      </c>
      <c r="L72" s="71">
        <f t="shared" si="10"/>
        <v>0</v>
      </c>
      <c r="M72" s="71">
        <f t="shared" si="10"/>
        <v>0</v>
      </c>
      <c r="N72" s="71">
        <f t="shared" si="10"/>
        <v>0</v>
      </c>
      <c r="O72" s="71">
        <f t="shared" si="10"/>
        <v>0</v>
      </c>
      <c r="P72" s="71">
        <f t="shared" si="10"/>
        <v>0</v>
      </c>
      <c r="Q72" s="71">
        <f t="shared" si="10"/>
        <v>0</v>
      </c>
      <c r="R72" s="71">
        <f t="shared" si="10"/>
        <v>0</v>
      </c>
      <c r="S72" s="71">
        <f t="shared" si="10"/>
        <v>0</v>
      </c>
      <c r="T72" s="71">
        <f t="shared" si="10"/>
        <v>0</v>
      </c>
      <c r="U72" s="71">
        <f t="shared" si="10"/>
        <v>0</v>
      </c>
      <c r="V72" s="71">
        <f t="shared" si="10"/>
        <v>0</v>
      </c>
      <c r="W72" s="71">
        <f t="shared" si="10"/>
        <v>0</v>
      </c>
      <c r="X72" s="71">
        <f t="shared" si="10"/>
        <v>0</v>
      </c>
      <c r="Y72" s="71">
        <f t="shared" si="10"/>
        <v>8.5</v>
      </c>
      <c r="Z72" s="71">
        <f t="shared" si="10"/>
        <v>0</v>
      </c>
      <c r="AA72" s="71">
        <f t="shared" si="10"/>
        <v>0</v>
      </c>
      <c r="AB72" s="71">
        <f t="shared" si="10"/>
        <v>0</v>
      </c>
      <c r="AC72" s="71">
        <f t="shared" si="10"/>
        <v>0</v>
      </c>
      <c r="AD72" s="71">
        <f t="shared" si="10"/>
        <v>0</v>
      </c>
      <c r="AE72" s="71">
        <f t="shared" si="10"/>
        <v>0</v>
      </c>
      <c r="AF72" s="71">
        <f t="shared" si="10"/>
        <v>0</v>
      </c>
      <c r="AG72" s="76">
        <f>SUM(AG69:AG71)</f>
        <v>55.4</v>
      </c>
      <c r="AH72" s="53">
        <f t="shared" si="2"/>
        <v>8.5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955.13999999999987</v>
      </c>
      <c r="C73" s="88">
        <f>C68+C56+C52+C38+C72</f>
        <v>940.74</v>
      </c>
      <c r="D73" s="88">
        <f t="shared" ref="D73:AG73" si="11">D68+D56+D52+D38+D72</f>
        <v>906.33999999999992</v>
      </c>
      <c r="E73" s="88">
        <f t="shared" si="11"/>
        <v>884.04</v>
      </c>
      <c r="F73" s="88">
        <f t="shared" si="11"/>
        <v>911.14</v>
      </c>
      <c r="G73" s="88">
        <f t="shared" si="11"/>
        <v>961.33999999999992</v>
      </c>
      <c r="H73" s="88">
        <f t="shared" si="11"/>
        <v>1012.1399999999999</v>
      </c>
      <c r="I73" s="88">
        <f t="shared" si="11"/>
        <v>1079.6400000000001</v>
      </c>
      <c r="J73" s="88">
        <f t="shared" si="11"/>
        <v>1212.6400000000001</v>
      </c>
      <c r="K73" s="88">
        <f t="shared" si="11"/>
        <v>1441.64</v>
      </c>
      <c r="L73" s="88">
        <f t="shared" si="11"/>
        <v>1487.24</v>
      </c>
      <c r="M73" s="88">
        <f t="shared" si="11"/>
        <v>1482.94</v>
      </c>
      <c r="N73" s="88">
        <f t="shared" si="11"/>
        <v>1432.94</v>
      </c>
      <c r="O73" s="88">
        <f t="shared" si="11"/>
        <v>1304.44</v>
      </c>
      <c r="P73" s="88">
        <f t="shared" si="11"/>
        <v>1335.44</v>
      </c>
      <c r="Q73" s="88">
        <f t="shared" si="11"/>
        <v>1258.1399999999999</v>
      </c>
      <c r="R73" s="88">
        <f t="shared" si="11"/>
        <v>1228.54</v>
      </c>
      <c r="S73" s="88">
        <f t="shared" si="11"/>
        <v>1230.6400000000001</v>
      </c>
      <c r="T73" s="88">
        <f t="shared" si="11"/>
        <v>1215.54</v>
      </c>
      <c r="U73" s="88">
        <f t="shared" si="11"/>
        <v>1207.54</v>
      </c>
      <c r="V73" s="88">
        <f t="shared" si="11"/>
        <v>1039.6400000000001</v>
      </c>
      <c r="W73" s="88">
        <f t="shared" si="11"/>
        <v>1293.8400000000001</v>
      </c>
      <c r="X73" s="88">
        <f t="shared" si="11"/>
        <v>1334.3400000000001</v>
      </c>
      <c r="Y73" s="88">
        <f t="shared" si="11"/>
        <v>1584.44</v>
      </c>
      <c r="Z73" s="88">
        <f t="shared" si="11"/>
        <v>1560.3400000000001</v>
      </c>
      <c r="AA73" s="88">
        <f t="shared" si="11"/>
        <v>1527.7400000000002</v>
      </c>
      <c r="AB73" s="88">
        <f t="shared" si="11"/>
        <v>1436.44</v>
      </c>
      <c r="AC73" s="88">
        <f t="shared" si="11"/>
        <v>1415.24</v>
      </c>
      <c r="AD73" s="88">
        <f t="shared" si="11"/>
        <v>1370.84</v>
      </c>
      <c r="AE73" s="88">
        <f t="shared" si="11"/>
        <v>1164.44</v>
      </c>
      <c r="AF73" s="88">
        <f t="shared" si="11"/>
        <v>1024.3399999999999</v>
      </c>
      <c r="AG73" s="88">
        <f t="shared" si="11"/>
        <v>2144.14</v>
      </c>
      <c r="AH73" s="53">
        <f t="shared" si="2"/>
        <v>1584.44</v>
      </c>
      <c r="AI73" s="54">
        <f t="shared" si="3"/>
        <v>884.04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955.13999999999987</v>
      </c>
      <c r="C75" s="88">
        <f>C73+C74</f>
        <v>940.74</v>
      </c>
      <c r="D75" s="88">
        <f t="shared" ref="D75:AF75" si="12">D72+D68+D56+D52+D38+D74</f>
        <v>906.33999999999992</v>
      </c>
      <c r="E75" s="88">
        <f t="shared" si="12"/>
        <v>884.04</v>
      </c>
      <c r="F75" s="88">
        <f t="shared" si="12"/>
        <v>911.14</v>
      </c>
      <c r="G75" s="88">
        <f t="shared" si="12"/>
        <v>961.33999999999992</v>
      </c>
      <c r="H75" s="88">
        <f t="shared" si="12"/>
        <v>1012.1399999999999</v>
      </c>
      <c r="I75" s="88">
        <f t="shared" si="12"/>
        <v>1079.6400000000001</v>
      </c>
      <c r="J75" s="88">
        <f t="shared" si="12"/>
        <v>1212.6400000000001</v>
      </c>
      <c r="K75" s="88">
        <f t="shared" si="12"/>
        <v>1441.64</v>
      </c>
      <c r="L75" s="88">
        <f t="shared" si="12"/>
        <v>1487.24</v>
      </c>
      <c r="M75" s="88">
        <f t="shared" si="12"/>
        <v>1482.94</v>
      </c>
      <c r="N75" s="88">
        <f t="shared" si="12"/>
        <v>1432.94</v>
      </c>
      <c r="O75" s="88">
        <f t="shared" si="12"/>
        <v>1304.44</v>
      </c>
      <c r="P75" s="88">
        <f t="shared" si="12"/>
        <v>1335.44</v>
      </c>
      <c r="Q75" s="88">
        <f t="shared" si="12"/>
        <v>1258.1399999999999</v>
      </c>
      <c r="R75" s="88">
        <f t="shared" si="12"/>
        <v>1228.54</v>
      </c>
      <c r="S75" s="88">
        <f t="shared" si="12"/>
        <v>1230.6400000000001</v>
      </c>
      <c r="T75" s="88">
        <f t="shared" si="12"/>
        <v>1215.54</v>
      </c>
      <c r="U75" s="88">
        <f t="shared" si="12"/>
        <v>1207.54</v>
      </c>
      <c r="V75" s="88">
        <f t="shared" si="12"/>
        <v>1039.6400000000001</v>
      </c>
      <c r="W75" s="88">
        <f t="shared" si="12"/>
        <v>1293.8400000000001</v>
      </c>
      <c r="X75" s="88">
        <f t="shared" si="12"/>
        <v>1334.3400000000001</v>
      </c>
      <c r="Y75" s="88">
        <f t="shared" si="12"/>
        <v>1584.44</v>
      </c>
      <c r="Z75" s="88">
        <f t="shared" si="12"/>
        <v>1560.3400000000001</v>
      </c>
      <c r="AA75" s="88">
        <f t="shared" si="12"/>
        <v>1527.7400000000002</v>
      </c>
      <c r="AB75" s="88">
        <f t="shared" si="12"/>
        <v>1436.44</v>
      </c>
      <c r="AC75" s="88">
        <f t="shared" si="12"/>
        <v>1415.24</v>
      </c>
      <c r="AD75" s="88">
        <f t="shared" si="12"/>
        <v>1370.84</v>
      </c>
      <c r="AE75" s="88">
        <f t="shared" si="12"/>
        <v>1164.44</v>
      </c>
      <c r="AF75" s="88">
        <f t="shared" si="12"/>
        <v>1024.3399999999999</v>
      </c>
      <c r="AG75" s="76">
        <f>AG72+AG68+AG56+AG52+AG38+AG74</f>
        <v>2144.14</v>
      </c>
      <c r="AH75" s="53">
        <f t="shared" si="2"/>
        <v>1584.44</v>
      </c>
      <c r="AI75" s="54">
        <f t="shared" si="3"/>
        <v>884.04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3">IF(D60&lt;0,D60*-1,0)</f>
        <v>0</v>
      </c>
      <c r="E76" s="57">
        <f t="shared" si="13"/>
        <v>0</v>
      </c>
      <c r="F76" s="57">
        <f t="shared" si="13"/>
        <v>0</v>
      </c>
      <c r="G76" s="57">
        <f t="shared" si="13"/>
        <v>0</v>
      </c>
      <c r="H76" s="57">
        <f t="shared" si="13"/>
        <v>0</v>
      </c>
      <c r="I76" s="57">
        <f t="shared" si="13"/>
        <v>0</v>
      </c>
      <c r="J76" s="57">
        <f t="shared" si="13"/>
        <v>0</v>
      </c>
      <c r="K76" s="57">
        <f t="shared" si="13"/>
        <v>0</v>
      </c>
      <c r="L76" s="57">
        <f t="shared" si="13"/>
        <v>0</v>
      </c>
      <c r="M76" s="57">
        <f t="shared" si="13"/>
        <v>0</v>
      </c>
      <c r="N76" s="57">
        <f t="shared" si="13"/>
        <v>0</v>
      </c>
      <c r="O76" s="57">
        <f t="shared" si="13"/>
        <v>0</v>
      </c>
      <c r="P76" s="57">
        <f t="shared" si="13"/>
        <v>0</v>
      </c>
      <c r="Q76" s="57">
        <f t="shared" si="13"/>
        <v>0</v>
      </c>
      <c r="R76" s="57">
        <f t="shared" si="13"/>
        <v>0</v>
      </c>
      <c r="S76" s="57">
        <f t="shared" si="13"/>
        <v>0</v>
      </c>
      <c r="T76" s="57">
        <f t="shared" si="13"/>
        <v>0</v>
      </c>
      <c r="U76" s="57">
        <f t="shared" si="13"/>
        <v>0</v>
      </c>
      <c r="V76" s="57">
        <f t="shared" si="13"/>
        <v>0</v>
      </c>
      <c r="W76" s="57">
        <f t="shared" si="13"/>
        <v>0</v>
      </c>
      <c r="X76" s="57">
        <f t="shared" si="13"/>
        <v>0</v>
      </c>
      <c r="Y76" s="57">
        <f t="shared" si="13"/>
        <v>0</v>
      </c>
      <c r="Z76" s="57">
        <f t="shared" si="13"/>
        <v>0</v>
      </c>
      <c r="AA76" s="57">
        <f t="shared" si="13"/>
        <v>0</v>
      </c>
      <c r="AB76" s="57">
        <f t="shared" si="13"/>
        <v>0</v>
      </c>
      <c r="AC76" s="57">
        <f t="shared" si="13"/>
        <v>0</v>
      </c>
      <c r="AD76" s="57">
        <f t="shared" si="13"/>
        <v>0</v>
      </c>
      <c r="AE76" s="57">
        <f t="shared" si="13"/>
        <v>0</v>
      </c>
      <c r="AF76" s="57">
        <f t="shared" si="13"/>
        <v>0</v>
      </c>
      <c r="AG76" s="61"/>
      <c r="AH76" s="53">
        <f t="shared" ref="AH76:AH91" si="14">MAX(B76:AF76)</f>
        <v>0</v>
      </c>
      <c r="AI76" s="54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6">IF(D58&lt;0,D58*-1,0)</f>
        <v>0</v>
      </c>
      <c r="E77" s="57">
        <f t="shared" si="16"/>
        <v>0</v>
      </c>
      <c r="F77" s="57">
        <f t="shared" si="16"/>
        <v>0</v>
      </c>
      <c r="G77" s="57">
        <f t="shared" si="16"/>
        <v>0</v>
      </c>
      <c r="H77" s="57">
        <f t="shared" si="16"/>
        <v>0</v>
      </c>
      <c r="I77" s="57">
        <f t="shared" si="16"/>
        <v>0</v>
      </c>
      <c r="J77" s="57">
        <f t="shared" si="16"/>
        <v>0</v>
      </c>
      <c r="K77" s="57">
        <f t="shared" si="16"/>
        <v>0</v>
      </c>
      <c r="L77" s="57">
        <f t="shared" si="16"/>
        <v>0</v>
      </c>
      <c r="M77" s="57">
        <f t="shared" si="16"/>
        <v>0</v>
      </c>
      <c r="N77" s="57">
        <f t="shared" si="16"/>
        <v>0</v>
      </c>
      <c r="O77" s="57">
        <f t="shared" si="16"/>
        <v>0</v>
      </c>
      <c r="P77" s="57">
        <f t="shared" si="16"/>
        <v>0</v>
      </c>
      <c r="Q77" s="57">
        <f t="shared" si="16"/>
        <v>0</v>
      </c>
      <c r="R77" s="57">
        <f t="shared" si="16"/>
        <v>0</v>
      </c>
      <c r="S77" s="57">
        <f t="shared" si="16"/>
        <v>0</v>
      </c>
      <c r="T77" s="57">
        <f t="shared" si="16"/>
        <v>0</v>
      </c>
      <c r="U77" s="57">
        <f t="shared" si="16"/>
        <v>0</v>
      </c>
      <c r="V77" s="57">
        <f t="shared" si="16"/>
        <v>0</v>
      </c>
      <c r="W77" s="57">
        <f t="shared" si="16"/>
        <v>0</v>
      </c>
      <c r="X77" s="57">
        <f t="shared" si="16"/>
        <v>0</v>
      </c>
      <c r="Y77" s="57">
        <f t="shared" si="16"/>
        <v>0</v>
      </c>
      <c r="Z77" s="57">
        <f t="shared" si="16"/>
        <v>0</v>
      </c>
      <c r="AA77" s="57">
        <f t="shared" si="16"/>
        <v>0</v>
      </c>
      <c r="AB77" s="57">
        <f t="shared" si="16"/>
        <v>0</v>
      </c>
      <c r="AC77" s="57">
        <f t="shared" si="16"/>
        <v>0</v>
      </c>
      <c r="AD77" s="57">
        <f t="shared" si="16"/>
        <v>0</v>
      </c>
      <c r="AE77" s="57">
        <f t="shared" si="16"/>
        <v>0</v>
      </c>
      <c r="AF77" s="57">
        <f t="shared" si="16"/>
        <v>0</v>
      </c>
      <c r="AG77" s="66"/>
      <c r="AH77" s="53">
        <f t="shared" si="14"/>
        <v>0</v>
      </c>
      <c r="AI77" s="54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7">IF(D61&lt;0,D61*-1,0)</f>
        <v>0</v>
      </c>
      <c r="E78" s="57">
        <f t="shared" si="17"/>
        <v>0</v>
      </c>
      <c r="F78" s="57">
        <f t="shared" si="17"/>
        <v>0</v>
      </c>
      <c r="G78" s="57">
        <f t="shared" si="17"/>
        <v>0</v>
      </c>
      <c r="H78" s="57">
        <f t="shared" si="17"/>
        <v>0</v>
      </c>
      <c r="I78" s="57">
        <f t="shared" si="17"/>
        <v>0</v>
      </c>
      <c r="J78" s="57">
        <f t="shared" si="17"/>
        <v>0</v>
      </c>
      <c r="K78" s="57">
        <f t="shared" si="17"/>
        <v>0</v>
      </c>
      <c r="L78" s="57">
        <f t="shared" si="17"/>
        <v>0</v>
      </c>
      <c r="M78" s="57">
        <f t="shared" si="17"/>
        <v>0</v>
      </c>
      <c r="N78" s="57">
        <f t="shared" si="17"/>
        <v>0</v>
      </c>
      <c r="O78" s="57">
        <f t="shared" si="17"/>
        <v>0</v>
      </c>
      <c r="P78" s="57">
        <f t="shared" si="17"/>
        <v>0</v>
      </c>
      <c r="Q78" s="57">
        <f t="shared" si="17"/>
        <v>0</v>
      </c>
      <c r="R78" s="57">
        <f t="shared" si="17"/>
        <v>0</v>
      </c>
      <c r="S78" s="57">
        <f t="shared" si="17"/>
        <v>0</v>
      </c>
      <c r="T78" s="57">
        <f t="shared" si="17"/>
        <v>0</v>
      </c>
      <c r="U78" s="57">
        <f t="shared" si="17"/>
        <v>0</v>
      </c>
      <c r="V78" s="57">
        <f t="shared" si="17"/>
        <v>0</v>
      </c>
      <c r="W78" s="57">
        <f t="shared" si="17"/>
        <v>0</v>
      </c>
      <c r="X78" s="57">
        <f t="shared" si="17"/>
        <v>0</v>
      </c>
      <c r="Y78" s="57">
        <f t="shared" si="17"/>
        <v>0</v>
      </c>
      <c r="Z78" s="57">
        <f t="shared" si="17"/>
        <v>0</v>
      </c>
      <c r="AA78" s="57">
        <f t="shared" si="17"/>
        <v>0</v>
      </c>
      <c r="AB78" s="57">
        <f t="shared" si="17"/>
        <v>0</v>
      </c>
      <c r="AC78" s="57">
        <f t="shared" si="17"/>
        <v>0</v>
      </c>
      <c r="AD78" s="57">
        <f t="shared" si="17"/>
        <v>0</v>
      </c>
      <c r="AE78" s="57">
        <f t="shared" si="17"/>
        <v>0</v>
      </c>
      <c r="AF78" s="57">
        <f t="shared" si="17"/>
        <v>0</v>
      </c>
      <c r="AG78" s="91"/>
      <c r="AH78" s="53">
        <f t="shared" si="14"/>
        <v>0</v>
      </c>
      <c r="AI78" s="54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8">IF(D59&lt;0,D59*-1,0)</f>
        <v>0</v>
      </c>
      <c r="E79" s="57">
        <f t="shared" si="18"/>
        <v>0</v>
      </c>
      <c r="F79" s="57">
        <f t="shared" si="18"/>
        <v>0</v>
      </c>
      <c r="G79" s="57">
        <f t="shared" si="18"/>
        <v>0</v>
      </c>
      <c r="H79" s="57">
        <f t="shared" si="18"/>
        <v>0</v>
      </c>
      <c r="I79" s="57">
        <f t="shared" si="18"/>
        <v>0</v>
      </c>
      <c r="J79" s="57">
        <f t="shared" si="18"/>
        <v>0</v>
      </c>
      <c r="K79" s="57">
        <f t="shared" si="18"/>
        <v>0</v>
      </c>
      <c r="L79" s="57">
        <f t="shared" si="18"/>
        <v>0</v>
      </c>
      <c r="M79" s="57">
        <f t="shared" si="18"/>
        <v>0</v>
      </c>
      <c r="N79" s="57">
        <f t="shared" si="18"/>
        <v>0</v>
      </c>
      <c r="O79" s="57">
        <f t="shared" si="18"/>
        <v>0</v>
      </c>
      <c r="P79" s="57">
        <f t="shared" si="18"/>
        <v>0</v>
      </c>
      <c r="Q79" s="57">
        <f t="shared" si="18"/>
        <v>0</v>
      </c>
      <c r="R79" s="57">
        <f t="shared" si="18"/>
        <v>0</v>
      </c>
      <c r="S79" s="57">
        <f t="shared" si="18"/>
        <v>0</v>
      </c>
      <c r="T79" s="57">
        <f t="shared" si="18"/>
        <v>0</v>
      </c>
      <c r="U79" s="57">
        <f t="shared" si="18"/>
        <v>0</v>
      </c>
      <c r="V79" s="57">
        <f t="shared" si="18"/>
        <v>0</v>
      </c>
      <c r="W79" s="57">
        <f t="shared" si="18"/>
        <v>0</v>
      </c>
      <c r="X79" s="57">
        <f t="shared" si="18"/>
        <v>0</v>
      </c>
      <c r="Y79" s="57">
        <f t="shared" si="18"/>
        <v>0</v>
      </c>
      <c r="Z79" s="57">
        <f t="shared" si="18"/>
        <v>0</v>
      </c>
      <c r="AA79" s="57">
        <f t="shared" si="18"/>
        <v>0</v>
      </c>
      <c r="AB79" s="57">
        <f t="shared" si="18"/>
        <v>0</v>
      </c>
      <c r="AC79" s="57">
        <f t="shared" si="18"/>
        <v>0</v>
      </c>
      <c r="AD79" s="57">
        <f t="shared" si="18"/>
        <v>0</v>
      </c>
      <c r="AE79" s="57">
        <f t="shared" si="18"/>
        <v>0</v>
      </c>
      <c r="AF79" s="57">
        <f t="shared" si="18"/>
        <v>0</v>
      </c>
      <c r="AG79" s="91"/>
      <c r="AH79" s="53">
        <f t="shared" si="14"/>
        <v>0</v>
      </c>
      <c r="AI79" s="54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9">IF(D57&lt;0,D57*-1,0)</f>
        <v>0</v>
      </c>
      <c r="E80" s="57">
        <f t="shared" si="19"/>
        <v>0</v>
      </c>
      <c r="F80" s="57">
        <f t="shared" si="19"/>
        <v>0</v>
      </c>
      <c r="G80" s="57">
        <f t="shared" si="19"/>
        <v>0</v>
      </c>
      <c r="H80" s="57">
        <f t="shared" si="19"/>
        <v>0</v>
      </c>
      <c r="I80" s="57">
        <f t="shared" si="19"/>
        <v>0</v>
      </c>
      <c r="J80" s="57">
        <f t="shared" si="19"/>
        <v>0</v>
      </c>
      <c r="K80" s="57">
        <f t="shared" si="19"/>
        <v>0</v>
      </c>
      <c r="L80" s="57">
        <f t="shared" si="19"/>
        <v>0</v>
      </c>
      <c r="M80" s="57">
        <f t="shared" si="19"/>
        <v>0</v>
      </c>
      <c r="N80" s="57">
        <f t="shared" si="19"/>
        <v>0</v>
      </c>
      <c r="O80" s="57">
        <f t="shared" si="19"/>
        <v>0</v>
      </c>
      <c r="P80" s="57">
        <f t="shared" si="19"/>
        <v>0</v>
      </c>
      <c r="Q80" s="57">
        <f t="shared" si="19"/>
        <v>0</v>
      </c>
      <c r="R80" s="57">
        <f t="shared" si="19"/>
        <v>0</v>
      </c>
      <c r="S80" s="57">
        <f t="shared" si="19"/>
        <v>0</v>
      </c>
      <c r="T80" s="57">
        <f t="shared" si="19"/>
        <v>0</v>
      </c>
      <c r="U80" s="57">
        <f t="shared" si="19"/>
        <v>0</v>
      </c>
      <c r="V80" s="57">
        <f t="shared" si="19"/>
        <v>0</v>
      </c>
      <c r="W80" s="57">
        <f t="shared" si="19"/>
        <v>0</v>
      </c>
      <c r="X80" s="57">
        <f t="shared" si="19"/>
        <v>0</v>
      </c>
      <c r="Y80" s="57">
        <f t="shared" si="19"/>
        <v>0</v>
      </c>
      <c r="Z80" s="57">
        <f t="shared" si="19"/>
        <v>0</v>
      </c>
      <c r="AA80" s="57">
        <f t="shared" si="19"/>
        <v>0</v>
      </c>
      <c r="AB80" s="57">
        <f t="shared" si="19"/>
        <v>0</v>
      </c>
      <c r="AC80" s="57">
        <f t="shared" si="19"/>
        <v>0</v>
      </c>
      <c r="AD80" s="57">
        <f t="shared" si="19"/>
        <v>0</v>
      </c>
      <c r="AE80" s="57">
        <f t="shared" si="19"/>
        <v>0</v>
      </c>
      <c r="AF80" s="57">
        <f t="shared" si="19"/>
        <v>0</v>
      </c>
      <c r="AG80" s="91"/>
      <c r="AH80" s="53">
        <f t="shared" si="14"/>
        <v>0</v>
      </c>
      <c r="AI80" s="54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4"/>
        <v>0</v>
      </c>
      <c r="AI81" s="54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20">SUM(C76:C81)</f>
        <v>0</v>
      </c>
      <c r="D82" s="71">
        <f t="shared" si="20"/>
        <v>0</v>
      </c>
      <c r="E82" s="71">
        <f t="shared" si="20"/>
        <v>0</v>
      </c>
      <c r="F82" s="71">
        <f t="shared" si="20"/>
        <v>0</v>
      </c>
      <c r="G82" s="71">
        <f t="shared" si="20"/>
        <v>0</v>
      </c>
      <c r="H82" s="71">
        <f t="shared" si="20"/>
        <v>0</v>
      </c>
      <c r="I82" s="71">
        <f t="shared" si="20"/>
        <v>0</v>
      </c>
      <c r="J82" s="71">
        <f t="shared" si="20"/>
        <v>0</v>
      </c>
      <c r="K82" s="71">
        <f t="shared" si="20"/>
        <v>0</v>
      </c>
      <c r="L82" s="71">
        <f t="shared" si="20"/>
        <v>0</v>
      </c>
      <c r="M82" s="71">
        <f t="shared" si="20"/>
        <v>0</v>
      </c>
      <c r="N82" s="71">
        <f t="shared" si="20"/>
        <v>0</v>
      </c>
      <c r="O82" s="71">
        <f t="shared" si="20"/>
        <v>0</v>
      </c>
      <c r="P82" s="71">
        <f t="shared" si="20"/>
        <v>0</v>
      </c>
      <c r="Q82" s="71">
        <f t="shared" si="20"/>
        <v>0</v>
      </c>
      <c r="R82" s="71">
        <f t="shared" si="20"/>
        <v>0</v>
      </c>
      <c r="S82" s="71">
        <f t="shared" si="20"/>
        <v>0</v>
      </c>
      <c r="T82" s="71">
        <f t="shared" si="20"/>
        <v>0</v>
      </c>
      <c r="U82" s="71">
        <f t="shared" si="20"/>
        <v>0</v>
      </c>
      <c r="V82" s="71">
        <f t="shared" si="20"/>
        <v>0</v>
      </c>
      <c r="W82" s="71">
        <f t="shared" si="20"/>
        <v>0</v>
      </c>
      <c r="X82" s="71">
        <f t="shared" si="20"/>
        <v>0</v>
      </c>
      <c r="Y82" s="71">
        <f t="shared" si="20"/>
        <v>0</v>
      </c>
      <c r="Z82" s="71">
        <f t="shared" si="20"/>
        <v>0</v>
      </c>
      <c r="AA82" s="71">
        <f t="shared" si="20"/>
        <v>0</v>
      </c>
      <c r="AB82" s="71">
        <f t="shared" si="20"/>
        <v>0</v>
      </c>
      <c r="AC82" s="71">
        <f t="shared" si="20"/>
        <v>0</v>
      </c>
      <c r="AD82" s="71">
        <f t="shared" si="20"/>
        <v>0</v>
      </c>
      <c r="AE82" s="71">
        <f t="shared" si="20"/>
        <v>0</v>
      </c>
      <c r="AF82" s="71">
        <f t="shared" si="20"/>
        <v>0</v>
      </c>
      <c r="AG82" s="76">
        <f t="shared" si="20"/>
        <v>0</v>
      </c>
      <c r="AH82" s="53">
        <f t="shared" si="14"/>
        <v>0</v>
      </c>
      <c r="AI82" s="54">
        <f t="shared" si="15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1910.2799999999997</v>
      </c>
      <c r="C83" s="71">
        <f t="shared" ref="C83:AG83" si="21">SUM(C70:C82)</f>
        <v>1881.48</v>
      </c>
      <c r="D83" s="71">
        <f t="shared" si="21"/>
        <v>1812.6799999999998</v>
      </c>
      <c r="E83" s="71">
        <f t="shared" si="21"/>
        <v>1768.08</v>
      </c>
      <c r="F83" s="71">
        <f t="shared" si="21"/>
        <v>1822.28</v>
      </c>
      <c r="G83" s="71">
        <f t="shared" si="21"/>
        <v>1922.6799999999998</v>
      </c>
      <c r="H83" s="71">
        <f t="shared" si="21"/>
        <v>2024.2799999999997</v>
      </c>
      <c r="I83" s="71">
        <f t="shared" si="21"/>
        <v>2159.2800000000002</v>
      </c>
      <c r="J83" s="71">
        <f t="shared" si="21"/>
        <v>2425.2800000000002</v>
      </c>
      <c r="K83" s="71">
        <f t="shared" si="21"/>
        <v>2883.28</v>
      </c>
      <c r="L83" s="71">
        <f t="shared" si="21"/>
        <v>2974.48</v>
      </c>
      <c r="M83" s="71">
        <f t="shared" si="21"/>
        <v>2965.88</v>
      </c>
      <c r="N83" s="71">
        <f t="shared" si="21"/>
        <v>2865.88</v>
      </c>
      <c r="O83" s="71">
        <f t="shared" si="21"/>
        <v>2608.88</v>
      </c>
      <c r="P83" s="71">
        <f t="shared" si="21"/>
        <v>2670.88</v>
      </c>
      <c r="Q83" s="71">
        <f t="shared" si="21"/>
        <v>2516.2799999999997</v>
      </c>
      <c r="R83" s="71">
        <f t="shared" si="21"/>
        <v>2457.08</v>
      </c>
      <c r="S83" s="71">
        <f t="shared" si="21"/>
        <v>2461.2800000000002</v>
      </c>
      <c r="T83" s="71">
        <f t="shared" si="21"/>
        <v>2431.08</v>
      </c>
      <c r="U83" s="71">
        <f t="shared" si="21"/>
        <v>2415.08</v>
      </c>
      <c r="V83" s="71">
        <f t="shared" si="21"/>
        <v>2079.2800000000002</v>
      </c>
      <c r="W83" s="71">
        <f t="shared" si="21"/>
        <v>2587.6800000000003</v>
      </c>
      <c r="X83" s="71">
        <f t="shared" si="21"/>
        <v>2668.6800000000003</v>
      </c>
      <c r="Y83" s="71">
        <f t="shared" si="21"/>
        <v>3185.88</v>
      </c>
      <c r="Z83" s="71">
        <f t="shared" si="21"/>
        <v>3120.6800000000003</v>
      </c>
      <c r="AA83" s="71">
        <f t="shared" si="21"/>
        <v>3055.4800000000005</v>
      </c>
      <c r="AB83" s="71">
        <f t="shared" si="21"/>
        <v>2872.88</v>
      </c>
      <c r="AC83" s="71">
        <f t="shared" si="21"/>
        <v>2830.48</v>
      </c>
      <c r="AD83" s="71">
        <f t="shared" si="21"/>
        <v>2741.68</v>
      </c>
      <c r="AE83" s="71">
        <f t="shared" si="21"/>
        <v>2328.88</v>
      </c>
      <c r="AF83" s="71">
        <f t="shared" si="21"/>
        <v>2048.6799999999998</v>
      </c>
      <c r="AG83" s="76">
        <f t="shared" si="21"/>
        <v>4360.08</v>
      </c>
      <c r="AH83" s="53">
        <f t="shared" si="14"/>
        <v>3185.88</v>
      </c>
      <c r="AI83" s="54">
        <f t="shared" si="15"/>
        <v>1768.08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>
        <v>50.03</v>
      </c>
      <c r="C84" s="95">
        <v>49.951999999999998</v>
      </c>
      <c r="D84" s="95">
        <v>50.072000000000003</v>
      </c>
      <c r="E84" s="95">
        <v>50.042999999999999</v>
      </c>
      <c r="F84" s="95">
        <v>50.03</v>
      </c>
      <c r="G84" s="95">
        <v>50.116999999999997</v>
      </c>
      <c r="H84" s="95">
        <v>50.05</v>
      </c>
      <c r="I84" s="95">
        <v>49.973999999999997</v>
      </c>
      <c r="J84" s="95">
        <v>50.057000000000002</v>
      </c>
      <c r="K84" s="95">
        <v>49.959000000000003</v>
      </c>
      <c r="L84" s="95">
        <v>49.993000000000002</v>
      </c>
      <c r="M84" s="95">
        <v>50.02</v>
      </c>
      <c r="N84" s="95">
        <v>50.02</v>
      </c>
      <c r="O84" s="95">
        <v>50.02</v>
      </c>
      <c r="P84" s="95">
        <v>50.05</v>
      </c>
      <c r="Q84" s="95">
        <v>49.97</v>
      </c>
      <c r="R84" s="95">
        <v>50.06</v>
      </c>
      <c r="S84" s="95">
        <v>50.02</v>
      </c>
      <c r="T84" s="95">
        <v>50.045999999999999</v>
      </c>
      <c r="U84" s="95">
        <v>49.837000000000003</v>
      </c>
      <c r="V84" s="95">
        <v>50.055</v>
      </c>
      <c r="W84" s="95">
        <v>50.094999999999999</v>
      </c>
      <c r="X84" s="95">
        <v>50.066000000000003</v>
      </c>
      <c r="Y84" s="95">
        <v>49.973999999999997</v>
      </c>
      <c r="Z84" s="95">
        <v>49.881</v>
      </c>
      <c r="AA84" s="95">
        <v>49.866</v>
      </c>
      <c r="AB84" s="95">
        <v>49.892000000000003</v>
      </c>
      <c r="AC84" s="95">
        <v>49.96</v>
      </c>
      <c r="AD84" s="95">
        <v>49.96</v>
      </c>
      <c r="AE84" s="95">
        <v>50.033999999999999</v>
      </c>
      <c r="AF84" s="95">
        <v>50.027000000000001</v>
      </c>
      <c r="AG84" s="96"/>
      <c r="AH84" s="53">
        <f t="shared" si="14"/>
        <v>50.116999999999997</v>
      </c>
      <c r="AI84" s="54">
        <f t="shared" si="15"/>
        <v>49.837000000000003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>
        <v>126.2</v>
      </c>
      <c r="C85" s="72">
        <v>127.1</v>
      </c>
      <c r="D85" s="72">
        <v>127.2</v>
      </c>
      <c r="E85" s="72">
        <v>125.4</v>
      </c>
      <c r="F85" s="72">
        <v>125.7</v>
      </c>
      <c r="G85" s="72">
        <v>123.6</v>
      </c>
      <c r="H85" s="72">
        <v>124.8</v>
      </c>
      <c r="I85" s="72">
        <v>124.6</v>
      </c>
      <c r="J85" s="72">
        <v>123.2</v>
      </c>
      <c r="K85" s="72">
        <v>123.4</v>
      </c>
      <c r="L85" s="72">
        <v>121.5</v>
      </c>
      <c r="M85" s="72">
        <v>122.4</v>
      </c>
      <c r="N85" s="72">
        <v>122.4</v>
      </c>
      <c r="O85" s="72">
        <v>123.3</v>
      </c>
      <c r="P85" s="72">
        <v>123.9</v>
      </c>
      <c r="Q85" s="72">
        <v>124.5</v>
      </c>
      <c r="R85" s="72">
        <v>124.7</v>
      </c>
      <c r="S85" s="72">
        <v>124.6</v>
      </c>
      <c r="T85" s="72">
        <v>124.8</v>
      </c>
      <c r="U85" s="99">
        <v>125.1</v>
      </c>
      <c r="V85" s="99">
        <v>125.5</v>
      </c>
      <c r="W85" s="99">
        <v>124.8</v>
      </c>
      <c r="X85" s="99">
        <v>124.4</v>
      </c>
      <c r="Y85" s="99">
        <v>124.1</v>
      </c>
      <c r="Z85" s="99">
        <v>123.9</v>
      </c>
      <c r="AA85" s="99">
        <v>124.8</v>
      </c>
      <c r="AB85" s="72">
        <v>126.6</v>
      </c>
      <c r="AC85" s="72">
        <v>126.2</v>
      </c>
      <c r="AD85" s="72">
        <v>126.2</v>
      </c>
      <c r="AE85" s="72">
        <v>127.1</v>
      </c>
      <c r="AF85" s="72">
        <v>125.2</v>
      </c>
      <c r="AG85" s="100"/>
      <c r="AH85" s="53">
        <f t="shared" si="14"/>
        <v>127.2</v>
      </c>
      <c r="AI85" s="54">
        <f t="shared" si="15"/>
        <v>121.5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>
        <v>130.4</v>
      </c>
      <c r="C86" s="72">
        <v>130.69999999999999</v>
      </c>
      <c r="D86" s="72">
        <v>131.19999999999999</v>
      </c>
      <c r="E86" s="72">
        <v>129.5</v>
      </c>
      <c r="F86" s="72">
        <v>130</v>
      </c>
      <c r="G86" s="72">
        <v>128.19999999999999</v>
      </c>
      <c r="H86" s="72">
        <v>128.69999999999999</v>
      </c>
      <c r="I86" s="72">
        <v>128.5</v>
      </c>
      <c r="J86" s="72">
        <v>126.8</v>
      </c>
      <c r="K86" s="72">
        <v>125.4</v>
      </c>
      <c r="L86" s="72">
        <v>124.1</v>
      </c>
      <c r="M86" s="72">
        <v>124.8</v>
      </c>
      <c r="N86" s="72">
        <v>124</v>
      </c>
      <c r="O86" s="72">
        <v>126.1</v>
      </c>
      <c r="P86" s="72">
        <v>126.8</v>
      </c>
      <c r="Q86" s="72">
        <v>127.2</v>
      </c>
      <c r="R86" s="72">
        <v>127.5</v>
      </c>
      <c r="S86" s="72">
        <v>127.9</v>
      </c>
      <c r="T86" s="72">
        <v>127.6</v>
      </c>
      <c r="U86" s="99">
        <v>127.9</v>
      </c>
      <c r="V86" s="99">
        <v>127.8</v>
      </c>
      <c r="W86" s="99">
        <v>127.4</v>
      </c>
      <c r="X86" s="99">
        <v>126</v>
      </c>
      <c r="Y86" s="99">
        <v>125.9</v>
      </c>
      <c r="Z86" s="99">
        <v>125.8</v>
      </c>
      <c r="AA86" s="99">
        <v>127</v>
      </c>
      <c r="AB86" s="72">
        <v>128.80000000000001</v>
      </c>
      <c r="AC86" s="72">
        <v>128.1</v>
      </c>
      <c r="AD86" s="72">
        <v>128.1</v>
      </c>
      <c r="AE86" s="72">
        <v>129.5</v>
      </c>
      <c r="AF86" s="72">
        <v>129</v>
      </c>
      <c r="AG86" s="100"/>
      <c r="AH86" s="53">
        <f t="shared" si="14"/>
        <v>131.19999999999999</v>
      </c>
      <c r="AI86" s="54">
        <f t="shared" si="15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>
        <v>128.5</v>
      </c>
      <c r="C87" s="72">
        <v>129.4</v>
      </c>
      <c r="D87" s="72">
        <v>130.1</v>
      </c>
      <c r="E87" s="72">
        <v>129.19999999999999</v>
      </c>
      <c r="F87" s="72">
        <v>129.4</v>
      </c>
      <c r="G87" s="72">
        <v>128.30000000000001</v>
      </c>
      <c r="H87" s="72">
        <v>128.5</v>
      </c>
      <c r="I87" s="72">
        <v>128</v>
      </c>
      <c r="J87" s="72">
        <v>127.1</v>
      </c>
      <c r="K87" s="72">
        <v>123.5</v>
      </c>
      <c r="L87" s="72">
        <v>125.4</v>
      </c>
      <c r="M87" s="72">
        <v>124.1</v>
      </c>
      <c r="N87" s="72">
        <v>124.1</v>
      </c>
      <c r="O87" s="72">
        <v>130.69999999999999</v>
      </c>
      <c r="P87" s="72">
        <v>126.6</v>
      </c>
      <c r="Q87" s="72">
        <v>129.80000000000001</v>
      </c>
      <c r="R87" s="72">
        <v>129.5</v>
      </c>
      <c r="S87" s="72">
        <v>129</v>
      </c>
      <c r="T87" s="72">
        <v>129.19999999999999</v>
      </c>
      <c r="U87" s="72">
        <v>128.80000000000001</v>
      </c>
      <c r="V87" s="72">
        <v>129.69999999999999</v>
      </c>
      <c r="W87" s="72">
        <v>129.30000000000001</v>
      </c>
      <c r="X87" s="99">
        <v>126.1</v>
      </c>
      <c r="Y87" s="99">
        <v>129</v>
      </c>
      <c r="Z87" s="99">
        <v>129</v>
      </c>
      <c r="AA87" s="99">
        <v>129.19999999999999</v>
      </c>
      <c r="AB87" s="72">
        <v>130.80000000000001</v>
      </c>
      <c r="AC87" s="72">
        <v>128.19999999999999</v>
      </c>
      <c r="AD87" s="72">
        <v>128.19999999999999</v>
      </c>
      <c r="AE87" s="72">
        <v>127.7</v>
      </c>
      <c r="AF87" s="72">
        <v>129.80000000000001</v>
      </c>
      <c r="AG87" s="100"/>
      <c r="AH87" s="53">
        <f t="shared" si="14"/>
        <v>130.80000000000001</v>
      </c>
      <c r="AI87" s="54">
        <f t="shared" si="15"/>
        <v>123.5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>
        <v>130.69999999999999</v>
      </c>
      <c r="C88" s="72">
        <v>131.6</v>
      </c>
      <c r="D88" s="72">
        <v>132.5</v>
      </c>
      <c r="E88" s="72">
        <v>131.6</v>
      </c>
      <c r="F88" s="72">
        <v>131.69999999999999</v>
      </c>
      <c r="G88" s="72">
        <v>130.30000000000001</v>
      </c>
      <c r="H88" s="72">
        <v>130.4</v>
      </c>
      <c r="I88" s="72">
        <v>129.6</v>
      </c>
      <c r="J88" s="72">
        <v>131.1</v>
      </c>
      <c r="K88" s="72">
        <v>126.3</v>
      </c>
      <c r="L88" s="72">
        <v>129.6</v>
      </c>
      <c r="M88" s="72">
        <v>128.4</v>
      </c>
      <c r="N88" s="72">
        <v>128.4</v>
      </c>
      <c r="O88" s="72">
        <v>134.6</v>
      </c>
      <c r="P88" s="72">
        <v>131.5</v>
      </c>
      <c r="Q88" s="72">
        <v>133.69999999999999</v>
      </c>
      <c r="R88" s="72">
        <v>133.30000000000001</v>
      </c>
      <c r="S88" s="72">
        <v>132.30000000000001</v>
      </c>
      <c r="T88" s="72">
        <v>132.30000000000001</v>
      </c>
      <c r="U88" s="72">
        <v>132.1</v>
      </c>
      <c r="V88" s="72">
        <v>132.80000000000001</v>
      </c>
      <c r="W88" s="72">
        <v>132.30000000000001</v>
      </c>
      <c r="X88" s="99">
        <v>128.80000000000001</v>
      </c>
      <c r="Y88" s="99">
        <v>133.9</v>
      </c>
      <c r="Z88" s="99">
        <v>134</v>
      </c>
      <c r="AA88" s="99">
        <v>132.69999999999999</v>
      </c>
      <c r="AB88" s="72">
        <v>132.6</v>
      </c>
      <c r="AC88" s="72">
        <v>130.69999999999999</v>
      </c>
      <c r="AD88" s="72">
        <v>130.69999999999999</v>
      </c>
      <c r="AE88" s="72">
        <v>129.9</v>
      </c>
      <c r="AF88" s="72">
        <v>131.9</v>
      </c>
      <c r="AG88" s="100"/>
      <c r="AH88" s="53">
        <f t="shared" si="14"/>
        <v>134.6</v>
      </c>
      <c r="AI88" s="54">
        <f t="shared" si="15"/>
        <v>126.3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>
        <v>131.69999999999999</v>
      </c>
      <c r="C89" s="103">
        <v>128.69999999999999</v>
      </c>
      <c r="D89" s="103">
        <v>131.1</v>
      </c>
      <c r="E89" s="103">
        <v>127.8</v>
      </c>
      <c r="F89" s="103">
        <v>126.6</v>
      </c>
      <c r="G89" s="103">
        <v>125.6</v>
      </c>
      <c r="H89" s="103">
        <v>130.19999999999999</v>
      </c>
      <c r="I89" s="103">
        <v>133.19999999999999</v>
      </c>
      <c r="J89" s="103">
        <v>133.69999999999999</v>
      </c>
      <c r="K89" s="103">
        <v>128.6</v>
      </c>
      <c r="L89" s="103">
        <v>132.6</v>
      </c>
      <c r="M89" s="103">
        <v>133.4</v>
      </c>
      <c r="N89" s="103">
        <v>132.80000000000001</v>
      </c>
      <c r="O89" s="103">
        <v>135</v>
      </c>
      <c r="P89" s="103">
        <v>134.1</v>
      </c>
      <c r="Q89" s="103">
        <v>134.69999999999999</v>
      </c>
      <c r="R89" s="103">
        <v>134.5</v>
      </c>
      <c r="S89" s="103">
        <v>131.19999999999999</v>
      </c>
      <c r="T89" s="103">
        <v>132.69999999999999</v>
      </c>
      <c r="U89" s="103">
        <v>133.19999999999999</v>
      </c>
      <c r="V89" s="103">
        <v>131.6</v>
      </c>
      <c r="W89" s="103">
        <v>131.4</v>
      </c>
      <c r="X89" s="99">
        <v>128.6</v>
      </c>
      <c r="Y89" s="99">
        <v>131.19999999999999</v>
      </c>
      <c r="Z89" s="99">
        <v>131.19999999999999</v>
      </c>
      <c r="AA89" s="99">
        <v>134.30000000000001</v>
      </c>
      <c r="AB89" s="103">
        <v>136.5</v>
      </c>
      <c r="AC89" s="103">
        <v>135.1</v>
      </c>
      <c r="AD89" s="103">
        <v>135.1</v>
      </c>
      <c r="AE89" s="103">
        <v>129.30000000000001</v>
      </c>
      <c r="AF89" s="103">
        <v>129.19999999999999</v>
      </c>
      <c r="AG89" s="104"/>
      <c r="AH89" s="53">
        <f t="shared" si="14"/>
        <v>136.5</v>
      </c>
      <c r="AI89" s="54">
        <f t="shared" si="15"/>
        <v>125.6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>
        <v>139.4</v>
      </c>
      <c r="C90" s="72">
        <v>136.30000000000001</v>
      </c>
      <c r="D90" s="72">
        <v>137.80000000000001</v>
      </c>
      <c r="E90" s="72">
        <v>138</v>
      </c>
      <c r="F90" s="72">
        <v>135.5</v>
      </c>
      <c r="G90" s="72">
        <v>137</v>
      </c>
      <c r="H90" s="72">
        <v>135</v>
      </c>
      <c r="I90" s="72">
        <v>131.69999999999999</v>
      </c>
      <c r="J90" s="72">
        <v>134.30000000000001</v>
      </c>
      <c r="K90" s="72">
        <v>130.9</v>
      </c>
      <c r="L90" s="72">
        <v>129.6</v>
      </c>
      <c r="M90" s="72">
        <v>132.30000000000001</v>
      </c>
      <c r="N90" s="72">
        <v>132.30000000000001</v>
      </c>
      <c r="O90" s="72">
        <v>134.69999999999999</v>
      </c>
      <c r="P90" s="72">
        <v>131.4</v>
      </c>
      <c r="Q90" s="72">
        <v>132.5</v>
      </c>
      <c r="R90" s="72">
        <v>131.69999999999999</v>
      </c>
      <c r="S90" s="72">
        <v>133.30000000000001</v>
      </c>
      <c r="T90" s="72">
        <v>132.1</v>
      </c>
      <c r="U90" s="72">
        <v>128.5</v>
      </c>
      <c r="V90" s="72">
        <v>133.9</v>
      </c>
      <c r="W90" s="72">
        <v>134.69999999999999</v>
      </c>
      <c r="X90" s="99">
        <v>132</v>
      </c>
      <c r="Y90" s="99">
        <v>132.30000000000001</v>
      </c>
      <c r="Z90" s="99">
        <v>131.80000000000001</v>
      </c>
      <c r="AA90" s="99">
        <v>136</v>
      </c>
      <c r="AB90" s="72">
        <v>136.5</v>
      </c>
      <c r="AC90" s="72">
        <v>131.9</v>
      </c>
      <c r="AD90" s="72">
        <v>131.9</v>
      </c>
      <c r="AE90" s="72">
        <v>137.9</v>
      </c>
      <c r="AF90" s="72">
        <v>134.19999999999999</v>
      </c>
      <c r="AG90" s="100"/>
      <c r="AH90" s="53">
        <f t="shared" si="14"/>
        <v>139.4</v>
      </c>
      <c r="AI90" s="54">
        <f t="shared" si="15"/>
        <v>128.5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>
        <v>66</v>
      </c>
      <c r="C91" s="106">
        <v>66.099999999999994</v>
      </c>
      <c r="D91" s="106">
        <v>66.5</v>
      </c>
      <c r="E91" s="106">
        <v>65.900000000000006</v>
      </c>
      <c r="F91" s="106">
        <v>66</v>
      </c>
      <c r="G91" s="106">
        <v>64.900000000000006</v>
      </c>
      <c r="H91" s="106">
        <v>65.2</v>
      </c>
      <c r="I91" s="106">
        <v>65</v>
      </c>
      <c r="J91" s="106">
        <v>64.599999999999994</v>
      </c>
      <c r="K91" s="106">
        <v>63.7</v>
      </c>
      <c r="L91" s="106">
        <v>63.2</v>
      </c>
      <c r="M91" s="106">
        <v>63.4</v>
      </c>
      <c r="N91" s="106">
        <v>64</v>
      </c>
      <c r="O91" s="106">
        <v>64.099999999999994</v>
      </c>
      <c r="P91" s="106">
        <v>64.099999999999994</v>
      </c>
      <c r="Q91" s="106">
        <v>63.9</v>
      </c>
      <c r="R91" s="106">
        <v>64</v>
      </c>
      <c r="S91" s="106">
        <v>63.3</v>
      </c>
      <c r="T91" s="106">
        <v>64.599999999999994</v>
      </c>
      <c r="U91" s="106">
        <v>64.599999999999994</v>
      </c>
      <c r="V91" s="106">
        <v>64.8</v>
      </c>
      <c r="W91" s="106">
        <v>64.8</v>
      </c>
      <c r="X91" s="106">
        <v>63.7</v>
      </c>
      <c r="Y91" s="106">
        <v>63.9</v>
      </c>
      <c r="Z91" s="106">
        <v>64</v>
      </c>
      <c r="AA91" s="106">
        <v>64.599999999999994</v>
      </c>
      <c r="AB91" s="106">
        <v>64.900000000000006</v>
      </c>
      <c r="AC91" s="106">
        <v>64.8</v>
      </c>
      <c r="AD91" s="106">
        <v>64.8</v>
      </c>
      <c r="AE91" s="106">
        <v>65.900000000000006</v>
      </c>
      <c r="AF91" s="106">
        <v>65.400000000000006</v>
      </c>
      <c r="AG91" s="107"/>
      <c r="AH91" s="53">
        <f t="shared" si="14"/>
        <v>66.5</v>
      </c>
      <c r="AI91" s="54">
        <f t="shared" si="15"/>
        <v>63.2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201.94</v>
      </c>
      <c r="C93" s="113">
        <f>SUM(C15,C18,C21:C22,C42,C44:C45,C47,C49,C94:C97,C102,C108,C114,C123,C125,C137,C144,C147:C148,C155,C157,C159,C163:C165,C167:C169,C174,C180:C181,C183:C185,C193,C198)</f>
        <v>190.64</v>
      </c>
      <c r="D93" s="113">
        <f t="shared" ref="D93:AF93" si="22">SUM(D15,D18,D21:D22,D42,D44:D45,D47,D49,D94:D97,D102,D108,D114,D123,D125,D137,D144,D147:D148,D155,D157,D159,D163:D165,D167:D169,D174,D180:D181,D183:D185,D193,D198)</f>
        <v>181.64</v>
      </c>
      <c r="E93" s="113">
        <f t="shared" si="22"/>
        <v>179.44</v>
      </c>
      <c r="F93" s="113">
        <f t="shared" si="22"/>
        <v>185.43999999999997</v>
      </c>
      <c r="G93" s="112">
        <f t="shared" si="22"/>
        <v>205.43999999999997</v>
      </c>
      <c r="H93" s="112">
        <f t="shared" si="22"/>
        <v>226.73999999999998</v>
      </c>
      <c r="I93" s="112">
        <f t="shared" si="22"/>
        <v>261.34000000000003</v>
      </c>
      <c r="J93" s="112">
        <f t="shared" si="22"/>
        <v>315.44000000000005</v>
      </c>
      <c r="K93" s="112">
        <f t="shared" si="22"/>
        <v>376.94000000000005</v>
      </c>
      <c r="L93" s="112">
        <f t="shared" si="22"/>
        <v>409.34000000000003</v>
      </c>
      <c r="M93" s="112">
        <f t="shared" si="22"/>
        <v>430.74</v>
      </c>
      <c r="N93" s="112">
        <f t="shared" si="22"/>
        <v>412.74</v>
      </c>
      <c r="O93" s="112">
        <f t="shared" si="22"/>
        <v>409.04</v>
      </c>
      <c r="P93" s="112">
        <f t="shared" si="22"/>
        <v>379.04</v>
      </c>
      <c r="Q93" s="112">
        <f t="shared" si="22"/>
        <v>356.94000000000005</v>
      </c>
      <c r="R93" s="112">
        <f t="shared" si="22"/>
        <v>352.74</v>
      </c>
      <c r="S93" s="112">
        <f t="shared" si="22"/>
        <v>351.34000000000003</v>
      </c>
      <c r="T93" s="112">
        <f t="shared" si="22"/>
        <v>353.44000000000005</v>
      </c>
      <c r="U93" s="112">
        <f t="shared" si="22"/>
        <v>355.44</v>
      </c>
      <c r="V93" s="112">
        <f t="shared" si="22"/>
        <v>358.84000000000003</v>
      </c>
      <c r="W93" s="112">
        <f t="shared" si="22"/>
        <v>372.24000000000007</v>
      </c>
      <c r="X93" s="112">
        <f t="shared" si="22"/>
        <v>418.44000000000005</v>
      </c>
      <c r="Y93" s="112">
        <f t="shared" si="22"/>
        <v>477.24</v>
      </c>
      <c r="Z93" s="112">
        <f t="shared" si="22"/>
        <v>473.34000000000003</v>
      </c>
      <c r="AA93" s="112">
        <f t="shared" si="22"/>
        <v>460.34000000000003</v>
      </c>
      <c r="AB93" s="112">
        <f t="shared" si="22"/>
        <v>443.34000000000003</v>
      </c>
      <c r="AC93" s="112">
        <f t="shared" si="22"/>
        <v>418.64</v>
      </c>
      <c r="AD93" s="112">
        <f t="shared" si="22"/>
        <v>419.64</v>
      </c>
      <c r="AE93" s="112">
        <f t="shared" si="22"/>
        <v>314.01000000000005</v>
      </c>
      <c r="AF93" s="112">
        <f t="shared" si="22"/>
        <v>245.64</v>
      </c>
      <c r="AG93" s="114"/>
      <c r="AH93" s="53">
        <f>MAX(C93:AF93)</f>
        <v>477.24</v>
      </c>
      <c r="AI93" s="54">
        <f>MIN(C93:AF93)</f>
        <v>179.44</v>
      </c>
    </row>
    <row r="94" spans="1:88" x14ac:dyDescent="0.25">
      <c r="A94" s="115" t="s">
        <v>98</v>
      </c>
      <c r="B94" s="116">
        <v>-5</v>
      </c>
      <c r="C94" s="57">
        <v>-21</v>
      </c>
      <c r="D94" s="57">
        <v>-18</v>
      </c>
      <c r="E94" s="57">
        <v>-21.7</v>
      </c>
      <c r="F94" s="57">
        <v>-31.3</v>
      </c>
      <c r="G94" s="117">
        <v>-21</v>
      </c>
      <c r="H94" s="117">
        <v>-0.9</v>
      </c>
      <c r="I94" s="117">
        <v>13.4</v>
      </c>
      <c r="J94" s="117">
        <v>48.6</v>
      </c>
      <c r="K94" s="117">
        <v>43.3</v>
      </c>
      <c r="L94" s="117">
        <v>42.3</v>
      </c>
      <c r="M94" s="118">
        <v>52</v>
      </c>
      <c r="N94" s="118">
        <v>61.5</v>
      </c>
      <c r="O94" s="117">
        <v>52.5</v>
      </c>
      <c r="P94" s="117">
        <v>59.6</v>
      </c>
      <c r="Q94" s="117">
        <v>49.2</v>
      </c>
      <c r="R94" s="117">
        <v>37</v>
      </c>
      <c r="S94" s="117">
        <v>34.700000000000003</v>
      </c>
      <c r="T94" s="117">
        <v>40.6</v>
      </c>
      <c r="U94" s="118">
        <v>30.5</v>
      </c>
      <c r="V94" s="118">
        <v>30.8</v>
      </c>
      <c r="W94" s="118">
        <v>24.5</v>
      </c>
      <c r="X94" s="117">
        <v>52.5</v>
      </c>
      <c r="Y94" s="117">
        <v>50.7</v>
      </c>
      <c r="Z94" s="117">
        <v>53.1</v>
      </c>
      <c r="AA94" s="117">
        <v>61</v>
      </c>
      <c r="AB94" s="118">
        <v>66.900000000000006</v>
      </c>
      <c r="AC94" s="118">
        <v>53.2</v>
      </c>
      <c r="AD94" s="118">
        <v>54.2</v>
      </c>
      <c r="AE94" s="118">
        <v>5.7</v>
      </c>
      <c r="AF94" s="118">
        <v>-2</v>
      </c>
      <c r="AG94" s="119">
        <v>75</v>
      </c>
      <c r="AH94" s="53">
        <f t="shared" ref="AH94:AH99" si="23">IF(ABS(MAX(C94:AF94))&gt;ABS(MIN(C94:AF94)),MAX(C94:AF94),MIN(C94:AF94))</f>
        <v>66.900000000000006</v>
      </c>
      <c r="AI94" s="120">
        <f t="shared" ref="AI94:AI99" si="24">INDEX($C$9:$AF$9,1,MATCH(AH94,C94:AF94,0))</f>
        <v>0.83333333333333337</v>
      </c>
    </row>
    <row r="95" spans="1:88" x14ac:dyDescent="0.25">
      <c r="A95" s="121" t="s">
        <v>99</v>
      </c>
      <c r="B95" s="122">
        <v>-29.7</v>
      </c>
      <c r="C95" s="59">
        <v>-31</v>
      </c>
      <c r="D95" s="59">
        <v>-36</v>
      </c>
      <c r="E95" s="59">
        <v>-36</v>
      </c>
      <c r="F95" s="59">
        <v>-33</v>
      </c>
      <c r="G95" s="59">
        <v>-30</v>
      </c>
      <c r="H95" s="59">
        <v>-25.6</v>
      </c>
      <c r="I95" s="59">
        <v>-19</v>
      </c>
      <c r="J95" s="59">
        <v>-5</v>
      </c>
      <c r="K95" s="59">
        <v>20</v>
      </c>
      <c r="L95" s="59">
        <v>63.5</v>
      </c>
      <c r="M95" s="59">
        <v>50</v>
      </c>
      <c r="N95" s="59">
        <f>16.7+15.8</f>
        <v>32.5</v>
      </c>
      <c r="O95" s="59">
        <f>21.2+20.6</f>
        <v>41.8</v>
      </c>
      <c r="P95" s="59">
        <f>13.3+10.7</f>
        <v>24</v>
      </c>
      <c r="Q95" s="59">
        <f>7.9+6.4</f>
        <v>14.3</v>
      </c>
      <c r="R95" s="59">
        <f>12.1+12.5</f>
        <v>24.6</v>
      </c>
      <c r="S95" s="59">
        <f>10.2+9.6</f>
        <v>19.799999999999997</v>
      </c>
      <c r="T95" s="59">
        <v>23.3</v>
      </c>
      <c r="U95" s="59">
        <v>30.7</v>
      </c>
      <c r="V95" s="59">
        <v>32.1</v>
      </c>
      <c r="W95" s="59">
        <v>47.7</v>
      </c>
      <c r="X95" s="59">
        <v>44.1</v>
      </c>
      <c r="Y95" s="59">
        <v>91.6</v>
      </c>
      <c r="Z95" s="59">
        <v>87.7</v>
      </c>
      <c r="AA95" s="59">
        <v>82.3</v>
      </c>
      <c r="AB95" s="72">
        <v>73</v>
      </c>
      <c r="AC95" s="72">
        <f>36+31.2</f>
        <v>67.2</v>
      </c>
      <c r="AD95" s="72">
        <f>36+31.2</f>
        <v>67.2</v>
      </c>
      <c r="AE95" s="72">
        <v>22</v>
      </c>
      <c r="AF95" s="72">
        <v>-20</v>
      </c>
      <c r="AG95" s="119">
        <v>240</v>
      </c>
      <c r="AH95" s="53">
        <f t="shared" si="23"/>
        <v>91.6</v>
      </c>
      <c r="AI95" s="120">
        <f t="shared" si="24"/>
        <v>0.77083333333333337</v>
      </c>
    </row>
    <row r="96" spans="1:88" x14ac:dyDescent="0.25">
      <c r="A96" s="121" t="s">
        <v>100</v>
      </c>
      <c r="B96" s="122">
        <v>-9</v>
      </c>
      <c r="C96" s="59">
        <v>-6</v>
      </c>
      <c r="D96" s="59">
        <v>-7</v>
      </c>
      <c r="E96" s="59">
        <v>-12</v>
      </c>
      <c r="F96" s="59">
        <v>-5.2</v>
      </c>
      <c r="G96" s="59">
        <v>-7.6</v>
      </c>
      <c r="H96" s="59">
        <v>-6.5</v>
      </c>
      <c r="I96" s="59">
        <v>0</v>
      </c>
      <c r="J96" s="59">
        <v>1.7</v>
      </c>
      <c r="K96" s="59">
        <v>28.9</v>
      </c>
      <c r="L96" s="59">
        <v>32.5</v>
      </c>
      <c r="M96" s="59">
        <v>50</v>
      </c>
      <c r="N96" s="59">
        <v>30</v>
      </c>
      <c r="O96" s="59">
        <v>27.3</v>
      </c>
      <c r="P96" s="59">
        <v>20.100000000000001</v>
      </c>
      <c r="Q96" s="59">
        <v>13</v>
      </c>
      <c r="R96" s="59">
        <v>14.1</v>
      </c>
      <c r="S96" s="59">
        <v>21.7</v>
      </c>
      <c r="T96" s="59">
        <v>18</v>
      </c>
      <c r="U96" s="59">
        <v>21.9</v>
      </c>
      <c r="V96" s="59">
        <v>23.3</v>
      </c>
      <c r="W96" s="59">
        <v>29.4</v>
      </c>
      <c r="X96" s="59">
        <v>40.200000000000003</v>
      </c>
      <c r="Y96" s="59">
        <v>58.5</v>
      </c>
      <c r="Z96" s="59">
        <v>58.5</v>
      </c>
      <c r="AA96" s="59">
        <v>50</v>
      </c>
      <c r="AB96" s="72">
        <v>50.2</v>
      </c>
      <c r="AC96" s="72">
        <v>46.4</v>
      </c>
      <c r="AD96" s="72">
        <v>46.4</v>
      </c>
      <c r="AE96" s="72">
        <v>12.77</v>
      </c>
      <c r="AF96" s="72">
        <v>0.2</v>
      </c>
      <c r="AG96" s="119">
        <v>60</v>
      </c>
      <c r="AH96" s="53">
        <f t="shared" si="23"/>
        <v>58.5</v>
      </c>
      <c r="AI96" s="120">
        <f t="shared" si="24"/>
        <v>0.77083333333333337</v>
      </c>
    </row>
    <row r="97" spans="1:37" x14ac:dyDescent="0.25">
      <c r="A97" s="123" t="s">
        <v>101</v>
      </c>
      <c r="B97" s="124">
        <v>77</v>
      </c>
      <c r="C97" s="62">
        <v>80</v>
      </c>
      <c r="D97" s="62">
        <v>74</v>
      </c>
      <c r="E97" s="62">
        <v>79.400000000000006</v>
      </c>
      <c r="F97" s="62">
        <v>86</v>
      </c>
      <c r="G97" s="62">
        <v>95</v>
      </c>
      <c r="H97" s="62">
        <v>90.9</v>
      </c>
      <c r="I97" s="62">
        <v>98.2</v>
      </c>
      <c r="J97" s="62">
        <v>102</v>
      </c>
      <c r="K97" s="62">
        <v>116</v>
      </c>
      <c r="L97" s="62">
        <v>102.3</v>
      </c>
      <c r="M97" s="62">
        <v>110</v>
      </c>
      <c r="N97" s="62">
        <v>120</v>
      </c>
      <c r="O97" s="62">
        <v>118.7</v>
      </c>
      <c r="P97" s="62">
        <v>108.9</v>
      </c>
      <c r="Q97" s="62">
        <v>111.7</v>
      </c>
      <c r="R97" s="62">
        <v>108.3</v>
      </c>
      <c r="S97" s="62">
        <v>106.6</v>
      </c>
      <c r="T97" s="62">
        <v>106.2</v>
      </c>
      <c r="U97" s="62">
        <v>106.3</v>
      </c>
      <c r="V97" s="62">
        <v>102.7</v>
      </c>
      <c r="W97" s="62">
        <v>102.9</v>
      </c>
      <c r="X97" s="62">
        <v>111.9</v>
      </c>
      <c r="Y97" s="62">
        <v>99.9</v>
      </c>
      <c r="Z97" s="62">
        <v>97.5</v>
      </c>
      <c r="AA97" s="62">
        <v>92.7</v>
      </c>
      <c r="AB97" s="125">
        <v>83.7</v>
      </c>
      <c r="AC97" s="125">
        <v>74.400000000000006</v>
      </c>
      <c r="AD97" s="125">
        <v>74.400000000000006</v>
      </c>
      <c r="AE97" s="125">
        <v>96.2</v>
      </c>
      <c r="AF97" s="125">
        <v>90.1</v>
      </c>
      <c r="AG97" s="126">
        <v>120</v>
      </c>
      <c r="AH97" s="53">
        <f t="shared" si="23"/>
        <v>120</v>
      </c>
      <c r="AI97" s="120">
        <f t="shared" si="24"/>
        <v>0.375</v>
      </c>
    </row>
    <row r="98" spans="1:37" x14ac:dyDescent="0.25">
      <c r="A98" s="123" t="s">
        <v>102</v>
      </c>
      <c r="B98" s="124">
        <v>79</v>
      </c>
      <c r="C98" s="62">
        <v>81</v>
      </c>
      <c r="D98" s="62">
        <v>78</v>
      </c>
      <c r="E98" s="62">
        <v>82.2</v>
      </c>
      <c r="F98" s="62">
        <v>88</v>
      </c>
      <c r="G98" s="62">
        <v>96</v>
      </c>
      <c r="H98" s="62">
        <v>88.9</v>
      </c>
      <c r="I98" s="62">
        <v>90.4</v>
      </c>
      <c r="J98" s="62">
        <v>95</v>
      </c>
      <c r="K98" s="62">
        <v>80</v>
      </c>
      <c r="L98" s="62">
        <v>104</v>
      </c>
      <c r="M98" s="62">
        <v>68</v>
      </c>
      <c r="N98" s="62">
        <v>75</v>
      </c>
      <c r="O98" s="62">
        <v>83.4</v>
      </c>
      <c r="P98" s="62">
        <v>61.3</v>
      </c>
      <c r="Q98" s="62">
        <v>59.1</v>
      </c>
      <c r="R98" s="62">
        <v>75</v>
      </c>
      <c r="S98" s="62">
        <v>69.400000000000006</v>
      </c>
      <c r="T98" s="62">
        <v>67.8</v>
      </c>
      <c r="U98" s="62">
        <v>77.7</v>
      </c>
      <c r="V98" s="62">
        <v>70.400000000000006</v>
      </c>
      <c r="W98" s="62">
        <v>86.8</v>
      </c>
      <c r="X98" s="62">
        <v>71.3</v>
      </c>
      <c r="Y98" s="62">
        <v>99.2</v>
      </c>
      <c r="Z98" s="62">
        <v>90.4</v>
      </c>
      <c r="AA98" s="62">
        <v>85.8</v>
      </c>
      <c r="AB98" s="125">
        <v>68.400000000000006</v>
      </c>
      <c r="AC98" s="125">
        <v>67.900000000000006</v>
      </c>
      <c r="AD98" s="125">
        <v>67.900000000000006</v>
      </c>
      <c r="AE98" s="125">
        <v>77.400000000000006</v>
      </c>
      <c r="AF98" s="125">
        <v>89.1</v>
      </c>
      <c r="AG98" s="126"/>
      <c r="AH98" s="53">
        <f t="shared" si="23"/>
        <v>104</v>
      </c>
      <c r="AI98" s="120">
        <f t="shared" si="24"/>
        <v>0.3125</v>
      </c>
    </row>
    <row r="99" spans="1:37" ht="15.75" thickBot="1" x14ac:dyDescent="0.3">
      <c r="A99" s="123" t="s">
        <v>103</v>
      </c>
      <c r="B99" s="124">
        <v>40</v>
      </c>
      <c r="C99" s="62">
        <v>50</v>
      </c>
      <c r="D99" s="62">
        <v>45</v>
      </c>
      <c r="E99" s="62">
        <v>46.7</v>
      </c>
      <c r="F99" s="62">
        <v>78</v>
      </c>
      <c r="G99" s="62">
        <v>77.3</v>
      </c>
      <c r="H99" s="62">
        <v>56.3</v>
      </c>
      <c r="I99" s="62">
        <v>56</v>
      </c>
      <c r="J99" s="62">
        <v>30.4</v>
      </c>
      <c r="K99" s="62">
        <v>33.9</v>
      </c>
      <c r="L99" s="62">
        <v>33.799999999999997</v>
      </c>
      <c r="M99" s="62">
        <v>27</v>
      </c>
      <c r="N99" s="62">
        <v>9.8000000000000007</v>
      </c>
      <c r="O99" s="62">
        <v>20.399999999999999</v>
      </c>
      <c r="P99" s="62">
        <v>15</v>
      </c>
      <c r="Q99" s="62">
        <v>11.7</v>
      </c>
      <c r="R99" s="62">
        <v>16.3</v>
      </c>
      <c r="S99" s="62">
        <v>26.2</v>
      </c>
      <c r="T99" s="62">
        <v>14.3</v>
      </c>
      <c r="U99" s="62">
        <v>22.2</v>
      </c>
      <c r="V99" s="62">
        <v>19</v>
      </c>
      <c r="W99" s="62">
        <v>22.6</v>
      </c>
      <c r="X99" s="62">
        <v>7.1</v>
      </c>
      <c r="Y99" s="62">
        <v>28.3</v>
      </c>
      <c r="Z99" s="62">
        <v>27.9</v>
      </c>
      <c r="AA99" s="62">
        <v>22.6</v>
      </c>
      <c r="AB99" s="125">
        <v>16.3</v>
      </c>
      <c r="AC99" s="125">
        <v>17.899999999999999</v>
      </c>
      <c r="AD99" s="125">
        <v>17.899999999999999</v>
      </c>
      <c r="AE99" s="125">
        <v>51.8</v>
      </c>
      <c r="AF99" s="125">
        <v>67.400000000000006</v>
      </c>
      <c r="AG99" s="127"/>
      <c r="AH99" s="53">
        <f t="shared" si="23"/>
        <v>78</v>
      </c>
      <c r="AI99" s="120">
        <f t="shared" si="24"/>
        <v>0.16666666666666699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5">AF101</f>
        <v>9.9</v>
      </c>
      <c r="C101" s="52">
        <v>9.9</v>
      </c>
      <c r="D101" s="133">
        <f t="shared" ref="D101:S106" si="26">C101</f>
        <v>9.9</v>
      </c>
      <c r="E101" s="133">
        <f t="shared" si="26"/>
        <v>9.9</v>
      </c>
      <c r="F101" s="133">
        <f t="shared" si="26"/>
        <v>9.9</v>
      </c>
      <c r="G101" s="133">
        <f t="shared" si="26"/>
        <v>9.9</v>
      </c>
      <c r="H101" s="133">
        <f t="shared" si="26"/>
        <v>9.9</v>
      </c>
      <c r="I101" s="133">
        <f t="shared" si="26"/>
        <v>9.9</v>
      </c>
      <c r="J101" s="133">
        <f t="shared" si="26"/>
        <v>9.9</v>
      </c>
      <c r="K101" s="133">
        <f t="shared" si="26"/>
        <v>9.9</v>
      </c>
      <c r="L101" s="133">
        <f t="shared" si="26"/>
        <v>9.9</v>
      </c>
      <c r="M101" s="133">
        <f t="shared" si="26"/>
        <v>9.9</v>
      </c>
      <c r="N101" s="133">
        <f t="shared" si="26"/>
        <v>9.9</v>
      </c>
      <c r="O101" s="133">
        <f t="shared" si="26"/>
        <v>9.9</v>
      </c>
      <c r="P101" s="133">
        <f t="shared" si="26"/>
        <v>9.9</v>
      </c>
      <c r="Q101" s="133">
        <f t="shared" si="26"/>
        <v>9.9</v>
      </c>
      <c r="R101" s="133">
        <f t="shared" si="26"/>
        <v>9.9</v>
      </c>
      <c r="S101" s="133">
        <f t="shared" si="26"/>
        <v>9.9</v>
      </c>
      <c r="T101" s="133">
        <f t="shared" ref="T101:AF106" si="27">S101</f>
        <v>9.9</v>
      </c>
      <c r="U101" s="133">
        <f t="shared" si="27"/>
        <v>9.9</v>
      </c>
      <c r="V101" s="133">
        <f t="shared" si="27"/>
        <v>9.9</v>
      </c>
      <c r="W101" s="133">
        <f t="shared" si="27"/>
        <v>9.9</v>
      </c>
      <c r="X101" s="133">
        <f t="shared" si="27"/>
        <v>9.9</v>
      </c>
      <c r="Y101" s="133">
        <f t="shared" si="27"/>
        <v>9.9</v>
      </c>
      <c r="Z101" s="133">
        <f t="shared" si="27"/>
        <v>9.9</v>
      </c>
      <c r="AA101" s="133">
        <f t="shared" si="27"/>
        <v>9.9</v>
      </c>
      <c r="AB101" s="133">
        <f t="shared" si="27"/>
        <v>9.9</v>
      </c>
      <c r="AC101" s="133">
        <f t="shared" si="27"/>
        <v>9.9</v>
      </c>
      <c r="AD101" s="133">
        <f t="shared" si="27"/>
        <v>9.9</v>
      </c>
      <c r="AE101" s="133">
        <f t="shared" si="27"/>
        <v>9.9</v>
      </c>
      <c r="AF101" s="133">
        <f t="shared" si="27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5"/>
        <v>9.6</v>
      </c>
      <c r="C102" s="136">
        <v>9.6</v>
      </c>
      <c r="D102" s="135">
        <f t="shared" si="26"/>
        <v>9.6</v>
      </c>
      <c r="E102" s="135">
        <f t="shared" si="26"/>
        <v>9.6</v>
      </c>
      <c r="F102" s="135">
        <f t="shared" si="26"/>
        <v>9.6</v>
      </c>
      <c r="G102" s="135">
        <f t="shared" si="26"/>
        <v>9.6</v>
      </c>
      <c r="H102" s="135">
        <f t="shared" si="26"/>
        <v>9.6</v>
      </c>
      <c r="I102" s="135">
        <f t="shared" si="26"/>
        <v>9.6</v>
      </c>
      <c r="J102" s="135">
        <f t="shared" si="26"/>
        <v>9.6</v>
      </c>
      <c r="K102" s="135">
        <f t="shared" si="26"/>
        <v>9.6</v>
      </c>
      <c r="L102" s="135">
        <f t="shared" si="26"/>
        <v>9.6</v>
      </c>
      <c r="M102" s="135">
        <f t="shared" si="26"/>
        <v>9.6</v>
      </c>
      <c r="N102" s="135">
        <f t="shared" si="26"/>
        <v>9.6</v>
      </c>
      <c r="O102" s="135">
        <f t="shared" si="26"/>
        <v>9.6</v>
      </c>
      <c r="P102" s="135">
        <f t="shared" si="26"/>
        <v>9.6</v>
      </c>
      <c r="Q102" s="135">
        <f t="shared" si="26"/>
        <v>9.6</v>
      </c>
      <c r="R102" s="135">
        <f t="shared" si="26"/>
        <v>9.6</v>
      </c>
      <c r="S102" s="135">
        <f t="shared" si="26"/>
        <v>9.6</v>
      </c>
      <c r="T102" s="135">
        <f t="shared" si="27"/>
        <v>9.6</v>
      </c>
      <c r="U102" s="135">
        <f t="shared" si="27"/>
        <v>9.6</v>
      </c>
      <c r="V102" s="135">
        <f t="shared" si="27"/>
        <v>9.6</v>
      </c>
      <c r="W102" s="135">
        <f t="shared" si="27"/>
        <v>9.6</v>
      </c>
      <c r="X102" s="135">
        <f t="shared" si="27"/>
        <v>9.6</v>
      </c>
      <c r="Y102" s="135">
        <f t="shared" si="27"/>
        <v>9.6</v>
      </c>
      <c r="Z102" s="135">
        <f t="shared" si="27"/>
        <v>9.6</v>
      </c>
      <c r="AA102" s="135">
        <f t="shared" si="27"/>
        <v>9.6</v>
      </c>
      <c r="AB102" s="135">
        <f t="shared" si="27"/>
        <v>9.6</v>
      </c>
      <c r="AC102" s="135">
        <f t="shared" si="27"/>
        <v>9.6</v>
      </c>
      <c r="AD102" s="135">
        <f t="shared" si="27"/>
        <v>9.6</v>
      </c>
      <c r="AE102" s="135">
        <f t="shared" si="27"/>
        <v>9.6</v>
      </c>
      <c r="AF102" s="135">
        <f t="shared" si="27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5"/>
        <v>9.98</v>
      </c>
      <c r="C103" s="136">
        <v>9.98</v>
      </c>
      <c r="D103" s="135">
        <f t="shared" si="26"/>
        <v>9.98</v>
      </c>
      <c r="E103" s="135">
        <f t="shared" si="26"/>
        <v>9.98</v>
      </c>
      <c r="F103" s="135">
        <f t="shared" si="26"/>
        <v>9.98</v>
      </c>
      <c r="G103" s="135">
        <f t="shared" si="26"/>
        <v>9.98</v>
      </c>
      <c r="H103" s="135">
        <f t="shared" si="26"/>
        <v>9.98</v>
      </c>
      <c r="I103" s="135">
        <f t="shared" si="26"/>
        <v>9.98</v>
      </c>
      <c r="J103" s="135">
        <f t="shared" si="26"/>
        <v>9.98</v>
      </c>
      <c r="K103" s="135">
        <f t="shared" si="26"/>
        <v>9.98</v>
      </c>
      <c r="L103" s="135">
        <f t="shared" si="26"/>
        <v>9.98</v>
      </c>
      <c r="M103" s="135">
        <f t="shared" si="26"/>
        <v>9.98</v>
      </c>
      <c r="N103" s="135">
        <f t="shared" si="26"/>
        <v>9.98</v>
      </c>
      <c r="O103" s="135">
        <f t="shared" si="26"/>
        <v>9.98</v>
      </c>
      <c r="P103" s="135">
        <f t="shared" si="26"/>
        <v>9.98</v>
      </c>
      <c r="Q103" s="135">
        <f t="shared" si="26"/>
        <v>9.98</v>
      </c>
      <c r="R103" s="135">
        <f t="shared" si="26"/>
        <v>9.98</v>
      </c>
      <c r="S103" s="135">
        <f t="shared" si="26"/>
        <v>9.98</v>
      </c>
      <c r="T103" s="135">
        <f t="shared" si="27"/>
        <v>9.98</v>
      </c>
      <c r="U103" s="135">
        <f t="shared" si="27"/>
        <v>9.98</v>
      </c>
      <c r="V103" s="135">
        <f t="shared" si="27"/>
        <v>9.98</v>
      </c>
      <c r="W103" s="135">
        <f t="shared" si="27"/>
        <v>9.98</v>
      </c>
      <c r="X103" s="135">
        <f t="shared" si="27"/>
        <v>9.98</v>
      </c>
      <c r="Y103" s="135">
        <f t="shared" si="27"/>
        <v>9.98</v>
      </c>
      <c r="Z103" s="135">
        <f t="shared" si="27"/>
        <v>9.98</v>
      </c>
      <c r="AA103" s="135">
        <f t="shared" si="27"/>
        <v>9.98</v>
      </c>
      <c r="AB103" s="135">
        <f t="shared" si="27"/>
        <v>9.98</v>
      </c>
      <c r="AC103" s="135">
        <f t="shared" si="27"/>
        <v>9.98</v>
      </c>
      <c r="AD103" s="135">
        <f t="shared" si="27"/>
        <v>9.98</v>
      </c>
      <c r="AE103" s="135">
        <f t="shared" si="27"/>
        <v>9.98</v>
      </c>
      <c r="AF103" s="135">
        <f t="shared" si="27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5"/>
        <v>9.1</v>
      </c>
      <c r="C104" s="136">
        <v>9.1</v>
      </c>
      <c r="D104" s="135">
        <f t="shared" si="26"/>
        <v>9.1</v>
      </c>
      <c r="E104" s="135">
        <f t="shared" si="26"/>
        <v>9.1</v>
      </c>
      <c r="F104" s="135">
        <f t="shared" si="26"/>
        <v>9.1</v>
      </c>
      <c r="G104" s="135">
        <f t="shared" si="26"/>
        <v>9.1</v>
      </c>
      <c r="H104" s="135">
        <f t="shared" si="26"/>
        <v>9.1</v>
      </c>
      <c r="I104" s="135">
        <f t="shared" si="26"/>
        <v>9.1</v>
      </c>
      <c r="J104" s="135">
        <f t="shared" si="26"/>
        <v>9.1</v>
      </c>
      <c r="K104" s="135">
        <f t="shared" si="26"/>
        <v>9.1</v>
      </c>
      <c r="L104" s="135">
        <f t="shared" si="26"/>
        <v>9.1</v>
      </c>
      <c r="M104" s="135">
        <f t="shared" si="26"/>
        <v>9.1</v>
      </c>
      <c r="N104" s="135">
        <f t="shared" si="26"/>
        <v>9.1</v>
      </c>
      <c r="O104" s="135">
        <f t="shared" si="26"/>
        <v>9.1</v>
      </c>
      <c r="P104" s="135">
        <f t="shared" si="26"/>
        <v>9.1</v>
      </c>
      <c r="Q104" s="135">
        <f t="shared" si="26"/>
        <v>9.1</v>
      </c>
      <c r="R104" s="135">
        <f t="shared" si="26"/>
        <v>9.1</v>
      </c>
      <c r="S104" s="135">
        <f t="shared" si="26"/>
        <v>9.1</v>
      </c>
      <c r="T104" s="135">
        <f t="shared" si="27"/>
        <v>9.1</v>
      </c>
      <c r="U104" s="135">
        <f t="shared" si="27"/>
        <v>9.1</v>
      </c>
      <c r="V104" s="135">
        <f t="shared" si="27"/>
        <v>9.1</v>
      </c>
      <c r="W104" s="135">
        <f t="shared" si="27"/>
        <v>9.1</v>
      </c>
      <c r="X104" s="135">
        <f t="shared" si="27"/>
        <v>9.1</v>
      </c>
      <c r="Y104" s="135">
        <f t="shared" si="27"/>
        <v>9.1</v>
      </c>
      <c r="Z104" s="135">
        <f t="shared" si="27"/>
        <v>9.1</v>
      </c>
      <c r="AA104" s="135">
        <f t="shared" si="27"/>
        <v>9.1</v>
      </c>
      <c r="AB104" s="135">
        <f t="shared" si="27"/>
        <v>9.1</v>
      </c>
      <c r="AC104" s="135">
        <f t="shared" si="27"/>
        <v>9.1</v>
      </c>
      <c r="AD104" s="135">
        <f t="shared" si="27"/>
        <v>9.1</v>
      </c>
      <c r="AE104" s="135">
        <f t="shared" si="27"/>
        <v>9.1</v>
      </c>
      <c r="AF104" s="135">
        <f t="shared" si="27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5"/>
        <v>9.18</v>
      </c>
      <c r="C105" s="136">
        <v>9.18</v>
      </c>
      <c r="D105" s="135">
        <f t="shared" si="26"/>
        <v>9.18</v>
      </c>
      <c r="E105" s="135">
        <f t="shared" si="26"/>
        <v>9.18</v>
      </c>
      <c r="F105" s="135">
        <f t="shared" si="26"/>
        <v>9.18</v>
      </c>
      <c r="G105" s="135">
        <f t="shared" si="26"/>
        <v>9.18</v>
      </c>
      <c r="H105" s="135">
        <f t="shared" si="26"/>
        <v>9.18</v>
      </c>
      <c r="I105" s="135">
        <f t="shared" si="26"/>
        <v>9.18</v>
      </c>
      <c r="J105" s="135">
        <f t="shared" si="26"/>
        <v>9.18</v>
      </c>
      <c r="K105" s="135">
        <f t="shared" si="26"/>
        <v>9.18</v>
      </c>
      <c r="L105" s="135">
        <f t="shared" si="26"/>
        <v>9.18</v>
      </c>
      <c r="M105" s="135">
        <f t="shared" si="26"/>
        <v>9.18</v>
      </c>
      <c r="N105" s="135">
        <f t="shared" si="26"/>
        <v>9.18</v>
      </c>
      <c r="O105" s="135">
        <f t="shared" si="26"/>
        <v>9.18</v>
      </c>
      <c r="P105" s="135">
        <f t="shared" si="26"/>
        <v>9.18</v>
      </c>
      <c r="Q105" s="135">
        <f t="shared" si="26"/>
        <v>9.18</v>
      </c>
      <c r="R105" s="135">
        <f t="shared" si="26"/>
        <v>9.18</v>
      </c>
      <c r="S105" s="135">
        <f t="shared" si="26"/>
        <v>9.18</v>
      </c>
      <c r="T105" s="135">
        <f t="shared" si="27"/>
        <v>9.18</v>
      </c>
      <c r="U105" s="135">
        <f t="shared" si="27"/>
        <v>9.18</v>
      </c>
      <c r="V105" s="135">
        <f t="shared" si="27"/>
        <v>9.18</v>
      </c>
      <c r="W105" s="135">
        <f t="shared" si="27"/>
        <v>9.18</v>
      </c>
      <c r="X105" s="135">
        <f t="shared" si="27"/>
        <v>9.18</v>
      </c>
      <c r="Y105" s="135">
        <f t="shared" si="27"/>
        <v>9.18</v>
      </c>
      <c r="Z105" s="135">
        <f t="shared" si="27"/>
        <v>9.18</v>
      </c>
      <c r="AA105" s="135">
        <f t="shared" si="27"/>
        <v>9.18</v>
      </c>
      <c r="AB105" s="135">
        <f t="shared" si="27"/>
        <v>9.18</v>
      </c>
      <c r="AC105" s="135">
        <f t="shared" si="27"/>
        <v>9.18</v>
      </c>
      <c r="AD105" s="135">
        <f t="shared" si="27"/>
        <v>9.18</v>
      </c>
      <c r="AE105" s="135">
        <f t="shared" si="27"/>
        <v>9.18</v>
      </c>
      <c r="AF105" s="135">
        <f t="shared" si="27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5"/>
        <v>7</v>
      </c>
      <c r="C106" s="136">
        <v>7</v>
      </c>
      <c r="D106" s="135">
        <f t="shared" si="26"/>
        <v>7</v>
      </c>
      <c r="E106" s="135">
        <f t="shared" si="26"/>
        <v>7</v>
      </c>
      <c r="F106" s="135">
        <f t="shared" si="26"/>
        <v>7</v>
      </c>
      <c r="G106" s="135">
        <f t="shared" si="26"/>
        <v>7</v>
      </c>
      <c r="H106" s="135">
        <f t="shared" si="26"/>
        <v>7</v>
      </c>
      <c r="I106" s="135">
        <f t="shared" si="26"/>
        <v>7</v>
      </c>
      <c r="J106" s="135">
        <f t="shared" si="26"/>
        <v>7</v>
      </c>
      <c r="K106" s="135">
        <f t="shared" si="26"/>
        <v>7</v>
      </c>
      <c r="L106" s="135">
        <f t="shared" si="26"/>
        <v>7</v>
      </c>
      <c r="M106" s="135">
        <f t="shared" si="26"/>
        <v>7</v>
      </c>
      <c r="N106" s="135">
        <f t="shared" si="26"/>
        <v>7</v>
      </c>
      <c r="O106" s="135">
        <f t="shared" si="26"/>
        <v>7</v>
      </c>
      <c r="P106" s="135">
        <f t="shared" si="26"/>
        <v>7</v>
      </c>
      <c r="Q106" s="135">
        <f t="shared" si="26"/>
        <v>7</v>
      </c>
      <c r="R106" s="135">
        <f t="shared" si="26"/>
        <v>7</v>
      </c>
      <c r="S106" s="135">
        <f t="shared" si="26"/>
        <v>7</v>
      </c>
      <c r="T106" s="135">
        <f t="shared" si="27"/>
        <v>7</v>
      </c>
      <c r="U106" s="135">
        <f t="shared" si="27"/>
        <v>7</v>
      </c>
      <c r="V106" s="135">
        <f t="shared" si="27"/>
        <v>7</v>
      </c>
      <c r="W106" s="135">
        <f t="shared" si="27"/>
        <v>7</v>
      </c>
      <c r="X106" s="135">
        <f t="shared" si="27"/>
        <v>7</v>
      </c>
      <c r="Y106" s="135">
        <f t="shared" si="27"/>
        <v>7</v>
      </c>
      <c r="Z106" s="135">
        <f t="shared" si="27"/>
        <v>7</v>
      </c>
      <c r="AA106" s="135">
        <f t="shared" si="27"/>
        <v>7</v>
      </c>
      <c r="AB106" s="135">
        <f t="shared" si="27"/>
        <v>7</v>
      </c>
      <c r="AC106" s="135">
        <f t="shared" si="27"/>
        <v>7</v>
      </c>
      <c r="AD106" s="135">
        <f t="shared" si="27"/>
        <v>7</v>
      </c>
      <c r="AE106" s="135">
        <f t="shared" si="27"/>
        <v>7</v>
      </c>
      <c r="AF106" s="135">
        <f t="shared" si="27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8">C108</f>
        <v>2.25</v>
      </c>
      <c r="E108" s="135">
        <f t="shared" si="28"/>
        <v>2.25</v>
      </c>
      <c r="F108" s="135">
        <f t="shared" si="28"/>
        <v>2.25</v>
      </c>
      <c r="G108" s="135">
        <f t="shared" si="28"/>
        <v>2.25</v>
      </c>
      <c r="H108" s="135">
        <f t="shared" si="28"/>
        <v>2.25</v>
      </c>
      <c r="I108" s="135">
        <f t="shared" si="28"/>
        <v>2.25</v>
      </c>
      <c r="J108" s="135">
        <f t="shared" si="28"/>
        <v>2.25</v>
      </c>
      <c r="K108" s="135">
        <f t="shared" si="28"/>
        <v>2.25</v>
      </c>
      <c r="L108" s="135">
        <f t="shared" si="28"/>
        <v>2.25</v>
      </c>
      <c r="M108" s="135">
        <f t="shared" si="28"/>
        <v>2.25</v>
      </c>
      <c r="N108" s="135">
        <f t="shared" si="28"/>
        <v>2.25</v>
      </c>
      <c r="O108" s="135">
        <f t="shared" si="28"/>
        <v>2.25</v>
      </c>
      <c r="P108" s="135">
        <f t="shared" si="28"/>
        <v>2.25</v>
      </c>
      <c r="Q108" s="135">
        <f t="shared" si="28"/>
        <v>2.25</v>
      </c>
      <c r="R108" s="135">
        <f t="shared" si="28"/>
        <v>2.25</v>
      </c>
      <c r="S108" s="135">
        <f t="shared" si="28"/>
        <v>2.25</v>
      </c>
      <c r="T108" s="135">
        <f t="shared" ref="T108:AF109" si="29">S108</f>
        <v>2.25</v>
      </c>
      <c r="U108" s="135">
        <f t="shared" si="29"/>
        <v>2.25</v>
      </c>
      <c r="V108" s="135">
        <f t="shared" si="29"/>
        <v>2.25</v>
      </c>
      <c r="W108" s="135">
        <f t="shared" si="29"/>
        <v>2.25</v>
      </c>
      <c r="X108" s="135">
        <f t="shared" si="29"/>
        <v>2.25</v>
      </c>
      <c r="Y108" s="135">
        <f t="shared" si="29"/>
        <v>2.25</v>
      </c>
      <c r="Z108" s="135">
        <f t="shared" si="29"/>
        <v>2.25</v>
      </c>
      <c r="AA108" s="135">
        <f t="shared" si="29"/>
        <v>2.25</v>
      </c>
      <c r="AB108" s="135">
        <f t="shared" si="29"/>
        <v>2.25</v>
      </c>
      <c r="AC108" s="135">
        <f t="shared" si="29"/>
        <v>2.25</v>
      </c>
      <c r="AD108" s="135">
        <f t="shared" si="29"/>
        <v>2.25</v>
      </c>
      <c r="AE108" s="135">
        <f t="shared" si="29"/>
        <v>2.25</v>
      </c>
      <c r="AF108" s="135">
        <f t="shared" si="29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8"/>
        <v>1.64</v>
      </c>
      <c r="E109" s="135">
        <f t="shared" si="28"/>
        <v>1.64</v>
      </c>
      <c r="F109" s="135">
        <f t="shared" si="28"/>
        <v>1.64</v>
      </c>
      <c r="G109" s="135">
        <f t="shared" si="28"/>
        <v>1.64</v>
      </c>
      <c r="H109" s="135">
        <f t="shared" si="28"/>
        <v>1.64</v>
      </c>
      <c r="I109" s="135">
        <f t="shared" si="28"/>
        <v>1.64</v>
      </c>
      <c r="J109" s="135">
        <f t="shared" si="28"/>
        <v>1.64</v>
      </c>
      <c r="K109" s="135">
        <f t="shared" si="28"/>
        <v>1.64</v>
      </c>
      <c r="L109" s="135">
        <f t="shared" si="28"/>
        <v>1.64</v>
      </c>
      <c r="M109" s="135">
        <f t="shared" si="28"/>
        <v>1.64</v>
      </c>
      <c r="N109" s="135">
        <f t="shared" si="28"/>
        <v>1.64</v>
      </c>
      <c r="O109" s="135">
        <f t="shared" si="28"/>
        <v>1.64</v>
      </c>
      <c r="P109" s="135">
        <f t="shared" si="28"/>
        <v>1.64</v>
      </c>
      <c r="Q109" s="135">
        <f t="shared" si="28"/>
        <v>1.64</v>
      </c>
      <c r="R109" s="135">
        <f t="shared" si="28"/>
        <v>1.64</v>
      </c>
      <c r="S109" s="135">
        <f t="shared" si="28"/>
        <v>1.64</v>
      </c>
      <c r="T109" s="135">
        <f t="shared" si="29"/>
        <v>1.64</v>
      </c>
      <c r="U109" s="135">
        <f t="shared" si="29"/>
        <v>1.64</v>
      </c>
      <c r="V109" s="135">
        <f t="shared" si="29"/>
        <v>1.64</v>
      </c>
      <c r="W109" s="135">
        <f t="shared" si="29"/>
        <v>1.64</v>
      </c>
      <c r="X109" s="135">
        <f t="shared" si="29"/>
        <v>1.64</v>
      </c>
      <c r="Y109" s="135">
        <f t="shared" si="29"/>
        <v>1.64</v>
      </c>
      <c r="Z109" s="135">
        <f t="shared" si="29"/>
        <v>1.64</v>
      </c>
      <c r="AA109" s="135">
        <f t="shared" si="29"/>
        <v>1.64</v>
      </c>
      <c r="AB109" s="135">
        <f t="shared" si="29"/>
        <v>1.64</v>
      </c>
      <c r="AC109" s="135">
        <f t="shared" si="29"/>
        <v>1.64</v>
      </c>
      <c r="AD109" s="135">
        <f t="shared" si="29"/>
        <v>1.64</v>
      </c>
      <c r="AE109" s="135">
        <f t="shared" si="29"/>
        <v>1.64</v>
      </c>
      <c r="AF109" s="135">
        <f t="shared" si="29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30">AF111</f>
        <v>1.62</v>
      </c>
      <c r="C111" s="136">
        <v>1.62</v>
      </c>
      <c r="D111" s="135">
        <f t="shared" ref="D111:S118" si="31">C111</f>
        <v>1.62</v>
      </c>
      <c r="E111" s="135">
        <f t="shared" si="31"/>
        <v>1.62</v>
      </c>
      <c r="F111" s="135">
        <f t="shared" si="31"/>
        <v>1.62</v>
      </c>
      <c r="G111" s="135">
        <f t="shared" si="31"/>
        <v>1.62</v>
      </c>
      <c r="H111" s="135">
        <f t="shared" si="31"/>
        <v>1.62</v>
      </c>
      <c r="I111" s="135">
        <f t="shared" si="31"/>
        <v>1.62</v>
      </c>
      <c r="J111" s="135">
        <f t="shared" si="31"/>
        <v>1.62</v>
      </c>
      <c r="K111" s="135">
        <f t="shared" si="31"/>
        <v>1.62</v>
      </c>
      <c r="L111" s="135">
        <f t="shared" si="31"/>
        <v>1.62</v>
      </c>
      <c r="M111" s="135">
        <f t="shared" si="31"/>
        <v>1.62</v>
      </c>
      <c r="N111" s="135">
        <f t="shared" si="31"/>
        <v>1.62</v>
      </c>
      <c r="O111" s="135">
        <f t="shared" si="31"/>
        <v>1.62</v>
      </c>
      <c r="P111" s="135">
        <f t="shared" si="31"/>
        <v>1.62</v>
      </c>
      <c r="Q111" s="135">
        <f t="shared" si="31"/>
        <v>1.62</v>
      </c>
      <c r="R111" s="135">
        <f t="shared" si="31"/>
        <v>1.62</v>
      </c>
      <c r="S111" s="135">
        <f t="shared" si="31"/>
        <v>1.62</v>
      </c>
      <c r="T111" s="135">
        <f t="shared" ref="T111:AF126" si="32">S111</f>
        <v>1.62</v>
      </c>
      <c r="U111" s="135">
        <f t="shared" si="32"/>
        <v>1.62</v>
      </c>
      <c r="V111" s="135">
        <f t="shared" si="32"/>
        <v>1.62</v>
      </c>
      <c r="W111" s="135">
        <f t="shared" si="32"/>
        <v>1.62</v>
      </c>
      <c r="X111" s="135">
        <f t="shared" si="32"/>
        <v>1.62</v>
      </c>
      <c r="Y111" s="135">
        <f t="shared" si="32"/>
        <v>1.62</v>
      </c>
      <c r="Z111" s="135">
        <f t="shared" si="32"/>
        <v>1.62</v>
      </c>
      <c r="AA111" s="135">
        <f t="shared" si="32"/>
        <v>1.62</v>
      </c>
      <c r="AB111" s="135">
        <f t="shared" si="32"/>
        <v>1.62</v>
      </c>
      <c r="AC111" s="135">
        <f t="shared" si="32"/>
        <v>1.62</v>
      </c>
      <c r="AD111" s="135">
        <f t="shared" si="32"/>
        <v>1.62</v>
      </c>
      <c r="AE111" s="135">
        <f t="shared" si="32"/>
        <v>1.62</v>
      </c>
      <c r="AF111" s="135">
        <f t="shared" si="32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30"/>
        <v>8.36</v>
      </c>
      <c r="C112" s="136">
        <v>8.36</v>
      </c>
      <c r="D112" s="135">
        <f t="shared" si="31"/>
        <v>8.36</v>
      </c>
      <c r="E112" s="135">
        <f t="shared" si="31"/>
        <v>8.36</v>
      </c>
      <c r="F112" s="135">
        <f t="shared" si="31"/>
        <v>8.36</v>
      </c>
      <c r="G112" s="135">
        <f t="shared" si="31"/>
        <v>8.36</v>
      </c>
      <c r="H112" s="135">
        <f t="shared" si="31"/>
        <v>8.36</v>
      </c>
      <c r="I112" s="135">
        <f t="shared" si="31"/>
        <v>8.36</v>
      </c>
      <c r="J112" s="135">
        <f t="shared" si="31"/>
        <v>8.36</v>
      </c>
      <c r="K112" s="135">
        <f t="shared" si="31"/>
        <v>8.36</v>
      </c>
      <c r="L112" s="135">
        <f t="shared" si="31"/>
        <v>8.36</v>
      </c>
      <c r="M112" s="135">
        <f t="shared" si="31"/>
        <v>8.36</v>
      </c>
      <c r="N112" s="135">
        <f t="shared" si="31"/>
        <v>8.36</v>
      </c>
      <c r="O112" s="135">
        <f t="shared" si="31"/>
        <v>8.36</v>
      </c>
      <c r="P112" s="135">
        <f t="shared" si="31"/>
        <v>8.36</v>
      </c>
      <c r="Q112" s="135">
        <f t="shared" si="31"/>
        <v>8.36</v>
      </c>
      <c r="R112" s="135">
        <f t="shared" si="31"/>
        <v>8.36</v>
      </c>
      <c r="S112" s="135">
        <f t="shared" si="31"/>
        <v>8.36</v>
      </c>
      <c r="T112" s="135">
        <f t="shared" si="32"/>
        <v>8.36</v>
      </c>
      <c r="U112" s="135">
        <f t="shared" si="32"/>
        <v>8.36</v>
      </c>
      <c r="V112" s="135">
        <f t="shared" si="32"/>
        <v>8.36</v>
      </c>
      <c r="W112" s="135">
        <f t="shared" si="32"/>
        <v>8.36</v>
      </c>
      <c r="X112" s="135">
        <f t="shared" si="32"/>
        <v>8.36</v>
      </c>
      <c r="Y112" s="135">
        <f t="shared" si="32"/>
        <v>8.36</v>
      </c>
      <c r="Z112" s="135">
        <f t="shared" si="32"/>
        <v>8.36</v>
      </c>
      <c r="AA112" s="135">
        <f t="shared" si="32"/>
        <v>8.36</v>
      </c>
      <c r="AB112" s="135">
        <f t="shared" si="32"/>
        <v>8.36</v>
      </c>
      <c r="AC112" s="135">
        <f t="shared" si="32"/>
        <v>8.36</v>
      </c>
      <c r="AD112" s="135">
        <f t="shared" si="32"/>
        <v>8.36</v>
      </c>
      <c r="AE112" s="135">
        <f t="shared" si="32"/>
        <v>8.36</v>
      </c>
      <c r="AF112" s="135">
        <f t="shared" si="32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30"/>
        <v>5.4</v>
      </c>
      <c r="C113" s="136">
        <v>8</v>
      </c>
      <c r="D113" s="135">
        <f t="shared" si="31"/>
        <v>8</v>
      </c>
      <c r="E113" s="135">
        <f t="shared" si="31"/>
        <v>8</v>
      </c>
      <c r="F113" s="135">
        <f t="shared" si="31"/>
        <v>8</v>
      </c>
      <c r="G113" s="135">
        <f t="shared" si="31"/>
        <v>8</v>
      </c>
      <c r="H113" s="135">
        <f t="shared" si="31"/>
        <v>8</v>
      </c>
      <c r="I113" s="135">
        <f t="shared" si="31"/>
        <v>8</v>
      </c>
      <c r="J113" s="135">
        <v>5.4</v>
      </c>
      <c r="K113" s="135">
        <f t="shared" si="31"/>
        <v>5.4</v>
      </c>
      <c r="L113" s="135">
        <f t="shared" si="31"/>
        <v>5.4</v>
      </c>
      <c r="M113" s="135">
        <f t="shared" si="31"/>
        <v>5.4</v>
      </c>
      <c r="N113" s="135">
        <f t="shared" si="31"/>
        <v>5.4</v>
      </c>
      <c r="O113" s="135">
        <f t="shared" si="31"/>
        <v>5.4</v>
      </c>
      <c r="P113" s="135">
        <f t="shared" si="31"/>
        <v>5.4</v>
      </c>
      <c r="Q113" s="135">
        <f t="shared" si="31"/>
        <v>5.4</v>
      </c>
      <c r="R113" s="135">
        <f t="shared" si="31"/>
        <v>5.4</v>
      </c>
      <c r="S113" s="135">
        <f t="shared" si="31"/>
        <v>5.4</v>
      </c>
      <c r="T113" s="135">
        <f t="shared" si="32"/>
        <v>5.4</v>
      </c>
      <c r="U113" s="135">
        <f t="shared" si="32"/>
        <v>5.4</v>
      </c>
      <c r="V113" s="135">
        <f t="shared" si="32"/>
        <v>5.4</v>
      </c>
      <c r="W113" s="135">
        <f t="shared" si="32"/>
        <v>5.4</v>
      </c>
      <c r="X113" s="135">
        <f t="shared" si="32"/>
        <v>5.4</v>
      </c>
      <c r="Y113" s="135">
        <f t="shared" si="32"/>
        <v>5.4</v>
      </c>
      <c r="Z113" s="135">
        <f t="shared" si="32"/>
        <v>5.4</v>
      </c>
      <c r="AA113" s="135">
        <f t="shared" si="32"/>
        <v>5.4</v>
      </c>
      <c r="AB113" s="135">
        <f t="shared" si="32"/>
        <v>5.4</v>
      </c>
      <c r="AC113" s="135">
        <f t="shared" si="32"/>
        <v>5.4</v>
      </c>
      <c r="AD113" s="135">
        <f t="shared" si="32"/>
        <v>5.4</v>
      </c>
      <c r="AE113" s="135">
        <f t="shared" si="32"/>
        <v>5.4</v>
      </c>
      <c r="AF113" s="135">
        <f t="shared" si="32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30"/>
        <v>6.57</v>
      </c>
      <c r="C114" s="136">
        <v>6.57</v>
      </c>
      <c r="D114" s="135">
        <f t="shared" si="31"/>
        <v>6.57</v>
      </c>
      <c r="E114" s="135">
        <f t="shared" si="31"/>
        <v>6.57</v>
      </c>
      <c r="F114" s="135">
        <f t="shared" si="31"/>
        <v>6.57</v>
      </c>
      <c r="G114" s="135">
        <f t="shared" si="31"/>
        <v>6.57</v>
      </c>
      <c r="H114" s="135">
        <f t="shared" si="31"/>
        <v>6.57</v>
      </c>
      <c r="I114" s="135">
        <f t="shared" si="31"/>
        <v>6.57</v>
      </c>
      <c r="J114" s="135">
        <f t="shared" si="31"/>
        <v>6.57</v>
      </c>
      <c r="K114" s="135">
        <f t="shared" si="31"/>
        <v>6.57</v>
      </c>
      <c r="L114" s="135">
        <f t="shared" si="31"/>
        <v>6.57</v>
      </c>
      <c r="M114" s="135">
        <f t="shared" si="31"/>
        <v>6.57</v>
      </c>
      <c r="N114" s="135">
        <f t="shared" si="31"/>
        <v>6.57</v>
      </c>
      <c r="O114" s="135">
        <f t="shared" si="31"/>
        <v>6.57</v>
      </c>
      <c r="P114" s="135">
        <f t="shared" si="31"/>
        <v>6.57</v>
      </c>
      <c r="Q114" s="135">
        <f t="shared" si="31"/>
        <v>6.57</v>
      </c>
      <c r="R114" s="135">
        <f t="shared" si="31"/>
        <v>6.57</v>
      </c>
      <c r="S114" s="135">
        <f t="shared" si="31"/>
        <v>6.57</v>
      </c>
      <c r="T114" s="135">
        <f t="shared" si="32"/>
        <v>6.57</v>
      </c>
      <c r="U114" s="135">
        <f t="shared" si="32"/>
        <v>6.57</v>
      </c>
      <c r="V114" s="135">
        <f t="shared" si="32"/>
        <v>6.57</v>
      </c>
      <c r="W114" s="135">
        <f t="shared" si="32"/>
        <v>6.57</v>
      </c>
      <c r="X114" s="135">
        <f t="shared" si="32"/>
        <v>6.57</v>
      </c>
      <c r="Y114" s="135">
        <f t="shared" si="32"/>
        <v>6.57</v>
      </c>
      <c r="Z114" s="135">
        <f t="shared" si="32"/>
        <v>6.57</v>
      </c>
      <c r="AA114" s="135">
        <f t="shared" si="32"/>
        <v>6.57</v>
      </c>
      <c r="AB114" s="135">
        <f t="shared" si="32"/>
        <v>6.57</v>
      </c>
      <c r="AC114" s="135">
        <f t="shared" si="32"/>
        <v>6.57</v>
      </c>
      <c r="AD114" s="135">
        <f t="shared" si="32"/>
        <v>6.57</v>
      </c>
      <c r="AE114" s="135">
        <f t="shared" si="32"/>
        <v>6.57</v>
      </c>
      <c r="AF114" s="135">
        <f t="shared" si="32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30"/>
        <v>3.43</v>
      </c>
      <c r="C115" s="136">
        <v>3.43</v>
      </c>
      <c r="D115" s="135">
        <f t="shared" si="31"/>
        <v>3.43</v>
      </c>
      <c r="E115" s="135">
        <f t="shared" si="31"/>
        <v>3.43</v>
      </c>
      <c r="F115" s="135">
        <f t="shared" si="31"/>
        <v>3.43</v>
      </c>
      <c r="G115" s="135">
        <f t="shared" si="31"/>
        <v>3.43</v>
      </c>
      <c r="H115" s="135">
        <f t="shared" si="31"/>
        <v>3.43</v>
      </c>
      <c r="I115" s="135">
        <f t="shared" si="31"/>
        <v>3.43</v>
      </c>
      <c r="J115" s="135">
        <f t="shared" si="31"/>
        <v>3.43</v>
      </c>
      <c r="K115" s="135">
        <f t="shared" si="31"/>
        <v>3.43</v>
      </c>
      <c r="L115" s="135">
        <f t="shared" si="31"/>
        <v>3.43</v>
      </c>
      <c r="M115" s="135">
        <f t="shared" si="31"/>
        <v>3.43</v>
      </c>
      <c r="N115" s="135">
        <f t="shared" si="31"/>
        <v>3.43</v>
      </c>
      <c r="O115" s="135">
        <f t="shared" si="31"/>
        <v>3.43</v>
      </c>
      <c r="P115" s="135">
        <f t="shared" si="31"/>
        <v>3.43</v>
      </c>
      <c r="Q115" s="135">
        <f t="shared" si="31"/>
        <v>3.43</v>
      </c>
      <c r="R115" s="135">
        <f t="shared" si="31"/>
        <v>3.43</v>
      </c>
      <c r="S115" s="135">
        <f t="shared" si="31"/>
        <v>3.43</v>
      </c>
      <c r="T115" s="135">
        <f t="shared" si="32"/>
        <v>3.43</v>
      </c>
      <c r="U115" s="135">
        <f t="shared" si="32"/>
        <v>3.43</v>
      </c>
      <c r="V115" s="135">
        <f t="shared" si="32"/>
        <v>3.43</v>
      </c>
      <c r="W115" s="135">
        <f t="shared" si="32"/>
        <v>3.43</v>
      </c>
      <c r="X115" s="135">
        <f t="shared" si="32"/>
        <v>3.43</v>
      </c>
      <c r="Y115" s="135">
        <f t="shared" si="32"/>
        <v>3.43</v>
      </c>
      <c r="Z115" s="135">
        <f t="shared" si="32"/>
        <v>3.43</v>
      </c>
      <c r="AA115" s="135">
        <f t="shared" si="32"/>
        <v>3.43</v>
      </c>
      <c r="AB115" s="135">
        <f t="shared" si="32"/>
        <v>3.43</v>
      </c>
      <c r="AC115" s="135">
        <f t="shared" si="32"/>
        <v>3.43</v>
      </c>
      <c r="AD115" s="135">
        <f t="shared" si="32"/>
        <v>3.43</v>
      </c>
      <c r="AE115" s="135">
        <f t="shared" si="32"/>
        <v>3.43</v>
      </c>
      <c r="AF115" s="135">
        <f t="shared" si="32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30"/>
        <v>2.96</v>
      </c>
      <c r="C116" s="136">
        <v>2.96</v>
      </c>
      <c r="D116" s="135">
        <f t="shared" si="31"/>
        <v>2.96</v>
      </c>
      <c r="E116" s="135">
        <f t="shared" si="31"/>
        <v>2.96</v>
      </c>
      <c r="F116" s="135">
        <f t="shared" si="31"/>
        <v>2.96</v>
      </c>
      <c r="G116" s="135">
        <f t="shared" si="31"/>
        <v>2.96</v>
      </c>
      <c r="H116" s="135">
        <f t="shared" si="31"/>
        <v>2.96</v>
      </c>
      <c r="I116" s="135">
        <f t="shared" si="31"/>
        <v>2.96</v>
      </c>
      <c r="J116" s="135">
        <f t="shared" si="31"/>
        <v>2.96</v>
      </c>
      <c r="K116" s="135">
        <f t="shared" si="31"/>
        <v>2.96</v>
      </c>
      <c r="L116" s="135">
        <f t="shared" si="31"/>
        <v>2.96</v>
      </c>
      <c r="M116" s="135">
        <f t="shared" si="31"/>
        <v>2.96</v>
      </c>
      <c r="N116" s="135">
        <f t="shared" si="31"/>
        <v>2.96</v>
      </c>
      <c r="O116" s="135">
        <f t="shared" si="31"/>
        <v>2.96</v>
      </c>
      <c r="P116" s="135">
        <f t="shared" si="31"/>
        <v>2.96</v>
      </c>
      <c r="Q116" s="135">
        <f t="shared" si="31"/>
        <v>2.96</v>
      </c>
      <c r="R116" s="135">
        <f t="shared" si="31"/>
        <v>2.96</v>
      </c>
      <c r="S116" s="135">
        <f t="shared" si="31"/>
        <v>2.96</v>
      </c>
      <c r="T116" s="135">
        <f t="shared" si="32"/>
        <v>2.96</v>
      </c>
      <c r="U116" s="135">
        <f t="shared" si="32"/>
        <v>2.96</v>
      </c>
      <c r="V116" s="135">
        <f t="shared" si="32"/>
        <v>2.96</v>
      </c>
      <c r="W116" s="135">
        <f t="shared" si="32"/>
        <v>2.96</v>
      </c>
      <c r="X116" s="135">
        <f t="shared" si="32"/>
        <v>2.96</v>
      </c>
      <c r="Y116" s="135">
        <f t="shared" si="32"/>
        <v>2.96</v>
      </c>
      <c r="Z116" s="135">
        <f t="shared" si="32"/>
        <v>2.96</v>
      </c>
      <c r="AA116" s="135">
        <f t="shared" si="32"/>
        <v>2.96</v>
      </c>
      <c r="AB116" s="135">
        <f t="shared" si="32"/>
        <v>2.96</v>
      </c>
      <c r="AC116" s="135">
        <f t="shared" si="32"/>
        <v>2.96</v>
      </c>
      <c r="AD116" s="135">
        <f t="shared" si="32"/>
        <v>2.96</v>
      </c>
      <c r="AE116" s="135">
        <f t="shared" si="32"/>
        <v>2.96</v>
      </c>
      <c r="AF116" s="135">
        <f t="shared" si="32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30"/>
        <v>8</v>
      </c>
      <c r="C117" s="136">
        <v>8</v>
      </c>
      <c r="D117" s="135">
        <f t="shared" si="31"/>
        <v>8</v>
      </c>
      <c r="E117" s="135">
        <f t="shared" si="31"/>
        <v>8</v>
      </c>
      <c r="F117" s="135">
        <f t="shared" si="31"/>
        <v>8</v>
      </c>
      <c r="G117" s="135">
        <f t="shared" si="31"/>
        <v>8</v>
      </c>
      <c r="H117" s="135">
        <f t="shared" si="31"/>
        <v>8</v>
      </c>
      <c r="I117" s="135">
        <f t="shared" si="31"/>
        <v>8</v>
      </c>
      <c r="J117" s="135">
        <f t="shared" si="31"/>
        <v>8</v>
      </c>
      <c r="K117" s="135">
        <f t="shared" si="31"/>
        <v>8</v>
      </c>
      <c r="L117" s="135">
        <f t="shared" si="31"/>
        <v>8</v>
      </c>
      <c r="M117" s="135">
        <f t="shared" si="31"/>
        <v>8</v>
      </c>
      <c r="N117" s="135">
        <f t="shared" si="31"/>
        <v>8</v>
      </c>
      <c r="O117" s="135">
        <f t="shared" si="31"/>
        <v>8</v>
      </c>
      <c r="P117" s="135">
        <f t="shared" si="31"/>
        <v>8</v>
      </c>
      <c r="Q117" s="135">
        <f t="shared" si="31"/>
        <v>8</v>
      </c>
      <c r="R117" s="135">
        <f t="shared" si="31"/>
        <v>8</v>
      </c>
      <c r="S117" s="135">
        <f t="shared" si="31"/>
        <v>8</v>
      </c>
      <c r="T117" s="135">
        <f t="shared" si="32"/>
        <v>8</v>
      </c>
      <c r="U117" s="135">
        <f t="shared" si="32"/>
        <v>8</v>
      </c>
      <c r="V117" s="135">
        <f t="shared" si="32"/>
        <v>8</v>
      </c>
      <c r="W117" s="135">
        <f t="shared" si="32"/>
        <v>8</v>
      </c>
      <c r="X117" s="135">
        <f t="shared" si="32"/>
        <v>8</v>
      </c>
      <c r="Y117" s="135">
        <f t="shared" si="32"/>
        <v>8</v>
      </c>
      <c r="Z117" s="135">
        <f t="shared" si="32"/>
        <v>8</v>
      </c>
      <c r="AA117" s="135">
        <f t="shared" si="32"/>
        <v>8</v>
      </c>
      <c r="AB117" s="135">
        <f t="shared" si="32"/>
        <v>8</v>
      </c>
      <c r="AC117" s="135">
        <f t="shared" si="32"/>
        <v>8</v>
      </c>
      <c r="AD117" s="135">
        <f t="shared" si="32"/>
        <v>8</v>
      </c>
      <c r="AE117" s="135">
        <f t="shared" si="32"/>
        <v>8</v>
      </c>
      <c r="AF117" s="135">
        <f t="shared" si="32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30"/>
        <v>7</v>
      </c>
      <c r="C118" s="136">
        <v>7</v>
      </c>
      <c r="D118" s="135">
        <f>C118</f>
        <v>7</v>
      </c>
      <c r="E118" s="135">
        <f t="shared" si="31"/>
        <v>7</v>
      </c>
      <c r="F118" s="135">
        <f t="shared" si="31"/>
        <v>7</v>
      </c>
      <c r="G118" s="135">
        <f t="shared" si="31"/>
        <v>7</v>
      </c>
      <c r="H118" s="135">
        <f t="shared" si="31"/>
        <v>7</v>
      </c>
      <c r="I118" s="135">
        <f t="shared" si="31"/>
        <v>7</v>
      </c>
      <c r="J118" s="135">
        <f t="shared" si="31"/>
        <v>7</v>
      </c>
      <c r="K118" s="135">
        <f t="shared" si="31"/>
        <v>7</v>
      </c>
      <c r="L118" s="135">
        <f t="shared" si="31"/>
        <v>7</v>
      </c>
      <c r="M118" s="135">
        <f t="shared" si="31"/>
        <v>7</v>
      </c>
      <c r="N118" s="135">
        <f t="shared" si="31"/>
        <v>7</v>
      </c>
      <c r="O118" s="135">
        <f t="shared" si="31"/>
        <v>7</v>
      </c>
      <c r="P118" s="135">
        <f t="shared" si="31"/>
        <v>7</v>
      </c>
      <c r="Q118" s="135">
        <f t="shared" si="31"/>
        <v>7</v>
      </c>
      <c r="R118" s="135">
        <f t="shared" si="31"/>
        <v>7</v>
      </c>
      <c r="S118" s="135">
        <f t="shared" si="31"/>
        <v>7</v>
      </c>
      <c r="T118" s="135">
        <f t="shared" si="32"/>
        <v>7</v>
      </c>
      <c r="U118" s="135">
        <f t="shared" si="32"/>
        <v>7</v>
      </c>
      <c r="V118" s="135">
        <f t="shared" si="32"/>
        <v>7</v>
      </c>
      <c r="W118" s="135">
        <f t="shared" si="32"/>
        <v>7</v>
      </c>
      <c r="X118" s="135">
        <f t="shared" si="32"/>
        <v>7</v>
      </c>
      <c r="Y118" s="135">
        <f t="shared" si="32"/>
        <v>7</v>
      </c>
      <c r="Z118" s="135">
        <f t="shared" si="32"/>
        <v>7</v>
      </c>
      <c r="AA118" s="135">
        <f t="shared" si="32"/>
        <v>7</v>
      </c>
      <c r="AB118" s="135">
        <f t="shared" si="32"/>
        <v>7</v>
      </c>
      <c r="AC118" s="135">
        <f t="shared" si="32"/>
        <v>7</v>
      </c>
      <c r="AD118" s="135">
        <f t="shared" si="32"/>
        <v>7</v>
      </c>
      <c r="AE118" s="135">
        <f t="shared" si="32"/>
        <v>7</v>
      </c>
      <c r="AF118" s="135">
        <f t="shared" si="32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30"/>
        <v>3.47</v>
      </c>
      <c r="C119" s="136">
        <v>3.47</v>
      </c>
      <c r="D119" s="135">
        <f t="shared" ref="D119:S128" si="33">C119</f>
        <v>3.47</v>
      </c>
      <c r="E119" s="135">
        <f t="shared" si="33"/>
        <v>3.47</v>
      </c>
      <c r="F119" s="135">
        <f t="shared" si="33"/>
        <v>3.47</v>
      </c>
      <c r="G119" s="135">
        <f t="shared" si="33"/>
        <v>3.47</v>
      </c>
      <c r="H119" s="135">
        <f t="shared" si="33"/>
        <v>3.47</v>
      </c>
      <c r="I119" s="135">
        <f t="shared" si="33"/>
        <v>3.47</v>
      </c>
      <c r="J119" s="135">
        <f t="shared" si="33"/>
        <v>3.47</v>
      </c>
      <c r="K119" s="135">
        <f t="shared" si="33"/>
        <v>3.47</v>
      </c>
      <c r="L119" s="135">
        <f t="shared" si="33"/>
        <v>3.47</v>
      </c>
      <c r="M119" s="135">
        <f t="shared" si="33"/>
        <v>3.47</v>
      </c>
      <c r="N119" s="135">
        <f t="shared" si="33"/>
        <v>3.47</v>
      </c>
      <c r="O119" s="135">
        <f t="shared" si="33"/>
        <v>3.47</v>
      </c>
      <c r="P119" s="135">
        <f t="shared" si="33"/>
        <v>3.47</v>
      </c>
      <c r="Q119" s="135">
        <f t="shared" si="33"/>
        <v>3.47</v>
      </c>
      <c r="R119" s="135">
        <f t="shared" si="33"/>
        <v>3.47</v>
      </c>
      <c r="S119" s="135">
        <f t="shared" si="33"/>
        <v>3.47</v>
      </c>
      <c r="T119" s="135">
        <f t="shared" si="32"/>
        <v>3.47</v>
      </c>
      <c r="U119" s="135">
        <f t="shared" si="32"/>
        <v>3.47</v>
      </c>
      <c r="V119" s="135">
        <f t="shared" si="32"/>
        <v>3.47</v>
      </c>
      <c r="W119" s="135">
        <f t="shared" si="32"/>
        <v>3.47</v>
      </c>
      <c r="X119" s="135">
        <f t="shared" si="32"/>
        <v>3.47</v>
      </c>
      <c r="Y119" s="135">
        <f t="shared" si="32"/>
        <v>3.47</v>
      </c>
      <c r="Z119" s="135">
        <f t="shared" si="32"/>
        <v>3.47</v>
      </c>
      <c r="AA119" s="135">
        <f t="shared" si="32"/>
        <v>3.47</v>
      </c>
      <c r="AB119" s="135">
        <f t="shared" si="32"/>
        <v>3.47</v>
      </c>
      <c r="AC119" s="135">
        <f t="shared" si="32"/>
        <v>3.47</v>
      </c>
      <c r="AD119" s="135">
        <f t="shared" si="32"/>
        <v>3.47</v>
      </c>
      <c r="AE119" s="135">
        <f t="shared" si="32"/>
        <v>3.47</v>
      </c>
      <c r="AF119" s="135">
        <f t="shared" si="32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30"/>
        <v>2.1</v>
      </c>
      <c r="C120" s="136">
        <v>2.1</v>
      </c>
      <c r="D120" s="135">
        <f t="shared" si="33"/>
        <v>2.1</v>
      </c>
      <c r="E120" s="135">
        <f t="shared" si="33"/>
        <v>2.1</v>
      </c>
      <c r="F120" s="135">
        <f t="shared" si="33"/>
        <v>2.1</v>
      </c>
      <c r="G120" s="135">
        <f t="shared" si="33"/>
        <v>2.1</v>
      </c>
      <c r="H120" s="135">
        <f t="shared" si="33"/>
        <v>2.1</v>
      </c>
      <c r="I120" s="135">
        <f t="shared" si="33"/>
        <v>2.1</v>
      </c>
      <c r="J120" s="135">
        <f t="shared" si="33"/>
        <v>2.1</v>
      </c>
      <c r="K120" s="135">
        <f t="shared" si="33"/>
        <v>2.1</v>
      </c>
      <c r="L120" s="135">
        <f t="shared" si="33"/>
        <v>2.1</v>
      </c>
      <c r="M120" s="135">
        <f t="shared" si="33"/>
        <v>2.1</v>
      </c>
      <c r="N120" s="135">
        <f t="shared" si="33"/>
        <v>2.1</v>
      </c>
      <c r="O120" s="135">
        <f t="shared" si="33"/>
        <v>2.1</v>
      </c>
      <c r="P120" s="135">
        <f t="shared" si="33"/>
        <v>2.1</v>
      </c>
      <c r="Q120" s="135">
        <f t="shared" si="33"/>
        <v>2.1</v>
      </c>
      <c r="R120" s="135">
        <f t="shared" si="33"/>
        <v>2.1</v>
      </c>
      <c r="S120" s="135">
        <f t="shared" si="33"/>
        <v>2.1</v>
      </c>
      <c r="T120" s="135">
        <f t="shared" si="32"/>
        <v>2.1</v>
      </c>
      <c r="U120" s="135">
        <f t="shared" si="32"/>
        <v>2.1</v>
      </c>
      <c r="V120" s="135">
        <f t="shared" si="32"/>
        <v>2.1</v>
      </c>
      <c r="W120" s="135">
        <f t="shared" si="32"/>
        <v>2.1</v>
      </c>
      <c r="X120" s="135">
        <f t="shared" si="32"/>
        <v>2.1</v>
      </c>
      <c r="Y120" s="135">
        <f t="shared" si="32"/>
        <v>2.1</v>
      </c>
      <c r="Z120" s="135">
        <f t="shared" si="32"/>
        <v>2.1</v>
      </c>
      <c r="AA120" s="135">
        <f t="shared" si="32"/>
        <v>2.1</v>
      </c>
      <c r="AB120" s="135">
        <f t="shared" si="32"/>
        <v>2.1</v>
      </c>
      <c r="AC120" s="135">
        <f t="shared" si="32"/>
        <v>2.1</v>
      </c>
      <c r="AD120" s="135">
        <f t="shared" si="32"/>
        <v>2.1</v>
      </c>
      <c r="AE120" s="135">
        <f t="shared" si="32"/>
        <v>2.1</v>
      </c>
      <c r="AF120" s="135">
        <f t="shared" si="32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30"/>
        <v>9.3000000000000007</v>
      </c>
      <c r="C121" s="136">
        <v>9.3000000000000007</v>
      </c>
      <c r="D121" s="135">
        <f t="shared" si="33"/>
        <v>9.3000000000000007</v>
      </c>
      <c r="E121" s="135">
        <f t="shared" si="33"/>
        <v>9.3000000000000007</v>
      </c>
      <c r="F121" s="135">
        <f t="shared" si="33"/>
        <v>9.3000000000000007</v>
      </c>
      <c r="G121" s="135">
        <f t="shared" si="33"/>
        <v>9.3000000000000007</v>
      </c>
      <c r="H121" s="135">
        <f t="shared" si="33"/>
        <v>9.3000000000000007</v>
      </c>
      <c r="I121" s="135">
        <f t="shared" si="33"/>
        <v>9.3000000000000007</v>
      </c>
      <c r="J121" s="135">
        <f t="shared" si="33"/>
        <v>9.3000000000000007</v>
      </c>
      <c r="K121" s="135">
        <f t="shared" si="33"/>
        <v>9.3000000000000007</v>
      </c>
      <c r="L121" s="135">
        <f t="shared" si="33"/>
        <v>9.3000000000000007</v>
      </c>
      <c r="M121" s="135">
        <f t="shared" si="33"/>
        <v>9.3000000000000007</v>
      </c>
      <c r="N121" s="135">
        <f t="shared" si="33"/>
        <v>9.3000000000000007</v>
      </c>
      <c r="O121" s="135">
        <f t="shared" si="33"/>
        <v>9.3000000000000007</v>
      </c>
      <c r="P121" s="135">
        <f t="shared" si="33"/>
        <v>9.3000000000000007</v>
      </c>
      <c r="Q121" s="135">
        <f t="shared" si="33"/>
        <v>9.3000000000000007</v>
      </c>
      <c r="R121" s="135">
        <f t="shared" si="33"/>
        <v>9.3000000000000007</v>
      </c>
      <c r="S121" s="135">
        <f t="shared" si="33"/>
        <v>9.3000000000000007</v>
      </c>
      <c r="T121" s="135">
        <f t="shared" si="32"/>
        <v>9.3000000000000007</v>
      </c>
      <c r="U121" s="135">
        <f t="shared" si="32"/>
        <v>9.3000000000000007</v>
      </c>
      <c r="V121" s="135">
        <f t="shared" si="32"/>
        <v>9.3000000000000007</v>
      </c>
      <c r="W121" s="135">
        <f t="shared" si="32"/>
        <v>9.3000000000000007</v>
      </c>
      <c r="X121" s="135">
        <f t="shared" si="32"/>
        <v>9.3000000000000007</v>
      </c>
      <c r="Y121" s="135">
        <f t="shared" si="32"/>
        <v>9.3000000000000007</v>
      </c>
      <c r="Z121" s="135">
        <f t="shared" si="32"/>
        <v>9.3000000000000007</v>
      </c>
      <c r="AA121" s="135">
        <f t="shared" si="32"/>
        <v>9.3000000000000007</v>
      </c>
      <c r="AB121" s="135">
        <f t="shared" si="32"/>
        <v>9.3000000000000007</v>
      </c>
      <c r="AC121" s="135">
        <f t="shared" si="32"/>
        <v>9.3000000000000007</v>
      </c>
      <c r="AD121" s="135">
        <f t="shared" si="32"/>
        <v>9.3000000000000007</v>
      </c>
      <c r="AE121" s="135">
        <f t="shared" si="32"/>
        <v>9.3000000000000007</v>
      </c>
      <c r="AF121" s="135">
        <f t="shared" si="32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30"/>
        <v>0</v>
      </c>
      <c r="C122" s="136">
        <v>0</v>
      </c>
      <c r="D122" s="135">
        <f t="shared" si="33"/>
        <v>0</v>
      </c>
      <c r="E122" s="135">
        <f t="shared" si="33"/>
        <v>0</v>
      </c>
      <c r="F122" s="135">
        <f t="shared" si="33"/>
        <v>0</v>
      </c>
      <c r="G122" s="135">
        <f t="shared" si="33"/>
        <v>0</v>
      </c>
      <c r="H122" s="135">
        <f t="shared" si="33"/>
        <v>0</v>
      </c>
      <c r="I122" s="135">
        <f t="shared" si="33"/>
        <v>0</v>
      </c>
      <c r="J122" s="135">
        <f t="shared" si="33"/>
        <v>0</v>
      </c>
      <c r="K122" s="135">
        <f t="shared" si="33"/>
        <v>0</v>
      </c>
      <c r="L122" s="135">
        <f t="shared" si="33"/>
        <v>0</v>
      </c>
      <c r="M122" s="135">
        <f t="shared" si="33"/>
        <v>0</v>
      </c>
      <c r="N122" s="135">
        <f t="shared" si="33"/>
        <v>0</v>
      </c>
      <c r="O122" s="135">
        <f t="shared" si="33"/>
        <v>0</v>
      </c>
      <c r="P122" s="135">
        <f t="shared" si="33"/>
        <v>0</v>
      </c>
      <c r="Q122" s="135">
        <f t="shared" si="33"/>
        <v>0</v>
      </c>
      <c r="R122" s="135">
        <f t="shared" si="33"/>
        <v>0</v>
      </c>
      <c r="S122" s="135">
        <f t="shared" si="33"/>
        <v>0</v>
      </c>
      <c r="T122" s="135">
        <f t="shared" si="32"/>
        <v>0</v>
      </c>
      <c r="U122" s="135">
        <f t="shared" si="32"/>
        <v>0</v>
      </c>
      <c r="V122" s="135">
        <f t="shared" si="32"/>
        <v>0</v>
      </c>
      <c r="W122" s="135">
        <f t="shared" si="32"/>
        <v>0</v>
      </c>
      <c r="X122" s="135">
        <f t="shared" si="32"/>
        <v>0</v>
      </c>
      <c r="Y122" s="135">
        <f t="shared" si="32"/>
        <v>0</v>
      </c>
      <c r="Z122" s="135">
        <f t="shared" si="32"/>
        <v>0</v>
      </c>
      <c r="AA122" s="135">
        <f t="shared" si="32"/>
        <v>0</v>
      </c>
      <c r="AB122" s="135">
        <f t="shared" si="32"/>
        <v>0</v>
      </c>
      <c r="AC122" s="135">
        <f t="shared" si="32"/>
        <v>0</v>
      </c>
      <c r="AD122" s="135">
        <f t="shared" si="32"/>
        <v>0</v>
      </c>
      <c r="AE122" s="135">
        <f t="shared" si="32"/>
        <v>0</v>
      </c>
      <c r="AF122" s="135">
        <f t="shared" si="32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30"/>
        <v>0</v>
      </c>
      <c r="C123" s="136">
        <v>0</v>
      </c>
      <c r="D123" s="135">
        <f t="shared" si="33"/>
        <v>0</v>
      </c>
      <c r="E123" s="135">
        <f t="shared" si="33"/>
        <v>0</v>
      </c>
      <c r="F123" s="135">
        <f t="shared" si="33"/>
        <v>0</v>
      </c>
      <c r="G123" s="135">
        <f t="shared" si="33"/>
        <v>0</v>
      </c>
      <c r="H123" s="135">
        <f t="shared" si="33"/>
        <v>0</v>
      </c>
      <c r="I123" s="135">
        <f t="shared" si="33"/>
        <v>0</v>
      </c>
      <c r="J123" s="135">
        <f t="shared" si="33"/>
        <v>0</v>
      </c>
      <c r="K123" s="135">
        <f t="shared" si="33"/>
        <v>0</v>
      </c>
      <c r="L123" s="135">
        <f t="shared" si="33"/>
        <v>0</v>
      </c>
      <c r="M123" s="135">
        <f t="shared" si="33"/>
        <v>0</v>
      </c>
      <c r="N123" s="135">
        <f t="shared" si="33"/>
        <v>0</v>
      </c>
      <c r="O123" s="135">
        <f t="shared" si="33"/>
        <v>0</v>
      </c>
      <c r="P123" s="135">
        <f t="shared" si="33"/>
        <v>0</v>
      </c>
      <c r="Q123" s="135">
        <f t="shared" si="33"/>
        <v>0</v>
      </c>
      <c r="R123" s="135">
        <f t="shared" si="33"/>
        <v>0</v>
      </c>
      <c r="S123" s="135">
        <f t="shared" si="33"/>
        <v>0</v>
      </c>
      <c r="T123" s="135">
        <f t="shared" si="32"/>
        <v>0</v>
      </c>
      <c r="U123" s="135">
        <f t="shared" si="32"/>
        <v>0</v>
      </c>
      <c r="V123" s="135">
        <f t="shared" si="32"/>
        <v>0</v>
      </c>
      <c r="W123" s="135">
        <f t="shared" si="32"/>
        <v>0</v>
      </c>
      <c r="X123" s="135">
        <f t="shared" si="32"/>
        <v>0</v>
      </c>
      <c r="Y123" s="135">
        <f t="shared" si="32"/>
        <v>0</v>
      </c>
      <c r="Z123" s="135">
        <f t="shared" si="32"/>
        <v>0</v>
      </c>
      <c r="AA123" s="135">
        <f t="shared" si="32"/>
        <v>0</v>
      </c>
      <c r="AB123" s="135">
        <f t="shared" si="32"/>
        <v>0</v>
      </c>
      <c r="AC123" s="135">
        <f t="shared" si="32"/>
        <v>0</v>
      </c>
      <c r="AD123" s="135">
        <f t="shared" si="32"/>
        <v>0</v>
      </c>
      <c r="AE123" s="135">
        <f t="shared" si="32"/>
        <v>0</v>
      </c>
      <c r="AF123" s="135">
        <f t="shared" si="32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30"/>
        <v>5</v>
      </c>
      <c r="C124" s="136">
        <v>5</v>
      </c>
      <c r="D124" s="135">
        <f t="shared" si="33"/>
        <v>5</v>
      </c>
      <c r="E124" s="135">
        <f t="shared" si="33"/>
        <v>5</v>
      </c>
      <c r="F124" s="135">
        <f t="shared" si="33"/>
        <v>5</v>
      </c>
      <c r="G124" s="135">
        <f t="shared" si="33"/>
        <v>5</v>
      </c>
      <c r="H124" s="135">
        <f t="shared" si="33"/>
        <v>5</v>
      </c>
      <c r="I124" s="135">
        <f t="shared" si="33"/>
        <v>5</v>
      </c>
      <c r="J124" s="135">
        <f t="shared" si="33"/>
        <v>5</v>
      </c>
      <c r="K124" s="135">
        <f t="shared" si="33"/>
        <v>5</v>
      </c>
      <c r="L124" s="135">
        <f t="shared" si="33"/>
        <v>5</v>
      </c>
      <c r="M124" s="135">
        <f t="shared" si="33"/>
        <v>5</v>
      </c>
      <c r="N124" s="135">
        <f t="shared" si="33"/>
        <v>5</v>
      </c>
      <c r="O124" s="135">
        <f t="shared" si="33"/>
        <v>5</v>
      </c>
      <c r="P124" s="135">
        <f t="shared" si="33"/>
        <v>5</v>
      </c>
      <c r="Q124" s="135">
        <f t="shared" si="33"/>
        <v>5</v>
      </c>
      <c r="R124" s="135">
        <f t="shared" si="33"/>
        <v>5</v>
      </c>
      <c r="S124" s="135">
        <f t="shared" si="33"/>
        <v>5</v>
      </c>
      <c r="T124" s="135">
        <f t="shared" si="32"/>
        <v>5</v>
      </c>
      <c r="U124" s="135">
        <f t="shared" si="32"/>
        <v>5</v>
      </c>
      <c r="V124" s="135">
        <f t="shared" si="32"/>
        <v>5</v>
      </c>
      <c r="W124" s="135">
        <f t="shared" si="32"/>
        <v>5</v>
      </c>
      <c r="X124" s="135">
        <f t="shared" si="32"/>
        <v>5</v>
      </c>
      <c r="Y124" s="135">
        <f t="shared" si="32"/>
        <v>5</v>
      </c>
      <c r="Z124" s="135">
        <f t="shared" si="32"/>
        <v>5</v>
      </c>
      <c r="AA124" s="135">
        <f t="shared" si="32"/>
        <v>5</v>
      </c>
      <c r="AB124" s="135">
        <f t="shared" si="32"/>
        <v>5</v>
      </c>
      <c r="AC124" s="135">
        <f t="shared" si="32"/>
        <v>5</v>
      </c>
      <c r="AD124" s="135">
        <f t="shared" si="32"/>
        <v>5</v>
      </c>
      <c r="AE124" s="135">
        <f t="shared" si="32"/>
        <v>5</v>
      </c>
      <c r="AF124" s="135">
        <f t="shared" si="32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30"/>
        <v>1</v>
      </c>
      <c r="C125" s="136">
        <v>1</v>
      </c>
      <c r="D125" s="135">
        <f t="shared" si="33"/>
        <v>1</v>
      </c>
      <c r="E125" s="135">
        <f t="shared" si="33"/>
        <v>1</v>
      </c>
      <c r="F125" s="135">
        <f t="shared" si="33"/>
        <v>1</v>
      </c>
      <c r="G125" s="135">
        <f t="shared" si="33"/>
        <v>1</v>
      </c>
      <c r="H125" s="135">
        <f t="shared" si="33"/>
        <v>1</v>
      </c>
      <c r="I125" s="135">
        <f t="shared" si="33"/>
        <v>1</v>
      </c>
      <c r="J125" s="135">
        <f t="shared" si="33"/>
        <v>1</v>
      </c>
      <c r="K125" s="135">
        <f t="shared" si="33"/>
        <v>1</v>
      </c>
      <c r="L125" s="135">
        <f t="shared" si="33"/>
        <v>1</v>
      </c>
      <c r="M125" s="135">
        <f t="shared" si="33"/>
        <v>1</v>
      </c>
      <c r="N125" s="135">
        <f t="shared" si="33"/>
        <v>1</v>
      </c>
      <c r="O125" s="135">
        <f t="shared" si="33"/>
        <v>1</v>
      </c>
      <c r="P125" s="135">
        <f t="shared" si="33"/>
        <v>1</v>
      </c>
      <c r="Q125" s="135">
        <f t="shared" si="33"/>
        <v>1</v>
      </c>
      <c r="R125" s="135">
        <f t="shared" si="33"/>
        <v>1</v>
      </c>
      <c r="S125" s="135">
        <f t="shared" si="33"/>
        <v>1</v>
      </c>
      <c r="T125" s="135">
        <f t="shared" si="32"/>
        <v>1</v>
      </c>
      <c r="U125" s="135">
        <f t="shared" si="32"/>
        <v>1</v>
      </c>
      <c r="V125" s="135">
        <f t="shared" si="32"/>
        <v>1</v>
      </c>
      <c r="W125" s="135">
        <f t="shared" si="32"/>
        <v>1</v>
      </c>
      <c r="X125" s="135">
        <f t="shared" si="32"/>
        <v>1</v>
      </c>
      <c r="Y125" s="135">
        <f t="shared" si="32"/>
        <v>1</v>
      </c>
      <c r="Z125" s="135">
        <f t="shared" si="32"/>
        <v>1</v>
      </c>
      <c r="AA125" s="135">
        <f t="shared" si="32"/>
        <v>1</v>
      </c>
      <c r="AB125" s="135">
        <f t="shared" si="32"/>
        <v>1</v>
      </c>
      <c r="AC125" s="135">
        <f t="shared" si="32"/>
        <v>1</v>
      </c>
      <c r="AD125" s="135">
        <f t="shared" si="32"/>
        <v>1</v>
      </c>
      <c r="AE125" s="135">
        <f t="shared" si="32"/>
        <v>1</v>
      </c>
      <c r="AF125" s="135">
        <f t="shared" si="32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30"/>
        <v>1.58</v>
      </c>
      <c r="C126" s="136">
        <v>1.58</v>
      </c>
      <c r="D126" s="135">
        <f t="shared" si="33"/>
        <v>1.58</v>
      </c>
      <c r="E126" s="135">
        <f t="shared" si="33"/>
        <v>1.58</v>
      </c>
      <c r="F126" s="135">
        <f t="shared" si="33"/>
        <v>1.58</v>
      </c>
      <c r="G126" s="135">
        <f t="shared" si="33"/>
        <v>1.58</v>
      </c>
      <c r="H126" s="135">
        <f t="shared" si="33"/>
        <v>1.58</v>
      </c>
      <c r="I126" s="135">
        <f t="shared" si="33"/>
        <v>1.58</v>
      </c>
      <c r="J126" s="135">
        <f t="shared" si="33"/>
        <v>1.58</v>
      </c>
      <c r="K126" s="135">
        <f t="shared" si="33"/>
        <v>1.58</v>
      </c>
      <c r="L126" s="135">
        <f t="shared" si="33"/>
        <v>1.58</v>
      </c>
      <c r="M126" s="135">
        <f t="shared" si="33"/>
        <v>1.58</v>
      </c>
      <c r="N126" s="135">
        <f t="shared" si="33"/>
        <v>1.58</v>
      </c>
      <c r="O126" s="135">
        <f t="shared" si="33"/>
        <v>1.58</v>
      </c>
      <c r="P126" s="135">
        <f t="shared" si="33"/>
        <v>1.58</v>
      </c>
      <c r="Q126" s="135">
        <f t="shared" si="33"/>
        <v>1.58</v>
      </c>
      <c r="R126" s="135">
        <f t="shared" si="33"/>
        <v>1.58</v>
      </c>
      <c r="S126" s="135">
        <f t="shared" si="33"/>
        <v>1.58</v>
      </c>
      <c r="T126" s="135">
        <f t="shared" si="32"/>
        <v>1.58</v>
      </c>
      <c r="U126" s="135">
        <f t="shared" si="32"/>
        <v>1.58</v>
      </c>
      <c r="V126" s="135">
        <f t="shared" si="32"/>
        <v>1.58</v>
      </c>
      <c r="W126" s="135">
        <f t="shared" si="32"/>
        <v>1.58</v>
      </c>
      <c r="X126" s="135">
        <f t="shared" si="32"/>
        <v>1.58</v>
      </c>
      <c r="Y126" s="135">
        <f t="shared" si="32"/>
        <v>1.58</v>
      </c>
      <c r="Z126" s="135">
        <f t="shared" si="32"/>
        <v>1.58</v>
      </c>
      <c r="AA126" s="135">
        <f t="shared" si="32"/>
        <v>1.58</v>
      </c>
      <c r="AB126" s="135">
        <f t="shared" si="32"/>
        <v>1.58</v>
      </c>
      <c r="AC126" s="135">
        <f t="shared" si="32"/>
        <v>1.58</v>
      </c>
      <c r="AD126" s="135">
        <f t="shared" si="32"/>
        <v>1.58</v>
      </c>
      <c r="AE126" s="135">
        <f t="shared" si="32"/>
        <v>1.58</v>
      </c>
      <c r="AF126" s="135">
        <f t="shared" si="32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30"/>
        <v>1.46</v>
      </c>
      <c r="C127" s="136">
        <v>1.46</v>
      </c>
      <c r="D127" s="135">
        <f t="shared" si="33"/>
        <v>1.46</v>
      </c>
      <c r="E127" s="135">
        <f t="shared" si="33"/>
        <v>1.46</v>
      </c>
      <c r="F127" s="135">
        <f t="shared" si="33"/>
        <v>1.46</v>
      </c>
      <c r="G127" s="135">
        <f t="shared" si="33"/>
        <v>1.46</v>
      </c>
      <c r="H127" s="135">
        <f t="shared" si="33"/>
        <v>1.46</v>
      </c>
      <c r="I127" s="135">
        <f t="shared" si="33"/>
        <v>1.46</v>
      </c>
      <c r="J127" s="135">
        <f t="shared" si="33"/>
        <v>1.46</v>
      </c>
      <c r="K127" s="135">
        <f t="shared" si="33"/>
        <v>1.46</v>
      </c>
      <c r="L127" s="135">
        <f t="shared" si="33"/>
        <v>1.46</v>
      </c>
      <c r="M127" s="135">
        <f t="shared" si="33"/>
        <v>1.46</v>
      </c>
      <c r="N127" s="135">
        <f t="shared" si="33"/>
        <v>1.46</v>
      </c>
      <c r="O127" s="135">
        <f t="shared" si="33"/>
        <v>1.46</v>
      </c>
      <c r="P127" s="135">
        <f t="shared" si="33"/>
        <v>1.46</v>
      </c>
      <c r="Q127" s="135">
        <f t="shared" si="33"/>
        <v>1.46</v>
      </c>
      <c r="R127" s="135">
        <f t="shared" si="33"/>
        <v>1.46</v>
      </c>
      <c r="S127" s="135">
        <f t="shared" si="33"/>
        <v>1.46</v>
      </c>
      <c r="T127" s="135">
        <f t="shared" ref="T127:AF128" si="34">S127</f>
        <v>1.46</v>
      </c>
      <c r="U127" s="135">
        <f t="shared" si="34"/>
        <v>1.46</v>
      </c>
      <c r="V127" s="135">
        <f t="shared" si="34"/>
        <v>1.46</v>
      </c>
      <c r="W127" s="135">
        <f t="shared" si="34"/>
        <v>1.46</v>
      </c>
      <c r="X127" s="135">
        <f t="shared" si="34"/>
        <v>1.46</v>
      </c>
      <c r="Y127" s="135">
        <f t="shared" si="34"/>
        <v>1.46</v>
      </c>
      <c r="Z127" s="135">
        <f t="shared" si="34"/>
        <v>1.46</v>
      </c>
      <c r="AA127" s="135">
        <f t="shared" si="34"/>
        <v>1.46</v>
      </c>
      <c r="AB127" s="135">
        <f t="shared" si="34"/>
        <v>1.46</v>
      </c>
      <c r="AC127" s="135">
        <f t="shared" si="34"/>
        <v>1.46</v>
      </c>
      <c r="AD127" s="135">
        <f t="shared" si="34"/>
        <v>1.46</v>
      </c>
      <c r="AE127" s="135">
        <f t="shared" si="34"/>
        <v>1.46</v>
      </c>
      <c r="AF127" s="135">
        <f t="shared" si="34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30"/>
        <v>1.48</v>
      </c>
      <c r="C128" s="136">
        <v>1.48</v>
      </c>
      <c r="D128" s="135">
        <f t="shared" si="33"/>
        <v>1.48</v>
      </c>
      <c r="E128" s="135">
        <f t="shared" si="33"/>
        <v>1.48</v>
      </c>
      <c r="F128" s="135">
        <f t="shared" si="33"/>
        <v>1.48</v>
      </c>
      <c r="G128" s="135">
        <f t="shared" si="33"/>
        <v>1.48</v>
      </c>
      <c r="H128" s="135">
        <f t="shared" si="33"/>
        <v>1.48</v>
      </c>
      <c r="I128" s="135">
        <f t="shared" si="33"/>
        <v>1.48</v>
      </c>
      <c r="J128" s="135">
        <f t="shared" si="33"/>
        <v>1.48</v>
      </c>
      <c r="K128" s="135">
        <f t="shared" si="33"/>
        <v>1.48</v>
      </c>
      <c r="L128" s="135">
        <f t="shared" si="33"/>
        <v>1.48</v>
      </c>
      <c r="M128" s="135">
        <f t="shared" si="33"/>
        <v>1.48</v>
      </c>
      <c r="N128" s="135">
        <f t="shared" si="33"/>
        <v>1.48</v>
      </c>
      <c r="O128" s="135">
        <f t="shared" si="33"/>
        <v>1.48</v>
      </c>
      <c r="P128" s="135">
        <f t="shared" si="33"/>
        <v>1.48</v>
      </c>
      <c r="Q128" s="135">
        <f t="shared" si="33"/>
        <v>1.48</v>
      </c>
      <c r="R128" s="135">
        <f t="shared" si="33"/>
        <v>1.48</v>
      </c>
      <c r="S128" s="135">
        <f t="shared" si="33"/>
        <v>1.48</v>
      </c>
      <c r="T128" s="135">
        <f t="shared" si="34"/>
        <v>1.48</v>
      </c>
      <c r="U128" s="135">
        <f t="shared" si="34"/>
        <v>1.48</v>
      </c>
      <c r="V128" s="135">
        <f t="shared" si="34"/>
        <v>1.48</v>
      </c>
      <c r="W128" s="135">
        <f t="shared" si="34"/>
        <v>1.48</v>
      </c>
      <c r="X128" s="135">
        <f t="shared" si="34"/>
        <v>1.48</v>
      </c>
      <c r="Y128" s="135">
        <f t="shared" si="34"/>
        <v>1.48</v>
      </c>
      <c r="Z128" s="135">
        <f t="shared" si="34"/>
        <v>1.48</v>
      </c>
      <c r="AA128" s="135">
        <f t="shared" si="34"/>
        <v>1.48</v>
      </c>
      <c r="AB128" s="135">
        <f t="shared" si="34"/>
        <v>1.48</v>
      </c>
      <c r="AC128" s="135">
        <f t="shared" si="34"/>
        <v>1.48</v>
      </c>
      <c r="AD128" s="135">
        <f t="shared" si="34"/>
        <v>1.48</v>
      </c>
      <c r="AE128" s="135">
        <f t="shared" si="34"/>
        <v>1.48</v>
      </c>
      <c r="AF128" s="135">
        <f t="shared" si="34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5">AF130</f>
        <v>2.2000000000000002</v>
      </c>
      <c r="C130" s="136">
        <v>2.2000000000000002</v>
      </c>
      <c r="D130" s="135">
        <f t="shared" ref="D130:S137" si="36">C130</f>
        <v>2.2000000000000002</v>
      </c>
      <c r="E130" s="135">
        <f t="shared" si="36"/>
        <v>2.2000000000000002</v>
      </c>
      <c r="F130" s="135">
        <f t="shared" si="36"/>
        <v>2.2000000000000002</v>
      </c>
      <c r="G130" s="135">
        <f t="shared" si="36"/>
        <v>2.2000000000000002</v>
      </c>
      <c r="H130" s="135">
        <f t="shared" si="36"/>
        <v>2.2000000000000002</v>
      </c>
      <c r="I130" s="135">
        <f t="shared" si="36"/>
        <v>2.2000000000000002</v>
      </c>
      <c r="J130" s="135">
        <f t="shared" si="36"/>
        <v>2.2000000000000002</v>
      </c>
      <c r="K130" s="135">
        <f t="shared" si="36"/>
        <v>2.2000000000000002</v>
      </c>
      <c r="L130" s="135">
        <f t="shared" si="36"/>
        <v>2.2000000000000002</v>
      </c>
      <c r="M130" s="135">
        <f t="shared" si="36"/>
        <v>2.2000000000000002</v>
      </c>
      <c r="N130" s="135">
        <f t="shared" si="36"/>
        <v>2.2000000000000002</v>
      </c>
      <c r="O130" s="135">
        <f t="shared" si="36"/>
        <v>2.2000000000000002</v>
      </c>
      <c r="P130" s="135">
        <f t="shared" si="36"/>
        <v>2.2000000000000002</v>
      </c>
      <c r="Q130" s="135">
        <f t="shared" si="36"/>
        <v>2.2000000000000002</v>
      </c>
      <c r="R130" s="135">
        <f t="shared" si="36"/>
        <v>2.2000000000000002</v>
      </c>
      <c r="S130" s="135">
        <f t="shared" si="36"/>
        <v>2.2000000000000002</v>
      </c>
      <c r="T130" s="135">
        <f t="shared" ref="T130:AF137" si="37">S130</f>
        <v>2.2000000000000002</v>
      </c>
      <c r="U130" s="135">
        <f t="shared" si="37"/>
        <v>2.2000000000000002</v>
      </c>
      <c r="V130" s="135">
        <f t="shared" si="37"/>
        <v>2.2000000000000002</v>
      </c>
      <c r="W130" s="135">
        <f t="shared" si="37"/>
        <v>2.2000000000000002</v>
      </c>
      <c r="X130" s="135">
        <f t="shared" si="37"/>
        <v>2.2000000000000002</v>
      </c>
      <c r="Y130" s="135">
        <f t="shared" si="37"/>
        <v>2.2000000000000002</v>
      </c>
      <c r="Z130" s="135">
        <f t="shared" si="37"/>
        <v>2.2000000000000002</v>
      </c>
      <c r="AA130" s="135">
        <f t="shared" si="37"/>
        <v>2.2000000000000002</v>
      </c>
      <c r="AB130" s="135">
        <f t="shared" si="37"/>
        <v>2.2000000000000002</v>
      </c>
      <c r="AC130" s="135">
        <f t="shared" si="37"/>
        <v>2.2000000000000002</v>
      </c>
      <c r="AD130" s="135">
        <f t="shared" si="37"/>
        <v>2.2000000000000002</v>
      </c>
      <c r="AE130" s="135">
        <f t="shared" si="37"/>
        <v>2.2000000000000002</v>
      </c>
      <c r="AF130" s="135">
        <f t="shared" si="37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5"/>
        <v>2</v>
      </c>
      <c r="C131" s="136">
        <v>2</v>
      </c>
      <c r="D131" s="135">
        <f t="shared" si="36"/>
        <v>2</v>
      </c>
      <c r="E131" s="135">
        <f t="shared" si="36"/>
        <v>2</v>
      </c>
      <c r="F131" s="135">
        <f t="shared" si="36"/>
        <v>2</v>
      </c>
      <c r="G131" s="135">
        <f t="shared" si="36"/>
        <v>2</v>
      </c>
      <c r="H131" s="135">
        <f t="shared" si="36"/>
        <v>2</v>
      </c>
      <c r="I131" s="135">
        <f t="shared" si="36"/>
        <v>2</v>
      </c>
      <c r="J131" s="135">
        <f t="shared" si="36"/>
        <v>2</v>
      </c>
      <c r="K131" s="135">
        <f t="shared" si="36"/>
        <v>2</v>
      </c>
      <c r="L131" s="135">
        <f t="shared" si="36"/>
        <v>2</v>
      </c>
      <c r="M131" s="135">
        <f t="shared" si="36"/>
        <v>2</v>
      </c>
      <c r="N131" s="135">
        <f t="shared" si="36"/>
        <v>2</v>
      </c>
      <c r="O131" s="135">
        <f t="shared" si="36"/>
        <v>2</v>
      </c>
      <c r="P131" s="135">
        <f t="shared" si="36"/>
        <v>2</v>
      </c>
      <c r="Q131" s="135">
        <f t="shared" si="36"/>
        <v>2</v>
      </c>
      <c r="R131" s="135">
        <f t="shared" si="36"/>
        <v>2</v>
      </c>
      <c r="S131" s="135">
        <f t="shared" si="36"/>
        <v>2</v>
      </c>
      <c r="T131" s="135">
        <f t="shared" si="37"/>
        <v>2</v>
      </c>
      <c r="U131" s="135">
        <f t="shared" si="37"/>
        <v>2</v>
      </c>
      <c r="V131" s="135">
        <f t="shared" si="37"/>
        <v>2</v>
      </c>
      <c r="W131" s="135">
        <f t="shared" si="37"/>
        <v>2</v>
      </c>
      <c r="X131" s="135">
        <f t="shared" si="37"/>
        <v>2</v>
      </c>
      <c r="Y131" s="135">
        <f t="shared" si="37"/>
        <v>2</v>
      </c>
      <c r="Z131" s="135">
        <f t="shared" si="37"/>
        <v>2</v>
      </c>
      <c r="AA131" s="135">
        <f t="shared" si="37"/>
        <v>2</v>
      </c>
      <c r="AB131" s="135">
        <f t="shared" si="37"/>
        <v>2</v>
      </c>
      <c r="AC131" s="135">
        <f t="shared" si="37"/>
        <v>2</v>
      </c>
      <c r="AD131" s="135">
        <f t="shared" si="37"/>
        <v>2</v>
      </c>
      <c r="AE131" s="135">
        <f t="shared" si="37"/>
        <v>2</v>
      </c>
      <c r="AF131" s="135">
        <f t="shared" si="37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5"/>
        <v>1.25</v>
      </c>
      <c r="C132" s="136">
        <v>1.25</v>
      </c>
      <c r="D132" s="135">
        <f t="shared" si="36"/>
        <v>1.25</v>
      </c>
      <c r="E132" s="135">
        <f t="shared" si="36"/>
        <v>1.25</v>
      </c>
      <c r="F132" s="135">
        <f t="shared" si="36"/>
        <v>1.25</v>
      </c>
      <c r="G132" s="135">
        <f t="shared" si="36"/>
        <v>1.25</v>
      </c>
      <c r="H132" s="135">
        <f t="shared" si="36"/>
        <v>1.25</v>
      </c>
      <c r="I132" s="135">
        <f t="shared" si="36"/>
        <v>1.25</v>
      </c>
      <c r="J132" s="135">
        <f t="shared" si="36"/>
        <v>1.25</v>
      </c>
      <c r="K132" s="135">
        <f t="shared" si="36"/>
        <v>1.25</v>
      </c>
      <c r="L132" s="135">
        <f t="shared" si="36"/>
        <v>1.25</v>
      </c>
      <c r="M132" s="135">
        <f t="shared" si="36"/>
        <v>1.25</v>
      </c>
      <c r="N132" s="135">
        <f t="shared" si="36"/>
        <v>1.25</v>
      </c>
      <c r="O132" s="135">
        <f t="shared" si="36"/>
        <v>1.25</v>
      </c>
      <c r="P132" s="135">
        <f t="shared" si="36"/>
        <v>1.25</v>
      </c>
      <c r="Q132" s="135">
        <f t="shared" si="36"/>
        <v>1.25</v>
      </c>
      <c r="R132" s="135">
        <f t="shared" si="36"/>
        <v>1.25</v>
      </c>
      <c r="S132" s="135">
        <f t="shared" si="36"/>
        <v>1.25</v>
      </c>
      <c r="T132" s="135">
        <f t="shared" si="37"/>
        <v>1.25</v>
      </c>
      <c r="U132" s="135">
        <f t="shared" si="37"/>
        <v>1.25</v>
      </c>
      <c r="V132" s="135">
        <f t="shared" si="37"/>
        <v>1.25</v>
      </c>
      <c r="W132" s="135">
        <f t="shared" si="37"/>
        <v>1.25</v>
      </c>
      <c r="X132" s="135">
        <f t="shared" si="37"/>
        <v>1.25</v>
      </c>
      <c r="Y132" s="135">
        <f t="shared" si="37"/>
        <v>1.25</v>
      </c>
      <c r="Z132" s="135">
        <f t="shared" si="37"/>
        <v>1.25</v>
      </c>
      <c r="AA132" s="135">
        <f t="shared" si="37"/>
        <v>1.25</v>
      </c>
      <c r="AB132" s="135">
        <f t="shared" si="37"/>
        <v>1.25</v>
      </c>
      <c r="AC132" s="135">
        <f t="shared" si="37"/>
        <v>1.25</v>
      </c>
      <c r="AD132" s="135">
        <f t="shared" si="37"/>
        <v>1.25</v>
      </c>
      <c r="AE132" s="135">
        <f t="shared" si="37"/>
        <v>1.25</v>
      </c>
      <c r="AF132" s="135">
        <f t="shared" si="37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5"/>
        <v>1.1499999999999999</v>
      </c>
      <c r="C133" s="136">
        <v>1.1499999999999999</v>
      </c>
      <c r="D133" s="135">
        <f t="shared" si="36"/>
        <v>1.1499999999999999</v>
      </c>
      <c r="E133" s="135">
        <f t="shared" si="36"/>
        <v>1.1499999999999999</v>
      </c>
      <c r="F133" s="135">
        <f t="shared" si="36"/>
        <v>1.1499999999999999</v>
      </c>
      <c r="G133" s="135">
        <f t="shared" si="36"/>
        <v>1.1499999999999999</v>
      </c>
      <c r="H133" s="135">
        <f t="shared" si="36"/>
        <v>1.1499999999999999</v>
      </c>
      <c r="I133" s="135">
        <f t="shared" si="36"/>
        <v>1.1499999999999999</v>
      </c>
      <c r="J133" s="135">
        <f t="shared" si="36"/>
        <v>1.1499999999999999</v>
      </c>
      <c r="K133" s="135">
        <f t="shared" si="36"/>
        <v>1.1499999999999999</v>
      </c>
      <c r="L133" s="135">
        <f t="shared" si="36"/>
        <v>1.1499999999999999</v>
      </c>
      <c r="M133" s="135">
        <f t="shared" si="36"/>
        <v>1.1499999999999999</v>
      </c>
      <c r="N133" s="135">
        <f t="shared" si="36"/>
        <v>1.1499999999999999</v>
      </c>
      <c r="O133" s="135">
        <f t="shared" si="36"/>
        <v>1.1499999999999999</v>
      </c>
      <c r="P133" s="135">
        <f t="shared" si="36"/>
        <v>1.1499999999999999</v>
      </c>
      <c r="Q133" s="135">
        <f t="shared" si="36"/>
        <v>1.1499999999999999</v>
      </c>
      <c r="R133" s="135">
        <f t="shared" si="36"/>
        <v>1.1499999999999999</v>
      </c>
      <c r="S133" s="135">
        <f t="shared" si="36"/>
        <v>1.1499999999999999</v>
      </c>
      <c r="T133" s="135">
        <f t="shared" si="37"/>
        <v>1.1499999999999999</v>
      </c>
      <c r="U133" s="135">
        <f t="shared" si="37"/>
        <v>1.1499999999999999</v>
      </c>
      <c r="V133" s="135">
        <f t="shared" si="37"/>
        <v>1.1499999999999999</v>
      </c>
      <c r="W133" s="135">
        <f t="shared" si="37"/>
        <v>1.1499999999999999</v>
      </c>
      <c r="X133" s="135">
        <f t="shared" si="37"/>
        <v>1.1499999999999999</v>
      </c>
      <c r="Y133" s="135">
        <f t="shared" si="37"/>
        <v>1.1499999999999999</v>
      </c>
      <c r="Z133" s="135">
        <f t="shared" si="37"/>
        <v>1.1499999999999999</v>
      </c>
      <c r="AA133" s="135">
        <f t="shared" si="37"/>
        <v>1.1499999999999999</v>
      </c>
      <c r="AB133" s="135">
        <f t="shared" si="37"/>
        <v>1.1499999999999999</v>
      </c>
      <c r="AC133" s="135">
        <f t="shared" si="37"/>
        <v>1.1499999999999999</v>
      </c>
      <c r="AD133" s="135">
        <f t="shared" si="37"/>
        <v>1.1499999999999999</v>
      </c>
      <c r="AE133" s="135">
        <f t="shared" si="37"/>
        <v>1.1499999999999999</v>
      </c>
      <c r="AF133" s="135">
        <f t="shared" si="37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5"/>
        <v>2.133</v>
      </c>
      <c r="C134" s="136">
        <v>2.133</v>
      </c>
      <c r="D134" s="135">
        <f t="shared" si="36"/>
        <v>2.133</v>
      </c>
      <c r="E134" s="135">
        <f t="shared" si="36"/>
        <v>2.133</v>
      </c>
      <c r="F134" s="135">
        <f t="shared" si="36"/>
        <v>2.133</v>
      </c>
      <c r="G134" s="135">
        <f t="shared" si="36"/>
        <v>2.133</v>
      </c>
      <c r="H134" s="135">
        <f t="shared" si="36"/>
        <v>2.133</v>
      </c>
      <c r="I134" s="135">
        <f t="shared" si="36"/>
        <v>2.133</v>
      </c>
      <c r="J134" s="135">
        <f t="shared" si="36"/>
        <v>2.133</v>
      </c>
      <c r="K134" s="135">
        <f t="shared" si="36"/>
        <v>2.133</v>
      </c>
      <c r="L134" s="135">
        <f t="shared" si="36"/>
        <v>2.133</v>
      </c>
      <c r="M134" s="135">
        <f t="shared" si="36"/>
        <v>2.133</v>
      </c>
      <c r="N134" s="135">
        <f t="shared" si="36"/>
        <v>2.133</v>
      </c>
      <c r="O134" s="135">
        <f t="shared" si="36"/>
        <v>2.133</v>
      </c>
      <c r="P134" s="135">
        <f t="shared" si="36"/>
        <v>2.133</v>
      </c>
      <c r="Q134" s="135">
        <f t="shared" si="36"/>
        <v>2.133</v>
      </c>
      <c r="R134" s="135">
        <f t="shared" si="36"/>
        <v>2.133</v>
      </c>
      <c r="S134" s="135">
        <f t="shared" si="36"/>
        <v>2.133</v>
      </c>
      <c r="T134" s="135">
        <f t="shared" si="37"/>
        <v>2.133</v>
      </c>
      <c r="U134" s="135">
        <f t="shared" si="37"/>
        <v>2.133</v>
      </c>
      <c r="V134" s="135">
        <f t="shared" si="37"/>
        <v>2.133</v>
      </c>
      <c r="W134" s="135">
        <f t="shared" si="37"/>
        <v>2.133</v>
      </c>
      <c r="X134" s="135">
        <f t="shared" si="37"/>
        <v>2.133</v>
      </c>
      <c r="Y134" s="135">
        <f t="shared" si="37"/>
        <v>2.133</v>
      </c>
      <c r="Z134" s="135">
        <f t="shared" si="37"/>
        <v>2.133</v>
      </c>
      <c r="AA134" s="135">
        <f t="shared" si="37"/>
        <v>2.133</v>
      </c>
      <c r="AB134" s="135">
        <f t="shared" si="37"/>
        <v>2.133</v>
      </c>
      <c r="AC134" s="135">
        <f t="shared" si="37"/>
        <v>2.133</v>
      </c>
      <c r="AD134" s="135">
        <f t="shared" si="37"/>
        <v>2.133</v>
      </c>
      <c r="AE134" s="135">
        <f t="shared" si="37"/>
        <v>2.133</v>
      </c>
      <c r="AF134" s="135">
        <f t="shared" si="37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5"/>
        <v>2.09</v>
      </c>
      <c r="C135" s="136">
        <v>2.09</v>
      </c>
      <c r="D135" s="135">
        <f t="shared" si="36"/>
        <v>2.09</v>
      </c>
      <c r="E135" s="135">
        <f t="shared" si="36"/>
        <v>2.09</v>
      </c>
      <c r="F135" s="135">
        <f t="shared" si="36"/>
        <v>2.09</v>
      </c>
      <c r="G135" s="135">
        <f t="shared" si="36"/>
        <v>2.09</v>
      </c>
      <c r="H135" s="135">
        <f t="shared" si="36"/>
        <v>2.09</v>
      </c>
      <c r="I135" s="135">
        <f t="shared" si="36"/>
        <v>2.09</v>
      </c>
      <c r="J135" s="135">
        <f t="shared" si="36"/>
        <v>2.09</v>
      </c>
      <c r="K135" s="135">
        <f t="shared" si="36"/>
        <v>2.09</v>
      </c>
      <c r="L135" s="135">
        <f t="shared" si="36"/>
        <v>2.09</v>
      </c>
      <c r="M135" s="135">
        <f t="shared" si="36"/>
        <v>2.09</v>
      </c>
      <c r="N135" s="135">
        <f t="shared" si="36"/>
        <v>2.09</v>
      </c>
      <c r="O135" s="135">
        <f t="shared" si="36"/>
        <v>2.09</v>
      </c>
      <c r="P135" s="135">
        <f t="shared" si="36"/>
        <v>2.09</v>
      </c>
      <c r="Q135" s="135">
        <f t="shared" si="36"/>
        <v>2.09</v>
      </c>
      <c r="R135" s="135">
        <f t="shared" si="36"/>
        <v>2.09</v>
      </c>
      <c r="S135" s="135">
        <f t="shared" si="36"/>
        <v>2.09</v>
      </c>
      <c r="T135" s="135">
        <f t="shared" si="37"/>
        <v>2.09</v>
      </c>
      <c r="U135" s="135">
        <f t="shared" si="37"/>
        <v>2.09</v>
      </c>
      <c r="V135" s="135">
        <f t="shared" si="37"/>
        <v>2.09</v>
      </c>
      <c r="W135" s="135">
        <f t="shared" si="37"/>
        <v>2.09</v>
      </c>
      <c r="X135" s="135">
        <f t="shared" si="37"/>
        <v>2.09</v>
      </c>
      <c r="Y135" s="135">
        <f t="shared" si="37"/>
        <v>2.09</v>
      </c>
      <c r="Z135" s="135">
        <f t="shared" si="37"/>
        <v>2.09</v>
      </c>
      <c r="AA135" s="135">
        <f t="shared" si="37"/>
        <v>2.09</v>
      </c>
      <c r="AB135" s="135">
        <f t="shared" si="37"/>
        <v>2.09</v>
      </c>
      <c r="AC135" s="135">
        <f t="shared" si="37"/>
        <v>2.09</v>
      </c>
      <c r="AD135" s="135">
        <f t="shared" si="37"/>
        <v>2.09</v>
      </c>
      <c r="AE135" s="135">
        <f t="shared" si="37"/>
        <v>2.09</v>
      </c>
      <c r="AF135" s="135">
        <f t="shared" si="37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5"/>
        <v>1.1399999999999999</v>
      </c>
      <c r="C136" s="136">
        <v>1.1399999999999999</v>
      </c>
      <c r="D136" s="135">
        <f t="shared" si="36"/>
        <v>1.1399999999999999</v>
      </c>
      <c r="E136" s="135">
        <f t="shared" si="36"/>
        <v>1.1399999999999999</v>
      </c>
      <c r="F136" s="135">
        <f t="shared" si="36"/>
        <v>1.1399999999999999</v>
      </c>
      <c r="G136" s="135">
        <f t="shared" si="36"/>
        <v>1.1399999999999999</v>
      </c>
      <c r="H136" s="135">
        <f t="shared" si="36"/>
        <v>1.1399999999999999</v>
      </c>
      <c r="I136" s="135">
        <f t="shared" si="36"/>
        <v>1.1399999999999999</v>
      </c>
      <c r="J136" s="135">
        <f t="shared" si="36"/>
        <v>1.1399999999999999</v>
      </c>
      <c r="K136" s="135">
        <f t="shared" si="36"/>
        <v>1.1399999999999999</v>
      </c>
      <c r="L136" s="135">
        <f t="shared" si="36"/>
        <v>1.1399999999999999</v>
      </c>
      <c r="M136" s="135">
        <f t="shared" si="36"/>
        <v>1.1399999999999999</v>
      </c>
      <c r="N136" s="135">
        <f t="shared" si="36"/>
        <v>1.1399999999999999</v>
      </c>
      <c r="O136" s="135">
        <f t="shared" si="36"/>
        <v>1.1399999999999999</v>
      </c>
      <c r="P136" s="135">
        <f t="shared" si="36"/>
        <v>1.1399999999999999</v>
      </c>
      <c r="Q136" s="135">
        <f t="shared" si="36"/>
        <v>1.1399999999999999</v>
      </c>
      <c r="R136" s="135">
        <f t="shared" si="36"/>
        <v>1.1399999999999999</v>
      </c>
      <c r="S136" s="135">
        <f t="shared" si="36"/>
        <v>1.1399999999999999</v>
      </c>
      <c r="T136" s="135">
        <f t="shared" si="37"/>
        <v>1.1399999999999999</v>
      </c>
      <c r="U136" s="135">
        <f t="shared" si="37"/>
        <v>1.1399999999999999</v>
      </c>
      <c r="V136" s="135">
        <f t="shared" si="37"/>
        <v>1.1399999999999999</v>
      </c>
      <c r="W136" s="135">
        <f t="shared" si="37"/>
        <v>1.1399999999999999</v>
      </c>
      <c r="X136" s="135">
        <f t="shared" si="37"/>
        <v>1.1399999999999999</v>
      </c>
      <c r="Y136" s="135">
        <f t="shared" si="37"/>
        <v>1.1399999999999999</v>
      </c>
      <c r="Z136" s="135">
        <f t="shared" si="37"/>
        <v>1.1399999999999999</v>
      </c>
      <c r="AA136" s="135">
        <f t="shared" si="37"/>
        <v>1.1399999999999999</v>
      </c>
      <c r="AB136" s="135">
        <f t="shared" si="37"/>
        <v>1.1399999999999999</v>
      </c>
      <c r="AC136" s="135">
        <f t="shared" si="37"/>
        <v>1.1399999999999999</v>
      </c>
      <c r="AD136" s="135">
        <f t="shared" si="37"/>
        <v>1.1399999999999999</v>
      </c>
      <c r="AE136" s="135">
        <f t="shared" si="37"/>
        <v>1.1399999999999999</v>
      </c>
      <c r="AF136" s="135">
        <f t="shared" si="37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5"/>
        <v>0.82</v>
      </c>
      <c r="C137" s="136">
        <v>0.82</v>
      </c>
      <c r="D137" s="135">
        <f t="shared" si="36"/>
        <v>0.82</v>
      </c>
      <c r="E137" s="135">
        <f t="shared" si="36"/>
        <v>0.82</v>
      </c>
      <c r="F137" s="135">
        <f t="shared" si="36"/>
        <v>0.82</v>
      </c>
      <c r="G137" s="135">
        <f t="shared" si="36"/>
        <v>0.82</v>
      </c>
      <c r="H137" s="135">
        <f t="shared" si="36"/>
        <v>0.82</v>
      </c>
      <c r="I137" s="135">
        <f t="shared" si="36"/>
        <v>0.82</v>
      </c>
      <c r="J137" s="135">
        <f t="shared" si="36"/>
        <v>0.82</v>
      </c>
      <c r="K137" s="135">
        <f t="shared" si="36"/>
        <v>0.82</v>
      </c>
      <c r="L137" s="135">
        <f t="shared" si="36"/>
        <v>0.82</v>
      </c>
      <c r="M137" s="135">
        <f t="shared" si="36"/>
        <v>0.82</v>
      </c>
      <c r="N137" s="135">
        <f t="shared" si="36"/>
        <v>0.82</v>
      </c>
      <c r="O137" s="135">
        <f t="shared" si="36"/>
        <v>0.82</v>
      </c>
      <c r="P137" s="135">
        <f t="shared" si="36"/>
        <v>0.82</v>
      </c>
      <c r="Q137" s="135">
        <f t="shared" si="36"/>
        <v>0.82</v>
      </c>
      <c r="R137" s="135">
        <f t="shared" si="36"/>
        <v>0.82</v>
      </c>
      <c r="S137" s="135">
        <f t="shared" si="36"/>
        <v>0.82</v>
      </c>
      <c r="T137" s="135">
        <f t="shared" si="37"/>
        <v>0.82</v>
      </c>
      <c r="U137" s="135">
        <f t="shared" si="37"/>
        <v>0.82</v>
      </c>
      <c r="V137" s="135">
        <f t="shared" si="37"/>
        <v>0.82</v>
      </c>
      <c r="W137" s="135">
        <f t="shared" si="37"/>
        <v>0.82</v>
      </c>
      <c r="X137" s="135">
        <f t="shared" si="37"/>
        <v>0.82</v>
      </c>
      <c r="Y137" s="135">
        <f t="shared" si="37"/>
        <v>0.82</v>
      </c>
      <c r="Z137" s="135">
        <f t="shared" si="37"/>
        <v>0.82</v>
      </c>
      <c r="AA137" s="135">
        <f t="shared" si="37"/>
        <v>0.82</v>
      </c>
      <c r="AB137" s="135">
        <f t="shared" si="37"/>
        <v>0.82</v>
      </c>
      <c r="AC137" s="135">
        <f t="shared" si="37"/>
        <v>0.82</v>
      </c>
      <c r="AD137" s="135">
        <f t="shared" si="37"/>
        <v>0.82</v>
      </c>
      <c r="AE137" s="135">
        <f t="shared" si="37"/>
        <v>0.82</v>
      </c>
      <c r="AF137" s="135">
        <f t="shared" si="37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8">AF139</f>
        <v>2</v>
      </c>
      <c r="C139" s="136">
        <v>2</v>
      </c>
      <c r="D139" s="135">
        <f t="shared" ref="D139:S145" si="39">C139</f>
        <v>2</v>
      </c>
      <c r="E139" s="135">
        <f t="shared" si="39"/>
        <v>2</v>
      </c>
      <c r="F139" s="135">
        <f t="shared" si="39"/>
        <v>2</v>
      </c>
      <c r="G139" s="135">
        <f t="shared" si="39"/>
        <v>2</v>
      </c>
      <c r="H139" s="135">
        <f t="shared" si="39"/>
        <v>2</v>
      </c>
      <c r="I139" s="135">
        <f t="shared" si="39"/>
        <v>2</v>
      </c>
      <c r="J139" s="135">
        <f t="shared" si="39"/>
        <v>2</v>
      </c>
      <c r="K139" s="135">
        <f t="shared" si="39"/>
        <v>2</v>
      </c>
      <c r="L139" s="135">
        <f t="shared" si="39"/>
        <v>2</v>
      </c>
      <c r="M139" s="135">
        <f t="shared" si="39"/>
        <v>2</v>
      </c>
      <c r="N139" s="135">
        <f t="shared" si="39"/>
        <v>2</v>
      </c>
      <c r="O139" s="135">
        <f t="shared" si="39"/>
        <v>2</v>
      </c>
      <c r="P139" s="135">
        <f t="shared" si="39"/>
        <v>2</v>
      </c>
      <c r="Q139" s="135">
        <f t="shared" si="39"/>
        <v>2</v>
      </c>
      <c r="R139" s="135">
        <f t="shared" si="39"/>
        <v>2</v>
      </c>
      <c r="S139" s="135">
        <f t="shared" si="39"/>
        <v>2</v>
      </c>
      <c r="T139" s="135">
        <f t="shared" ref="T139:AF145" si="40">S139</f>
        <v>2</v>
      </c>
      <c r="U139" s="135">
        <f t="shared" si="40"/>
        <v>2</v>
      </c>
      <c r="V139" s="135">
        <f t="shared" si="40"/>
        <v>2</v>
      </c>
      <c r="W139" s="135">
        <f t="shared" si="40"/>
        <v>2</v>
      </c>
      <c r="X139" s="135">
        <f t="shared" si="40"/>
        <v>2</v>
      </c>
      <c r="Y139" s="135">
        <f t="shared" si="40"/>
        <v>2</v>
      </c>
      <c r="Z139" s="135">
        <f t="shared" si="40"/>
        <v>2</v>
      </c>
      <c r="AA139" s="135">
        <f t="shared" si="40"/>
        <v>2</v>
      </c>
      <c r="AB139" s="135">
        <f t="shared" si="40"/>
        <v>2</v>
      </c>
      <c r="AC139" s="135">
        <f t="shared" si="40"/>
        <v>2</v>
      </c>
      <c r="AD139" s="135">
        <f t="shared" si="40"/>
        <v>2</v>
      </c>
      <c r="AE139" s="135">
        <f t="shared" si="40"/>
        <v>2</v>
      </c>
      <c r="AF139" s="135">
        <f t="shared" si="40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8"/>
        <v>5.61</v>
      </c>
      <c r="C140" s="136">
        <v>5.61</v>
      </c>
      <c r="D140" s="135">
        <f t="shared" si="39"/>
        <v>5.61</v>
      </c>
      <c r="E140" s="135">
        <f t="shared" si="39"/>
        <v>5.61</v>
      </c>
      <c r="F140" s="135">
        <f t="shared" si="39"/>
        <v>5.61</v>
      </c>
      <c r="G140" s="135">
        <f t="shared" si="39"/>
        <v>5.61</v>
      </c>
      <c r="H140" s="135">
        <f t="shared" si="39"/>
        <v>5.61</v>
      </c>
      <c r="I140" s="135">
        <f t="shared" si="39"/>
        <v>5.61</v>
      </c>
      <c r="J140" s="135">
        <f t="shared" si="39"/>
        <v>5.61</v>
      </c>
      <c r="K140" s="135">
        <f t="shared" si="39"/>
        <v>5.61</v>
      </c>
      <c r="L140" s="135">
        <f t="shared" si="39"/>
        <v>5.61</v>
      </c>
      <c r="M140" s="135">
        <f t="shared" si="39"/>
        <v>5.61</v>
      </c>
      <c r="N140" s="135">
        <f t="shared" si="39"/>
        <v>5.61</v>
      </c>
      <c r="O140" s="135">
        <f t="shared" si="39"/>
        <v>5.61</v>
      </c>
      <c r="P140" s="135">
        <f t="shared" si="39"/>
        <v>5.61</v>
      </c>
      <c r="Q140" s="135">
        <f t="shared" si="39"/>
        <v>5.61</v>
      </c>
      <c r="R140" s="135">
        <f t="shared" si="39"/>
        <v>5.61</v>
      </c>
      <c r="S140" s="135">
        <f t="shared" si="39"/>
        <v>5.61</v>
      </c>
      <c r="T140" s="135">
        <f t="shared" si="40"/>
        <v>5.61</v>
      </c>
      <c r="U140" s="135">
        <f t="shared" si="40"/>
        <v>5.61</v>
      </c>
      <c r="V140" s="135">
        <f t="shared" si="40"/>
        <v>5.61</v>
      </c>
      <c r="W140" s="135">
        <f t="shared" si="40"/>
        <v>5.61</v>
      </c>
      <c r="X140" s="135">
        <f t="shared" si="40"/>
        <v>5.61</v>
      </c>
      <c r="Y140" s="135">
        <f t="shared" si="40"/>
        <v>5.61</v>
      </c>
      <c r="Z140" s="135">
        <f t="shared" si="40"/>
        <v>5.61</v>
      </c>
      <c r="AA140" s="135">
        <f t="shared" si="40"/>
        <v>5.61</v>
      </c>
      <c r="AB140" s="135">
        <f t="shared" si="40"/>
        <v>5.61</v>
      </c>
      <c r="AC140" s="135">
        <f t="shared" si="40"/>
        <v>5.61</v>
      </c>
      <c r="AD140" s="135">
        <f t="shared" si="40"/>
        <v>5.61</v>
      </c>
      <c r="AE140" s="135">
        <f t="shared" si="40"/>
        <v>5.61</v>
      </c>
      <c r="AF140" s="135">
        <f t="shared" si="40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8"/>
        <v>1.25</v>
      </c>
      <c r="C141" s="136">
        <v>1.25</v>
      </c>
      <c r="D141" s="135">
        <f t="shared" si="39"/>
        <v>1.25</v>
      </c>
      <c r="E141" s="135">
        <f t="shared" si="39"/>
        <v>1.25</v>
      </c>
      <c r="F141" s="135">
        <f t="shared" si="39"/>
        <v>1.25</v>
      </c>
      <c r="G141" s="135">
        <f t="shared" si="39"/>
        <v>1.25</v>
      </c>
      <c r="H141" s="135">
        <f t="shared" si="39"/>
        <v>1.25</v>
      </c>
      <c r="I141" s="135">
        <f t="shared" si="39"/>
        <v>1.25</v>
      </c>
      <c r="J141" s="135">
        <f t="shared" si="39"/>
        <v>1.25</v>
      </c>
      <c r="K141" s="135">
        <f t="shared" si="39"/>
        <v>1.25</v>
      </c>
      <c r="L141" s="135">
        <f t="shared" si="39"/>
        <v>1.25</v>
      </c>
      <c r="M141" s="135">
        <f t="shared" si="39"/>
        <v>1.25</v>
      </c>
      <c r="N141" s="135">
        <f t="shared" si="39"/>
        <v>1.25</v>
      </c>
      <c r="O141" s="135">
        <f t="shared" si="39"/>
        <v>1.25</v>
      </c>
      <c r="P141" s="135">
        <f t="shared" si="39"/>
        <v>1.25</v>
      </c>
      <c r="Q141" s="135">
        <f t="shared" si="39"/>
        <v>1.25</v>
      </c>
      <c r="R141" s="135">
        <f t="shared" si="39"/>
        <v>1.25</v>
      </c>
      <c r="S141" s="135">
        <f t="shared" si="39"/>
        <v>1.25</v>
      </c>
      <c r="T141" s="135">
        <f t="shared" si="40"/>
        <v>1.25</v>
      </c>
      <c r="U141" s="135">
        <f t="shared" si="40"/>
        <v>1.25</v>
      </c>
      <c r="V141" s="135">
        <f t="shared" si="40"/>
        <v>1.25</v>
      </c>
      <c r="W141" s="135">
        <f t="shared" si="40"/>
        <v>1.25</v>
      </c>
      <c r="X141" s="135">
        <f t="shared" si="40"/>
        <v>1.25</v>
      </c>
      <c r="Y141" s="135">
        <f t="shared" si="40"/>
        <v>1.25</v>
      </c>
      <c r="Z141" s="135">
        <f t="shared" si="40"/>
        <v>1.25</v>
      </c>
      <c r="AA141" s="135">
        <f t="shared" si="40"/>
        <v>1.25</v>
      </c>
      <c r="AB141" s="135">
        <f t="shared" si="40"/>
        <v>1.25</v>
      </c>
      <c r="AC141" s="135">
        <f t="shared" si="40"/>
        <v>1.25</v>
      </c>
      <c r="AD141" s="135">
        <f t="shared" si="40"/>
        <v>1.25</v>
      </c>
      <c r="AE141" s="135">
        <f t="shared" si="40"/>
        <v>1.25</v>
      </c>
      <c r="AF141" s="135">
        <f t="shared" si="40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8"/>
        <v>1.25</v>
      </c>
      <c r="C142" s="136">
        <v>1.25</v>
      </c>
      <c r="D142" s="135">
        <f t="shared" si="39"/>
        <v>1.25</v>
      </c>
      <c r="E142" s="135">
        <f t="shared" si="39"/>
        <v>1.25</v>
      </c>
      <c r="F142" s="135">
        <f t="shared" si="39"/>
        <v>1.25</v>
      </c>
      <c r="G142" s="135">
        <f t="shared" si="39"/>
        <v>1.25</v>
      </c>
      <c r="H142" s="135">
        <f t="shared" si="39"/>
        <v>1.25</v>
      </c>
      <c r="I142" s="135">
        <f t="shared" si="39"/>
        <v>1.25</v>
      </c>
      <c r="J142" s="135">
        <f t="shared" si="39"/>
        <v>1.25</v>
      </c>
      <c r="K142" s="135">
        <f t="shared" si="39"/>
        <v>1.25</v>
      </c>
      <c r="L142" s="135">
        <f t="shared" si="39"/>
        <v>1.25</v>
      </c>
      <c r="M142" s="135">
        <f t="shared" si="39"/>
        <v>1.25</v>
      </c>
      <c r="N142" s="135">
        <f t="shared" si="39"/>
        <v>1.25</v>
      </c>
      <c r="O142" s="135">
        <f t="shared" si="39"/>
        <v>1.25</v>
      </c>
      <c r="P142" s="135">
        <f t="shared" si="39"/>
        <v>1.25</v>
      </c>
      <c r="Q142" s="135">
        <f t="shared" si="39"/>
        <v>1.25</v>
      </c>
      <c r="R142" s="135">
        <f t="shared" si="39"/>
        <v>1.25</v>
      </c>
      <c r="S142" s="135">
        <f t="shared" si="39"/>
        <v>1.25</v>
      </c>
      <c r="T142" s="135">
        <f t="shared" si="40"/>
        <v>1.25</v>
      </c>
      <c r="U142" s="135">
        <f t="shared" si="40"/>
        <v>1.25</v>
      </c>
      <c r="V142" s="135">
        <f t="shared" si="40"/>
        <v>1.25</v>
      </c>
      <c r="W142" s="135">
        <f t="shared" si="40"/>
        <v>1.25</v>
      </c>
      <c r="X142" s="135">
        <f t="shared" si="40"/>
        <v>1.25</v>
      </c>
      <c r="Y142" s="135">
        <f t="shared" si="40"/>
        <v>1.25</v>
      </c>
      <c r="Z142" s="135">
        <f t="shared" si="40"/>
        <v>1.25</v>
      </c>
      <c r="AA142" s="135">
        <f t="shared" si="40"/>
        <v>1.25</v>
      </c>
      <c r="AB142" s="135">
        <f t="shared" si="40"/>
        <v>1.25</v>
      </c>
      <c r="AC142" s="135">
        <f t="shared" si="40"/>
        <v>1.25</v>
      </c>
      <c r="AD142" s="135">
        <f t="shared" si="40"/>
        <v>1.25</v>
      </c>
      <c r="AE142" s="135">
        <f t="shared" si="40"/>
        <v>1.25</v>
      </c>
      <c r="AF142" s="135">
        <f t="shared" si="40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8"/>
        <v>1.46</v>
      </c>
      <c r="C143" s="136">
        <v>1.46</v>
      </c>
      <c r="D143" s="135">
        <f t="shared" si="39"/>
        <v>1.46</v>
      </c>
      <c r="E143" s="135">
        <f t="shared" si="39"/>
        <v>1.46</v>
      </c>
      <c r="F143" s="135">
        <f t="shared" si="39"/>
        <v>1.46</v>
      </c>
      <c r="G143" s="135">
        <f t="shared" si="39"/>
        <v>1.46</v>
      </c>
      <c r="H143" s="135">
        <f t="shared" si="39"/>
        <v>1.46</v>
      </c>
      <c r="I143" s="135">
        <f t="shared" si="39"/>
        <v>1.46</v>
      </c>
      <c r="J143" s="135">
        <f t="shared" si="39"/>
        <v>1.46</v>
      </c>
      <c r="K143" s="135">
        <f t="shared" si="39"/>
        <v>1.46</v>
      </c>
      <c r="L143" s="135">
        <f t="shared" si="39"/>
        <v>1.46</v>
      </c>
      <c r="M143" s="135">
        <f t="shared" si="39"/>
        <v>1.46</v>
      </c>
      <c r="N143" s="135">
        <f t="shared" si="39"/>
        <v>1.46</v>
      </c>
      <c r="O143" s="135">
        <f t="shared" si="39"/>
        <v>1.46</v>
      </c>
      <c r="P143" s="135">
        <f t="shared" si="39"/>
        <v>1.46</v>
      </c>
      <c r="Q143" s="135">
        <f t="shared" si="39"/>
        <v>1.46</v>
      </c>
      <c r="R143" s="135">
        <f t="shared" si="39"/>
        <v>1.46</v>
      </c>
      <c r="S143" s="135">
        <f t="shared" si="39"/>
        <v>1.46</v>
      </c>
      <c r="T143" s="135">
        <f t="shared" si="40"/>
        <v>1.46</v>
      </c>
      <c r="U143" s="135">
        <f t="shared" si="40"/>
        <v>1.46</v>
      </c>
      <c r="V143" s="135">
        <f t="shared" si="40"/>
        <v>1.46</v>
      </c>
      <c r="W143" s="135">
        <f t="shared" si="40"/>
        <v>1.46</v>
      </c>
      <c r="X143" s="135">
        <f t="shared" si="40"/>
        <v>1.46</v>
      </c>
      <c r="Y143" s="135">
        <f t="shared" si="40"/>
        <v>1.46</v>
      </c>
      <c r="Z143" s="135">
        <f t="shared" si="40"/>
        <v>1.46</v>
      </c>
      <c r="AA143" s="135">
        <f t="shared" si="40"/>
        <v>1.46</v>
      </c>
      <c r="AB143" s="135">
        <f t="shared" si="40"/>
        <v>1.46</v>
      </c>
      <c r="AC143" s="135">
        <f t="shared" si="40"/>
        <v>1.46</v>
      </c>
      <c r="AD143" s="135">
        <f t="shared" si="40"/>
        <v>1.46</v>
      </c>
      <c r="AE143" s="135">
        <f t="shared" si="40"/>
        <v>1.46</v>
      </c>
      <c r="AF143" s="135">
        <f t="shared" si="40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8"/>
        <v>3</v>
      </c>
      <c r="C144" s="136">
        <v>3</v>
      </c>
      <c r="D144" s="135">
        <f t="shared" si="39"/>
        <v>3</v>
      </c>
      <c r="E144" s="135">
        <f t="shared" si="39"/>
        <v>3</v>
      </c>
      <c r="F144" s="135">
        <f t="shared" si="39"/>
        <v>3</v>
      </c>
      <c r="G144" s="135">
        <f t="shared" si="39"/>
        <v>3</v>
      </c>
      <c r="H144" s="135">
        <f t="shared" si="39"/>
        <v>3</v>
      </c>
      <c r="I144" s="135">
        <f t="shared" si="39"/>
        <v>3</v>
      </c>
      <c r="J144" s="135">
        <f t="shared" si="39"/>
        <v>3</v>
      </c>
      <c r="K144" s="135">
        <f t="shared" si="39"/>
        <v>3</v>
      </c>
      <c r="L144" s="135">
        <f t="shared" si="39"/>
        <v>3</v>
      </c>
      <c r="M144" s="135">
        <f t="shared" si="39"/>
        <v>3</v>
      </c>
      <c r="N144" s="135">
        <f t="shared" si="39"/>
        <v>3</v>
      </c>
      <c r="O144" s="135">
        <f t="shared" si="39"/>
        <v>3</v>
      </c>
      <c r="P144" s="135">
        <f t="shared" si="39"/>
        <v>3</v>
      </c>
      <c r="Q144" s="135">
        <f t="shared" si="39"/>
        <v>3</v>
      </c>
      <c r="R144" s="135">
        <f t="shared" si="39"/>
        <v>3</v>
      </c>
      <c r="S144" s="135">
        <f t="shared" si="39"/>
        <v>3</v>
      </c>
      <c r="T144" s="135">
        <f t="shared" si="40"/>
        <v>3</v>
      </c>
      <c r="U144" s="135">
        <f t="shared" si="40"/>
        <v>3</v>
      </c>
      <c r="V144" s="135">
        <f t="shared" si="40"/>
        <v>3</v>
      </c>
      <c r="W144" s="135">
        <f t="shared" si="40"/>
        <v>3</v>
      </c>
      <c r="X144" s="135">
        <f t="shared" si="40"/>
        <v>3</v>
      </c>
      <c r="Y144" s="135">
        <f t="shared" si="40"/>
        <v>3</v>
      </c>
      <c r="Z144" s="135">
        <f t="shared" si="40"/>
        <v>3</v>
      </c>
      <c r="AA144" s="135">
        <f t="shared" si="40"/>
        <v>3</v>
      </c>
      <c r="AB144" s="135">
        <f t="shared" si="40"/>
        <v>3</v>
      </c>
      <c r="AC144" s="135">
        <f t="shared" si="40"/>
        <v>3</v>
      </c>
      <c r="AD144" s="135">
        <f t="shared" si="40"/>
        <v>3</v>
      </c>
      <c r="AE144" s="135">
        <f t="shared" si="40"/>
        <v>3</v>
      </c>
      <c r="AF144" s="135">
        <f t="shared" si="40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8"/>
        <v>3.3</v>
      </c>
      <c r="C145" s="136">
        <v>3.3</v>
      </c>
      <c r="D145" s="135">
        <f t="shared" si="39"/>
        <v>3.3</v>
      </c>
      <c r="E145" s="135">
        <f t="shared" si="39"/>
        <v>3.3</v>
      </c>
      <c r="F145" s="135">
        <f t="shared" si="39"/>
        <v>3.3</v>
      </c>
      <c r="G145" s="135">
        <f t="shared" si="39"/>
        <v>3.3</v>
      </c>
      <c r="H145" s="135">
        <f t="shared" si="39"/>
        <v>3.3</v>
      </c>
      <c r="I145" s="135">
        <f t="shared" si="39"/>
        <v>3.3</v>
      </c>
      <c r="J145" s="135">
        <f t="shared" si="39"/>
        <v>3.3</v>
      </c>
      <c r="K145" s="135">
        <f t="shared" si="39"/>
        <v>3.3</v>
      </c>
      <c r="L145" s="135">
        <f t="shared" si="39"/>
        <v>3.3</v>
      </c>
      <c r="M145" s="135">
        <f t="shared" si="39"/>
        <v>3.3</v>
      </c>
      <c r="N145" s="135">
        <f t="shared" si="39"/>
        <v>3.3</v>
      </c>
      <c r="O145" s="135">
        <f t="shared" si="39"/>
        <v>3.3</v>
      </c>
      <c r="P145" s="135">
        <f t="shared" si="39"/>
        <v>3.3</v>
      </c>
      <c r="Q145" s="135">
        <f t="shared" si="39"/>
        <v>3.3</v>
      </c>
      <c r="R145" s="135">
        <f t="shared" si="39"/>
        <v>3.3</v>
      </c>
      <c r="S145" s="135">
        <f t="shared" si="39"/>
        <v>3.3</v>
      </c>
      <c r="T145" s="135">
        <f t="shared" si="40"/>
        <v>3.3</v>
      </c>
      <c r="U145" s="135">
        <f t="shared" si="40"/>
        <v>3.3</v>
      </c>
      <c r="V145" s="135">
        <f t="shared" si="40"/>
        <v>3.3</v>
      </c>
      <c r="W145" s="135">
        <f t="shared" si="40"/>
        <v>3.3</v>
      </c>
      <c r="X145" s="135">
        <f t="shared" si="40"/>
        <v>3.3</v>
      </c>
      <c r="Y145" s="135">
        <f t="shared" si="40"/>
        <v>3.3</v>
      </c>
      <c r="Z145" s="135">
        <f t="shared" si="40"/>
        <v>3.3</v>
      </c>
      <c r="AA145" s="135">
        <f t="shared" si="40"/>
        <v>3.3</v>
      </c>
      <c r="AB145" s="135">
        <f t="shared" si="40"/>
        <v>3.3</v>
      </c>
      <c r="AC145" s="135">
        <f t="shared" si="40"/>
        <v>3.3</v>
      </c>
      <c r="AD145" s="135">
        <f t="shared" si="40"/>
        <v>3.3</v>
      </c>
      <c r="AE145" s="135">
        <f t="shared" si="40"/>
        <v>3.3</v>
      </c>
      <c r="AF145" s="135">
        <f t="shared" si="40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41">C147</f>
        <v>1.76</v>
      </c>
      <c r="E147" s="135">
        <f t="shared" si="41"/>
        <v>1.76</v>
      </c>
      <c r="F147" s="135">
        <f t="shared" si="41"/>
        <v>1.76</v>
      </c>
      <c r="G147" s="135">
        <f t="shared" si="41"/>
        <v>1.76</v>
      </c>
      <c r="H147" s="135">
        <f t="shared" si="41"/>
        <v>1.76</v>
      </c>
      <c r="I147" s="135">
        <f t="shared" si="41"/>
        <v>1.76</v>
      </c>
      <c r="J147" s="135">
        <f t="shared" si="41"/>
        <v>1.76</v>
      </c>
      <c r="K147" s="135">
        <f t="shared" si="41"/>
        <v>1.76</v>
      </c>
      <c r="L147" s="135">
        <f t="shared" si="41"/>
        <v>1.76</v>
      </c>
      <c r="M147" s="135">
        <f t="shared" si="41"/>
        <v>1.76</v>
      </c>
      <c r="N147" s="135">
        <f t="shared" si="41"/>
        <v>1.76</v>
      </c>
      <c r="O147" s="135">
        <f t="shared" si="41"/>
        <v>1.76</v>
      </c>
      <c r="P147" s="135">
        <f t="shared" si="41"/>
        <v>1.76</v>
      </c>
      <c r="Q147" s="135">
        <f t="shared" si="41"/>
        <v>1.76</v>
      </c>
      <c r="R147" s="135">
        <f t="shared" si="41"/>
        <v>1.76</v>
      </c>
      <c r="S147" s="135">
        <f t="shared" si="41"/>
        <v>1.76</v>
      </c>
      <c r="T147" s="135">
        <f t="shared" ref="T147:AF148" si="42">S147</f>
        <v>1.76</v>
      </c>
      <c r="U147" s="135">
        <f t="shared" si="42"/>
        <v>1.76</v>
      </c>
      <c r="V147" s="135">
        <f t="shared" si="42"/>
        <v>1.76</v>
      </c>
      <c r="W147" s="135">
        <f t="shared" si="42"/>
        <v>1.76</v>
      </c>
      <c r="X147" s="135">
        <f t="shared" si="42"/>
        <v>1.76</v>
      </c>
      <c r="Y147" s="135">
        <f t="shared" si="42"/>
        <v>1.76</v>
      </c>
      <c r="Z147" s="135">
        <f t="shared" si="42"/>
        <v>1.76</v>
      </c>
      <c r="AA147" s="135">
        <f t="shared" si="42"/>
        <v>1.76</v>
      </c>
      <c r="AB147" s="135">
        <f t="shared" si="42"/>
        <v>1.76</v>
      </c>
      <c r="AC147" s="135">
        <f t="shared" si="42"/>
        <v>1.76</v>
      </c>
      <c r="AD147" s="135">
        <f t="shared" si="42"/>
        <v>1.76</v>
      </c>
      <c r="AE147" s="135">
        <f t="shared" si="42"/>
        <v>1.76</v>
      </c>
      <c r="AF147" s="135">
        <f t="shared" si="42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41"/>
        <v>0</v>
      </c>
      <c r="E148" s="135">
        <f t="shared" si="41"/>
        <v>0</v>
      </c>
      <c r="F148" s="135">
        <f t="shared" si="41"/>
        <v>0</v>
      </c>
      <c r="G148" s="135">
        <f t="shared" si="41"/>
        <v>0</v>
      </c>
      <c r="H148" s="135">
        <f t="shared" si="41"/>
        <v>0</v>
      </c>
      <c r="I148" s="135">
        <f t="shared" si="41"/>
        <v>0</v>
      </c>
      <c r="J148" s="135">
        <f t="shared" si="41"/>
        <v>0</v>
      </c>
      <c r="K148" s="135">
        <f t="shared" si="41"/>
        <v>0</v>
      </c>
      <c r="L148" s="135">
        <f t="shared" si="41"/>
        <v>0</v>
      </c>
      <c r="M148" s="135">
        <f t="shared" si="41"/>
        <v>0</v>
      </c>
      <c r="N148" s="135">
        <f t="shared" si="41"/>
        <v>0</v>
      </c>
      <c r="O148" s="135">
        <f t="shared" si="41"/>
        <v>0</v>
      </c>
      <c r="P148" s="135">
        <f t="shared" si="41"/>
        <v>0</v>
      </c>
      <c r="Q148" s="135">
        <f t="shared" si="41"/>
        <v>0</v>
      </c>
      <c r="R148" s="135">
        <f t="shared" si="41"/>
        <v>0</v>
      </c>
      <c r="S148" s="135">
        <f t="shared" si="41"/>
        <v>0</v>
      </c>
      <c r="T148" s="135">
        <f t="shared" si="42"/>
        <v>0</v>
      </c>
      <c r="U148" s="135">
        <f t="shared" si="42"/>
        <v>0</v>
      </c>
      <c r="V148" s="135">
        <f t="shared" si="42"/>
        <v>0</v>
      </c>
      <c r="W148" s="135">
        <f t="shared" si="42"/>
        <v>0</v>
      </c>
      <c r="X148" s="135">
        <f t="shared" si="42"/>
        <v>0</v>
      </c>
      <c r="Y148" s="135">
        <f t="shared" si="42"/>
        <v>0</v>
      </c>
      <c r="Z148" s="135">
        <f t="shared" si="42"/>
        <v>0</v>
      </c>
      <c r="AA148" s="135">
        <f t="shared" si="42"/>
        <v>0</v>
      </c>
      <c r="AB148" s="135">
        <f t="shared" si="42"/>
        <v>0</v>
      </c>
      <c r="AC148" s="135">
        <f t="shared" si="42"/>
        <v>0</v>
      </c>
      <c r="AD148" s="135">
        <f t="shared" si="42"/>
        <v>0</v>
      </c>
      <c r="AE148" s="135">
        <f t="shared" si="42"/>
        <v>0</v>
      </c>
      <c r="AF148" s="135">
        <f t="shared" si="42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3">C150</f>
        <v>0.1</v>
      </c>
      <c r="E150" s="135">
        <f t="shared" si="43"/>
        <v>0.1</v>
      </c>
      <c r="F150" s="135">
        <f t="shared" si="43"/>
        <v>0.1</v>
      </c>
      <c r="G150" s="135">
        <f t="shared" si="43"/>
        <v>0.1</v>
      </c>
      <c r="H150" s="135">
        <f t="shared" si="43"/>
        <v>0.1</v>
      </c>
      <c r="I150" s="135">
        <f t="shared" si="43"/>
        <v>0.1</v>
      </c>
      <c r="J150" s="135">
        <f t="shared" si="43"/>
        <v>0.1</v>
      </c>
      <c r="K150" s="135">
        <f t="shared" si="43"/>
        <v>0.1</v>
      </c>
      <c r="L150" s="135">
        <f t="shared" si="43"/>
        <v>0.1</v>
      </c>
      <c r="M150" s="135">
        <f t="shared" si="43"/>
        <v>0.1</v>
      </c>
      <c r="N150" s="135">
        <f t="shared" si="43"/>
        <v>0.1</v>
      </c>
      <c r="O150" s="135">
        <f t="shared" si="43"/>
        <v>0.1</v>
      </c>
      <c r="P150" s="135">
        <f t="shared" si="43"/>
        <v>0.1</v>
      </c>
      <c r="Q150" s="135">
        <f t="shared" si="43"/>
        <v>0.1</v>
      </c>
      <c r="R150" s="135">
        <f t="shared" si="43"/>
        <v>0.1</v>
      </c>
      <c r="S150" s="135">
        <f t="shared" si="43"/>
        <v>0.1</v>
      </c>
      <c r="T150" s="135">
        <f t="shared" ref="T150:AF153" si="44">S150</f>
        <v>0.1</v>
      </c>
      <c r="U150" s="135">
        <f t="shared" si="44"/>
        <v>0.1</v>
      </c>
      <c r="V150" s="135">
        <f t="shared" si="44"/>
        <v>0.1</v>
      </c>
      <c r="W150" s="135">
        <f t="shared" si="44"/>
        <v>0.1</v>
      </c>
      <c r="X150" s="135">
        <f t="shared" si="44"/>
        <v>0.1</v>
      </c>
      <c r="Y150" s="135">
        <f t="shared" si="44"/>
        <v>0.1</v>
      </c>
      <c r="Z150" s="135">
        <f t="shared" si="44"/>
        <v>0.1</v>
      </c>
      <c r="AA150" s="135">
        <f t="shared" si="44"/>
        <v>0.1</v>
      </c>
      <c r="AB150" s="135">
        <f t="shared" si="44"/>
        <v>0.1</v>
      </c>
      <c r="AC150" s="135">
        <f t="shared" si="44"/>
        <v>0.1</v>
      </c>
      <c r="AD150" s="135">
        <f t="shared" si="44"/>
        <v>0.1</v>
      </c>
      <c r="AE150" s="135">
        <f t="shared" si="44"/>
        <v>0.1</v>
      </c>
      <c r="AF150" s="135">
        <f t="shared" si="44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3"/>
        <v>2.0499999999999998</v>
      </c>
      <c r="E151" s="135">
        <f t="shared" si="43"/>
        <v>2.0499999999999998</v>
      </c>
      <c r="F151" s="135">
        <f t="shared" si="43"/>
        <v>2.0499999999999998</v>
      </c>
      <c r="G151" s="135">
        <f t="shared" si="43"/>
        <v>2.0499999999999998</v>
      </c>
      <c r="H151" s="135">
        <f t="shared" si="43"/>
        <v>2.0499999999999998</v>
      </c>
      <c r="I151" s="135">
        <f t="shared" si="43"/>
        <v>2.0499999999999998</v>
      </c>
      <c r="J151" s="135">
        <f t="shared" si="43"/>
        <v>2.0499999999999998</v>
      </c>
      <c r="K151" s="135">
        <f t="shared" si="43"/>
        <v>2.0499999999999998</v>
      </c>
      <c r="L151" s="135">
        <f t="shared" si="43"/>
        <v>2.0499999999999998</v>
      </c>
      <c r="M151" s="135">
        <f t="shared" si="43"/>
        <v>2.0499999999999998</v>
      </c>
      <c r="N151" s="135">
        <f t="shared" si="43"/>
        <v>2.0499999999999998</v>
      </c>
      <c r="O151" s="135">
        <f t="shared" si="43"/>
        <v>2.0499999999999998</v>
      </c>
      <c r="P151" s="135">
        <f t="shared" si="43"/>
        <v>2.0499999999999998</v>
      </c>
      <c r="Q151" s="135">
        <f t="shared" si="43"/>
        <v>2.0499999999999998</v>
      </c>
      <c r="R151" s="135">
        <f t="shared" si="43"/>
        <v>2.0499999999999998</v>
      </c>
      <c r="S151" s="135">
        <f t="shared" si="43"/>
        <v>2.0499999999999998</v>
      </c>
      <c r="T151" s="135">
        <f t="shared" si="44"/>
        <v>2.0499999999999998</v>
      </c>
      <c r="U151" s="135">
        <f t="shared" si="44"/>
        <v>2.0499999999999998</v>
      </c>
      <c r="V151" s="135">
        <f t="shared" si="44"/>
        <v>2.0499999999999998</v>
      </c>
      <c r="W151" s="135">
        <f t="shared" si="44"/>
        <v>2.0499999999999998</v>
      </c>
      <c r="X151" s="135">
        <f t="shared" si="44"/>
        <v>2.0499999999999998</v>
      </c>
      <c r="Y151" s="135">
        <f t="shared" si="44"/>
        <v>2.0499999999999998</v>
      </c>
      <c r="Z151" s="135">
        <f t="shared" si="44"/>
        <v>2.0499999999999998</v>
      </c>
      <c r="AA151" s="135">
        <f t="shared" si="44"/>
        <v>2.0499999999999998</v>
      </c>
      <c r="AB151" s="135">
        <f t="shared" si="44"/>
        <v>2.0499999999999998</v>
      </c>
      <c r="AC151" s="135">
        <f t="shared" si="44"/>
        <v>2.0499999999999998</v>
      </c>
      <c r="AD151" s="135">
        <f t="shared" si="44"/>
        <v>2.0499999999999998</v>
      </c>
      <c r="AE151" s="135">
        <f t="shared" si="44"/>
        <v>2.0499999999999998</v>
      </c>
      <c r="AF151" s="135">
        <f t="shared" si="44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3"/>
        <v>2.7</v>
      </c>
      <c r="E152" s="135">
        <f t="shared" si="43"/>
        <v>2.7</v>
      </c>
      <c r="F152" s="135">
        <f t="shared" si="43"/>
        <v>2.7</v>
      </c>
      <c r="G152" s="135">
        <f t="shared" si="43"/>
        <v>2.7</v>
      </c>
      <c r="H152" s="135">
        <f t="shared" si="43"/>
        <v>2.7</v>
      </c>
      <c r="I152" s="135">
        <f t="shared" si="43"/>
        <v>2.7</v>
      </c>
      <c r="J152" s="135">
        <f t="shared" si="43"/>
        <v>2.7</v>
      </c>
      <c r="K152" s="135">
        <f t="shared" si="43"/>
        <v>2.7</v>
      </c>
      <c r="L152" s="135">
        <f t="shared" si="43"/>
        <v>2.7</v>
      </c>
      <c r="M152" s="135">
        <f t="shared" si="43"/>
        <v>2.7</v>
      </c>
      <c r="N152" s="135">
        <f t="shared" si="43"/>
        <v>2.7</v>
      </c>
      <c r="O152" s="135">
        <f t="shared" si="43"/>
        <v>2.7</v>
      </c>
      <c r="P152" s="135">
        <f t="shared" si="43"/>
        <v>2.7</v>
      </c>
      <c r="Q152" s="135">
        <f t="shared" si="43"/>
        <v>2.7</v>
      </c>
      <c r="R152" s="135">
        <f t="shared" si="43"/>
        <v>2.7</v>
      </c>
      <c r="S152" s="135">
        <f t="shared" si="43"/>
        <v>2.7</v>
      </c>
      <c r="T152" s="135">
        <f t="shared" si="44"/>
        <v>2.7</v>
      </c>
      <c r="U152" s="135">
        <f t="shared" si="44"/>
        <v>2.7</v>
      </c>
      <c r="V152" s="135">
        <f t="shared" si="44"/>
        <v>2.7</v>
      </c>
      <c r="W152" s="135">
        <f t="shared" si="44"/>
        <v>2.7</v>
      </c>
      <c r="X152" s="135">
        <f t="shared" si="44"/>
        <v>2.7</v>
      </c>
      <c r="Y152" s="135">
        <f t="shared" si="44"/>
        <v>2.7</v>
      </c>
      <c r="Z152" s="135">
        <f t="shared" si="44"/>
        <v>2.7</v>
      </c>
      <c r="AA152" s="135">
        <f t="shared" si="44"/>
        <v>2.7</v>
      </c>
      <c r="AB152" s="135">
        <f t="shared" si="44"/>
        <v>2.7</v>
      </c>
      <c r="AC152" s="135">
        <f t="shared" si="44"/>
        <v>2.7</v>
      </c>
      <c r="AD152" s="135">
        <f t="shared" si="44"/>
        <v>2.7</v>
      </c>
      <c r="AE152" s="135">
        <f t="shared" si="44"/>
        <v>2.7</v>
      </c>
      <c r="AF152" s="135">
        <f t="shared" si="44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3"/>
        <v>2.15</v>
      </c>
      <c r="E153" s="135">
        <f t="shared" si="43"/>
        <v>2.15</v>
      </c>
      <c r="F153" s="135">
        <f t="shared" si="43"/>
        <v>2.15</v>
      </c>
      <c r="G153" s="135">
        <f t="shared" si="43"/>
        <v>2.15</v>
      </c>
      <c r="H153" s="135">
        <f t="shared" si="43"/>
        <v>2.15</v>
      </c>
      <c r="I153" s="135">
        <f t="shared" si="43"/>
        <v>2.15</v>
      </c>
      <c r="J153" s="135">
        <f t="shared" si="43"/>
        <v>2.15</v>
      </c>
      <c r="K153" s="135">
        <f t="shared" si="43"/>
        <v>2.15</v>
      </c>
      <c r="L153" s="135">
        <f t="shared" si="43"/>
        <v>2.15</v>
      </c>
      <c r="M153" s="135">
        <f t="shared" si="43"/>
        <v>2.15</v>
      </c>
      <c r="N153" s="135">
        <f t="shared" si="43"/>
        <v>2.15</v>
      </c>
      <c r="O153" s="135">
        <f t="shared" si="43"/>
        <v>2.15</v>
      </c>
      <c r="P153" s="135">
        <f t="shared" si="43"/>
        <v>2.15</v>
      </c>
      <c r="Q153" s="135">
        <f t="shared" si="43"/>
        <v>2.15</v>
      </c>
      <c r="R153" s="135">
        <f t="shared" si="43"/>
        <v>2.15</v>
      </c>
      <c r="S153" s="135">
        <f t="shared" si="43"/>
        <v>2.15</v>
      </c>
      <c r="T153" s="135">
        <f t="shared" si="44"/>
        <v>2.15</v>
      </c>
      <c r="U153" s="135">
        <f t="shared" si="44"/>
        <v>2.15</v>
      </c>
      <c r="V153" s="135">
        <f t="shared" si="44"/>
        <v>2.15</v>
      </c>
      <c r="W153" s="135">
        <f t="shared" si="44"/>
        <v>2.15</v>
      </c>
      <c r="X153" s="135">
        <f t="shared" si="44"/>
        <v>2.15</v>
      </c>
      <c r="Y153" s="135">
        <f t="shared" si="44"/>
        <v>2.15</v>
      </c>
      <c r="Z153" s="135">
        <f t="shared" si="44"/>
        <v>2.15</v>
      </c>
      <c r="AA153" s="135">
        <f t="shared" si="44"/>
        <v>2.15</v>
      </c>
      <c r="AB153" s="135">
        <f t="shared" si="44"/>
        <v>2.15</v>
      </c>
      <c r="AC153" s="135">
        <f t="shared" si="44"/>
        <v>2.15</v>
      </c>
      <c r="AD153" s="135">
        <f t="shared" si="44"/>
        <v>2.15</v>
      </c>
      <c r="AE153" s="135">
        <f t="shared" si="44"/>
        <v>2.15</v>
      </c>
      <c r="AF153" s="135">
        <f t="shared" si="44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5">AF155</f>
        <v>0.9</v>
      </c>
      <c r="C155" s="136">
        <v>0.9</v>
      </c>
      <c r="D155" s="135">
        <f t="shared" ref="D155:S167" si="46">C155</f>
        <v>0.9</v>
      </c>
      <c r="E155" s="135">
        <f t="shared" si="46"/>
        <v>0.9</v>
      </c>
      <c r="F155" s="135">
        <f t="shared" si="46"/>
        <v>0.9</v>
      </c>
      <c r="G155" s="135">
        <f t="shared" si="46"/>
        <v>0.9</v>
      </c>
      <c r="H155" s="135">
        <f t="shared" si="46"/>
        <v>0.9</v>
      </c>
      <c r="I155" s="135">
        <f t="shared" si="46"/>
        <v>0.9</v>
      </c>
      <c r="J155" s="135">
        <f t="shared" si="46"/>
        <v>0.9</v>
      </c>
      <c r="K155" s="135">
        <f t="shared" si="46"/>
        <v>0.9</v>
      </c>
      <c r="L155" s="135">
        <f t="shared" si="46"/>
        <v>0.9</v>
      </c>
      <c r="M155" s="135">
        <f t="shared" si="46"/>
        <v>0.9</v>
      </c>
      <c r="N155" s="135">
        <f t="shared" si="46"/>
        <v>0.9</v>
      </c>
      <c r="O155" s="135">
        <f t="shared" si="46"/>
        <v>0.9</v>
      </c>
      <c r="P155" s="135">
        <f t="shared" si="46"/>
        <v>0.9</v>
      </c>
      <c r="Q155" s="135">
        <f t="shared" si="46"/>
        <v>0.9</v>
      </c>
      <c r="R155" s="135">
        <f t="shared" si="46"/>
        <v>0.9</v>
      </c>
      <c r="S155" s="135">
        <f t="shared" si="46"/>
        <v>0.9</v>
      </c>
      <c r="T155" s="135">
        <f t="shared" ref="S155:AF167" si="47">S155</f>
        <v>0.9</v>
      </c>
      <c r="U155" s="135">
        <f t="shared" si="47"/>
        <v>0.9</v>
      </c>
      <c r="V155" s="135">
        <f t="shared" si="47"/>
        <v>0.9</v>
      </c>
      <c r="W155" s="135">
        <f t="shared" si="47"/>
        <v>0.9</v>
      </c>
      <c r="X155" s="135">
        <f t="shared" si="47"/>
        <v>0.9</v>
      </c>
      <c r="Y155" s="135">
        <f t="shared" si="47"/>
        <v>0.9</v>
      </c>
      <c r="Z155" s="135">
        <f t="shared" si="47"/>
        <v>0.9</v>
      </c>
      <c r="AA155" s="135">
        <f t="shared" si="47"/>
        <v>0.9</v>
      </c>
      <c r="AB155" s="135">
        <f t="shared" si="47"/>
        <v>0.9</v>
      </c>
      <c r="AC155" s="135">
        <f t="shared" si="47"/>
        <v>0.9</v>
      </c>
      <c r="AD155" s="135">
        <f t="shared" si="47"/>
        <v>0.9</v>
      </c>
      <c r="AE155" s="135">
        <f t="shared" si="47"/>
        <v>0.9</v>
      </c>
      <c r="AF155" s="135">
        <f t="shared" si="47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5"/>
        <v>1.08</v>
      </c>
      <c r="C156" s="136">
        <v>1.08</v>
      </c>
      <c r="D156" s="135">
        <f t="shared" si="46"/>
        <v>1.08</v>
      </c>
      <c r="E156" s="135">
        <f t="shared" si="46"/>
        <v>1.08</v>
      </c>
      <c r="F156" s="135">
        <f t="shared" si="46"/>
        <v>1.08</v>
      </c>
      <c r="G156" s="135">
        <f t="shared" si="46"/>
        <v>1.08</v>
      </c>
      <c r="H156" s="135">
        <f t="shared" si="46"/>
        <v>1.08</v>
      </c>
      <c r="I156" s="135">
        <f t="shared" si="46"/>
        <v>1.08</v>
      </c>
      <c r="J156" s="135">
        <f t="shared" si="46"/>
        <v>1.08</v>
      </c>
      <c r="K156" s="135">
        <f t="shared" si="46"/>
        <v>1.08</v>
      </c>
      <c r="L156" s="135">
        <f t="shared" si="46"/>
        <v>1.08</v>
      </c>
      <c r="M156" s="135">
        <f t="shared" si="46"/>
        <v>1.08</v>
      </c>
      <c r="N156" s="135">
        <f t="shared" si="46"/>
        <v>1.08</v>
      </c>
      <c r="O156" s="135">
        <f t="shared" si="46"/>
        <v>1.08</v>
      </c>
      <c r="P156" s="135">
        <f t="shared" si="46"/>
        <v>1.08</v>
      </c>
      <c r="Q156" s="135">
        <f t="shared" si="46"/>
        <v>1.08</v>
      </c>
      <c r="R156" s="135">
        <f t="shared" si="46"/>
        <v>1.08</v>
      </c>
      <c r="S156" s="135">
        <f t="shared" si="46"/>
        <v>1.08</v>
      </c>
      <c r="T156" s="135">
        <f t="shared" si="47"/>
        <v>1.08</v>
      </c>
      <c r="U156" s="135">
        <f t="shared" si="47"/>
        <v>1.08</v>
      </c>
      <c r="V156" s="135">
        <f t="shared" si="47"/>
        <v>1.08</v>
      </c>
      <c r="W156" s="135">
        <f t="shared" si="47"/>
        <v>1.08</v>
      </c>
      <c r="X156" s="135">
        <f t="shared" si="47"/>
        <v>1.08</v>
      </c>
      <c r="Y156" s="135">
        <f t="shared" si="47"/>
        <v>1.08</v>
      </c>
      <c r="Z156" s="135">
        <f t="shared" si="47"/>
        <v>1.08</v>
      </c>
      <c r="AA156" s="135">
        <f t="shared" si="47"/>
        <v>1.08</v>
      </c>
      <c r="AB156" s="135">
        <f t="shared" si="47"/>
        <v>1.08</v>
      </c>
      <c r="AC156" s="135">
        <f t="shared" si="47"/>
        <v>1.08</v>
      </c>
      <c r="AD156" s="135">
        <f t="shared" si="47"/>
        <v>1.08</v>
      </c>
      <c r="AE156" s="135">
        <f t="shared" si="47"/>
        <v>1.08</v>
      </c>
      <c r="AF156" s="135">
        <f t="shared" si="47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5"/>
        <v>2.37</v>
      </c>
      <c r="C157" s="136">
        <v>2.37</v>
      </c>
      <c r="D157" s="135">
        <f t="shared" si="46"/>
        <v>2.37</v>
      </c>
      <c r="E157" s="135">
        <f t="shared" si="46"/>
        <v>2.37</v>
      </c>
      <c r="F157" s="135">
        <f t="shared" si="46"/>
        <v>2.37</v>
      </c>
      <c r="G157" s="135">
        <f t="shared" si="46"/>
        <v>2.37</v>
      </c>
      <c r="H157" s="135">
        <f t="shared" si="46"/>
        <v>2.37</v>
      </c>
      <c r="I157" s="135">
        <f t="shared" si="46"/>
        <v>2.37</v>
      </c>
      <c r="J157" s="135">
        <f t="shared" si="46"/>
        <v>2.37</v>
      </c>
      <c r="K157" s="135">
        <f t="shared" si="46"/>
        <v>2.37</v>
      </c>
      <c r="L157" s="135">
        <f t="shared" si="46"/>
        <v>2.37</v>
      </c>
      <c r="M157" s="135">
        <f t="shared" si="46"/>
        <v>2.37</v>
      </c>
      <c r="N157" s="135">
        <f t="shared" si="46"/>
        <v>2.37</v>
      </c>
      <c r="O157" s="135">
        <f t="shared" si="46"/>
        <v>2.37</v>
      </c>
      <c r="P157" s="135">
        <f t="shared" si="46"/>
        <v>2.37</v>
      </c>
      <c r="Q157" s="135">
        <f t="shared" si="46"/>
        <v>2.37</v>
      </c>
      <c r="R157" s="135">
        <f t="shared" si="46"/>
        <v>2.37</v>
      </c>
      <c r="S157" s="135">
        <f t="shared" si="46"/>
        <v>2.37</v>
      </c>
      <c r="T157" s="135">
        <f t="shared" si="47"/>
        <v>2.37</v>
      </c>
      <c r="U157" s="135">
        <f t="shared" si="47"/>
        <v>2.37</v>
      </c>
      <c r="V157" s="135">
        <f t="shared" si="47"/>
        <v>2.37</v>
      </c>
      <c r="W157" s="135">
        <f t="shared" si="47"/>
        <v>2.37</v>
      </c>
      <c r="X157" s="135">
        <f t="shared" si="47"/>
        <v>2.37</v>
      </c>
      <c r="Y157" s="135">
        <f t="shared" si="47"/>
        <v>2.37</v>
      </c>
      <c r="Z157" s="135">
        <f t="shared" si="47"/>
        <v>2.37</v>
      </c>
      <c r="AA157" s="135">
        <f t="shared" si="47"/>
        <v>2.37</v>
      </c>
      <c r="AB157" s="135">
        <f t="shared" si="47"/>
        <v>2.37</v>
      </c>
      <c r="AC157" s="135">
        <f t="shared" si="47"/>
        <v>2.37</v>
      </c>
      <c r="AD157" s="135">
        <f t="shared" si="47"/>
        <v>2.37</v>
      </c>
      <c r="AE157" s="135">
        <f t="shared" si="47"/>
        <v>2.37</v>
      </c>
      <c r="AF157" s="135">
        <f t="shared" si="47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5"/>
        <v>1.81</v>
      </c>
      <c r="C158" s="136">
        <v>1.81</v>
      </c>
      <c r="D158" s="135">
        <f t="shared" si="46"/>
        <v>1.81</v>
      </c>
      <c r="E158" s="135">
        <f t="shared" si="46"/>
        <v>1.81</v>
      </c>
      <c r="F158" s="135">
        <f t="shared" si="46"/>
        <v>1.81</v>
      </c>
      <c r="G158" s="135">
        <f t="shared" si="46"/>
        <v>1.81</v>
      </c>
      <c r="H158" s="135">
        <f t="shared" si="46"/>
        <v>1.81</v>
      </c>
      <c r="I158" s="135">
        <f t="shared" si="46"/>
        <v>1.81</v>
      </c>
      <c r="J158" s="135">
        <f t="shared" si="46"/>
        <v>1.81</v>
      </c>
      <c r="K158" s="135">
        <f t="shared" si="46"/>
        <v>1.81</v>
      </c>
      <c r="L158" s="135">
        <f t="shared" si="46"/>
        <v>1.81</v>
      </c>
      <c r="M158" s="135">
        <f t="shared" si="46"/>
        <v>1.81</v>
      </c>
      <c r="N158" s="135">
        <f t="shared" si="46"/>
        <v>1.81</v>
      </c>
      <c r="O158" s="135">
        <f t="shared" si="46"/>
        <v>1.81</v>
      </c>
      <c r="P158" s="135">
        <f t="shared" si="46"/>
        <v>1.81</v>
      </c>
      <c r="Q158" s="135">
        <f t="shared" si="46"/>
        <v>1.81</v>
      </c>
      <c r="R158" s="135">
        <f t="shared" si="46"/>
        <v>1.81</v>
      </c>
      <c r="S158" s="135">
        <f t="shared" si="46"/>
        <v>1.81</v>
      </c>
      <c r="T158" s="135">
        <f t="shared" si="47"/>
        <v>1.81</v>
      </c>
      <c r="U158" s="135">
        <f t="shared" si="47"/>
        <v>1.81</v>
      </c>
      <c r="V158" s="135">
        <f t="shared" si="47"/>
        <v>1.81</v>
      </c>
      <c r="W158" s="135">
        <f t="shared" si="47"/>
        <v>1.81</v>
      </c>
      <c r="X158" s="135">
        <f t="shared" si="47"/>
        <v>1.81</v>
      </c>
      <c r="Y158" s="135">
        <f t="shared" si="47"/>
        <v>1.81</v>
      </c>
      <c r="Z158" s="135">
        <f t="shared" si="47"/>
        <v>1.81</v>
      </c>
      <c r="AA158" s="135">
        <f t="shared" si="47"/>
        <v>1.81</v>
      </c>
      <c r="AB158" s="135">
        <f t="shared" si="47"/>
        <v>1.81</v>
      </c>
      <c r="AC158" s="135">
        <f t="shared" si="47"/>
        <v>1.81</v>
      </c>
      <c r="AD158" s="135">
        <f t="shared" si="47"/>
        <v>1.81</v>
      </c>
      <c r="AE158" s="135">
        <f t="shared" si="47"/>
        <v>1.81</v>
      </c>
      <c r="AF158" s="135">
        <f t="shared" si="47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5"/>
        <v>1.0900000000000001</v>
      </c>
      <c r="C159" s="136">
        <v>1.0900000000000001</v>
      </c>
      <c r="D159" s="135">
        <f t="shared" si="46"/>
        <v>1.0900000000000001</v>
      </c>
      <c r="E159" s="135">
        <f t="shared" si="46"/>
        <v>1.0900000000000001</v>
      </c>
      <c r="F159" s="135">
        <f t="shared" si="46"/>
        <v>1.0900000000000001</v>
      </c>
      <c r="G159" s="135">
        <f t="shared" si="46"/>
        <v>1.0900000000000001</v>
      </c>
      <c r="H159" s="135">
        <f t="shared" si="46"/>
        <v>1.0900000000000001</v>
      </c>
      <c r="I159" s="135">
        <f t="shared" si="46"/>
        <v>1.0900000000000001</v>
      </c>
      <c r="J159" s="135">
        <f t="shared" si="46"/>
        <v>1.0900000000000001</v>
      </c>
      <c r="K159" s="135">
        <f t="shared" si="46"/>
        <v>1.0900000000000001</v>
      </c>
      <c r="L159" s="135">
        <f t="shared" si="46"/>
        <v>1.0900000000000001</v>
      </c>
      <c r="M159" s="135">
        <f t="shared" si="46"/>
        <v>1.0900000000000001</v>
      </c>
      <c r="N159" s="135">
        <f t="shared" si="46"/>
        <v>1.0900000000000001</v>
      </c>
      <c r="O159" s="135">
        <f t="shared" si="46"/>
        <v>1.0900000000000001</v>
      </c>
      <c r="P159" s="135">
        <f t="shared" si="46"/>
        <v>1.0900000000000001</v>
      </c>
      <c r="Q159" s="135">
        <f t="shared" si="46"/>
        <v>1.0900000000000001</v>
      </c>
      <c r="R159" s="135">
        <f t="shared" si="46"/>
        <v>1.0900000000000001</v>
      </c>
      <c r="S159" s="135">
        <f t="shared" si="46"/>
        <v>1.0900000000000001</v>
      </c>
      <c r="T159" s="135">
        <f t="shared" si="47"/>
        <v>1.0900000000000001</v>
      </c>
      <c r="U159" s="135">
        <f t="shared" si="47"/>
        <v>1.0900000000000001</v>
      </c>
      <c r="V159" s="135">
        <f t="shared" si="47"/>
        <v>1.0900000000000001</v>
      </c>
      <c r="W159" s="135">
        <f t="shared" si="47"/>
        <v>1.0900000000000001</v>
      </c>
      <c r="X159" s="135">
        <f t="shared" si="47"/>
        <v>1.0900000000000001</v>
      </c>
      <c r="Y159" s="135">
        <f t="shared" si="47"/>
        <v>1.0900000000000001</v>
      </c>
      <c r="Z159" s="135">
        <f t="shared" si="47"/>
        <v>1.0900000000000001</v>
      </c>
      <c r="AA159" s="135">
        <f t="shared" si="47"/>
        <v>1.0900000000000001</v>
      </c>
      <c r="AB159" s="135">
        <f t="shared" si="47"/>
        <v>1.0900000000000001</v>
      </c>
      <c r="AC159" s="135">
        <f t="shared" si="47"/>
        <v>1.0900000000000001</v>
      </c>
      <c r="AD159" s="135">
        <f t="shared" si="47"/>
        <v>1.0900000000000001</v>
      </c>
      <c r="AE159" s="135">
        <f t="shared" si="47"/>
        <v>1.0900000000000001</v>
      </c>
      <c r="AF159" s="135">
        <f t="shared" si="47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5"/>
        <v>1.58</v>
      </c>
      <c r="C160" s="136">
        <v>1.58</v>
      </c>
      <c r="D160" s="135">
        <f t="shared" si="46"/>
        <v>1.58</v>
      </c>
      <c r="E160" s="135">
        <f t="shared" si="46"/>
        <v>1.58</v>
      </c>
      <c r="F160" s="135">
        <f t="shared" si="46"/>
        <v>1.58</v>
      </c>
      <c r="G160" s="135">
        <f t="shared" si="46"/>
        <v>1.58</v>
      </c>
      <c r="H160" s="135">
        <f t="shared" si="46"/>
        <v>1.58</v>
      </c>
      <c r="I160" s="135">
        <f t="shared" si="46"/>
        <v>1.58</v>
      </c>
      <c r="J160" s="135">
        <f t="shared" si="46"/>
        <v>1.58</v>
      </c>
      <c r="K160" s="135">
        <f t="shared" si="46"/>
        <v>1.58</v>
      </c>
      <c r="L160" s="135">
        <f t="shared" si="46"/>
        <v>1.58</v>
      </c>
      <c r="M160" s="135">
        <f t="shared" si="46"/>
        <v>1.58</v>
      </c>
      <c r="N160" s="135">
        <f t="shared" si="46"/>
        <v>1.58</v>
      </c>
      <c r="O160" s="135">
        <f t="shared" si="46"/>
        <v>1.58</v>
      </c>
      <c r="P160" s="135">
        <f t="shared" si="46"/>
        <v>1.58</v>
      </c>
      <c r="Q160" s="135">
        <f t="shared" si="46"/>
        <v>1.58</v>
      </c>
      <c r="R160" s="135">
        <f t="shared" si="46"/>
        <v>1.58</v>
      </c>
      <c r="S160" s="135">
        <f t="shared" si="46"/>
        <v>1.58</v>
      </c>
      <c r="T160" s="135">
        <f t="shared" si="47"/>
        <v>1.58</v>
      </c>
      <c r="U160" s="135">
        <f t="shared" si="47"/>
        <v>1.58</v>
      </c>
      <c r="V160" s="135">
        <f t="shared" si="47"/>
        <v>1.58</v>
      </c>
      <c r="W160" s="135">
        <f t="shared" si="47"/>
        <v>1.58</v>
      </c>
      <c r="X160" s="135">
        <f t="shared" si="47"/>
        <v>1.58</v>
      </c>
      <c r="Y160" s="135">
        <f t="shared" si="47"/>
        <v>1.58</v>
      </c>
      <c r="Z160" s="135">
        <f t="shared" si="47"/>
        <v>1.58</v>
      </c>
      <c r="AA160" s="135">
        <f t="shared" si="47"/>
        <v>1.58</v>
      </c>
      <c r="AB160" s="135">
        <f t="shared" si="47"/>
        <v>1.58</v>
      </c>
      <c r="AC160" s="135">
        <f t="shared" si="47"/>
        <v>1.58</v>
      </c>
      <c r="AD160" s="135">
        <f t="shared" si="47"/>
        <v>1.58</v>
      </c>
      <c r="AE160" s="135">
        <f t="shared" si="47"/>
        <v>1.58</v>
      </c>
      <c r="AF160" s="135">
        <f t="shared" si="47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5"/>
        <v>2</v>
      </c>
      <c r="C161" s="136">
        <v>2</v>
      </c>
      <c r="D161" s="135">
        <f t="shared" si="46"/>
        <v>2</v>
      </c>
      <c r="E161" s="135">
        <f t="shared" si="46"/>
        <v>2</v>
      </c>
      <c r="F161" s="135">
        <f t="shared" si="46"/>
        <v>2</v>
      </c>
      <c r="G161" s="135">
        <f t="shared" si="46"/>
        <v>2</v>
      </c>
      <c r="H161" s="135">
        <f t="shared" si="46"/>
        <v>2</v>
      </c>
      <c r="I161" s="135">
        <f t="shared" si="46"/>
        <v>2</v>
      </c>
      <c r="J161" s="135">
        <f t="shared" si="46"/>
        <v>2</v>
      </c>
      <c r="K161" s="135">
        <f t="shared" si="46"/>
        <v>2</v>
      </c>
      <c r="L161" s="135">
        <f t="shared" si="46"/>
        <v>2</v>
      </c>
      <c r="M161" s="135">
        <f t="shared" si="46"/>
        <v>2</v>
      </c>
      <c r="N161" s="135">
        <f t="shared" si="46"/>
        <v>2</v>
      </c>
      <c r="O161" s="135">
        <f t="shared" si="46"/>
        <v>2</v>
      </c>
      <c r="P161" s="135">
        <f t="shared" si="46"/>
        <v>2</v>
      </c>
      <c r="Q161" s="135">
        <f t="shared" si="46"/>
        <v>2</v>
      </c>
      <c r="R161" s="135">
        <f t="shared" si="46"/>
        <v>2</v>
      </c>
      <c r="S161" s="135">
        <f t="shared" si="46"/>
        <v>2</v>
      </c>
      <c r="T161" s="135">
        <f t="shared" si="47"/>
        <v>2</v>
      </c>
      <c r="U161" s="135">
        <f t="shared" si="47"/>
        <v>2</v>
      </c>
      <c r="V161" s="135">
        <f t="shared" si="47"/>
        <v>2</v>
      </c>
      <c r="W161" s="135">
        <f t="shared" si="47"/>
        <v>2</v>
      </c>
      <c r="X161" s="135">
        <f t="shared" si="47"/>
        <v>2</v>
      </c>
      <c r="Y161" s="135">
        <f t="shared" si="47"/>
        <v>2</v>
      </c>
      <c r="Z161" s="135">
        <f t="shared" si="47"/>
        <v>2</v>
      </c>
      <c r="AA161" s="135">
        <f t="shared" si="47"/>
        <v>2</v>
      </c>
      <c r="AB161" s="135">
        <f t="shared" si="47"/>
        <v>2</v>
      </c>
      <c r="AC161" s="135">
        <f t="shared" si="47"/>
        <v>2</v>
      </c>
      <c r="AD161" s="135">
        <f t="shared" si="47"/>
        <v>2</v>
      </c>
      <c r="AE161" s="135">
        <f t="shared" si="47"/>
        <v>2</v>
      </c>
      <c r="AF161" s="135">
        <f t="shared" si="47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5"/>
        <v>0.47</v>
      </c>
      <c r="C162" s="136">
        <v>0.47</v>
      </c>
      <c r="D162" s="135">
        <f t="shared" si="46"/>
        <v>0.47</v>
      </c>
      <c r="E162" s="135">
        <f t="shared" si="46"/>
        <v>0.47</v>
      </c>
      <c r="F162" s="135">
        <f t="shared" si="46"/>
        <v>0.47</v>
      </c>
      <c r="G162" s="135">
        <f t="shared" si="46"/>
        <v>0.47</v>
      </c>
      <c r="H162" s="135">
        <f t="shared" si="46"/>
        <v>0.47</v>
      </c>
      <c r="I162" s="135">
        <f t="shared" si="46"/>
        <v>0.47</v>
      </c>
      <c r="J162" s="135">
        <f t="shared" si="46"/>
        <v>0.47</v>
      </c>
      <c r="K162" s="135">
        <f t="shared" si="46"/>
        <v>0.47</v>
      </c>
      <c r="L162" s="135">
        <f t="shared" si="46"/>
        <v>0.47</v>
      </c>
      <c r="M162" s="135">
        <f t="shared" si="46"/>
        <v>0.47</v>
      </c>
      <c r="N162" s="135">
        <f t="shared" si="46"/>
        <v>0.47</v>
      </c>
      <c r="O162" s="135">
        <f t="shared" si="46"/>
        <v>0.47</v>
      </c>
      <c r="P162" s="135">
        <f t="shared" si="46"/>
        <v>0.47</v>
      </c>
      <c r="Q162" s="135">
        <f t="shared" si="46"/>
        <v>0.47</v>
      </c>
      <c r="R162" s="135">
        <f t="shared" si="46"/>
        <v>0.47</v>
      </c>
      <c r="S162" s="135">
        <f t="shared" si="46"/>
        <v>0.47</v>
      </c>
      <c r="T162" s="135">
        <f t="shared" si="47"/>
        <v>0.47</v>
      </c>
      <c r="U162" s="135">
        <f t="shared" si="47"/>
        <v>0.47</v>
      </c>
      <c r="V162" s="135">
        <f t="shared" si="47"/>
        <v>0.47</v>
      </c>
      <c r="W162" s="135">
        <f t="shared" si="47"/>
        <v>0.47</v>
      </c>
      <c r="X162" s="135">
        <f t="shared" si="47"/>
        <v>0.47</v>
      </c>
      <c r="Y162" s="135">
        <f t="shared" si="47"/>
        <v>0.47</v>
      </c>
      <c r="Z162" s="135">
        <f t="shared" si="47"/>
        <v>0.47</v>
      </c>
      <c r="AA162" s="135">
        <f t="shared" si="47"/>
        <v>0.47</v>
      </c>
      <c r="AB162" s="135">
        <f t="shared" si="47"/>
        <v>0.47</v>
      </c>
      <c r="AC162" s="135">
        <f t="shared" si="47"/>
        <v>0.47</v>
      </c>
      <c r="AD162" s="135">
        <f t="shared" si="47"/>
        <v>0.47</v>
      </c>
      <c r="AE162" s="135">
        <f t="shared" si="47"/>
        <v>0.47</v>
      </c>
      <c r="AF162" s="135">
        <f t="shared" si="47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5"/>
        <v>0</v>
      </c>
      <c r="C163" s="136">
        <v>0</v>
      </c>
      <c r="D163" s="135">
        <f t="shared" si="46"/>
        <v>0</v>
      </c>
      <c r="E163" s="135">
        <f t="shared" si="46"/>
        <v>0</v>
      </c>
      <c r="F163" s="135">
        <f t="shared" si="46"/>
        <v>0</v>
      </c>
      <c r="G163" s="135">
        <f t="shared" si="46"/>
        <v>0</v>
      </c>
      <c r="H163" s="135">
        <f t="shared" si="46"/>
        <v>0</v>
      </c>
      <c r="I163" s="135">
        <f t="shared" si="46"/>
        <v>0</v>
      </c>
      <c r="J163" s="135">
        <f t="shared" si="46"/>
        <v>0</v>
      </c>
      <c r="K163" s="135">
        <f t="shared" si="46"/>
        <v>0</v>
      </c>
      <c r="L163" s="135">
        <f t="shared" si="46"/>
        <v>0</v>
      </c>
      <c r="M163" s="135">
        <f t="shared" si="46"/>
        <v>0</v>
      </c>
      <c r="N163" s="135">
        <f t="shared" si="46"/>
        <v>0</v>
      </c>
      <c r="O163" s="135">
        <f t="shared" si="46"/>
        <v>0</v>
      </c>
      <c r="P163" s="135">
        <f t="shared" si="46"/>
        <v>0</v>
      </c>
      <c r="Q163" s="135">
        <f t="shared" si="46"/>
        <v>0</v>
      </c>
      <c r="R163" s="135">
        <f t="shared" si="46"/>
        <v>0</v>
      </c>
      <c r="S163" s="135">
        <f t="shared" si="46"/>
        <v>0</v>
      </c>
      <c r="T163" s="135">
        <f t="shared" si="47"/>
        <v>0</v>
      </c>
      <c r="U163" s="135">
        <f t="shared" si="47"/>
        <v>0</v>
      </c>
      <c r="V163" s="135">
        <f t="shared" si="47"/>
        <v>0</v>
      </c>
      <c r="W163" s="135">
        <f t="shared" si="47"/>
        <v>0</v>
      </c>
      <c r="X163" s="135">
        <f t="shared" si="47"/>
        <v>0</v>
      </c>
      <c r="Y163" s="135">
        <f t="shared" si="47"/>
        <v>0</v>
      </c>
      <c r="Z163" s="135">
        <f t="shared" si="47"/>
        <v>0</v>
      </c>
      <c r="AA163" s="135">
        <f t="shared" si="47"/>
        <v>0</v>
      </c>
      <c r="AB163" s="135">
        <f t="shared" si="47"/>
        <v>0</v>
      </c>
      <c r="AC163" s="135">
        <f t="shared" si="47"/>
        <v>0</v>
      </c>
      <c r="AD163" s="135">
        <f t="shared" si="47"/>
        <v>0</v>
      </c>
      <c r="AE163" s="135">
        <f t="shared" si="47"/>
        <v>0</v>
      </c>
      <c r="AF163" s="135">
        <f t="shared" si="47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5"/>
        <v>0</v>
      </c>
      <c r="C164" s="136">
        <v>0</v>
      </c>
      <c r="D164" s="135">
        <f t="shared" si="46"/>
        <v>0</v>
      </c>
      <c r="E164" s="135">
        <f t="shared" si="46"/>
        <v>0</v>
      </c>
      <c r="F164" s="135">
        <f t="shared" si="46"/>
        <v>0</v>
      </c>
      <c r="G164" s="135">
        <f t="shared" si="46"/>
        <v>0</v>
      </c>
      <c r="H164" s="135">
        <f t="shared" si="46"/>
        <v>0</v>
      </c>
      <c r="I164" s="135">
        <f t="shared" si="46"/>
        <v>0</v>
      </c>
      <c r="J164" s="135">
        <f t="shared" si="46"/>
        <v>0</v>
      </c>
      <c r="K164" s="135">
        <f t="shared" si="46"/>
        <v>0</v>
      </c>
      <c r="L164" s="135">
        <f t="shared" si="46"/>
        <v>0</v>
      </c>
      <c r="M164" s="135">
        <f t="shared" si="46"/>
        <v>0</v>
      </c>
      <c r="N164" s="135">
        <f t="shared" si="46"/>
        <v>0</v>
      </c>
      <c r="O164" s="135">
        <f t="shared" si="46"/>
        <v>0</v>
      </c>
      <c r="P164" s="135">
        <f t="shared" si="46"/>
        <v>0</v>
      </c>
      <c r="Q164" s="135">
        <f t="shared" si="46"/>
        <v>0</v>
      </c>
      <c r="R164" s="135">
        <f t="shared" si="46"/>
        <v>0</v>
      </c>
      <c r="S164" s="135">
        <f t="shared" si="47"/>
        <v>0</v>
      </c>
      <c r="T164" s="135">
        <f t="shared" si="47"/>
        <v>0</v>
      </c>
      <c r="U164" s="135">
        <f t="shared" si="47"/>
        <v>0</v>
      </c>
      <c r="V164" s="135">
        <f t="shared" si="47"/>
        <v>0</v>
      </c>
      <c r="W164" s="135">
        <f t="shared" si="47"/>
        <v>0</v>
      </c>
      <c r="X164" s="135">
        <f t="shared" si="47"/>
        <v>0</v>
      </c>
      <c r="Y164" s="135">
        <f t="shared" si="47"/>
        <v>0</v>
      </c>
      <c r="Z164" s="135">
        <f t="shared" si="47"/>
        <v>0</v>
      </c>
      <c r="AA164" s="135">
        <f t="shared" si="47"/>
        <v>0</v>
      </c>
      <c r="AB164" s="135">
        <f t="shared" si="47"/>
        <v>0</v>
      </c>
      <c r="AC164" s="135">
        <f t="shared" si="47"/>
        <v>0</v>
      </c>
      <c r="AD164" s="135">
        <f t="shared" si="47"/>
        <v>0</v>
      </c>
      <c r="AE164" s="135">
        <f t="shared" si="47"/>
        <v>0</v>
      </c>
      <c r="AF164" s="135">
        <f t="shared" si="47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5"/>
        <v>0.8</v>
      </c>
      <c r="C165" s="136">
        <v>0.8</v>
      </c>
      <c r="D165" s="135">
        <f t="shared" si="46"/>
        <v>0.8</v>
      </c>
      <c r="E165" s="135">
        <f t="shared" si="46"/>
        <v>0.8</v>
      </c>
      <c r="F165" s="135">
        <f t="shared" si="46"/>
        <v>0.8</v>
      </c>
      <c r="G165" s="135">
        <f t="shared" si="46"/>
        <v>0.8</v>
      </c>
      <c r="H165" s="135">
        <f t="shared" si="46"/>
        <v>0.8</v>
      </c>
      <c r="I165" s="135">
        <f t="shared" si="46"/>
        <v>0.8</v>
      </c>
      <c r="J165" s="135">
        <f t="shared" si="46"/>
        <v>0.8</v>
      </c>
      <c r="K165" s="135">
        <f t="shared" si="46"/>
        <v>0.8</v>
      </c>
      <c r="L165" s="135">
        <f t="shared" si="46"/>
        <v>0.8</v>
      </c>
      <c r="M165" s="135">
        <f t="shared" si="46"/>
        <v>0.8</v>
      </c>
      <c r="N165" s="135">
        <f t="shared" si="46"/>
        <v>0.8</v>
      </c>
      <c r="O165" s="135">
        <f t="shared" si="46"/>
        <v>0.8</v>
      </c>
      <c r="P165" s="135">
        <f t="shared" si="46"/>
        <v>0.8</v>
      </c>
      <c r="Q165" s="135">
        <f t="shared" si="46"/>
        <v>0.8</v>
      </c>
      <c r="R165" s="135">
        <f t="shared" si="46"/>
        <v>0.8</v>
      </c>
      <c r="S165" s="135">
        <f t="shared" si="47"/>
        <v>0.8</v>
      </c>
      <c r="T165" s="135">
        <f t="shared" si="47"/>
        <v>0.8</v>
      </c>
      <c r="U165" s="135">
        <f t="shared" si="47"/>
        <v>0.8</v>
      </c>
      <c r="V165" s="135">
        <f t="shared" si="47"/>
        <v>0.8</v>
      </c>
      <c r="W165" s="135">
        <f t="shared" si="47"/>
        <v>0.8</v>
      </c>
      <c r="X165" s="135">
        <f t="shared" si="47"/>
        <v>0.8</v>
      </c>
      <c r="Y165" s="135">
        <f t="shared" si="47"/>
        <v>0.8</v>
      </c>
      <c r="Z165" s="135">
        <f t="shared" si="47"/>
        <v>0.8</v>
      </c>
      <c r="AA165" s="135">
        <f t="shared" si="47"/>
        <v>0.8</v>
      </c>
      <c r="AB165" s="135">
        <f t="shared" si="47"/>
        <v>0.8</v>
      </c>
      <c r="AC165" s="135">
        <f t="shared" si="47"/>
        <v>0.8</v>
      </c>
      <c r="AD165" s="135">
        <f t="shared" si="47"/>
        <v>0.8</v>
      </c>
      <c r="AE165" s="135">
        <f t="shared" si="47"/>
        <v>0.8</v>
      </c>
      <c r="AF165" s="135">
        <f t="shared" si="47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5"/>
        <v>1.5</v>
      </c>
      <c r="C166" s="136">
        <v>1.5</v>
      </c>
      <c r="D166" s="135">
        <f t="shared" si="46"/>
        <v>1.5</v>
      </c>
      <c r="E166" s="135">
        <f t="shared" si="46"/>
        <v>1.5</v>
      </c>
      <c r="F166" s="135">
        <f t="shared" si="46"/>
        <v>1.5</v>
      </c>
      <c r="G166" s="135">
        <f t="shared" si="46"/>
        <v>1.5</v>
      </c>
      <c r="H166" s="135">
        <f t="shared" si="46"/>
        <v>1.5</v>
      </c>
      <c r="I166" s="135">
        <f t="shared" si="46"/>
        <v>1.5</v>
      </c>
      <c r="J166" s="135">
        <f t="shared" si="46"/>
        <v>1.5</v>
      </c>
      <c r="K166" s="135">
        <f t="shared" si="46"/>
        <v>1.5</v>
      </c>
      <c r="L166" s="135">
        <f t="shared" si="46"/>
        <v>1.5</v>
      </c>
      <c r="M166" s="135">
        <f t="shared" si="46"/>
        <v>1.5</v>
      </c>
      <c r="N166" s="135">
        <f t="shared" si="46"/>
        <v>1.5</v>
      </c>
      <c r="O166" s="135">
        <f t="shared" si="46"/>
        <v>1.5</v>
      </c>
      <c r="P166" s="135">
        <f t="shared" si="46"/>
        <v>1.5</v>
      </c>
      <c r="Q166" s="135">
        <f t="shared" si="46"/>
        <v>1.5</v>
      </c>
      <c r="R166" s="135">
        <f t="shared" si="46"/>
        <v>1.5</v>
      </c>
      <c r="S166" s="135">
        <f t="shared" si="47"/>
        <v>1.5</v>
      </c>
      <c r="T166" s="135">
        <f t="shared" si="47"/>
        <v>1.5</v>
      </c>
      <c r="U166" s="135">
        <f t="shared" si="47"/>
        <v>1.5</v>
      </c>
      <c r="V166" s="135">
        <f t="shared" si="47"/>
        <v>1.5</v>
      </c>
      <c r="W166" s="135">
        <f t="shared" si="47"/>
        <v>1.5</v>
      </c>
      <c r="X166" s="135">
        <f t="shared" si="47"/>
        <v>1.5</v>
      </c>
      <c r="Y166" s="135">
        <f t="shared" si="47"/>
        <v>1.5</v>
      </c>
      <c r="Z166" s="135">
        <f t="shared" si="47"/>
        <v>1.5</v>
      </c>
      <c r="AA166" s="135">
        <f t="shared" si="47"/>
        <v>1.5</v>
      </c>
      <c r="AB166" s="135">
        <f t="shared" si="47"/>
        <v>1.5</v>
      </c>
      <c r="AC166" s="135">
        <f t="shared" si="47"/>
        <v>1.5</v>
      </c>
      <c r="AD166" s="135">
        <f t="shared" si="47"/>
        <v>1.5</v>
      </c>
      <c r="AE166" s="135">
        <f t="shared" si="47"/>
        <v>1.5</v>
      </c>
      <c r="AF166" s="135">
        <f t="shared" si="47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5"/>
        <v>1</v>
      </c>
      <c r="C167" s="136">
        <v>1</v>
      </c>
      <c r="D167" s="135">
        <f t="shared" si="46"/>
        <v>1</v>
      </c>
      <c r="E167" s="135">
        <f t="shared" si="46"/>
        <v>1</v>
      </c>
      <c r="F167" s="135">
        <f t="shared" si="46"/>
        <v>1</v>
      </c>
      <c r="G167" s="135">
        <f t="shared" si="46"/>
        <v>1</v>
      </c>
      <c r="H167" s="135">
        <f t="shared" si="46"/>
        <v>1</v>
      </c>
      <c r="I167" s="135">
        <f t="shared" si="46"/>
        <v>1</v>
      </c>
      <c r="J167" s="135">
        <f t="shared" si="46"/>
        <v>1</v>
      </c>
      <c r="K167" s="135">
        <f t="shared" si="46"/>
        <v>1</v>
      </c>
      <c r="L167" s="135">
        <f t="shared" si="46"/>
        <v>1</v>
      </c>
      <c r="M167" s="135">
        <f t="shared" si="46"/>
        <v>1</v>
      </c>
      <c r="N167" s="135">
        <f t="shared" si="46"/>
        <v>1</v>
      </c>
      <c r="O167" s="135">
        <f t="shared" si="46"/>
        <v>1</v>
      </c>
      <c r="P167" s="135">
        <f t="shared" si="46"/>
        <v>1</v>
      </c>
      <c r="Q167" s="135">
        <f t="shared" si="46"/>
        <v>1</v>
      </c>
      <c r="R167" s="135">
        <f t="shared" si="46"/>
        <v>1</v>
      </c>
      <c r="S167" s="135">
        <f t="shared" si="47"/>
        <v>1</v>
      </c>
      <c r="T167" s="135">
        <f t="shared" si="47"/>
        <v>1</v>
      </c>
      <c r="U167" s="135">
        <f t="shared" si="47"/>
        <v>1</v>
      </c>
      <c r="V167" s="135">
        <f t="shared" si="47"/>
        <v>1</v>
      </c>
      <c r="W167" s="135">
        <f t="shared" si="47"/>
        <v>1</v>
      </c>
      <c r="X167" s="135">
        <f t="shared" si="47"/>
        <v>1</v>
      </c>
      <c r="Y167" s="135">
        <f t="shared" si="47"/>
        <v>1</v>
      </c>
      <c r="Z167" s="135">
        <f t="shared" si="47"/>
        <v>1</v>
      </c>
      <c r="AA167" s="135">
        <f t="shared" si="47"/>
        <v>1</v>
      </c>
      <c r="AB167" s="135">
        <f t="shared" si="47"/>
        <v>1</v>
      </c>
      <c r="AC167" s="135">
        <f t="shared" si="47"/>
        <v>1</v>
      </c>
      <c r="AD167" s="135">
        <f t="shared" si="47"/>
        <v>1</v>
      </c>
      <c r="AE167" s="135">
        <f t="shared" si="47"/>
        <v>1</v>
      </c>
      <c r="AF167" s="135">
        <f t="shared" si="47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8">AF169</f>
        <v>1</v>
      </c>
      <c r="C169" s="136">
        <v>1</v>
      </c>
      <c r="D169" s="135">
        <f t="shared" ref="D169:S176" si="49">C169</f>
        <v>1</v>
      </c>
      <c r="E169" s="135">
        <f t="shared" si="49"/>
        <v>1</v>
      </c>
      <c r="F169" s="135">
        <f t="shared" si="49"/>
        <v>1</v>
      </c>
      <c r="G169" s="135">
        <f t="shared" si="49"/>
        <v>1</v>
      </c>
      <c r="H169" s="135">
        <f t="shared" si="49"/>
        <v>1</v>
      </c>
      <c r="I169" s="135">
        <f t="shared" si="49"/>
        <v>1</v>
      </c>
      <c r="J169" s="135">
        <f t="shared" si="49"/>
        <v>1</v>
      </c>
      <c r="K169" s="135">
        <f t="shared" si="49"/>
        <v>1</v>
      </c>
      <c r="L169" s="135">
        <f t="shared" si="49"/>
        <v>1</v>
      </c>
      <c r="M169" s="135">
        <f t="shared" si="49"/>
        <v>1</v>
      </c>
      <c r="N169" s="135">
        <f t="shared" si="49"/>
        <v>1</v>
      </c>
      <c r="O169" s="135">
        <f t="shared" si="49"/>
        <v>1</v>
      </c>
      <c r="P169" s="135">
        <f t="shared" si="49"/>
        <v>1</v>
      </c>
      <c r="Q169" s="135">
        <f t="shared" si="49"/>
        <v>1</v>
      </c>
      <c r="R169" s="135">
        <f t="shared" si="49"/>
        <v>1</v>
      </c>
      <c r="S169" s="135">
        <f t="shared" si="49"/>
        <v>1</v>
      </c>
      <c r="T169" s="135">
        <f t="shared" ref="S169:AF176" si="50">S169</f>
        <v>1</v>
      </c>
      <c r="U169" s="135">
        <f t="shared" si="50"/>
        <v>1</v>
      </c>
      <c r="V169" s="135">
        <f t="shared" si="50"/>
        <v>1</v>
      </c>
      <c r="W169" s="135">
        <f t="shared" si="50"/>
        <v>1</v>
      </c>
      <c r="X169" s="135">
        <f t="shared" si="50"/>
        <v>1</v>
      </c>
      <c r="Y169" s="135">
        <f t="shared" si="50"/>
        <v>1</v>
      </c>
      <c r="Z169" s="135">
        <f t="shared" si="50"/>
        <v>1</v>
      </c>
      <c r="AA169" s="135">
        <f t="shared" si="50"/>
        <v>1</v>
      </c>
      <c r="AB169" s="135">
        <f t="shared" si="50"/>
        <v>1</v>
      </c>
      <c r="AC169" s="135">
        <f t="shared" si="50"/>
        <v>1</v>
      </c>
      <c r="AD169" s="135">
        <f t="shared" si="50"/>
        <v>1</v>
      </c>
      <c r="AE169" s="135">
        <f t="shared" si="50"/>
        <v>1</v>
      </c>
      <c r="AF169" s="135">
        <f t="shared" si="50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8"/>
        <v>0.42</v>
      </c>
      <c r="C170" s="136">
        <v>0.42</v>
      </c>
      <c r="D170" s="135">
        <f t="shared" si="49"/>
        <v>0.42</v>
      </c>
      <c r="E170" s="135">
        <f t="shared" si="49"/>
        <v>0.42</v>
      </c>
      <c r="F170" s="135">
        <f t="shared" si="49"/>
        <v>0.42</v>
      </c>
      <c r="G170" s="135">
        <f t="shared" si="49"/>
        <v>0.42</v>
      </c>
      <c r="H170" s="135">
        <f t="shared" si="49"/>
        <v>0.42</v>
      </c>
      <c r="I170" s="135">
        <f t="shared" si="49"/>
        <v>0.42</v>
      </c>
      <c r="J170" s="135">
        <f t="shared" si="49"/>
        <v>0.42</v>
      </c>
      <c r="K170" s="135">
        <f t="shared" si="49"/>
        <v>0.42</v>
      </c>
      <c r="L170" s="135">
        <f t="shared" si="49"/>
        <v>0.42</v>
      </c>
      <c r="M170" s="135">
        <f t="shared" si="49"/>
        <v>0.42</v>
      </c>
      <c r="N170" s="135">
        <f t="shared" si="49"/>
        <v>0.42</v>
      </c>
      <c r="O170" s="135">
        <f t="shared" si="49"/>
        <v>0.42</v>
      </c>
      <c r="P170" s="135">
        <f t="shared" si="49"/>
        <v>0.42</v>
      </c>
      <c r="Q170" s="135">
        <f t="shared" si="49"/>
        <v>0.42</v>
      </c>
      <c r="R170" s="135">
        <f t="shared" si="49"/>
        <v>0.42</v>
      </c>
      <c r="S170" s="135">
        <f t="shared" si="50"/>
        <v>0.42</v>
      </c>
      <c r="T170" s="135">
        <f t="shared" si="50"/>
        <v>0.42</v>
      </c>
      <c r="U170" s="135">
        <f t="shared" si="50"/>
        <v>0.42</v>
      </c>
      <c r="V170" s="135">
        <f t="shared" si="50"/>
        <v>0.42</v>
      </c>
      <c r="W170" s="135">
        <f t="shared" si="50"/>
        <v>0.42</v>
      </c>
      <c r="X170" s="135">
        <f t="shared" si="50"/>
        <v>0.42</v>
      </c>
      <c r="Y170" s="135">
        <f t="shared" si="50"/>
        <v>0.42</v>
      </c>
      <c r="Z170" s="135">
        <f t="shared" si="50"/>
        <v>0.42</v>
      </c>
      <c r="AA170" s="135">
        <f t="shared" si="50"/>
        <v>0.42</v>
      </c>
      <c r="AB170" s="135">
        <f t="shared" si="50"/>
        <v>0.42</v>
      </c>
      <c r="AC170" s="135">
        <f t="shared" si="50"/>
        <v>0.42</v>
      </c>
      <c r="AD170" s="135">
        <f t="shared" si="50"/>
        <v>0.42</v>
      </c>
      <c r="AE170" s="135">
        <f t="shared" si="50"/>
        <v>0.42</v>
      </c>
      <c r="AF170" s="135">
        <f t="shared" si="50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8"/>
        <v>0.46</v>
      </c>
      <c r="C171" s="136">
        <v>0.46</v>
      </c>
      <c r="D171" s="135">
        <f t="shared" si="49"/>
        <v>0.46</v>
      </c>
      <c r="E171" s="135">
        <f t="shared" si="49"/>
        <v>0.46</v>
      </c>
      <c r="F171" s="135">
        <f t="shared" si="49"/>
        <v>0.46</v>
      </c>
      <c r="G171" s="135">
        <f t="shared" si="49"/>
        <v>0.46</v>
      </c>
      <c r="H171" s="135">
        <f t="shared" si="49"/>
        <v>0.46</v>
      </c>
      <c r="I171" s="135">
        <f t="shared" si="49"/>
        <v>0.46</v>
      </c>
      <c r="J171" s="135">
        <f t="shared" si="49"/>
        <v>0.46</v>
      </c>
      <c r="K171" s="135">
        <f t="shared" si="49"/>
        <v>0.46</v>
      </c>
      <c r="L171" s="135">
        <f t="shared" si="49"/>
        <v>0.46</v>
      </c>
      <c r="M171" s="135">
        <f t="shared" si="49"/>
        <v>0.46</v>
      </c>
      <c r="N171" s="135">
        <f t="shared" si="49"/>
        <v>0.46</v>
      </c>
      <c r="O171" s="135">
        <f t="shared" si="49"/>
        <v>0.46</v>
      </c>
      <c r="P171" s="135">
        <f t="shared" si="49"/>
        <v>0.46</v>
      </c>
      <c r="Q171" s="135">
        <f t="shared" si="49"/>
        <v>0.46</v>
      </c>
      <c r="R171" s="135">
        <f t="shared" si="49"/>
        <v>0.46</v>
      </c>
      <c r="S171" s="135">
        <f t="shared" si="50"/>
        <v>0.46</v>
      </c>
      <c r="T171" s="135">
        <f t="shared" si="50"/>
        <v>0.46</v>
      </c>
      <c r="U171" s="135">
        <f t="shared" si="50"/>
        <v>0.46</v>
      </c>
      <c r="V171" s="135">
        <f t="shared" si="50"/>
        <v>0.46</v>
      </c>
      <c r="W171" s="135">
        <f t="shared" si="50"/>
        <v>0.46</v>
      </c>
      <c r="X171" s="135">
        <f t="shared" si="50"/>
        <v>0.46</v>
      </c>
      <c r="Y171" s="135">
        <f t="shared" si="50"/>
        <v>0.46</v>
      </c>
      <c r="Z171" s="135">
        <f t="shared" si="50"/>
        <v>0.46</v>
      </c>
      <c r="AA171" s="135">
        <f t="shared" si="50"/>
        <v>0.46</v>
      </c>
      <c r="AB171" s="135">
        <f t="shared" si="50"/>
        <v>0.46</v>
      </c>
      <c r="AC171" s="135">
        <f t="shared" si="50"/>
        <v>0.46</v>
      </c>
      <c r="AD171" s="135">
        <f t="shared" si="50"/>
        <v>0.46</v>
      </c>
      <c r="AE171" s="135">
        <f t="shared" si="50"/>
        <v>0.46</v>
      </c>
      <c r="AF171" s="135">
        <f t="shared" si="50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8"/>
        <v>0.85</v>
      </c>
      <c r="C172" s="136">
        <v>0.85</v>
      </c>
      <c r="D172" s="135">
        <f t="shared" si="49"/>
        <v>0.85</v>
      </c>
      <c r="E172" s="135">
        <f t="shared" si="49"/>
        <v>0.85</v>
      </c>
      <c r="F172" s="135">
        <f t="shared" si="49"/>
        <v>0.85</v>
      </c>
      <c r="G172" s="135">
        <f t="shared" si="49"/>
        <v>0.85</v>
      </c>
      <c r="H172" s="135">
        <f t="shared" si="49"/>
        <v>0.85</v>
      </c>
      <c r="I172" s="135">
        <f t="shared" si="49"/>
        <v>0.85</v>
      </c>
      <c r="J172" s="135">
        <f t="shared" si="49"/>
        <v>0.85</v>
      </c>
      <c r="K172" s="135">
        <f t="shared" si="49"/>
        <v>0.85</v>
      </c>
      <c r="L172" s="135">
        <f t="shared" si="49"/>
        <v>0.85</v>
      </c>
      <c r="M172" s="135">
        <f t="shared" si="49"/>
        <v>0.85</v>
      </c>
      <c r="N172" s="135">
        <f t="shared" si="49"/>
        <v>0.85</v>
      </c>
      <c r="O172" s="135">
        <f t="shared" si="49"/>
        <v>0.85</v>
      </c>
      <c r="P172" s="135">
        <f t="shared" si="49"/>
        <v>0.85</v>
      </c>
      <c r="Q172" s="135">
        <f t="shared" si="49"/>
        <v>0.85</v>
      </c>
      <c r="R172" s="135">
        <f t="shared" si="49"/>
        <v>0.85</v>
      </c>
      <c r="S172" s="135">
        <f t="shared" si="50"/>
        <v>0.85</v>
      </c>
      <c r="T172" s="135">
        <f t="shared" si="50"/>
        <v>0.85</v>
      </c>
      <c r="U172" s="135">
        <f t="shared" si="50"/>
        <v>0.85</v>
      </c>
      <c r="V172" s="135">
        <f t="shared" si="50"/>
        <v>0.85</v>
      </c>
      <c r="W172" s="135">
        <f t="shared" si="50"/>
        <v>0.85</v>
      </c>
      <c r="X172" s="135">
        <f t="shared" si="50"/>
        <v>0.85</v>
      </c>
      <c r="Y172" s="135">
        <f t="shared" si="50"/>
        <v>0.85</v>
      </c>
      <c r="Z172" s="135">
        <f t="shared" si="50"/>
        <v>0.85</v>
      </c>
      <c r="AA172" s="135">
        <f t="shared" si="50"/>
        <v>0.85</v>
      </c>
      <c r="AB172" s="135">
        <f t="shared" si="50"/>
        <v>0.85</v>
      </c>
      <c r="AC172" s="135">
        <f t="shared" si="50"/>
        <v>0.85</v>
      </c>
      <c r="AD172" s="135">
        <f t="shared" si="50"/>
        <v>0.85</v>
      </c>
      <c r="AE172" s="135">
        <f t="shared" si="50"/>
        <v>0.85</v>
      </c>
      <c r="AF172" s="135">
        <f t="shared" si="50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8"/>
        <v>0.9</v>
      </c>
      <c r="C173" s="136">
        <v>0.9</v>
      </c>
      <c r="D173" s="135">
        <f t="shared" si="49"/>
        <v>0.9</v>
      </c>
      <c r="E173" s="135">
        <f t="shared" si="49"/>
        <v>0.9</v>
      </c>
      <c r="F173" s="135">
        <f t="shared" si="49"/>
        <v>0.9</v>
      </c>
      <c r="G173" s="135">
        <f t="shared" si="49"/>
        <v>0.9</v>
      </c>
      <c r="H173" s="135">
        <f t="shared" si="49"/>
        <v>0.9</v>
      </c>
      <c r="I173" s="135">
        <f t="shared" si="49"/>
        <v>0.9</v>
      </c>
      <c r="J173" s="135">
        <f t="shared" si="49"/>
        <v>0.9</v>
      </c>
      <c r="K173" s="135">
        <f t="shared" si="49"/>
        <v>0.9</v>
      </c>
      <c r="L173" s="135">
        <f t="shared" si="49"/>
        <v>0.9</v>
      </c>
      <c r="M173" s="135">
        <f t="shared" si="49"/>
        <v>0.9</v>
      </c>
      <c r="N173" s="135">
        <f t="shared" si="49"/>
        <v>0.9</v>
      </c>
      <c r="O173" s="135">
        <f t="shared" si="49"/>
        <v>0.9</v>
      </c>
      <c r="P173" s="135">
        <f t="shared" si="49"/>
        <v>0.9</v>
      </c>
      <c r="Q173" s="135">
        <f t="shared" si="49"/>
        <v>0.9</v>
      </c>
      <c r="R173" s="135">
        <f t="shared" si="49"/>
        <v>0.9</v>
      </c>
      <c r="S173" s="135">
        <f t="shared" si="50"/>
        <v>0.9</v>
      </c>
      <c r="T173" s="135">
        <f t="shared" si="50"/>
        <v>0.9</v>
      </c>
      <c r="U173" s="135">
        <f t="shared" si="50"/>
        <v>0.9</v>
      </c>
      <c r="V173" s="135">
        <f t="shared" si="50"/>
        <v>0.9</v>
      </c>
      <c r="W173" s="135">
        <f t="shared" si="50"/>
        <v>0.9</v>
      </c>
      <c r="X173" s="135">
        <f t="shared" si="50"/>
        <v>0.9</v>
      </c>
      <c r="Y173" s="135">
        <f t="shared" si="50"/>
        <v>0.9</v>
      </c>
      <c r="Z173" s="135">
        <f t="shared" si="50"/>
        <v>0.9</v>
      </c>
      <c r="AA173" s="135">
        <f t="shared" si="50"/>
        <v>0.9</v>
      </c>
      <c r="AB173" s="135">
        <f t="shared" si="50"/>
        <v>0.9</v>
      </c>
      <c r="AC173" s="135">
        <f t="shared" si="50"/>
        <v>0.9</v>
      </c>
      <c r="AD173" s="135">
        <f t="shared" si="50"/>
        <v>0.9</v>
      </c>
      <c r="AE173" s="135">
        <f t="shared" si="50"/>
        <v>0.9</v>
      </c>
      <c r="AF173" s="135">
        <f t="shared" si="50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8"/>
        <v>0.44</v>
      </c>
      <c r="C174" s="136">
        <v>0.44</v>
      </c>
      <c r="D174" s="135">
        <f t="shared" si="49"/>
        <v>0.44</v>
      </c>
      <c r="E174" s="135">
        <f t="shared" si="49"/>
        <v>0.44</v>
      </c>
      <c r="F174" s="135">
        <f t="shared" si="49"/>
        <v>0.44</v>
      </c>
      <c r="G174" s="135">
        <f t="shared" si="49"/>
        <v>0.44</v>
      </c>
      <c r="H174" s="135">
        <f t="shared" si="49"/>
        <v>0.44</v>
      </c>
      <c r="I174" s="135">
        <f t="shared" si="49"/>
        <v>0.44</v>
      </c>
      <c r="J174" s="135">
        <f t="shared" si="49"/>
        <v>0.44</v>
      </c>
      <c r="K174" s="135">
        <f t="shared" si="49"/>
        <v>0.44</v>
      </c>
      <c r="L174" s="135">
        <f t="shared" si="49"/>
        <v>0.44</v>
      </c>
      <c r="M174" s="135">
        <f t="shared" si="49"/>
        <v>0.44</v>
      </c>
      <c r="N174" s="135">
        <f t="shared" si="49"/>
        <v>0.44</v>
      </c>
      <c r="O174" s="135">
        <f t="shared" si="49"/>
        <v>0.44</v>
      </c>
      <c r="P174" s="135">
        <f t="shared" si="49"/>
        <v>0.44</v>
      </c>
      <c r="Q174" s="135">
        <f t="shared" si="49"/>
        <v>0.44</v>
      </c>
      <c r="R174" s="135">
        <f t="shared" si="49"/>
        <v>0.44</v>
      </c>
      <c r="S174" s="135">
        <f t="shared" si="50"/>
        <v>0.44</v>
      </c>
      <c r="T174" s="135">
        <f t="shared" si="50"/>
        <v>0.44</v>
      </c>
      <c r="U174" s="135">
        <f t="shared" si="50"/>
        <v>0.44</v>
      </c>
      <c r="V174" s="135">
        <f t="shared" si="50"/>
        <v>0.44</v>
      </c>
      <c r="W174" s="135">
        <f t="shared" si="50"/>
        <v>0.44</v>
      </c>
      <c r="X174" s="135">
        <f t="shared" si="50"/>
        <v>0.44</v>
      </c>
      <c r="Y174" s="135">
        <f t="shared" si="50"/>
        <v>0.44</v>
      </c>
      <c r="Z174" s="135">
        <f t="shared" si="50"/>
        <v>0.44</v>
      </c>
      <c r="AA174" s="135">
        <f t="shared" si="50"/>
        <v>0.44</v>
      </c>
      <c r="AB174" s="135">
        <f t="shared" si="50"/>
        <v>0.44</v>
      </c>
      <c r="AC174" s="135">
        <f t="shared" si="50"/>
        <v>0.44</v>
      </c>
      <c r="AD174" s="135">
        <f t="shared" si="50"/>
        <v>0.44</v>
      </c>
      <c r="AE174" s="135">
        <f t="shared" si="50"/>
        <v>0.44</v>
      </c>
      <c r="AF174" s="135">
        <f t="shared" si="50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8"/>
        <v>2.1</v>
      </c>
      <c r="C175" s="136">
        <v>2.1</v>
      </c>
      <c r="D175" s="135">
        <f t="shared" si="49"/>
        <v>2.1</v>
      </c>
      <c r="E175" s="135">
        <f t="shared" si="49"/>
        <v>2.1</v>
      </c>
      <c r="F175" s="135">
        <f t="shared" si="49"/>
        <v>2.1</v>
      </c>
      <c r="G175" s="135">
        <f t="shared" si="49"/>
        <v>2.1</v>
      </c>
      <c r="H175" s="135">
        <f t="shared" si="49"/>
        <v>2.1</v>
      </c>
      <c r="I175" s="135">
        <f t="shared" si="49"/>
        <v>2.1</v>
      </c>
      <c r="J175" s="135">
        <f t="shared" si="49"/>
        <v>2.1</v>
      </c>
      <c r="K175" s="135">
        <f t="shared" si="49"/>
        <v>2.1</v>
      </c>
      <c r="L175" s="135">
        <f t="shared" si="49"/>
        <v>2.1</v>
      </c>
      <c r="M175" s="135">
        <f t="shared" si="49"/>
        <v>2.1</v>
      </c>
      <c r="N175" s="135">
        <f t="shared" si="49"/>
        <v>2.1</v>
      </c>
      <c r="O175" s="135">
        <f t="shared" si="49"/>
        <v>2.1</v>
      </c>
      <c r="P175" s="135">
        <f t="shared" si="49"/>
        <v>2.1</v>
      </c>
      <c r="Q175" s="135">
        <f t="shared" si="49"/>
        <v>2.1</v>
      </c>
      <c r="R175" s="135">
        <f t="shared" si="49"/>
        <v>2.1</v>
      </c>
      <c r="S175" s="135">
        <f t="shared" si="50"/>
        <v>2.1</v>
      </c>
      <c r="T175" s="135">
        <f t="shared" si="50"/>
        <v>2.1</v>
      </c>
      <c r="U175" s="135">
        <f t="shared" si="50"/>
        <v>2.1</v>
      </c>
      <c r="V175" s="135">
        <f t="shared" si="50"/>
        <v>2.1</v>
      </c>
      <c r="W175" s="135">
        <f t="shared" si="50"/>
        <v>2.1</v>
      </c>
      <c r="X175" s="135">
        <f t="shared" si="50"/>
        <v>2.1</v>
      </c>
      <c r="Y175" s="135">
        <f t="shared" si="50"/>
        <v>2.1</v>
      </c>
      <c r="Z175" s="135">
        <f t="shared" si="50"/>
        <v>2.1</v>
      </c>
      <c r="AA175" s="135">
        <f t="shared" si="50"/>
        <v>2.1</v>
      </c>
      <c r="AB175" s="135">
        <f t="shared" si="50"/>
        <v>2.1</v>
      </c>
      <c r="AC175" s="135">
        <f t="shared" si="50"/>
        <v>2.1</v>
      </c>
      <c r="AD175" s="135">
        <f t="shared" si="50"/>
        <v>2.1</v>
      </c>
      <c r="AE175" s="135">
        <f t="shared" si="50"/>
        <v>2.1</v>
      </c>
      <c r="AF175" s="135">
        <f t="shared" si="50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8"/>
        <v>0.9</v>
      </c>
      <c r="C176" s="136">
        <v>0.9</v>
      </c>
      <c r="D176" s="135">
        <f t="shared" si="49"/>
        <v>0.9</v>
      </c>
      <c r="E176" s="135">
        <f t="shared" si="49"/>
        <v>0.9</v>
      </c>
      <c r="F176" s="135">
        <f t="shared" si="49"/>
        <v>0.9</v>
      </c>
      <c r="G176" s="135">
        <f t="shared" si="49"/>
        <v>0.9</v>
      </c>
      <c r="H176" s="135">
        <f t="shared" si="49"/>
        <v>0.9</v>
      </c>
      <c r="I176" s="135">
        <f t="shared" si="49"/>
        <v>0.9</v>
      </c>
      <c r="J176" s="135">
        <f t="shared" si="49"/>
        <v>0.9</v>
      </c>
      <c r="K176" s="135">
        <f t="shared" si="49"/>
        <v>0.9</v>
      </c>
      <c r="L176" s="135">
        <f t="shared" si="49"/>
        <v>0.9</v>
      </c>
      <c r="M176" s="135">
        <f t="shared" si="49"/>
        <v>0.9</v>
      </c>
      <c r="N176" s="135">
        <f t="shared" si="49"/>
        <v>0.9</v>
      </c>
      <c r="O176" s="135">
        <f t="shared" si="49"/>
        <v>0.9</v>
      </c>
      <c r="P176" s="135">
        <f t="shared" si="49"/>
        <v>0.9</v>
      </c>
      <c r="Q176" s="135">
        <f t="shared" si="49"/>
        <v>0.9</v>
      </c>
      <c r="R176" s="135">
        <f t="shared" si="49"/>
        <v>0.9</v>
      </c>
      <c r="S176" s="135">
        <f t="shared" si="50"/>
        <v>0.9</v>
      </c>
      <c r="T176" s="135">
        <f t="shared" si="50"/>
        <v>0.9</v>
      </c>
      <c r="U176" s="135">
        <f t="shared" si="50"/>
        <v>0.9</v>
      </c>
      <c r="V176" s="135">
        <f t="shared" si="50"/>
        <v>0.9</v>
      </c>
      <c r="W176" s="135">
        <f t="shared" si="50"/>
        <v>0.9</v>
      </c>
      <c r="X176" s="135">
        <f t="shared" si="50"/>
        <v>0.9</v>
      </c>
      <c r="Y176" s="135">
        <f t="shared" si="50"/>
        <v>0.9</v>
      </c>
      <c r="Z176" s="135">
        <f t="shared" si="50"/>
        <v>0.9</v>
      </c>
      <c r="AA176" s="135">
        <f t="shared" si="50"/>
        <v>0.9</v>
      </c>
      <c r="AB176" s="135">
        <f t="shared" si="50"/>
        <v>0.9</v>
      </c>
      <c r="AC176" s="135">
        <f t="shared" si="50"/>
        <v>0.9</v>
      </c>
      <c r="AD176" s="135">
        <f t="shared" si="50"/>
        <v>0.9</v>
      </c>
      <c r="AE176" s="135">
        <f t="shared" si="50"/>
        <v>0.9</v>
      </c>
      <c r="AF176" s="135">
        <f t="shared" si="50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51">AF178</f>
        <v>0.57999999999999996</v>
      </c>
      <c r="C178" s="136">
        <v>0.57999999999999996</v>
      </c>
      <c r="D178" s="135">
        <f t="shared" ref="D178:S190" si="52">C178</f>
        <v>0.57999999999999996</v>
      </c>
      <c r="E178" s="135">
        <f t="shared" si="52"/>
        <v>0.57999999999999996</v>
      </c>
      <c r="F178" s="135">
        <f t="shared" si="52"/>
        <v>0.57999999999999996</v>
      </c>
      <c r="G178" s="135">
        <f t="shared" si="52"/>
        <v>0.57999999999999996</v>
      </c>
      <c r="H178" s="135">
        <f t="shared" si="52"/>
        <v>0.57999999999999996</v>
      </c>
      <c r="I178" s="135">
        <f t="shared" si="52"/>
        <v>0.57999999999999996</v>
      </c>
      <c r="J178" s="135">
        <f t="shared" si="52"/>
        <v>0.57999999999999996</v>
      </c>
      <c r="K178" s="135">
        <f t="shared" si="52"/>
        <v>0.57999999999999996</v>
      </c>
      <c r="L178" s="135">
        <f t="shared" si="52"/>
        <v>0.57999999999999996</v>
      </c>
      <c r="M178" s="135">
        <f t="shared" si="52"/>
        <v>0.57999999999999996</v>
      </c>
      <c r="N178" s="135">
        <f t="shared" si="52"/>
        <v>0.57999999999999996</v>
      </c>
      <c r="O178" s="135">
        <f t="shared" si="52"/>
        <v>0.57999999999999996</v>
      </c>
      <c r="P178" s="135">
        <f t="shared" si="52"/>
        <v>0.57999999999999996</v>
      </c>
      <c r="Q178" s="135">
        <f t="shared" si="52"/>
        <v>0.57999999999999996</v>
      </c>
      <c r="R178" s="135">
        <f t="shared" si="52"/>
        <v>0.57999999999999996</v>
      </c>
      <c r="S178" s="135">
        <f t="shared" si="52"/>
        <v>0.57999999999999996</v>
      </c>
      <c r="T178" s="135">
        <f t="shared" ref="S178:AF190" si="53">S178</f>
        <v>0.57999999999999996</v>
      </c>
      <c r="U178" s="135">
        <f t="shared" si="53"/>
        <v>0.57999999999999996</v>
      </c>
      <c r="V178" s="135">
        <f t="shared" si="53"/>
        <v>0.57999999999999996</v>
      </c>
      <c r="W178" s="135">
        <f t="shared" si="53"/>
        <v>0.57999999999999996</v>
      </c>
      <c r="X178" s="135">
        <f t="shared" si="53"/>
        <v>0.57999999999999996</v>
      </c>
      <c r="Y178" s="135">
        <f t="shared" si="53"/>
        <v>0.57999999999999996</v>
      </c>
      <c r="Z178" s="135">
        <f t="shared" si="53"/>
        <v>0.57999999999999996</v>
      </c>
      <c r="AA178" s="135">
        <f t="shared" si="53"/>
        <v>0.57999999999999996</v>
      </c>
      <c r="AB178" s="135">
        <f t="shared" si="53"/>
        <v>0.57999999999999996</v>
      </c>
      <c r="AC178" s="135">
        <f t="shared" si="53"/>
        <v>0.57999999999999996</v>
      </c>
      <c r="AD178" s="135">
        <f t="shared" si="53"/>
        <v>0.57999999999999996</v>
      </c>
      <c r="AE178" s="135">
        <f t="shared" si="53"/>
        <v>0.57999999999999996</v>
      </c>
      <c r="AF178" s="135">
        <f t="shared" si="53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51"/>
        <v>0.8</v>
      </c>
      <c r="C179" s="136">
        <v>0.8</v>
      </c>
      <c r="D179" s="135">
        <f t="shared" si="52"/>
        <v>0.8</v>
      </c>
      <c r="E179" s="135">
        <f t="shared" si="52"/>
        <v>0.8</v>
      </c>
      <c r="F179" s="135">
        <f t="shared" si="52"/>
        <v>0.8</v>
      </c>
      <c r="G179" s="135">
        <f t="shared" si="52"/>
        <v>0.8</v>
      </c>
      <c r="H179" s="135">
        <f t="shared" si="52"/>
        <v>0.8</v>
      </c>
      <c r="I179" s="135">
        <f t="shared" si="52"/>
        <v>0.8</v>
      </c>
      <c r="J179" s="135">
        <f t="shared" si="52"/>
        <v>0.8</v>
      </c>
      <c r="K179" s="135">
        <f t="shared" si="52"/>
        <v>0.8</v>
      </c>
      <c r="L179" s="135">
        <f t="shared" si="52"/>
        <v>0.8</v>
      </c>
      <c r="M179" s="135">
        <f t="shared" si="52"/>
        <v>0.8</v>
      </c>
      <c r="N179" s="135">
        <f t="shared" si="52"/>
        <v>0.8</v>
      </c>
      <c r="O179" s="135">
        <f t="shared" si="52"/>
        <v>0.8</v>
      </c>
      <c r="P179" s="135">
        <f t="shared" si="52"/>
        <v>0.8</v>
      </c>
      <c r="Q179" s="135">
        <f t="shared" si="52"/>
        <v>0.8</v>
      </c>
      <c r="R179" s="135">
        <f t="shared" si="52"/>
        <v>0.8</v>
      </c>
      <c r="S179" s="135">
        <f t="shared" si="52"/>
        <v>0.8</v>
      </c>
      <c r="T179" s="135">
        <f t="shared" si="53"/>
        <v>0.8</v>
      </c>
      <c r="U179" s="135">
        <f t="shared" si="53"/>
        <v>0.8</v>
      </c>
      <c r="V179" s="135">
        <f t="shared" si="53"/>
        <v>0.8</v>
      </c>
      <c r="W179" s="135">
        <f t="shared" si="53"/>
        <v>0.8</v>
      </c>
      <c r="X179" s="135">
        <f t="shared" si="53"/>
        <v>0.8</v>
      </c>
      <c r="Y179" s="135">
        <f t="shared" si="53"/>
        <v>0.8</v>
      </c>
      <c r="Z179" s="135">
        <f t="shared" si="53"/>
        <v>0.8</v>
      </c>
      <c r="AA179" s="135">
        <f t="shared" si="53"/>
        <v>0.8</v>
      </c>
      <c r="AB179" s="135">
        <f t="shared" si="53"/>
        <v>0.8</v>
      </c>
      <c r="AC179" s="135">
        <f t="shared" si="53"/>
        <v>0.8</v>
      </c>
      <c r="AD179" s="135">
        <f t="shared" si="53"/>
        <v>0.8</v>
      </c>
      <c r="AE179" s="135">
        <f t="shared" si="53"/>
        <v>0.8</v>
      </c>
      <c r="AF179" s="135">
        <f t="shared" si="53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51"/>
        <v>0</v>
      </c>
      <c r="C180" s="136">
        <v>0</v>
      </c>
      <c r="D180" s="135">
        <f t="shared" si="52"/>
        <v>0</v>
      </c>
      <c r="E180" s="135">
        <f t="shared" si="52"/>
        <v>0</v>
      </c>
      <c r="F180" s="135">
        <f t="shared" si="52"/>
        <v>0</v>
      </c>
      <c r="G180" s="135">
        <f t="shared" si="52"/>
        <v>0</v>
      </c>
      <c r="H180" s="135">
        <f t="shared" si="52"/>
        <v>0</v>
      </c>
      <c r="I180" s="135">
        <f t="shared" si="52"/>
        <v>0</v>
      </c>
      <c r="J180" s="135">
        <f t="shared" si="52"/>
        <v>0</v>
      </c>
      <c r="K180" s="135">
        <f t="shared" si="52"/>
        <v>0</v>
      </c>
      <c r="L180" s="135">
        <f t="shared" si="52"/>
        <v>0</v>
      </c>
      <c r="M180" s="135">
        <f t="shared" si="52"/>
        <v>0</v>
      </c>
      <c r="N180" s="135">
        <f t="shared" si="52"/>
        <v>0</v>
      </c>
      <c r="O180" s="135">
        <f t="shared" si="52"/>
        <v>0</v>
      </c>
      <c r="P180" s="135">
        <f t="shared" si="52"/>
        <v>0</v>
      </c>
      <c r="Q180" s="135">
        <f t="shared" si="52"/>
        <v>0</v>
      </c>
      <c r="R180" s="135">
        <f t="shared" si="52"/>
        <v>0</v>
      </c>
      <c r="S180" s="135">
        <f t="shared" si="52"/>
        <v>0</v>
      </c>
      <c r="T180" s="135">
        <f t="shared" si="53"/>
        <v>0</v>
      </c>
      <c r="U180" s="135">
        <f t="shared" si="53"/>
        <v>0</v>
      </c>
      <c r="V180" s="135">
        <f t="shared" si="53"/>
        <v>0</v>
      </c>
      <c r="W180" s="135">
        <f t="shared" si="53"/>
        <v>0</v>
      </c>
      <c r="X180" s="135">
        <f t="shared" si="53"/>
        <v>0</v>
      </c>
      <c r="Y180" s="135">
        <f t="shared" si="53"/>
        <v>0</v>
      </c>
      <c r="Z180" s="135">
        <f t="shared" si="53"/>
        <v>0</v>
      </c>
      <c r="AA180" s="135">
        <f t="shared" si="53"/>
        <v>0</v>
      </c>
      <c r="AB180" s="135">
        <f t="shared" si="53"/>
        <v>0</v>
      </c>
      <c r="AC180" s="135">
        <f t="shared" si="53"/>
        <v>0</v>
      </c>
      <c r="AD180" s="135">
        <f t="shared" si="53"/>
        <v>0</v>
      </c>
      <c r="AE180" s="135">
        <f t="shared" si="53"/>
        <v>0</v>
      </c>
      <c r="AF180" s="135">
        <f t="shared" si="53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51"/>
        <v>0.6</v>
      </c>
      <c r="C181" s="136">
        <v>0.6</v>
      </c>
      <c r="D181" s="135">
        <f t="shared" si="52"/>
        <v>0.6</v>
      </c>
      <c r="E181" s="135">
        <f t="shared" si="52"/>
        <v>0.6</v>
      </c>
      <c r="F181" s="135">
        <f t="shared" si="52"/>
        <v>0.6</v>
      </c>
      <c r="G181" s="135">
        <f t="shared" si="52"/>
        <v>0.6</v>
      </c>
      <c r="H181" s="135">
        <f t="shared" si="52"/>
        <v>0.6</v>
      </c>
      <c r="I181" s="135">
        <f t="shared" si="52"/>
        <v>0.6</v>
      </c>
      <c r="J181" s="135">
        <f t="shared" si="52"/>
        <v>0.6</v>
      </c>
      <c r="K181" s="135">
        <f t="shared" si="52"/>
        <v>0.6</v>
      </c>
      <c r="L181" s="135">
        <f t="shared" si="52"/>
        <v>0.6</v>
      </c>
      <c r="M181" s="135">
        <f t="shared" si="52"/>
        <v>0.6</v>
      </c>
      <c r="N181" s="135">
        <f t="shared" si="52"/>
        <v>0.6</v>
      </c>
      <c r="O181" s="135">
        <f t="shared" si="52"/>
        <v>0.6</v>
      </c>
      <c r="P181" s="135">
        <f t="shared" si="52"/>
        <v>0.6</v>
      </c>
      <c r="Q181" s="135">
        <f t="shared" si="52"/>
        <v>0.6</v>
      </c>
      <c r="R181" s="135">
        <f t="shared" si="52"/>
        <v>0.6</v>
      </c>
      <c r="S181" s="135">
        <f t="shared" si="52"/>
        <v>0.6</v>
      </c>
      <c r="T181" s="135">
        <f t="shared" si="53"/>
        <v>0.6</v>
      </c>
      <c r="U181" s="135">
        <f t="shared" si="53"/>
        <v>0.6</v>
      </c>
      <c r="V181" s="135">
        <f t="shared" si="53"/>
        <v>0.6</v>
      </c>
      <c r="W181" s="135">
        <f t="shared" si="53"/>
        <v>0.6</v>
      </c>
      <c r="X181" s="135">
        <f t="shared" si="53"/>
        <v>0.6</v>
      </c>
      <c r="Y181" s="135">
        <f t="shared" si="53"/>
        <v>0.6</v>
      </c>
      <c r="Z181" s="135">
        <f t="shared" si="53"/>
        <v>0.6</v>
      </c>
      <c r="AA181" s="135">
        <f t="shared" si="53"/>
        <v>0.6</v>
      </c>
      <c r="AB181" s="135">
        <f t="shared" si="53"/>
        <v>0.6</v>
      </c>
      <c r="AC181" s="135">
        <f t="shared" si="53"/>
        <v>0.6</v>
      </c>
      <c r="AD181" s="135">
        <f t="shared" si="53"/>
        <v>0.6</v>
      </c>
      <c r="AE181" s="135">
        <f t="shared" si="53"/>
        <v>0.6</v>
      </c>
      <c r="AF181" s="135">
        <f t="shared" si="53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51"/>
        <v>0.6</v>
      </c>
      <c r="C182" s="136">
        <v>0.6</v>
      </c>
      <c r="D182" s="135">
        <f t="shared" si="52"/>
        <v>0.6</v>
      </c>
      <c r="E182" s="135">
        <f t="shared" si="52"/>
        <v>0.6</v>
      </c>
      <c r="F182" s="135">
        <f t="shared" si="52"/>
        <v>0.6</v>
      </c>
      <c r="G182" s="135">
        <f t="shared" si="52"/>
        <v>0.6</v>
      </c>
      <c r="H182" s="135">
        <f t="shared" si="52"/>
        <v>0.6</v>
      </c>
      <c r="I182" s="135">
        <f t="shared" si="52"/>
        <v>0.6</v>
      </c>
      <c r="J182" s="135">
        <f t="shared" si="52"/>
        <v>0.6</v>
      </c>
      <c r="K182" s="135">
        <f t="shared" si="52"/>
        <v>0.6</v>
      </c>
      <c r="L182" s="135">
        <f t="shared" si="52"/>
        <v>0.6</v>
      </c>
      <c r="M182" s="135">
        <f t="shared" si="52"/>
        <v>0.6</v>
      </c>
      <c r="N182" s="135">
        <f t="shared" si="52"/>
        <v>0.6</v>
      </c>
      <c r="O182" s="135">
        <f t="shared" si="52"/>
        <v>0.6</v>
      </c>
      <c r="P182" s="135">
        <f t="shared" si="52"/>
        <v>0.6</v>
      </c>
      <c r="Q182" s="135">
        <f t="shared" si="52"/>
        <v>0.6</v>
      </c>
      <c r="R182" s="135">
        <f t="shared" si="52"/>
        <v>0.6</v>
      </c>
      <c r="S182" s="135">
        <f t="shared" si="52"/>
        <v>0.6</v>
      </c>
      <c r="T182" s="135">
        <f t="shared" si="53"/>
        <v>0.6</v>
      </c>
      <c r="U182" s="135">
        <f t="shared" si="53"/>
        <v>0.6</v>
      </c>
      <c r="V182" s="135">
        <f t="shared" si="53"/>
        <v>0.6</v>
      </c>
      <c r="W182" s="135">
        <f t="shared" si="53"/>
        <v>0.6</v>
      </c>
      <c r="X182" s="135">
        <f t="shared" si="53"/>
        <v>0.6</v>
      </c>
      <c r="Y182" s="135">
        <f t="shared" si="53"/>
        <v>0.6</v>
      </c>
      <c r="Z182" s="135">
        <f t="shared" si="53"/>
        <v>0.6</v>
      </c>
      <c r="AA182" s="135">
        <f t="shared" si="53"/>
        <v>0.6</v>
      </c>
      <c r="AB182" s="135">
        <f t="shared" si="53"/>
        <v>0.6</v>
      </c>
      <c r="AC182" s="135">
        <f t="shared" si="53"/>
        <v>0.6</v>
      </c>
      <c r="AD182" s="135">
        <f t="shared" si="53"/>
        <v>0.6</v>
      </c>
      <c r="AE182" s="135">
        <f t="shared" si="53"/>
        <v>0.6</v>
      </c>
      <c r="AF182" s="135">
        <f t="shared" si="53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51"/>
        <v>0.35</v>
      </c>
      <c r="C183" s="136">
        <v>0.35</v>
      </c>
      <c r="D183" s="135">
        <f t="shared" si="52"/>
        <v>0.35</v>
      </c>
      <c r="E183" s="135">
        <f t="shared" si="52"/>
        <v>0.35</v>
      </c>
      <c r="F183" s="135">
        <f t="shared" si="52"/>
        <v>0.35</v>
      </c>
      <c r="G183" s="135">
        <f t="shared" si="52"/>
        <v>0.35</v>
      </c>
      <c r="H183" s="135">
        <f t="shared" si="52"/>
        <v>0.35</v>
      </c>
      <c r="I183" s="135">
        <f t="shared" si="52"/>
        <v>0.35</v>
      </c>
      <c r="J183" s="135">
        <f t="shared" si="52"/>
        <v>0.35</v>
      </c>
      <c r="K183" s="135">
        <f t="shared" si="52"/>
        <v>0.35</v>
      </c>
      <c r="L183" s="135">
        <f t="shared" si="52"/>
        <v>0.35</v>
      </c>
      <c r="M183" s="135">
        <f t="shared" si="52"/>
        <v>0.35</v>
      </c>
      <c r="N183" s="135">
        <f t="shared" si="52"/>
        <v>0.35</v>
      </c>
      <c r="O183" s="135">
        <f t="shared" si="52"/>
        <v>0.35</v>
      </c>
      <c r="P183" s="135">
        <f t="shared" si="52"/>
        <v>0.35</v>
      </c>
      <c r="Q183" s="135">
        <f t="shared" si="52"/>
        <v>0.35</v>
      </c>
      <c r="R183" s="135">
        <f t="shared" si="52"/>
        <v>0.35</v>
      </c>
      <c r="S183" s="135">
        <f t="shared" si="52"/>
        <v>0.35</v>
      </c>
      <c r="T183" s="135">
        <f t="shared" si="53"/>
        <v>0.35</v>
      </c>
      <c r="U183" s="135">
        <f t="shared" si="53"/>
        <v>0.35</v>
      </c>
      <c r="V183" s="135">
        <f t="shared" si="53"/>
        <v>0.35</v>
      </c>
      <c r="W183" s="135">
        <f t="shared" si="53"/>
        <v>0.35</v>
      </c>
      <c r="X183" s="135">
        <f t="shared" si="53"/>
        <v>0.35</v>
      </c>
      <c r="Y183" s="135">
        <f t="shared" si="53"/>
        <v>0.35</v>
      </c>
      <c r="Z183" s="135">
        <f t="shared" si="53"/>
        <v>0.35</v>
      </c>
      <c r="AA183" s="135">
        <f t="shared" si="53"/>
        <v>0.35</v>
      </c>
      <c r="AB183" s="135">
        <f t="shared" si="53"/>
        <v>0.35</v>
      </c>
      <c r="AC183" s="135">
        <f t="shared" si="53"/>
        <v>0.35</v>
      </c>
      <c r="AD183" s="135">
        <f t="shared" si="53"/>
        <v>0.35</v>
      </c>
      <c r="AE183" s="135">
        <f t="shared" si="53"/>
        <v>0.35</v>
      </c>
      <c r="AF183" s="135">
        <f t="shared" si="53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51"/>
        <v>0.28999999999999998</v>
      </c>
      <c r="C184" s="136">
        <v>0.28999999999999998</v>
      </c>
      <c r="D184" s="135">
        <f t="shared" si="52"/>
        <v>0.28999999999999998</v>
      </c>
      <c r="E184" s="135">
        <f t="shared" si="52"/>
        <v>0.28999999999999998</v>
      </c>
      <c r="F184" s="135">
        <f t="shared" si="52"/>
        <v>0.28999999999999998</v>
      </c>
      <c r="G184" s="135">
        <f t="shared" si="52"/>
        <v>0.28999999999999998</v>
      </c>
      <c r="H184" s="135">
        <f t="shared" si="52"/>
        <v>0.28999999999999998</v>
      </c>
      <c r="I184" s="135">
        <f t="shared" si="52"/>
        <v>0.28999999999999998</v>
      </c>
      <c r="J184" s="135">
        <f t="shared" si="52"/>
        <v>0.28999999999999998</v>
      </c>
      <c r="K184" s="135">
        <f t="shared" si="52"/>
        <v>0.28999999999999998</v>
      </c>
      <c r="L184" s="135">
        <f t="shared" si="52"/>
        <v>0.28999999999999998</v>
      </c>
      <c r="M184" s="135">
        <f t="shared" si="52"/>
        <v>0.28999999999999998</v>
      </c>
      <c r="N184" s="135">
        <f t="shared" si="52"/>
        <v>0.28999999999999998</v>
      </c>
      <c r="O184" s="135">
        <f t="shared" si="52"/>
        <v>0.28999999999999998</v>
      </c>
      <c r="P184" s="135">
        <f t="shared" si="52"/>
        <v>0.28999999999999998</v>
      </c>
      <c r="Q184" s="135">
        <f t="shared" si="52"/>
        <v>0.28999999999999998</v>
      </c>
      <c r="R184" s="135">
        <f t="shared" si="52"/>
        <v>0.28999999999999998</v>
      </c>
      <c r="S184" s="135">
        <f t="shared" si="52"/>
        <v>0.28999999999999998</v>
      </c>
      <c r="T184" s="135">
        <f t="shared" si="53"/>
        <v>0.28999999999999998</v>
      </c>
      <c r="U184" s="135">
        <f t="shared" si="53"/>
        <v>0.28999999999999998</v>
      </c>
      <c r="V184" s="135">
        <f t="shared" si="53"/>
        <v>0.28999999999999998</v>
      </c>
      <c r="W184" s="135">
        <f t="shared" si="53"/>
        <v>0.28999999999999998</v>
      </c>
      <c r="X184" s="135">
        <f t="shared" si="53"/>
        <v>0.28999999999999998</v>
      </c>
      <c r="Y184" s="135">
        <f t="shared" si="53"/>
        <v>0.28999999999999998</v>
      </c>
      <c r="Z184" s="135">
        <f t="shared" si="53"/>
        <v>0.28999999999999998</v>
      </c>
      <c r="AA184" s="135">
        <f t="shared" si="53"/>
        <v>0.28999999999999998</v>
      </c>
      <c r="AB184" s="135">
        <f t="shared" si="53"/>
        <v>0.28999999999999998</v>
      </c>
      <c r="AC184" s="135">
        <f t="shared" si="53"/>
        <v>0.28999999999999998</v>
      </c>
      <c r="AD184" s="135">
        <f t="shared" si="53"/>
        <v>0.28999999999999998</v>
      </c>
      <c r="AE184" s="135">
        <f t="shared" si="53"/>
        <v>0.28999999999999998</v>
      </c>
      <c r="AF184" s="135">
        <f t="shared" si="53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51"/>
        <v>0.06</v>
      </c>
      <c r="C185" s="136">
        <v>0.06</v>
      </c>
      <c r="D185" s="135">
        <f t="shared" si="52"/>
        <v>0.06</v>
      </c>
      <c r="E185" s="135">
        <f t="shared" si="52"/>
        <v>0.06</v>
      </c>
      <c r="F185" s="135">
        <f t="shared" si="52"/>
        <v>0.06</v>
      </c>
      <c r="G185" s="135">
        <f t="shared" si="52"/>
        <v>0.06</v>
      </c>
      <c r="H185" s="135">
        <f t="shared" si="52"/>
        <v>0.06</v>
      </c>
      <c r="I185" s="135">
        <f t="shared" si="52"/>
        <v>0.06</v>
      </c>
      <c r="J185" s="135">
        <f t="shared" si="52"/>
        <v>0.06</v>
      </c>
      <c r="K185" s="135">
        <f t="shared" si="52"/>
        <v>0.06</v>
      </c>
      <c r="L185" s="135">
        <f t="shared" si="52"/>
        <v>0.06</v>
      </c>
      <c r="M185" s="135">
        <f t="shared" si="52"/>
        <v>0.06</v>
      </c>
      <c r="N185" s="135">
        <f t="shared" si="52"/>
        <v>0.06</v>
      </c>
      <c r="O185" s="135">
        <f t="shared" si="52"/>
        <v>0.06</v>
      </c>
      <c r="P185" s="135">
        <f t="shared" si="52"/>
        <v>0.06</v>
      </c>
      <c r="Q185" s="135">
        <f t="shared" si="52"/>
        <v>0.06</v>
      </c>
      <c r="R185" s="135">
        <f t="shared" si="52"/>
        <v>0.06</v>
      </c>
      <c r="S185" s="135">
        <f t="shared" si="52"/>
        <v>0.06</v>
      </c>
      <c r="T185" s="135">
        <f t="shared" si="53"/>
        <v>0.06</v>
      </c>
      <c r="U185" s="135">
        <f t="shared" si="53"/>
        <v>0.06</v>
      </c>
      <c r="V185" s="135">
        <f t="shared" si="53"/>
        <v>0.06</v>
      </c>
      <c r="W185" s="135">
        <f t="shared" si="53"/>
        <v>0.06</v>
      </c>
      <c r="X185" s="135">
        <f t="shared" si="53"/>
        <v>0.06</v>
      </c>
      <c r="Y185" s="135">
        <f t="shared" si="53"/>
        <v>0.06</v>
      </c>
      <c r="Z185" s="135">
        <f t="shared" si="53"/>
        <v>0.06</v>
      </c>
      <c r="AA185" s="135">
        <f t="shared" si="53"/>
        <v>0.06</v>
      </c>
      <c r="AB185" s="135">
        <f t="shared" si="53"/>
        <v>0.06</v>
      </c>
      <c r="AC185" s="135">
        <f t="shared" si="53"/>
        <v>0.06</v>
      </c>
      <c r="AD185" s="135">
        <f t="shared" si="53"/>
        <v>0.06</v>
      </c>
      <c r="AE185" s="135">
        <f t="shared" si="53"/>
        <v>0.06</v>
      </c>
      <c r="AF185" s="135">
        <f t="shared" si="53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51"/>
        <v>0.11</v>
      </c>
      <c r="C186" s="136">
        <v>0.11</v>
      </c>
      <c r="D186" s="135">
        <f t="shared" si="52"/>
        <v>0.11</v>
      </c>
      <c r="E186" s="135">
        <f t="shared" si="52"/>
        <v>0.11</v>
      </c>
      <c r="F186" s="135">
        <f t="shared" si="52"/>
        <v>0.11</v>
      </c>
      <c r="G186" s="135">
        <f t="shared" si="52"/>
        <v>0.11</v>
      </c>
      <c r="H186" s="135">
        <f t="shared" si="52"/>
        <v>0.11</v>
      </c>
      <c r="I186" s="135">
        <f t="shared" si="52"/>
        <v>0.11</v>
      </c>
      <c r="J186" s="135">
        <f t="shared" si="52"/>
        <v>0.11</v>
      </c>
      <c r="K186" s="135">
        <f t="shared" si="52"/>
        <v>0.11</v>
      </c>
      <c r="L186" s="135">
        <f t="shared" si="52"/>
        <v>0.11</v>
      </c>
      <c r="M186" s="135">
        <f t="shared" si="52"/>
        <v>0.11</v>
      </c>
      <c r="N186" s="135">
        <f t="shared" si="52"/>
        <v>0.11</v>
      </c>
      <c r="O186" s="135">
        <f t="shared" si="52"/>
        <v>0.11</v>
      </c>
      <c r="P186" s="135">
        <f t="shared" si="52"/>
        <v>0.11</v>
      </c>
      <c r="Q186" s="135">
        <f t="shared" si="52"/>
        <v>0.11</v>
      </c>
      <c r="R186" s="135">
        <f t="shared" si="52"/>
        <v>0.11</v>
      </c>
      <c r="S186" s="135">
        <f t="shared" si="52"/>
        <v>0.11</v>
      </c>
      <c r="T186" s="135">
        <f t="shared" si="53"/>
        <v>0.11</v>
      </c>
      <c r="U186" s="135">
        <f t="shared" si="53"/>
        <v>0.11</v>
      </c>
      <c r="V186" s="135">
        <f t="shared" si="53"/>
        <v>0.11</v>
      </c>
      <c r="W186" s="135">
        <f t="shared" si="53"/>
        <v>0.11</v>
      </c>
      <c r="X186" s="135">
        <f t="shared" si="53"/>
        <v>0.11</v>
      </c>
      <c r="Y186" s="135">
        <f t="shared" si="53"/>
        <v>0.11</v>
      </c>
      <c r="Z186" s="135">
        <f t="shared" si="53"/>
        <v>0.11</v>
      </c>
      <c r="AA186" s="135">
        <f t="shared" si="53"/>
        <v>0.11</v>
      </c>
      <c r="AB186" s="135">
        <f t="shared" si="53"/>
        <v>0.11</v>
      </c>
      <c r="AC186" s="135">
        <f t="shared" si="53"/>
        <v>0.11</v>
      </c>
      <c r="AD186" s="135">
        <f t="shared" si="53"/>
        <v>0.11</v>
      </c>
      <c r="AE186" s="135">
        <f t="shared" si="53"/>
        <v>0.11</v>
      </c>
      <c r="AF186" s="135">
        <f t="shared" si="53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51"/>
        <v>0.1</v>
      </c>
      <c r="C187" s="136">
        <v>0.1</v>
      </c>
      <c r="D187" s="135">
        <f t="shared" si="52"/>
        <v>0.1</v>
      </c>
      <c r="E187" s="135">
        <f t="shared" si="52"/>
        <v>0.1</v>
      </c>
      <c r="F187" s="135">
        <f t="shared" si="52"/>
        <v>0.1</v>
      </c>
      <c r="G187" s="135">
        <f t="shared" si="52"/>
        <v>0.1</v>
      </c>
      <c r="H187" s="135">
        <f t="shared" si="52"/>
        <v>0.1</v>
      </c>
      <c r="I187" s="135">
        <f t="shared" si="52"/>
        <v>0.1</v>
      </c>
      <c r="J187" s="135">
        <f t="shared" si="52"/>
        <v>0.1</v>
      </c>
      <c r="K187" s="135">
        <f t="shared" si="52"/>
        <v>0.1</v>
      </c>
      <c r="L187" s="135">
        <f t="shared" si="52"/>
        <v>0.1</v>
      </c>
      <c r="M187" s="135">
        <f t="shared" si="52"/>
        <v>0.1</v>
      </c>
      <c r="N187" s="135">
        <f t="shared" si="52"/>
        <v>0.1</v>
      </c>
      <c r="O187" s="135">
        <f t="shared" si="52"/>
        <v>0.1</v>
      </c>
      <c r="P187" s="135">
        <f t="shared" si="52"/>
        <v>0.1</v>
      </c>
      <c r="Q187" s="135">
        <f t="shared" si="52"/>
        <v>0.1</v>
      </c>
      <c r="R187" s="135">
        <f t="shared" si="52"/>
        <v>0.1</v>
      </c>
      <c r="S187" s="135">
        <f t="shared" si="53"/>
        <v>0.1</v>
      </c>
      <c r="T187" s="135">
        <f t="shared" si="53"/>
        <v>0.1</v>
      </c>
      <c r="U187" s="135">
        <f t="shared" si="53"/>
        <v>0.1</v>
      </c>
      <c r="V187" s="135">
        <f t="shared" si="53"/>
        <v>0.1</v>
      </c>
      <c r="W187" s="135">
        <f t="shared" si="53"/>
        <v>0.1</v>
      </c>
      <c r="X187" s="135">
        <f t="shared" si="53"/>
        <v>0.1</v>
      </c>
      <c r="Y187" s="135">
        <f t="shared" si="53"/>
        <v>0.1</v>
      </c>
      <c r="Z187" s="135">
        <f t="shared" si="53"/>
        <v>0.1</v>
      </c>
      <c r="AA187" s="135">
        <f t="shared" si="53"/>
        <v>0.1</v>
      </c>
      <c r="AB187" s="135">
        <f t="shared" si="53"/>
        <v>0.1</v>
      </c>
      <c r="AC187" s="135">
        <f t="shared" si="53"/>
        <v>0.1</v>
      </c>
      <c r="AD187" s="135">
        <f t="shared" si="53"/>
        <v>0.1</v>
      </c>
      <c r="AE187" s="135">
        <f t="shared" si="53"/>
        <v>0.1</v>
      </c>
      <c r="AF187" s="135">
        <f t="shared" si="53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51"/>
        <v>0.09</v>
      </c>
      <c r="C188" s="136">
        <v>0.09</v>
      </c>
      <c r="D188" s="135">
        <f t="shared" si="52"/>
        <v>0.09</v>
      </c>
      <c r="E188" s="135">
        <f t="shared" si="52"/>
        <v>0.09</v>
      </c>
      <c r="F188" s="135">
        <f t="shared" si="52"/>
        <v>0.09</v>
      </c>
      <c r="G188" s="135">
        <f t="shared" si="52"/>
        <v>0.09</v>
      </c>
      <c r="H188" s="135">
        <f t="shared" si="52"/>
        <v>0.09</v>
      </c>
      <c r="I188" s="135">
        <f t="shared" si="52"/>
        <v>0.09</v>
      </c>
      <c r="J188" s="135">
        <f t="shared" si="52"/>
        <v>0.09</v>
      </c>
      <c r="K188" s="135">
        <f t="shared" si="52"/>
        <v>0.09</v>
      </c>
      <c r="L188" s="135">
        <f t="shared" si="52"/>
        <v>0.09</v>
      </c>
      <c r="M188" s="135">
        <f t="shared" si="52"/>
        <v>0.09</v>
      </c>
      <c r="N188" s="135">
        <f t="shared" si="52"/>
        <v>0.09</v>
      </c>
      <c r="O188" s="135">
        <f t="shared" si="52"/>
        <v>0.09</v>
      </c>
      <c r="P188" s="135">
        <f t="shared" si="52"/>
        <v>0.09</v>
      </c>
      <c r="Q188" s="135">
        <f t="shared" si="52"/>
        <v>0.09</v>
      </c>
      <c r="R188" s="135">
        <f t="shared" si="52"/>
        <v>0.09</v>
      </c>
      <c r="S188" s="135">
        <f t="shared" si="53"/>
        <v>0.09</v>
      </c>
      <c r="T188" s="135">
        <f t="shared" si="53"/>
        <v>0.09</v>
      </c>
      <c r="U188" s="135">
        <f t="shared" si="53"/>
        <v>0.09</v>
      </c>
      <c r="V188" s="135">
        <f t="shared" si="53"/>
        <v>0.09</v>
      </c>
      <c r="W188" s="135">
        <f t="shared" si="53"/>
        <v>0.09</v>
      </c>
      <c r="X188" s="135">
        <f t="shared" si="53"/>
        <v>0.09</v>
      </c>
      <c r="Y188" s="135">
        <f t="shared" si="53"/>
        <v>0.09</v>
      </c>
      <c r="Z188" s="135">
        <f t="shared" si="53"/>
        <v>0.09</v>
      </c>
      <c r="AA188" s="135">
        <f t="shared" si="53"/>
        <v>0.09</v>
      </c>
      <c r="AB188" s="135">
        <f t="shared" si="53"/>
        <v>0.09</v>
      </c>
      <c r="AC188" s="135">
        <f t="shared" si="53"/>
        <v>0.09</v>
      </c>
      <c r="AD188" s="135">
        <f t="shared" si="53"/>
        <v>0.09</v>
      </c>
      <c r="AE188" s="135">
        <f t="shared" si="53"/>
        <v>0.09</v>
      </c>
      <c r="AF188" s="135">
        <f t="shared" si="53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51"/>
        <v>0.04</v>
      </c>
      <c r="C189" s="52">
        <v>0.04</v>
      </c>
      <c r="D189" s="135">
        <f t="shared" si="52"/>
        <v>0.04</v>
      </c>
      <c r="E189" s="135">
        <f t="shared" si="52"/>
        <v>0.04</v>
      </c>
      <c r="F189" s="135">
        <f t="shared" si="52"/>
        <v>0.04</v>
      </c>
      <c r="G189" s="135">
        <f t="shared" si="52"/>
        <v>0.04</v>
      </c>
      <c r="H189" s="135">
        <f t="shared" si="52"/>
        <v>0.04</v>
      </c>
      <c r="I189" s="135">
        <f t="shared" si="52"/>
        <v>0.04</v>
      </c>
      <c r="J189" s="135">
        <f t="shared" si="52"/>
        <v>0.04</v>
      </c>
      <c r="K189" s="135">
        <f t="shared" si="52"/>
        <v>0.04</v>
      </c>
      <c r="L189" s="135">
        <f t="shared" si="52"/>
        <v>0.04</v>
      </c>
      <c r="M189" s="135">
        <f t="shared" si="52"/>
        <v>0.04</v>
      </c>
      <c r="N189" s="135">
        <f t="shared" si="52"/>
        <v>0.04</v>
      </c>
      <c r="O189" s="135">
        <f t="shared" si="52"/>
        <v>0.04</v>
      </c>
      <c r="P189" s="135">
        <f t="shared" si="52"/>
        <v>0.04</v>
      </c>
      <c r="Q189" s="135">
        <f t="shared" si="52"/>
        <v>0.04</v>
      </c>
      <c r="R189" s="135">
        <f t="shared" si="52"/>
        <v>0.04</v>
      </c>
      <c r="S189" s="135">
        <f t="shared" si="53"/>
        <v>0.04</v>
      </c>
      <c r="T189" s="135">
        <f t="shared" si="53"/>
        <v>0.04</v>
      </c>
      <c r="U189" s="135">
        <f t="shared" si="53"/>
        <v>0.04</v>
      </c>
      <c r="V189" s="135">
        <f t="shared" si="53"/>
        <v>0.04</v>
      </c>
      <c r="W189" s="135">
        <f t="shared" si="53"/>
        <v>0.04</v>
      </c>
      <c r="X189" s="135">
        <f t="shared" si="53"/>
        <v>0.04</v>
      </c>
      <c r="Y189" s="135">
        <f t="shared" si="53"/>
        <v>0.04</v>
      </c>
      <c r="Z189" s="135">
        <f t="shared" si="53"/>
        <v>0.04</v>
      </c>
      <c r="AA189" s="135">
        <f t="shared" si="53"/>
        <v>0.04</v>
      </c>
      <c r="AB189" s="135">
        <f t="shared" si="53"/>
        <v>0.04</v>
      </c>
      <c r="AC189" s="135">
        <f t="shared" si="53"/>
        <v>0.04</v>
      </c>
      <c r="AD189" s="135">
        <f t="shared" si="53"/>
        <v>0.04</v>
      </c>
      <c r="AE189" s="135">
        <f t="shared" si="53"/>
        <v>0.04</v>
      </c>
      <c r="AF189" s="135">
        <f t="shared" si="53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51"/>
        <v>2.3E-2</v>
      </c>
      <c r="C190" s="52">
        <v>2.3E-2</v>
      </c>
      <c r="D190" s="135">
        <f>C190</f>
        <v>2.3E-2</v>
      </c>
      <c r="E190" s="135">
        <f t="shared" si="52"/>
        <v>2.3E-2</v>
      </c>
      <c r="F190" s="135">
        <f t="shared" si="52"/>
        <v>2.3E-2</v>
      </c>
      <c r="G190" s="135">
        <f t="shared" si="52"/>
        <v>2.3E-2</v>
      </c>
      <c r="H190" s="135">
        <f t="shared" si="52"/>
        <v>2.3E-2</v>
      </c>
      <c r="I190" s="135">
        <f t="shared" si="52"/>
        <v>2.3E-2</v>
      </c>
      <c r="J190" s="135">
        <f t="shared" si="52"/>
        <v>2.3E-2</v>
      </c>
      <c r="K190" s="135">
        <f t="shared" si="52"/>
        <v>2.3E-2</v>
      </c>
      <c r="L190" s="135">
        <f t="shared" si="52"/>
        <v>2.3E-2</v>
      </c>
      <c r="M190" s="135">
        <f t="shared" si="52"/>
        <v>2.3E-2</v>
      </c>
      <c r="N190" s="135">
        <f t="shared" si="52"/>
        <v>2.3E-2</v>
      </c>
      <c r="O190" s="135">
        <f t="shared" si="52"/>
        <v>2.3E-2</v>
      </c>
      <c r="P190" s="135">
        <f t="shared" si="52"/>
        <v>2.3E-2</v>
      </c>
      <c r="Q190" s="135">
        <f t="shared" si="52"/>
        <v>2.3E-2</v>
      </c>
      <c r="R190" s="135">
        <f t="shared" si="52"/>
        <v>2.3E-2</v>
      </c>
      <c r="S190" s="135">
        <f t="shared" si="53"/>
        <v>2.3E-2</v>
      </c>
      <c r="T190" s="135">
        <f t="shared" si="53"/>
        <v>2.3E-2</v>
      </c>
      <c r="U190" s="135">
        <f t="shared" si="53"/>
        <v>2.3E-2</v>
      </c>
      <c r="V190" s="135">
        <f t="shared" si="53"/>
        <v>2.3E-2</v>
      </c>
      <c r="W190" s="135">
        <f t="shared" si="53"/>
        <v>2.3E-2</v>
      </c>
      <c r="X190" s="135">
        <f t="shared" si="53"/>
        <v>2.3E-2</v>
      </c>
      <c r="Y190" s="135">
        <f t="shared" si="53"/>
        <v>2.3E-2</v>
      </c>
      <c r="Z190" s="135">
        <f t="shared" si="53"/>
        <v>2.3E-2</v>
      </c>
      <c r="AA190" s="135">
        <f t="shared" si="53"/>
        <v>2.3E-2</v>
      </c>
      <c r="AB190" s="135">
        <f t="shared" si="53"/>
        <v>2.3E-2</v>
      </c>
      <c r="AC190" s="135">
        <f t="shared" si="53"/>
        <v>2.3E-2</v>
      </c>
      <c r="AD190" s="135">
        <f t="shared" si="53"/>
        <v>2.3E-2</v>
      </c>
      <c r="AE190" s="135">
        <f t="shared" si="53"/>
        <v>2.3E-2</v>
      </c>
      <c r="AF190" s="135">
        <f t="shared" si="53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4">SUM(C101:C190)</f>
        <v>194.70600000000002</v>
      </c>
      <c r="D191" s="140">
        <f t="shared" si="54"/>
        <v>194.70600000000002</v>
      </c>
      <c r="E191" s="140">
        <f t="shared" si="54"/>
        <v>194.70600000000002</v>
      </c>
      <c r="F191" s="140">
        <f t="shared" si="54"/>
        <v>194.70600000000002</v>
      </c>
      <c r="G191" s="140">
        <f t="shared" si="54"/>
        <v>194.70600000000002</v>
      </c>
      <c r="H191" s="140">
        <f t="shared" si="54"/>
        <v>194.70600000000002</v>
      </c>
      <c r="I191" s="140">
        <f t="shared" si="54"/>
        <v>194.70600000000002</v>
      </c>
      <c r="J191" s="140">
        <f t="shared" si="54"/>
        <v>192.10600000000005</v>
      </c>
      <c r="K191" s="140">
        <f t="shared" si="54"/>
        <v>192.10600000000005</v>
      </c>
      <c r="L191" s="140">
        <f t="shared" si="54"/>
        <v>192.10600000000005</v>
      </c>
      <c r="M191" s="140">
        <f t="shared" si="54"/>
        <v>192.10600000000005</v>
      </c>
      <c r="N191" s="140">
        <f t="shared" si="54"/>
        <v>192.10600000000005</v>
      </c>
      <c r="O191" s="140">
        <f t="shared" si="54"/>
        <v>192.10600000000005</v>
      </c>
      <c r="P191" s="140">
        <f t="shared" si="54"/>
        <v>192.10600000000005</v>
      </c>
      <c r="Q191" s="140">
        <f t="shared" si="54"/>
        <v>192.10600000000005</v>
      </c>
      <c r="R191" s="140">
        <f t="shared" si="54"/>
        <v>192.10600000000005</v>
      </c>
      <c r="S191" s="140">
        <f t="shared" si="54"/>
        <v>192.10600000000005</v>
      </c>
      <c r="T191" s="140">
        <f t="shared" si="54"/>
        <v>192.10600000000005</v>
      </c>
      <c r="U191" s="140">
        <f t="shared" si="54"/>
        <v>192.10600000000005</v>
      </c>
      <c r="V191" s="140">
        <f t="shared" si="54"/>
        <v>192.10600000000005</v>
      </c>
      <c r="W191" s="140">
        <f t="shared" si="54"/>
        <v>192.10600000000005</v>
      </c>
      <c r="X191" s="140">
        <f t="shared" si="54"/>
        <v>192.10600000000005</v>
      </c>
      <c r="Y191" s="140">
        <f t="shared" si="54"/>
        <v>192.10600000000005</v>
      </c>
      <c r="Z191" s="140">
        <f t="shared" si="54"/>
        <v>192.10600000000005</v>
      </c>
      <c r="AA191" s="140">
        <f t="shared" si="54"/>
        <v>192.10600000000005</v>
      </c>
      <c r="AB191" s="140">
        <f t="shared" si="54"/>
        <v>192.10600000000005</v>
      </c>
      <c r="AC191" s="140">
        <f t="shared" si="54"/>
        <v>192.10600000000005</v>
      </c>
      <c r="AD191" s="140">
        <f t="shared" si="54"/>
        <v>192.10600000000005</v>
      </c>
      <c r="AE191" s="140">
        <f t="shared" si="54"/>
        <v>192.10600000000005</v>
      </c>
      <c r="AF191" s="140">
        <f t="shared" si="54"/>
        <v>192.10600000000005</v>
      </c>
      <c r="AG191" s="141">
        <f t="shared" si="54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5">AF193</f>
        <v>0.3</v>
      </c>
      <c r="C193" s="142">
        <v>0.3</v>
      </c>
      <c r="D193" s="142">
        <f t="shared" ref="D193:S198" si="56">C193</f>
        <v>0.3</v>
      </c>
      <c r="E193" s="142">
        <f t="shared" si="56"/>
        <v>0.3</v>
      </c>
      <c r="F193" s="142">
        <f t="shared" si="56"/>
        <v>0.3</v>
      </c>
      <c r="G193" s="142">
        <f t="shared" si="56"/>
        <v>0.3</v>
      </c>
      <c r="H193" s="142">
        <f t="shared" si="56"/>
        <v>0.3</v>
      </c>
      <c r="I193" s="142">
        <f t="shared" si="56"/>
        <v>0.3</v>
      </c>
      <c r="J193" s="142">
        <f t="shared" si="56"/>
        <v>0.3</v>
      </c>
      <c r="K193" s="142">
        <f t="shared" si="56"/>
        <v>0.3</v>
      </c>
      <c r="L193" s="142">
        <f t="shared" si="56"/>
        <v>0.3</v>
      </c>
      <c r="M193" s="142">
        <f t="shared" si="56"/>
        <v>0.3</v>
      </c>
      <c r="N193" s="142">
        <f t="shared" si="56"/>
        <v>0.3</v>
      </c>
      <c r="O193" s="142">
        <f t="shared" si="56"/>
        <v>0.3</v>
      </c>
      <c r="P193" s="142">
        <f t="shared" si="56"/>
        <v>0.3</v>
      </c>
      <c r="Q193" s="142">
        <f t="shared" si="56"/>
        <v>0.3</v>
      </c>
      <c r="R193" s="142">
        <f t="shared" si="56"/>
        <v>0.3</v>
      </c>
      <c r="S193" s="142">
        <f t="shared" si="56"/>
        <v>0.3</v>
      </c>
      <c r="T193" s="142">
        <f t="shared" ref="T193:AF198" si="57">S193</f>
        <v>0.3</v>
      </c>
      <c r="U193" s="142">
        <f t="shared" si="57"/>
        <v>0.3</v>
      </c>
      <c r="V193" s="142">
        <f t="shared" si="57"/>
        <v>0.3</v>
      </c>
      <c r="W193" s="142">
        <f t="shared" si="57"/>
        <v>0.3</v>
      </c>
      <c r="X193" s="142">
        <f t="shared" si="57"/>
        <v>0.3</v>
      </c>
      <c r="Y193" s="142">
        <f t="shared" si="57"/>
        <v>0.3</v>
      </c>
      <c r="Z193" s="142">
        <f t="shared" si="57"/>
        <v>0.3</v>
      </c>
      <c r="AA193" s="142">
        <f t="shared" si="57"/>
        <v>0.3</v>
      </c>
      <c r="AB193" s="142">
        <f t="shared" si="57"/>
        <v>0.3</v>
      </c>
      <c r="AC193" s="142">
        <f t="shared" si="57"/>
        <v>0.3</v>
      </c>
      <c r="AD193" s="142">
        <f t="shared" si="57"/>
        <v>0.3</v>
      </c>
      <c r="AE193" s="142">
        <f t="shared" si="57"/>
        <v>0.3</v>
      </c>
      <c r="AF193" s="142">
        <f t="shared" si="57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5"/>
        <v>0.4</v>
      </c>
      <c r="C194" s="135">
        <v>0.4</v>
      </c>
      <c r="D194" s="135">
        <f t="shared" si="56"/>
        <v>0.4</v>
      </c>
      <c r="E194" s="135">
        <f t="shared" si="56"/>
        <v>0.4</v>
      </c>
      <c r="F194" s="135">
        <f t="shared" si="56"/>
        <v>0.4</v>
      </c>
      <c r="G194" s="135">
        <f t="shared" si="56"/>
        <v>0.4</v>
      </c>
      <c r="H194" s="135">
        <f t="shared" si="56"/>
        <v>0.4</v>
      </c>
      <c r="I194" s="135">
        <f t="shared" si="56"/>
        <v>0.4</v>
      </c>
      <c r="J194" s="135">
        <f t="shared" si="56"/>
        <v>0.4</v>
      </c>
      <c r="K194" s="135">
        <f t="shared" si="56"/>
        <v>0.4</v>
      </c>
      <c r="L194" s="135">
        <f t="shared" si="56"/>
        <v>0.4</v>
      </c>
      <c r="M194" s="135">
        <f t="shared" si="56"/>
        <v>0.4</v>
      </c>
      <c r="N194" s="135">
        <f t="shared" si="56"/>
        <v>0.4</v>
      </c>
      <c r="O194" s="135">
        <f t="shared" si="56"/>
        <v>0.4</v>
      </c>
      <c r="P194" s="135">
        <f t="shared" si="56"/>
        <v>0.4</v>
      </c>
      <c r="Q194" s="135">
        <f t="shared" si="56"/>
        <v>0.4</v>
      </c>
      <c r="R194" s="135">
        <f t="shared" si="56"/>
        <v>0.4</v>
      </c>
      <c r="S194" s="135">
        <f t="shared" si="56"/>
        <v>0.4</v>
      </c>
      <c r="T194" s="135">
        <f t="shared" si="57"/>
        <v>0.4</v>
      </c>
      <c r="U194" s="135">
        <f t="shared" si="57"/>
        <v>0.4</v>
      </c>
      <c r="V194" s="135">
        <f t="shared" si="57"/>
        <v>0.4</v>
      </c>
      <c r="W194" s="135">
        <f>V194</f>
        <v>0.4</v>
      </c>
      <c r="X194" s="135">
        <f>W194</f>
        <v>0.4</v>
      </c>
      <c r="Y194" s="135">
        <f t="shared" si="57"/>
        <v>0.4</v>
      </c>
      <c r="Z194" s="135">
        <f t="shared" si="57"/>
        <v>0.4</v>
      </c>
      <c r="AA194" s="135">
        <f t="shared" si="57"/>
        <v>0.4</v>
      </c>
      <c r="AB194" s="135">
        <f t="shared" si="57"/>
        <v>0.4</v>
      </c>
      <c r="AC194" s="135">
        <f t="shared" si="57"/>
        <v>0.4</v>
      </c>
      <c r="AD194" s="135">
        <f t="shared" si="57"/>
        <v>0.4</v>
      </c>
      <c r="AE194" s="135">
        <f t="shared" si="57"/>
        <v>0.4</v>
      </c>
      <c r="AF194" s="135">
        <f t="shared" si="57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5"/>
        <v>1.5</v>
      </c>
      <c r="C195" s="135">
        <v>1.5</v>
      </c>
      <c r="D195" s="135">
        <f t="shared" si="56"/>
        <v>1.5</v>
      </c>
      <c r="E195" s="135">
        <f t="shared" si="56"/>
        <v>1.5</v>
      </c>
      <c r="F195" s="135">
        <f t="shared" si="56"/>
        <v>1.5</v>
      </c>
      <c r="G195" s="135">
        <f t="shared" si="56"/>
        <v>1.5</v>
      </c>
      <c r="H195" s="135">
        <f t="shared" si="56"/>
        <v>1.5</v>
      </c>
      <c r="I195" s="135">
        <f t="shared" si="56"/>
        <v>1.5</v>
      </c>
      <c r="J195" s="135">
        <f t="shared" si="56"/>
        <v>1.5</v>
      </c>
      <c r="K195" s="135">
        <f t="shared" si="56"/>
        <v>1.5</v>
      </c>
      <c r="L195" s="135">
        <f t="shared" si="56"/>
        <v>1.5</v>
      </c>
      <c r="M195" s="135">
        <f t="shared" si="56"/>
        <v>1.5</v>
      </c>
      <c r="N195" s="135">
        <f t="shared" si="56"/>
        <v>1.5</v>
      </c>
      <c r="O195" s="135">
        <f t="shared" si="56"/>
        <v>1.5</v>
      </c>
      <c r="P195" s="135">
        <f t="shared" si="56"/>
        <v>1.5</v>
      </c>
      <c r="Q195" s="135">
        <f t="shared" si="56"/>
        <v>1.5</v>
      </c>
      <c r="R195" s="135">
        <f t="shared" si="56"/>
        <v>1.5</v>
      </c>
      <c r="S195" s="135">
        <f t="shared" si="56"/>
        <v>1.5</v>
      </c>
      <c r="T195" s="135">
        <f t="shared" si="57"/>
        <v>1.5</v>
      </c>
      <c r="U195" s="135">
        <f t="shared" si="57"/>
        <v>1.5</v>
      </c>
      <c r="V195" s="135">
        <f t="shared" si="57"/>
        <v>1.5</v>
      </c>
      <c r="W195" s="135">
        <f t="shared" si="57"/>
        <v>1.5</v>
      </c>
      <c r="X195" s="135">
        <f t="shared" si="57"/>
        <v>1.5</v>
      </c>
      <c r="Y195" s="135">
        <f t="shared" si="57"/>
        <v>1.5</v>
      </c>
      <c r="Z195" s="135">
        <f t="shared" si="57"/>
        <v>1.5</v>
      </c>
      <c r="AA195" s="135">
        <f t="shared" si="57"/>
        <v>1.5</v>
      </c>
      <c r="AB195" s="135">
        <f t="shared" si="57"/>
        <v>1.5</v>
      </c>
      <c r="AC195" s="135">
        <f t="shared" si="57"/>
        <v>1.5</v>
      </c>
      <c r="AD195" s="135">
        <f t="shared" si="57"/>
        <v>1.5</v>
      </c>
      <c r="AE195" s="135">
        <f t="shared" si="57"/>
        <v>1.5</v>
      </c>
      <c r="AF195" s="135">
        <f t="shared" si="57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5"/>
        <v>0.3</v>
      </c>
      <c r="C196" s="135">
        <v>0.3</v>
      </c>
      <c r="D196" s="135">
        <f t="shared" si="56"/>
        <v>0.3</v>
      </c>
      <c r="E196" s="135">
        <f t="shared" si="56"/>
        <v>0.3</v>
      </c>
      <c r="F196" s="135">
        <f t="shared" si="56"/>
        <v>0.3</v>
      </c>
      <c r="G196" s="135">
        <f t="shared" si="56"/>
        <v>0.3</v>
      </c>
      <c r="H196" s="135">
        <f t="shared" si="56"/>
        <v>0.3</v>
      </c>
      <c r="I196" s="135">
        <f t="shared" si="56"/>
        <v>0.3</v>
      </c>
      <c r="J196" s="135">
        <f t="shared" si="56"/>
        <v>0.3</v>
      </c>
      <c r="K196" s="135">
        <f t="shared" si="56"/>
        <v>0.3</v>
      </c>
      <c r="L196" s="135">
        <f t="shared" si="56"/>
        <v>0.3</v>
      </c>
      <c r="M196" s="135">
        <f t="shared" si="56"/>
        <v>0.3</v>
      </c>
      <c r="N196" s="135">
        <f t="shared" si="56"/>
        <v>0.3</v>
      </c>
      <c r="O196" s="135">
        <f t="shared" si="56"/>
        <v>0.3</v>
      </c>
      <c r="P196" s="135">
        <f t="shared" si="56"/>
        <v>0.3</v>
      </c>
      <c r="Q196" s="135">
        <f t="shared" si="56"/>
        <v>0.3</v>
      </c>
      <c r="R196" s="135">
        <f t="shared" si="56"/>
        <v>0.3</v>
      </c>
      <c r="S196" s="135">
        <f t="shared" si="56"/>
        <v>0.3</v>
      </c>
      <c r="T196" s="135">
        <f t="shared" si="57"/>
        <v>0.3</v>
      </c>
      <c r="U196" s="135">
        <f t="shared" si="57"/>
        <v>0.3</v>
      </c>
      <c r="V196" s="135">
        <f t="shared" si="57"/>
        <v>0.3</v>
      </c>
      <c r="W196" s="135">
        <f t="shared" si="57"/>
        <v>0.3</v>
      </c>
      <c r="X196" s="135">
        <f t="shared" si="57"/>
        <v>0.3</v>
      </c>
      <c r="Y196" s="135">
        <f t="shared" si="57"/>
        <v>0.3</v>
      </c>
      <c r="Z196" s="135">
        <f t="shared" si="57"/>
        <v>0.3</v>
      </c>
      <c r="AA196" s="135">
        <f t="shared" si="57"/>
        <v>0.3</v>
      </c>
      <c r="AB196" s="135">
        <f t="shared" si="57"/>
        <v>0.3</v>
      </c>
      <c r="AC196" s="135">
        <f t="shared" si="57"/>
        <v>0.3</v>
      </c>
      <c r="AD196" s="135">
        <f t="shared" si="57"/>
        <v>0.3</v>
      </c>
      <c r="AE196" s="135">
        <f t="shared" si="57"/>
        <v>0.3</v>
      </c>
      <c r="AF196" s="135">
        <f t="shared" si="57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5"/>
        <v>0.4</v>
      </c>
      <c r="C197" s="135">
        <v>0.4</v>
      </c>
      <c r="D197" s="135">
        <f t="shared" si="56"/>
        <v>0.4</v>
      </c>
      <c r="E197" s="135">
        <f t="shared" si="56"/>
        <v>0.4</v>
      </c>
      <c r="F197" s="135">
        <f t="shared" si="56"/>
        <v>0.4</v>
      </c>
      <c r="G197" s="135">
        <f t="shared" si="56"/>
        <v>0.4</v>
      </c>
      <c r="H197" s="135">
        <f t="shared" si="56"/>
        <v>0.4</v>
      </c>
      <c r="I197" s="135">
        <f t="shared" si="56"/>
        <v>0.4</v>
      </c>
      <c r="J197" s="135">
        <f t="shared" si="56"/>
        <v>0.4</v>
      </c>
      <c r="K197" s="135">
        <f t="shared" si="56"/>
        <v>0.4</v>
      </c>
      <c r="L197" s="135">
        <f t="shared" si="56"/>
        <v>0.4</v>
      </c>
      <c r="M197" s="135">
        <f t="shared" si="56"/>
        <v>0.4</v>
      </c>
      <c r="N197" s="135">
        <f t="shared" si="56"/>
        <v>0.4</v>
      </c>
      <c r="O197" s="135">
        <f t="shared" si="56"/>
        <v>0.4</v>
      </c>
      <c r="P197" s="135">
        <f t="shared" si="56"/>
        <v>0.4</v>
      </c>
      <c r="Q197" s="135">
        <f t="shared" si="56"/>
        <v>0.4</v>
      </c>
      <c r="R197" s="135">
        <f t="shared" si="56"/>
        <v>0.4</v>
      </c>
      <c r="S197" s="135">
        <f t="shared" si="56"/>
        <v>0.4</v>
      </c>
      <c r="T197" s="135">
        <f t="shared" si="57"/>
        <v>0.4</v>
      </c>
      <c r="U197" s="135">
        <f t="shared" si="57"/>
        <v>0.4</v>
      </c>
      <c r="V197" s="135">
        <f t="shared" si="57"/>
        <v>0.4</v>
      </c>
      <c r="W197" s="135">
        <f t="shared" si="57"/>
        <v>0.4</v>
      </c>
      <c r="X197" s="135">
        <f t="shared" si="57"/>
        <v>0.4</v>
      </c>
      <c r="Y197" s="135">
        <f t="shared" si="57"/>
        <v>0.4</v>
      </c>
      <c r="Z197" s="135">
        <f t="shared" si="57"/>
        <v>0.4</v>
      </c>
      <c r="AA197" s="135">
        <f t="shared" si="57"/>
        <v>0.4</v>
      </c>
      <c r="AB197" s="135">
        <f t="shared" si="57"/>
        <v>0.4</v>
      </c>
      <c r="AC197" s="135">
        <f t="shared" si="57"/>
        <v>0.4</v>
      </c>
      <c r="AD197" s="135">
        <f t="shared" si="57"/>
        <v>0.4</v>
      </c>
      <c r="AE197" s="135">
        <f t="shared" si="57"/>
        <v>0.4</v>
      </c>
      <c r="AF197" s="135">
        <f t="shared" si="57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5"/>
        <v>0.64</v>
      </c>
      <c r="C198" s="145">
        <v>0.64</v>
      </c>
      <c r="D198" s="145">
        <f t="shared" si="56"/>
        <v>0.64</v>
      </c>
      <c r="E198" s="145">
        <f t="shared" si="56"/>
        <v>0.64</v>
      </c>
      <c r="F198" s="145">
        <f t="shared" si="56"/>
        <v>0.64</v>
      </c>
      <c r="G198" s="145">
        <f t="shared" si="56"/>
        <v>0.64</v>
      </c>
      <c r="H198" s="145">
        <f t="shared" si="56"/>
        <v>0.64</v>
      </c>
      <c r="I198" s="145">
        <f t="shared" si="56"/>
        <v>0.64</v>
      </c>
      <c r="J198" s="145">
        <f t="shared" si="56"/>
        <v>0.64</v>
      </c>
      <c r="K198" s="145">
        <f t="shared" si="56"/>
        <v>0.64</v>
      </c>
      <c r="L198" s="145">
        <f t="shared" si="56"/>
        <v>0.64</v>
      </c>
      <c r="M198" s="145">
        <f t="shared" si="56"/>
        <v>0.64</v>
      </c>
      <c r="N198" s="145">
        <f t="shared" si="56"/>
        <v>0.64</v>
      </c>
      <c r="O198" s="145">
        <f t="shared" si="56"/>
        <v>0.64</v>
      </c>
      <c r="P198" s="145">
        <f t="shared" si="56"/>
        <v>0.64</v>
      </c>
      <c r="Q198" s="145">
        <f t="shared" si="56"/>
        <v>0.64</v>
      </c>
      <c r="R198" s="145">
        <f t="shared" si="56"/>
        <v>0.64</v>
      </c>
      <c r="S198" s="145">
        <f t="shared" si="56"/>
        <v>0.64</v>
      </c>
      <c r="T198" s="145">
        <f t="shared" si="57"/>
        <v>0.64</v>
      </c>
      <c r="U198" s="145">
        <f t="shared" si="57"/>
        <v>0.64</v>
      </c>
      <c r="V198" s="145">
        <f t="shared" si="57"/>
        <v>0.64</v>
      </c>
      <c r="W198" s="145">
        <f t="shared" si="57"/>
        <v>0.64</v>
      </c>
      <c r="X198" s="145">
        <f t="shared" si="57"/>
        <v>0.64</v>
      </c>
      <c r="Y198" s="145">
        <f t="shared" si="57"/>
        <v>0.64</v>
      </c>
      <c r="Z198" s="145">
        <f t="shared" si="57"/>
        <v>0.64</v>
      </c>
      <c r="AA198" s="145">
        <f t="shared" si="57"/>
        <v>0.64</v>
      </c>
      <c r="AB198" s="145">
        <f t="shared" si="57"/>
        <v>0.64</v>
      </c>
      <c r="AC198" s="145">
        <f t="shared" si="57"/>
        <v>0.64</v>
      </c>
      <c r="AD198" s="145">
        <f t="shared" si="57"/>
        <v>0.64</v>
      </c>
      <c r="AE198" s="145">
        <f t="shared" si="57"/>
        <v>0.64</v>
      </c>
      <c r="AF198" s="145">
        <f t="shared" si="57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8">SUM(D193:D198)</f>
        <v>3.54</v>
      </c>
      <c r="E199" s="148">
        <f t="shared" si="58"/>
        <v>3.54</v>
      </c>
      <c r="F199" s="148">
        <f t="shared" si="58"/>
        <v>3.54</v>
      </c>
      <c r="G199" s="148">
        <f t="shared" si="58"/>
        <v>3.54</v>
      </c>
      <c r="H199" s="148">
        <f t="shared" si="58"/>
        <v>3.54</v>
      </c>
      <c r="I199" s="148">
        <f t="shared" si="58"/>
        <v>3.54</v>
      </c>
      <c r="J199" s="148">
        <f t="shared" si="58"/>
        <v>3.54</v>
      </c>
      <c r="K199" s="148">
        <f t="shared" si="58"/>
        <v>3.54</v>
      </c>
      <c r="L199" s="148">
        <f t="shared" si="58"/>
        <v>3.54</v>
      </c>
      <c r="M199" s="148">
        <f>SUM(M193:M198)</f>
        <v>3.54</v>
      </c>
      <c r="N199" s="148">
        <f t="shared" ref="N199:S199" si="59">SUM(N193:N198)</f>
        <v>3.54</v>
      </c>
      <c r="O199" s="148">
        <f t="shared" si="59"/>
        <v>3.54</v>
      </c>
      <c r="P199" s="148">
        <f t="shared" si="59"/>
        <v>3.54</v>
      </c>
      <c r="Q199" s="148">
        <f t="shared" si="59"/>
        <v>3.54</v>
      </c>
      <c r="R199" s="148">
        <f t="shared" si="59"/>
        <v>3.54</v>
      </c>
      <c r="S199" s="148">
        <f t="shared" si="59"/>
        <v>3.54</v>
      </c>
      <c r="T199" s="148">
        <f>SUM(T193:T198)</f>
        <v>3.54</v>
      </c>
      <c r="U199" s="148">
        <f t="shared" ref="U199:AG199" si="60">SUM(U193:U198)</f>
        <v>3.54</v>
      </c>
      <c r="V199" s="148">
        <f t="shared" si="60"/>
        <v>3.54</v>
      </c>
      <c r="W199" s="148">
        <f t="shared" si="60"/>
        <v>3.54</v>
      </c>
      <c r="X199" s="148">
        <f t="shared" si="60"/>
        <v>3.54</v>
      </c>
      <c r="Y199" s="148">
        <f t="shared" si="60"/>
        <v>3.54</v>
      </c>
      <c r="Z199" s="148">
        <f t="shared" si="60"/>
        <v>3.54</v>
      </c>
      <c r="AA199" s="148">
        <f t="shared" si="60"/>
        <v>3.54</v>
      </c>
      <c r="AB199" s="148">
        <f t="shared" si="60"/>
        <v>3.54</v>
      </c>
      <c r="AC199" s="148">
        <f t="shared" si="60"/>
        <v>3.54</v>
      </c>
      <c r="AD199" s="148">
        <f t="shared" si="60"/>
        <v>3.54</v>
      </c>
      <c r="AE199" s="148">
        <f t="shared" si="60"/>
        <v>3.54</v>
      </c>
      <c r="AF199" s="148">
        <f t="shared" si="60"/>
        <v>3.54</v>
      </c>
      <c r="AG199" s="149">
        <f t="shared" si="60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1487.24</v>
      </c>
      <c r="C208" s="163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2078/10/27)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61">B75</f>
        <v>955.13999999999987</v>
      </c>
      <c r="U213" s="173">
        <f t="shared" si="61"/>
        <v>940.74</v>
      </c>
      <c r="V213" s="173">
        <f t="shared" si="61"/>
        <v>906.33999999999992</v>
      </c>
      <c r="W213" s="173">
        <f t="shared" si="61"/>
        <v>884.04</v>
      </c>
      <c r="X213" s="173">
        <f t="shared" si="61"/>
        <v>911.14</v>
      </c>
      <c r="Y213" s="173">
        <f t="shared" si="61"/>
        <v>961.33999999999992</v>
      </c>
      <c r="Z213" s="173">
        <f t="shared" si="61"/>
        <v>1012.1399999999999</v>
      </c>
      <c r="AA213" s="173">
        <f t="shared" si="61"/>
        <v>1079.6400000000001</v>
      </c>
      <c r="AB213" s="173">
        <f t="shared" si="61"/>
        <v>1212.6400000000001</v>
      </c>
      <c r="AC213" s="173">
        <f t="shared" si="61"/>
        <v>1441.64</v>
      </c>
      <c r="AD213" s="173">
        <f t="shared" si="61"/>
        <v>1487.24</v>
      </c>
      <c r="AE213" s="173">
        <f t="shared" si="61"/>
        <v>1482.94</v>
      </c>
      <c r="AF213" s="173">
        <f t="shared" si="61"/>
        <v>1432.94</v>
      </c>
      <c r="AG213" s="173">
        <f t="shared" si="61"/>
        <v>1304.44</v>
      </c>
      <c r="AH213" s="173">
        <f t="shared" si="61"/>
        <v>1335.44</v>
      </c>
      <c r="AI213" s="173">
        <f t="shared" si="61"/>
        <v>1258.1399999999999</v>
      </c>
      <c r="AJ213" s="173">
        <f t="shared" si="61"/>
        <v>1228.54</v>
      </c>
      <c r="AK213" s="173">
        <f t="shared" si="61"/>
        <v>1230.6400000000001</v>
      </c>
      <c r="AL213" s="173">
        <f t="shared" si="61"/>
        <v>1215.54</v>
      </c>
      <c r="AM213" s="173">
        <f t="shared" si="61"/>
        <v>1207.54</v>
      </c>
      <c r="AN213" s="173">
        <f t="shared" si="61"/>
        <v>1039.6400000000001</v>
      </c>
      <c r="AO213" s="173">
        <f t="shared" si="61"/>
        <v>1293.8400000000001</v>
      </c>
      <c r="AP213" s="173">
        <f t="shared" si="61"/>
        <v>1334.3400000000001</v>
      </c>
      <c r="AQ213" s="173">
        <f t="shared" si="61"/>
        <v>1584.44</v>
      </c>
      <c r="AR213" s="173">
        <f t="shared" si="61"/>
        <v>1560.3400000000001</v>
      </c>
      <c r="AS213" s="173">
        <f t="shared" si="61"/>
        <v>1527.7400000000002</v>
      </c>
      <c r="AT213" s="173">
        <f t="shared" si="61"/>
        <v>1436.44</v>
      </c>
      <c r="AU213" s="173">
        <f t="shared" si="61"/>
        <v>1415.24</v>
      </c>
      <c r="AV213" s="173">
        <f t="shared" si="61"/>
        <v>1370.84</v>
      </c>
      <c r="AW213" s="173">
        <f t="shared" si="61"/>
        <v>1164.44</v>
      </c>
      <c r="AX213" s="173">
        <f t="shared" si="61"/>
        <v>1024.3399999999999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3">IF(C202&lt;100,"",C202-520)</f>
        <v/>
      </c>
      <c r="D235" s="119" t="str">
        <f t="shared" si="63"/>
        <v/>
      </c>
      <c r="E235" s="119" t="str">
        <f t="shared" si="63"/>
        <v/>
      </c>
      <c r="F235" s="119" t="str">
        <f t="shared" si="63"/>
        <v/>
      </c>
      <c r="G235" s="119" t="str">
        <f t="shared" si="63"/>
        <v/>
      </c>
      <c r="H235" s="119" t="str">
        <f t="shared" si="63"/>
        <v/>
      </c>
      <c r="I235" s="119" t="str">
        <f t="shared" si="63"/>
        <v/>
      </c>
      <c r="J235" s="119" t="str">
        <f t="shared" si="63"/>
        <v/>
      </c>
      <c r="K235" s="119" t="str">
        <f t="shared" si="63"/>
        <v/>
      </c>
      <c r="L235" s="119" t="str">
        <f t="shared" si="63"/>
        <v/>
      </c>
      <c r="M235" s="119" t="str">
        <f t="shared" si="63"/>
        <v/>
      </c>
      <c r="N235" s="119" t="str">
        <f t="shared" si="63"/>
        <v/>
      </c>
      <c r="O235" s="119" t="str">
        <f t="shared" si="63"/>
        <v/>
      </c>
      <c r="P235" s="119" t="str">
        <f t="shared" si="63"/>
        <v/>
      </c>
      <c r="Q235" s="119" t="str">
        <f t="shared" si="63"/>
        <v/>
      </c>
      <c r="R235" s="119" t="str">
        <f t="shared" si="63"/>
        <v/>
      </c>
      <c r="S235" s="119" t="str">
        <f t="shared" si="63"/>
        <v/>
      </c>
      <c r="T235" s="119" t="str">
        <f t="shared" si="63"/>
        <v/>
      </c>
      <c r="U235" s="119" t="str">
        <f t="shared" si="63"/>
        <v/>
      </c>
      <c r="V235" s="119" t="str">
        <f t="shared" si="63"/>
        <v/>
      </c>
      <c r="W235" s="119" t="str">
        <f t="shared" si="63"/>
        <v/>
      </c>
      <c r="X235" s="119" t="str">
        <f t="shared" si="63"/>
        <v/>
      </c>
      <c r="Y235" s="119" t="str">
        <f t="shared" si="63"/>
        <v/>
      </c>
      <c r="Z235" s="119" t="str">
        <f t="shared" si="63"/>
        <v/>
      </c>
      <c r="AA235" s="119" t="str">
        <f t="shared" si="63"/>
        <v/>
      </c>
      <c r="AB235" s="119" t="str">
        <f t="shared" si="63"/>
        <v/>
      </c>
      <c r="AC235" s="119" t="str">
        <f t="shared" si="63"/>
        <v/>
      </c>
      <c r="AD235" s="119" t="str">
        <f t="shared" si="63"/>
        <v/>
      </c>
      <c r="AE235" s="119" t="str">
        <f t="shared" si="63"/>
        <v/>
      </c>
      <c r="AF235" s="119" t="str">
        <f t="shared" si="63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4">IF(B203&lt;100,"",B203-620)</f>
        <v/>
      </c>
      <c r="C236" s="119" t="str">
        <f t="shared" si="64"/>
        <v/>
      </c>
      <c r="D236" s="119" t="str">
        <f t="shared" si="64"/>
        <v/>
      </c>
      <c r="E236" s="119" t="str">
        <f t="shared" si="64"/>
        <v/>
      </c>
      <c r="F236" s="119" t="str">
        <f t="shared" si="64"/>
        <v/>
      </c>
      <c r="G236" s="119" t="str">
        <f t="shared" si="64"/>
        <v/>
      </c>
      <c r="H236" s="119" t="str">
        <f t="shared" si="64"/>
        <v/>
      </c>
      <c r="I236" s="119" t="str">
        <f t="shared" si="64"/>
        <v/>
      </c>
      <c r="J236" s="119" t="str">
        <f t="shared" si="64"/>
        <v/>
      </c>
      <c r="K236" s="119" t="str">
        <f t="shared" si="64"/>
        <v/>
      </c>
      <c r="L236" s="119" t="str">
        <f t="shared" si="64"/>
        <v/>
      </c>
      <c r="M236" s="119" t="str">
        <f t="shared" si="64"/>
        <v/>
      </c>
      <c r="N236" s="119" t="str">
        <f t="shared" si="64"/>
        <v/>
      </c>
      <c r="O236" s="119" t="str">
        <f t="shared" si="64"/>
        <v/>
      </c>
      <c r="P236" s="119" t="str">
        <f t="shared" si="64"/>
        <v/>
      </c>
      <c r="Q236" s="119" t="str">
        <f t="shared" si="64"/>
        <v/>
      </c>
      <c r="R236" s="119" t="str">
        <f t="shared" si="64"/>
        <v/>
      </c>
      <c r="S236" s="119" t="str">
        <f t="shared" si="64"/>
        <v/>
      </c>
      <c r="T236" s="119" t="str">
        <f t="shared" si="64"/>
        <v/>
      </c>
      <c r="U236" s="119" t="str">
        <f t="shared" si="64"/>
        <v/>
      </c>
      <c r="V236" s="119" t="str">
        <f t="shared" si="64"/>
        <v/>
      </c>
      <c r="W236" s="119" t="str">
        <f t="shared" si="64"/>
        <v/>
      </c>
      <c r="X236" s="119" t="str">
        <f t="shared" si="64"/>
        <v/>
      </c>
      <c r="Y236" s="119" t="str">
        <f t="shared" si="64"/>
        <v/>
      </c>
      <c r="Z236" s="119" t="str">
        <f t="shared" si="64"/>
        <v/>
      </c>
      <c r="AA236" s="119" t="str">
        <f t="shared" si="64"/>
        <v/>
      </c>
      <c r="AB236" s="119" t="str">
        <f t="shared" si="64"/>
        <v/>
      </c>
      <c r="AC236" s="119" t="str">
        <f t="shared" si="64"/>
        <v/>
      </c>
      <c r="AD236" s="119" t="str">
        <f t="shared" si="64"/>
        <v/>
      </c>
      <c r="AE236" s="119" t="str">
        <f t="shared" si="64"/>
        <v/>
      </c>
      <c r="AF236" s="119" t="str">
        <f t="shared" si="64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5">IF(B204&lt;100,"",B204-330)</f>
        <v/>
      </c>
      <c r="C237" s="119" t="str">
        <f t="shared" si="65"/>
        <v/>
      </c>
      <c r="D237" s="119" t="str">
        <f t="shared" si="65"/>
        <v/>
      </c>
      <c r="E237" s="119" t="str">
        <f t="shared" si="65"/>
        <v/>
      </c>
      <c r="F237" s="119" t="str">
        <f t="shared" si="65"/>
        <v/>
      </c>
      <c r="G237" s="119" t="str">
        <f t="shared" si="65"/>
        <v/>
      </c>
      <c r="H237" s="119" t="str">
        <f t="shared" si="65"/>
        <v/>
      </c>
      <c r="I237" s="119" t="str">
        <f t="shared" si="65"/>
        <v/>
      </c>
      <c r="J237" s="119" t="str">
        <f t="shared" si="65"/>
        <v/>
      </c>
      <c r="K237" s="119" t="str">
        <f t="shared" si="65"/>
        <v/>
      </c>
      <c r="L237" s="119" t="str">
        <f t="shared" si="65"/>
        <v/>
      </c>
      <c r="M237" s="119" t="str">
        <f t="shared" si="65"/>
        <v/>
      </c>
      <c r="N237" s="119" t="str">
        <f t="shared" si="65"/>
        <v/>
      </c>
      <c r="O237" s="119" t="str">
        <f t="shared" si="65"/>
        <v/>
      </c>
      <c r="P237" s="119" t="str">
        <f t="shared" si="65"/>
        <v/>
      </c>
      <c r="Q237" s="119" t="str">
        <f t="shared" si="65"/>
        <v/>
      </c>
      <c r="R237" s="119" t="str">
        <f t="shared" si="65"/>
        <v/>
      </c>
      <c r="S237" s="119" t="str">
        <f t="shared" si="65"/>
        <v/>
      </c>
      <c r="T237" s="119" t="str">
        <f t="shared" si="65"/>
        <v/>
      </c>
      <c r="U237" s="119" t="str">
        <f t="shared" si="65"/>
        <v/>
      </c>
      <c r="V237" s="119" t="str">
        <f t="shared" si="65"/>
        <v/>
      </c>
      <c r="W237" s="119" t="str">
        <f t="shared" si="65"/>
        <v/>
      </c>
      <c r="X237" s="119" t="str">
        <f t="shared" si="65"/>
        <v/>
      </c>
      <c r="Y237" s="119" t="str">
        <f t="shared" si="65"/>
        <v/>
      </c>
      <c r="Z237" s="119" t="str">
        <f t="shared" si="65"/>
        <v/>
      </c>
      <c r="AA237" s="119" t="str">
        <f t="shared" si="65"/>
        <v/>
      </c>
      <c r="AB237" s="119" t="str">
        <f t="shared" si="65"/>
        <v/>
      </c>
      <c r="AC237" s="119" t="str">
        <f t="shared" si="65"/>
        <v/>
      </c>
      <c r="AD237" s="119" t="str">
        <f t="shared" si="65"/>
        <v/>
      </c>
      <c r="AE237" s="119" t="str">
        <f t="shared" si="65"/>
        <v/>
      </c>
      <c r="AF237" s="119" t="str">
        <f t="shared" si="65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6">IF(C205&lt;100,"",C205-1500)</f>
        <v/>
      </c>
      <c r="D238" s="119" t="str">
        <f t="shared" si="66"/>
        <v/>
      </c>
      <c r="E238" s="119" t="str">
        <f t="shared" si="66"/>
        <v/>
      </c>
      <c r="F238" s="119" t="str">
        <f t="shared" si="66"/>
        <v/>
      </c>
      <c r="G238" s="119" t="str">
        <f t="shared" si="66"/>
        <v/>
      </c>
      <c r="H238" s="119" t="str">
        <f t="shared" si="66"/>
        <v/>
      </c>
      <c r="I238" s="119" t="str">
        <f t="shared" si="66"/>
        <v/>
      </c>
      <c r="J238" s="119" t="str">
        <f t="shared" si="66"/>
        <v/>
      </c>
      <c r="K238" s="119" t="str">
        <f t="shared" si="66"/>
        <v/>
      </c>
      <c r="L238" s="119" t="str">
        <f t="shared" si="66"/>
        <v/>
      </c>
      <c r="M238" s="119" t="str">
        <f t="shared" si="66"/>
        <v/>
      </c>
      <c r="N238" s="119" t="str">
        <f t="shared" si="66"/>
        <v/>
      </c>
      <c r="O238" s="119" t="str">
        <f t="shared" si="66"/>
        <v/>
      </c>
      <c r="P238" s="119" t="str">
        <f t="shared" si="66"/>
        <v/>
      </c>
      <c r="Q238" s="119" t="str">
        <f t="shared" si="66"/>
        <v/>
      </c>
      <c r="R238" s="119" t="str">
        <f t="shared" si="66"/>
        <v/>
      </c>
      <c r="S238" s="119" t="str">
        <f t="shared" si="66"/>
        <v/>
      </c>
      <c r="T238" s="119" t="str">
        <f t="shared" si="66"/>
        <v/>
      </c>
      <c r="U238" s="119" t="str">
        <f t="shared" si="66"/>
        <v/>
      </c>
      <c r="V238" s="119" t="str">
        <f t="shared" si="66"/>
        <v/>
      </c>
      <c r="W238" s="119" t="str">
        <f t="shared" si="66"/>
        <v/>
      </c>
      <c r="X238" s="119" t="str">
        <f t="shared" si="66"/>
        <v/>
      </c>
      <c r="Y238" s="119" t="str">
        <f t="shared" si="66"/>
        <v/>
      </c>
      <c r="Z238" s="119" t="str">
        <f t="shared" si="66"/>
        <v/>
      </c>
      <c r="AA238" s="119" t="str">
        <f t="shared" si="66"/>
        <v/>
      </c>
      <c r="AB238" s="119" t="str">
        <f t="shared" si="66"/>
        <v/>
      </c>
      <c r="AC238" s="119" t="str">
        <f t="shared" si="66"/>
        <v/>
      </c>
      <c r="AD238" s="119" t="str">
        <f t="shared" si="66"/>
        <v/>
      </c>
      <c r="AE238" s="119" t="str">
        <f t="shared" si="66"/>
        <v/>
      </c>
      <c r="AF238" s="119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M58:M59 AB81:AF81 B81:R81 B82:AF83 D193:AF199 B193:B199 C68:AF72 B84:B91 B73:AF80 B9:AF10 B191:AF191 AF57:AF61 B53:B72 AG73 B94:B99 U212:AF212 T58:W59 S40:U41 V13:W14 U42 V40:Z42 Z43 AF42:AF43 W36 E60:M61 E57:L59 C57:D67 C56:AF56 B36:N36 O37:S37 M11:R11 M39:S42 N58:S61 N45:X48 M53:AF55 AE84:AF91 Y36:AF36 V11:AF11 X85:AD91 AB94:AF99 AA40:AE43 Y18:AF30">
    <cfRule type="expression" dxfId="1832" priority="379">
      <formula>B$9&gt;=20/24</formula>
    </cfRule>
    <cfRule type="expression" dxfId="1831" priority="380">
      <formula>AND(B$9&gt;=14/24,B$9&lt;20/24)</formula>
    </cfRule>
    <cfRule type="expression" dxfId="1830" priority="381">
      <formula>AND(B$9&gt;=8/24,B$9&lt;14/24)</formula>
    </cfRule>
    <cfRule type="expression" dxfId="1829" priority="382">
      <formula>B$9&lt;8/24</formula>
    </cfRule>
  </conditionalFormatting>
  <conditionalFormatting sqref="AL4:AL6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1828" priority="374">
      <formula>M$9&gt;=20/24</formula>
    </cfRule>
    <cfRule type="expression" dxfId="1827" priority="375">
      <formula>AND(M$9&gt;=14/24,M$9&lt;20/24)</formula>
    </cfRule>
    <cfRule type="expression" dxfId="1826" priority="376">
      <formula>AND(M$9&gt;=8/24,M$9&lt;14/24)</formula>
    </cfRule>
    <cfRule type="expression" dxfId="1825" priority="377">
      <formula>M$9&lt;8/24</formula>
    </cfRule>
  </conditionalFormatting>
  <conditionalFormatting sqref="M43:U43">
    <cfRule type="expression" dxfId="1824" priority="370">
      <formula>M$9&gt;=20/24</formula>
    </cfRule>
    <cfRule type="expression" dxfId="1823" priority="371">
      <formula>AND(M$9&gt;=14/24,M$9&lt;20/24)</formula>
    </cfRule>
    <cfRule type="expression" dxfId="1822" priority="372">
      <formula>AND(M$9&gt;=8/24,M$9&lt;14/24)</formula>
    </cfRule>
    <cfRule type="expression" dxfId="1821" priority="373">
      <formula>M$9&lt;8/24</formula>
    </cfRule>
  </conditionalFormatting>
  <conditionalFormatting sqref="S39:AE39">
    <cfRule type="expression" dxfId="1820" priority="366">
      <formula>S$9&gt;=20/24</formula>
    </cfRule>
    <cfRule type="expression" dxfId="1819" priority="367">
      <formula>AND(S$9&gt;=14/24,S$9&lt;20/24)</formula>
    </cfRule>
    <cfRule type="expression" dxfId="1818" priority="368">
      <formula>AND(S$9&gt;=8/24,S$9&lt;14/24)</formula>
    </cfRule>
    <cfRule type="expression" dxfId="1817" priority="369">
      <formula>S$9&lt;8/24</formula>
    </cfRule>
  </conditionalFormatting>
  <conditionalFormatting sqref="T57:AE57">
    <cfRule type="expression" dxfId="1816" priority="362">
      <formula>T$9&gt;=20/24</formula>
    </cfRule>
    <cfRule type="expression" dxfId="1815" priority="363">
      <formula>AND(T$9&gt;=14/24,T$9&lt;20/24)</formula>
    </cfRule>
    <cfRule type="expression" dxfId="1814" priority="364">
      <formula>AND(T$9&gt;=8/24,T$9&lt;14/24)</formula>
    </cfRule>
    <cfRule type="expression" dxfId="1813" priority="365">
      <formula>T$9&lt;8/24</formula>
    </cfRule>
  </conditionalFormatting>
  <conditionalFormatting sqref="S81:AA81">
    <cfRule type="expression" dxfId="1812" priority="358">
      <formula>S$9&gt;=20/24</formula>
    </cfRule>
    <cfRule type="expression" dxfId="1811" priority="359">
      <formula>AND(S$9&gt;=14/24,S$9&lt;20/24)</formula>
    </cfRule>
    <cfRule type="expression" dxfId="1810" priority="360">
      <formula>AND(S$9&gt;=8/24,S$9&lt;14/24)</formula>
    </cfRule>
    <cfRule type="expression" dxfId="1809" priority="361">
      <formula>S$9&lt;8/24</formula>
    </cfRule>
  </conditionalFormatting>
  <conditionalFormatting sqref="U84:AD84">
    <cfRule type="expression" dxfId="1808" priority="354">
      <formula>U$9&gt;=20/24</formula>
    </cfRule>
    <cfRule type="expression" dxfId="1807" priority="355">
      <formula>AND(U$9&gt;=14/24,U$9&lt;20/24)</formula>
    </cfRule>
    <cfRule type="expression" dxfId="1806" priority="356">
      <formula>AND(U$9&gt;=8/24,U$9&lt;14/24)</formula>
    </cfRule>
    <cfRule type="expression" dxfId="1805" priority="357">
      <formula>U$9&lt;8/24</formula>
    </cfRule>
  </conditionalFormatting>
  <conditionalFormatting sqref="M49:X49">
    <cfRule type="expression" dxfId="1804" priority="350">
      <formula>M$9&gt;=20/24</formula>
    </cfRule>
    <cfRule type="expression" dxfId="1803" priority="351">
      <formula>AND(M$9&gt;=14/24,M$9&lt;20/24)</formula>
    </cfRule>
    <cfRule type="expression" dxfId="1802" priority="352">
      <formula>AND(M$9&gt;=8/24,M$9&lt;14/24)</formula>
    </cfRule>
    <cfRule type="expression" dxfId="1801" priority="353">
      <formula>M$9&lt;8/24</formula>
    </cfRule>
  </conditionalFormatting>
  <conditionalFormatting sqref="M50:X50">
    <cfRule type="expression" dxfId="1800" priority="346">
      <formula>M$9&gt;=20/24</formula>
    </cfRule>
    <cfRule type="expression" dxfId="1799" priority="347">
      <formula>AND(M$9&gt;=14/24,M$9&lt;20/24)</formula>
    </cfRule>
    <cfRule type="expression" dxfId="1798" priority="348">
      <formula>AND(M$9&gt;=8/24,M$9&lt;14/24)</formula>
    </cfRule>
    <cfRule type="expression" dxfId="1797" priority="349">
      <formula>M$9&lt;8/24</formula>
    </cfRule>
  </conditionalFormatting>
  <conditionalFormatting sqref="M45:X48">
    <cfRule type="expression" dxfId="1796" priority="342">
      <formula>M$9&gt;=20/24</formula>
    </cfRule>
    <cfRule type="expression" dxfId="1795" priority="343">
      <formula>AND(M$9&gt;=14/24,M$9&lt;20/24)</formula>
    </cfRule>
    <cfRule type="expression" dxfId="1794" priority="344">
      <formula>AND(M$9&gt;=8/24,M$9&lt;14/24)</formula>
    </cfRule>
    <cfRule type="expression" dxfId="1793" priority="345">
      <formula>M$9&lt;8/24</formula>
    </cfRule>
  </conditionalFormatting>
  <conditionalFormatting sqref="T37:AF37">
    <cfRule type="expression" dxfId="1792" priority="338">
      <formula>T$9&gt;=20/24</formula>
    </cfRule>
    <cfRule type="expression" dxfId="1791" priority="339">
      <formula>AND(T$9&gt;=14/24,T$9&lt;20/24)</formula>
    </cfRule>
    <cfRule type="expression" dxfId="1790" priority="340">
      <formula>AND(T$9&gt;=8/24,T$9&lt;14/24)</formula>
    </cfRule>
    <cfRule type="expression" dxfId="1789" priority="341">
      <formula>T$9&lt;8/24</formula>
    </cfRule>
  </conditionalFormatting>
  <conditionalFormatting sqref="Y31:AF32 Y35:AF35">
    <cfRule type="expression" dxfId="1788" priority="334">
      <formula>Y$9&gt;=20/24</formula>
    </cfRule>
    <cfRule type="expression" dxfId="1787" priority="335">
      <formula>AND(Y$9&gt;=14/24,Y$9&lt;20/24)</formula>
    </cfRule>
    <cfRule type="expression" dxfId="1786" priority="336">
      <formula>AND(Y$9&gt;=8/24,Y$9&lt;14/24)</formula>
    </cfRule>
    <cfRule type="expression" dxfId="1785" priority="337">
      <formula>Y$9&lt;8/24</formula>
    </cfRule>
  </conditionalFormatting>
  <conditionalFormatting sqref="S42:U43 V43:Z43 S45:AF48">
    <cfRule type="expression" dxfId="1784" priority="330">
      <formula>S$9&gt;=20/24</formula>
    </cfRule>
    <cfRule type="expression" dxfId="1783" priority="331">
      <formula>AND(S$9&gt;=14/24,S$9&lt;20/24)</formula>
    </cfRule>
    <cfRule type="expression" dxfId="1782" priority="332">
      <formula>AND(S$9&gt;=8/24,S$9&lt;14/24)</formula>
    </cfRule>
    <cfRule type="expression" dxfId="1781" priority="333">
      <formula>S$9&lt;8/24</formula>
    </cfRule>
  </conditionalFormatting>
  <conditionalFormatting sqref="S49:AF49">
    <cfRule type="expression" dxfId="1780" priority="326">
      <formula>S$9&gt;=20/24</formula>
    </cfRule>
    <cfRule type="expression" dxfId="1779" priority="327">
      <formula>AND(S$9&gt;=14/24,S$9&lt;20/24)</formula>
    </cfRule>
    <cfRule type="expression" dxfId="1778" priority="328">
      <formula>AND(S$9&gt;=8/24,S$9&lt;14/24)</formula>
    </cfRule>
    <cfRule type="expression" dxfId="1777" priority="329">
      <formula>S$9&lt;8/24</formula>
    </cfRule>
  </conditionalFormatting>
  <conditionalFormatting sqref="S50:AF50">
    <cfRule type="expression" dxfId="1776" priority="322">
      <formula>S$9&gt;=20/24</formula>
    </cfRule>
    <cfRule type="expression" dxfId="1775" priority="323">
      <formula>AND(S$9&gt;=14/24,S$9&lt;20/24)</formula>
    </cfRule>
    <cfRule type="expression" dxfId="1774" priority="324">
      <formula>AND(S$9&gt;=8/24,S$9&lt;14/24)</formula>
    </cfRule>
    <cfRule type="expression" dxfId="1773" priority="325">
      <formula>S$9&lt;8/24</formula>
    </cfRule>
  </conditionalFormatting>
  <conditionalFormatting sqref="T60:T61 AE62:AF67 AE60:AE61 X60:AD67">
    <cfRule type="expression" dxfId="1772" priority="318">
      <formula>T$9&gt;=20/24</formula>
    </cfRule>
    <cfRule type="expression" dxfId="1771" priority="319">
      <formula>AND(T$9&gt;=14/24,T$9&lt;20/24)</formula>
    </cfRule>
    <cfRule type="expression" dxfId="1770" priority="320">
      <formula>AND(T$9&gt;=8/24,T$9&lt;14/24)</formula>
    </cfRule>
    <cfRule type="expression" dxfId="1769" priority="321">
      <formula>T$9&lt;8/24</formula>
    </cfRule>
  </conditionalFormatting>
  <conditionalFormatting sqref="E62:I62 I63:I67 J62:S67">
    <cfRule type="expression" dxfId="1768" priority="314">
      <formula>E$9&gt;=20/24</formula>
    </cfRule>
    <cfRule type="expression" dxfId="1767" priority="315">
      <formula>AND(E$9&gt;=14/24,E$9&lt;20/24)</formula>
    </cfRule>
    <cfRule type="expression" dxfId="1766" priority="316">
      <formula>AND(E$9&gt;=8/24,E$9&lt;14/24)</formula>
    </cfRule>
    <cfRule type="expression" dxfId="1765" priority="317">
      <formula>E$9&lt;8/24</formula>
    </cfRule>
  </conditionalFormatting>
  <conditionalFormatting sqref="U94:AA97">
    <cfRule type="expression" dxfId="1764" priority="310">
      <formula>U$9&gt;=20/24</formula>
    </cfRule>
    <cfRule type="expression" dxfId="1763" priority="311">
      <formula>AND(U$9&gt;=14/24,U$9&lt;20/24)</formula>
    </cfRule>
    <cfRule type="expression" dxfId="1762" priority="312">
      <formula>AND(U$9&gt;=8/24,U$9&lt;14/24)</formula>
    </cfRule>
    <cfRule type="expression" dxfId="1761" priority="313">
      <formula>U$9&lt;8/24</formula>
    </cfRule>
  </conditionalFormatting>
  <conditionalFormatting sqref="AG51 W36 V13:W14 B34:N37 O37:AC37 O34:R35 B11:R32 Y34:AC36 V11:AF11 Y18:AF32 AD34:AF37 B38:AF56">
    <cfRule type="expression" dxfId="1760" priority="309">
      <formula>B11&gt;$AG11</formula>
    </cfRule>
  </conditionalFormatting>
  <conditionalFormatting sqref="A100:A156 A84:A97 A11:A14 A16:A32 A45:A72 A80:A82 A74:A78 A35:A43 A169:A199">
    <cfRule type="expression" dxfId="1759" priority="308">
      <formula>$AH11=0</formula>
    </cfRule>
  </conditionalFormatting>
  <conditionalFormatting sqref="U98:AA98">
    <cfRule type="expression" dxfId="1758" priority="304">
      <formula>U$9&gt;=20/24</formula>
    </cfRule>
    <cfRule type="expression" dxfId="1757" priority="305">
      <formula>AND(U$9&gt;=14/24,U$9&lt;20/24)</formula>
    </cfRule>
    <cfRule type="expression" dxfId="1756" priority="306">
      <formula>AND(U$9&gt;=8/24,U$9&lt;14/24)</formula>
    </cfRule>
    <cfRule type="expression" dxfId="1755" priority="307">
      <formula>U$9&lt;8/24</formula>
    </cfRule>
  </conditionalFormatting>
  <conditionalFormatting sqref="A98">
    <cfRule type="expression" dxfId="1754" priority="303">
      <formula>$AH98=0</formula>
    </cfRule>
  </conditionalFormatting>
  <conditionalFormatting sqref="E63:H67">
    <cfRule type="expression" dxfId="1753" priority="299">
      <formula>E$9&gt;=20/24</formula>
    </cfRule>
    <cfRule type="expression" dxfId="1752" priority="300">
      <formula>AND(E$9&gt;=14/24,E$9&lt;20/24)</formula>
    </cfRule>
    <cfRule type="expression" dxfId="1751" priority="301">
      <formula>AND(E$9&gt;=8/24,E$9&lt;14/24)</formula>
    </cfRule>
    <cfRule type="expression" dxfId="1750" priority="302">
      <formula>E$9&lt;8/24</formula>
    </cfRule>
  </conditionalFormatting>
  <conditionalFormatting sqref="T62:T67">
    <cfRule type="expression" dxfId="1749" priority="295">
      <formula>T$9&gt;=20/24</formula>
    </cfRule>
    <cfRule type="expression" dxfId="1748" priority="296">
      <formula>AND(T$9&gt;=14/24,T$9&lt;20/24)</formula>
    </cfRule>
    <cfRule type="expression" dxfId="1747" priority="297">
      <formula>AND(T$9&gt;=8/24,T$9&lt;14/24)</formula>
    </cfRule>
    <cfRule type="expression" dxfId="1746" priority="298">
      <formula>T$9&lt;8/24</formula>
    </cfRule>
  </conditionalFormatting>
  <conditionalFormatting sqref="AL32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Y34:AF34">
    <cfRule type="expression" dxfId="1745" priority="290">
      <formula>Y$9&gt;=20/24</formula>
    </cfRule>
    <cfRule type="expression" dxfId="1744" priority="291">
      <formula>AND(Y$9&gt;=14/24,Y$9&lt;20/24)</formula>
    </cfRule>
    <cfRule type="expression" dxfId="1743" priority="292">
      <formula>AND(Y$9&gt;=8/24,Y$9&lt;14/24)</formula>
    </cfRule>
    <cfRule type="expression" dxfId="1742" priority="293">
      <formula>Y$9&lt;8/24</formula>
    </cfRule>
  </conditionalFormatting>
  <conditionalFormatting sqref="A34">
    <cfRule type="expression" dxfId="1741" priority="289">
      <formula>$AH34=0</formula>
    </cfRule>
  </conditionalFormatting>
  <conditionalFormatting sqref="A83">
    <cfRule type="expression" dxfId="1740" priority="288">
      <formula>$AH83=0</formula>
    </cfRule>
  </conditionalFormatting>
  <conditionalFormatting sqref="V15:W15">
    <cfRule type="expression" dxfId="1739" priority="284">
      <formula>V$9&gt;=20/24</formula>
    </cfRule>
    <cfRule type="expression" dxfId="1738" priority="285">
      <formula>AND(V$9&gt;=14/24,V$9&lt;20/24)</formula>
    </cfRule>
    <cfRule type="expression" dxfId="1737" priority="286">
      <formula>AND(V$9&gt;=8/24,V$9&lt;14/24)</formula>
    </cfRule>
    <cfRule type="expression" dxfId="1736" priority="287">
      <formula>V$9&lt;8/24</formula>
    </cfRule>
  </conditionalFormatting>
  <conditionalFormatting sqref="V15:W15">
    <cfRule type="expression" dxfId="1735" priority="283">
      <formula>V15&gt;$AG15</formula>
    </cfRule>
  </conditionalFormatting>
  <conditionalFormatting sqref="A15">
    <cfRule type="expression" dxfId="1734" priority="282">
      <formula>$AH15=0</formula>
    </cfRule>
  </conditionalFormatting>
  <conditionalFormatting sqref="A163:A168">
    <cfRule type="expression" dxfId="1733" priority="281">
      <formula>$AH163=0</formula>
    </cfRule>
  </conditionalFormatting>
  <conditionalFormatting sqref="A157:A162">
    <cfRule type="expression" dxfId="1732" priority="280">
      <formula>$AH157=0</formula>
    </cfRule>
  </conditionalFormatting>
  <conditionalFormatting sqref="Z44:AF44">
    <cfRule type="expression" dxfId="1731" priority="276">
      <formula>Z$9&gt;=20/24</formula>
    </cfRule>
    <cfRule type="expression" dxfId="1730" priority="277">
      <formula>AND(Z$9&gt;=14/24,Z$9&lt;20/24)</formula>
    </cfRule>
    <cfRule type="expression" dxfId="1729" priority="278">
      <formula>AND(Z$9&gt;=8/24,Z$9&lt;14/24)</formula>
    </cfRule>
    <cfRule type="expression" dxfId="1728" priority="279">
      <formula>Z$9&lt;8/24</formula>
    </cfRule>
  </conditionalFormatting>
  <conditionalFormatting sqref="M44:X44">
    <cfRule type="expression" dxfId="1727" priority="272">
      <formula>M$9&gt;=20/24</formula>
    </cfRule>
    <cfRule type="expression" dxfId="1726" priority="273">
      <formula>AND(M$9&gt;=14/24,M$9&lt;20/24)</formula>
    </cfRule>
    <cfRule type="expression" dxfId="1725" priority="274">
      <formula>AND(M$9&gt;=8/24,M$9&lt;14/24)</formula>
    </cfRule>
    <cfRule type="expression" dxfId="1724" priority="275">
      <formula>M$9&lt;8/24</formula>
    </cfRule>
  </conditionalFormatting>
  <conditionalFormatting sqref="S44:AF44">
    <cfRule type="expression" dxfId="1723" priority="268">
      <formula>S$9&gt;=20/24</formula>
    </cfRule>
    <cfRule type="expression" dxfId="1722" priority="269">
      <formula>AND(S$9&gt;=14/24,S$9&lt;20/24)</formula>
    </cfRule>
    <cfRule type="expression" dxfId="1721" priority="270">
      <formula>AND(S$9&gt;=8/24,S$9&lt;14/24)</formula>
    </cfRule>
    <cfRule type="expression" dxfId="1720" priority="271">
      <formula>S$9&lt;8/24</formula>
    </cfRule>
  </conditionalFormatting>
  <conditionalFormatting sqref="A44">
    <cfRule type="expression" dxfId="1719" priority="267">
      <formula>$AH44=0</formula>
    </cfRule>
  </conditionalFormatting>
  <conditionalFormatting sqref="A79">
    <cfRule type="expression" dxfId="1718" priority="266">
      <formula>$AH79=0</formula>
    </cfRule>
  </conditionalFormatting>
  <conditionalFormatting sqref="A73">
    <cfRule type="expression" dxfId="1717" priority="265">
      <formula>$AH73=0</formula>
    </cfRule>
  </conditionalFormatting>
  <conditionalFormatting sqref="AL34:AL35 AL7:AL31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716" priority="261">
      <formula>U$9&gt;=20/24</formula>
    </cfRule>
    <cfRule type="expression" dxfId="1715" priority="262">
      <formula>AND(U$9&gt;=14/24,U$9&lt;20/24)</formula>
    </cfRule>
    <cfRule type="expression" dxfId="1714" priority="263">
      <formula>AND(U$9&gt;=8/24,U$9&lt;14/24)</formula>
    </cfRule>
    <cfRule type="expression" dxfId="1713" priority="264">
      <formula>U$9&lt;8/24</formula>
    </cfRule>
  </conditionalFormatting>
  <conditionalFormatting sqref="U85:W91">
    <cfRule type="expression" dxfId="1712" priority="257">
      <formula>U$9&gt;=20/24</formula>
    </cfRule>
    <cfRule type="expression" dxfId="1711" priority="258">
      <formula>AND(U$9&gt;=14/24,U$9&lt;20/24)</formula>
    </cfRule>
    <cfRule type="expression" dxfId="1710" priority="259">
      <formula>AND(U$9&gt;=8/24,U$9&lt;14/24)</formula>
    </cfRule>
    <cfRule type="expression" dxfId="1709" priority="260">
      <formula>U$9&lt;8/24</formula>
    </cfRule>
  </conditionalFormatting>
  <conditionalFormatting sqref="T85:T91 C84:S91">
    <cfRule type="expression" dxfId="1708" priority="253">
      <formula>C$9&gt;=20/24</formula>
    </cfRule>
    <cfRule type="expression" dxfId="1707" priority="254">
      <formula>AND(C$9&gt;=14/24,C$9&lt;20/24)</formula>
    </cfRule>
    <cfRule type="expression" dxfId="1706" priority="255">
      <formula>AND(C$9&gt;=8/24,C$9&lt;14/24)</formula>
    </cfRule>
    <cfRule type="expression" dxfId="1705" priority="256">
      <formula>C$9&lt;8/24</formula>
    </cfRule>
  </conditionalFormatting>
  <conditionalFormatting sqref="T84">
    <cfRule type="expression" dxfId="1704" priority="249">
      <formula>T$9&gt;=20/24</formula>
    </cfRule>
    <cfRule type="expression" dxfId="1703" priority="250">
      <formula>AND(T$9&gt;=14/24,T$9&lt;20/24)</formula>
    </cfRule>
    <cfRule type="expression" dxfId="1702" priority="251">
      <formula>AND(T$9&gt;=8/24,T$9&lt;14/24)</formula>
    </cfRule>
    <cfRule type="expression" dxfId="1701" priority="252">
      <formula>T$9&lt;8/24</formula>
    </cfRule>
  </conditionalFormatting>
  <conditionalFormatting sqref="C94:F94 C95:N97">
    <cfRule type="expression" dxfId="1700" priority="245">
      <formula>C$9&gt;=20/24</formula>
    </cfRule>
    <cfRule type="expression" dxfId="1699" priority="246">
      <formula>AND(C$9&gt;=14/24,C$9&lt;20/24)</formula>
    </cfRule>
    <cfRule type="expression" dxfId="1698" priority="247">
      <formula>AND(C$9&gt;=8/24,C$9&lt;14/24)</formula>
    </cfRule>
    <cfRule type="expression" dxfId="1697" priority="248">
      <formula>C$9&lt;8/24</formula>
    </cfRule>
  </conditionalFormatting>
  <conditionalFormatting sqref="O94:R97">
    <cfRule type="expression" dxfId="1696" priority="241">
      <formula>O$9&gt;=20/24</formula>
    </cfRule>
    <cfRule type="expression" dxfId="1695" priority="242">
      <formula>AND(O$9&gt;=14/24,O$9&lt;20/24)</formula>
    </cfRule>
    <cfRule type="expression" dxfId="1694" priority="243">
      <formula>AND(O$9&gt;=8/24,O$9&lt;14/24)</formula>
    </cfRule>
    <cfRule type="expression" dxfId="1693" priority="244">
      <formula>O$9&lt;8/24</formula>
    </cfRule>
  </conditionalFormatting>
  <conditionalFormatting sqref="S94:T97">
    <cfRule type="expression" dxfId="1692" priority="237">
      <formula>S$9&gt;=20/24</formula>
    </cfRule>
    <cfRule type="expression" dxfId="1691" priority="238">
      <formula>AND(S$9&gt;=14/24,S$9&lt;20/24)</formula>
    </cfRule>
    <cfRule type="expression" dxfId="1690" priority="239">
      <formula>AND(S$9&gt;=8/24,S$9&lt;14/24)</formula>
    </cfRule>
    <cfRule type="expression" dxfId="1689" priority="240">
      <formula>S$9&lt;8/24</formula>
    </cfRule>
  </conditionalFormatting>
  <conditionalFormatting sqref="C98:N98">
    <cfRule type="expression" dxfId="1688" priority="233">
      <formula>C$9&gt;=20/24</formula>
    </cfRule>
    <cfRule type="expression" dxfId="1687" priority="234">
      <formula>AND(C$9&gt;=14/24,C$9&lt;20/24)</formula>
    </cfRule>
    <cfRule type="expression" dxfId="1686" priority="235">
      <formula>AND(C$9&gt;=8/24,C$9&lt;14/24)</formula>
    </cfRule>
    <cfRule type="expression" dxfId="1685" priority="236">
      <formula>C$9&lt;8/24</formula>
    </cfRule>
  </conditionalFormatting>
  <conditionalFormatting sqref="O98:R98">
    <cfRule type="expression" dxfId="1684" priority="229">
      <formula>O$9&gt;=20/24</formula>
    </cfRule>
    <cfRule type="expression" dxfId="1683" priority="230">
      <formula>AND(O$9&gt;=14/24,O$9&lt;20/24)</formula>
    </cfRule>
    <cfRule type="expression" dxfId="1682" priority="231">
      <formula>AND(O$9&gt;=8/24,O$9&lt;14/24)</formula>
    </cfRule>
    <cfRule type="expression" dxfId="1681" priority="232">
      <formula>O$9&lt;8/24</formula>
    </cfRule>
  </conditionalFormatting>
  <conditionalFormatting sqref="S98:T98">
    <cfRule type="expression" dxfId="1680" priority="225">
      <formula>S$9&gt;=20/24</formula>
    </cfRule>
    <cfRule type="expression" dxfId="1679" priority="226">
      <formula>AND(S$9&gt;=14/24,S$9&lt;20/24)</formula>
    </cfRule>
    <cfRule type="expression" dxfId="1678" priority="227">
      <formula>AND(S$9&gt;=8/24,S$9&lt;14/24)</formula>
    </cfRule>
    <cfRule type="expression" dxfId="1677" priority="228">
      <formula>S$9&lt;8/24</formula>
    </cfRule>
  </conditionalFormatting>
  <conditionalFormatting sqref="M94:N94">
    <cfRule type="expression" dxfId="1676" priority="221">
      <formula>M$9&gt;=20/24</formula>
    </cfRule>
    <cfRule type="expression" dxfId="1675" priority="222">
      <formula>AND(M$9&gt;=14/24,M$9&lt;20/24)</formula>
    </cfRule>
    <cfRule type="expression" dxfId="1674" priority="223">
      <formula>AND(M$9&gt;=8/24,M$9&lt;14/24)</formula>
    </cfRule>
    <cfRule type="expression" dxfId="1673" priority="224">
      <formula>M$9&lt;8/24</formula>
    </cfRule>
  </conditionalFormatting>
  <conditionalFormatting sqref="G94:L94">
    <cfRule type="expression" dxfId="1672" priority="217">
      <formula>G$9&gt;=20/24</formula>
    </cfRule>
    <cfRule type="expression" dxfId="1671" priority="218">
      <formula>AND(G$9&gt;=14/24,G$9&lt;20/24)</formula>
    </cfRule>
    <cfRule type="expression" dxfId="1670" priority="219">
      <formula>AND(G$9&gt;=8/24,G$9&lt;14/24)</formula>
    </cfRule>
    <cfRule type="expression" dxfId="1669" priority="220">
      <formula>G$9&lt;8/24</formula>
    </cfRule>
  </conditionalFormatting>
  <conditionalFormatting sqref="U94:W94">
    <cfRule type="expression" dxfId="1668" priority="213">
      <formula>U$9&gt;=20/24</formula>
    </cfRule>
    <cfRule type="expression" dxfId="1667" priority="214">
      <formula>AND(U$9&gt;=14/24,U$9&lt;20/24)</formula>
    </cfRule>
    <cfRule type="expression" dxfId="1666" priority="215">
      <formula>AND(U$9&gt;=8/24,U$9&lt;14/24)</formula>
    </cfRule>
    <cfRule type="expression" dxfId="1665" priority="216">
      <formula>U$9&lt;8/24</formula>
    </cfRule>
  </conditionalFormatting>
  <conditionalFormatting sqref="O94:T94">
    <cfRule type="expression" dxfId="1664" priority="209">
      <formula>O$9&gt;=20/24</formula>
    </cfRule>
    <cfRule type="expression" dxfId="1663" priority="210">
      <formula>AND(O$9&gt;=14/24,O$9&lt;20/24)</formula>
    </cfRule>
    <cfRule type="expression" dxfId="1662" priority="211">
      <formula>AND(O$9&gt;=8/24,O$9&lt;14/24)</formula>
    </cfRule>
    <cfRule type="expression" dxfId="1661" priority="212">
      <formula>O$9&lt;8/24</formula>
    </cfRule>
  </conditionalFormatting>
  <conditionalFormatting sqref="U99:AA99">
    <cfRule type="expression" dxfId="1660" priority="205">
      <formula>U$9&gt;=20/24</formula>
    </cfRule>
    <cfRule type="expression" dxfId="1659" priority="206">
      <formula>AND(U$9&gt;=14/24,U$9&lt;20/24)</formula>
    </cfRule>
    <cfRule type="expression" dxfId="1658" priority="207">
      <formula>AND(U$9&gt;=8/24,U$9&lt;14/24)</formula>
    </cfRule>
    <cfRule type="expression" dxfId="1657" priority="208">
      <formula>U$9&lt;8/24</formula>
    </cfRule>
  </conditionalFormatting>
  <conditionalFormatting sqref="C99:N99">
    <cfRule type="expression" dxfId="1656" priority="201">
      <formula>C$9&gt;=20/24</formula>
    </cfRule>
    <cfRule type="expression" dxfId="1655" priority="202">
      <formula>AND(C$9&gt;=14/24,C$9&lt;20/24)</formula>
    </cfRule>
    <cfRule type="expression" dxfId="1654" priority="203">
      <formula>AND(C$9&gt;=8/24,C$9&lt;14/24)</formula>
    </cfRule>
    <cfRule type="expression" dxfId="1653" priority="204">
      <formula>C$9&lt;8/24</formula>
    </cfRule>
  </conditionalFormatting>
  <conditionalFormatting sqref="O99:R99">
    <cfRule type="expression" dxfId="1652" priority="197">
      <formula>O$9&gt;=20/24</formula>
    </cfRule>
    <cfRule type="expression" dxfId="1651" priority="198">
      <formula>AND(O$9&gt;=14/24,O$9&lt;20/24)</formula>
    </cfRule>
    <cfRule type="expression" dxfId="1650" priority="199">
      <formula>AND(O$9&gt;=8/24,O$9&lt;14/24)</formula>
    </cfRule>
    <cfRule type="expression" dxfId="1649" priority="200">
      <formula>O$9&lt;8/24</formula>
    </cfRule>
  </conditionalFormatting>
  <conditionalFormatting sqref="S99:T99">
    <cfRule type="expression" dxfId="1648" priority="193">
      <formula>S$9&gt;=20/24</formula>
    </cfRule>
    <cfRule type="expression" dxfId="1647" priority="194">
      <formula>AND(S$9&gt;=14/24,S$9&lt;20/24)</formula>
    </cfRule>
    <cfRule type="expression" dxfId="1646" priority="195">
      <formula>AND(S$9&gt;=8/24,S$9&lt;14/24)</formula>
    </cfRule>
    <cfRule type="expression" dxfId="1645" priority="196">
      <formula>S$9&lt;8/24</formula>
    </cfRule>
  </conditionalFormatting>
  <conditionalFormatting sqref="V12:W12 Y12:AF16">
    <cfRule type="expression" dxfId="1644" priority="189">
      <formula>V$9&gt;=20/24</formula>
    </cfRule>
    <cfRule type="expression" dxfId="1643" priority="190">
      <formula>AND(V$9&gt;=14/24,V$9&lt;20/24)</formula>
    </cfRule>
    <cfRule type="expression" dxfId="1642" priority="191">
      <formula>AND(V$9&gt;=8/24,V$9&lt;14/24)</formula>
    </cfRule>
    <cfRule type="expression" dxfId="1641" priority="192">
      <formula>V$9&lt;8/24</formula>
    </cfRule>
  </conditionalFormatting>
  <conditionalFormatting sqref="Y17:AF17">
    <cfRule type="expression" dxfId="1640" priority="185">
      <formula>Y$9&gt;=20/24</formula>
    </cfRule>
    <cfRule type="expression" dxfId="1639" priority="186">
      <formula>AND(Y$9&gt;=14/24,Y$9&lt;20/24)</formula>
    </cfRule>
    <cfRule type="expression" dxfId="1638" priority="187">
      <formula>AND(Y$9&gt;=8/24,Y$9&lt;14/24)</formula>
    </cfRule>
    <cfRule type="expression" dxfId="1637" priority="188">
      <formula>Y$9&lt;8/24</formula>
    </cfRule>
  </conditionalFormatting>
  <conditionalFormatting sqref="V12:W12 Y12:AF13">
    <cfRule type="expression" dxfId="1636" priority="181">
      <formula>V$9&gt;=20/24</formula>
    </cfRule>
    <cfRule type="expression" dxfId="1635" priority="182">
      <formula>AND(V$9&gt;=14/24,V$9&lt;20/24)</formula>
    </cfRule>
    <cfRule type="expression" dxfId="1634" priority="183">
      <formula>AND(V$9&gt;=8/24,V$9&lt;14/24)</formula>
    </cfRule>
    <cfRule type="expression" dxfId="1633" priority="184">
      <formula>V$9&lt;8/24</formula>
    </cfRule>
  </conditionalFormatting>
  <conditionalFormatting sqref="AB58:AE59">
    <cfRule type="expression" dxfId="1632" priority="177">
      <formula>AB$9&gt;=20/24</formula>
    </cfRule>
    <cfRule type="expression" dxfId="1631" priority="178">
      <formula>AND(AB$9&gt;=14/24,AB$9&lt;20/24)</formula>
    </cfRule>
    <cfRule type="expression" dxfId="1630" priority="179">
      <formula>AND(AB$9&gt;=8/24,AB$9&lt;14/24)</formula>
    </cfRule>
    <cfRule type="expression" dxfId="1629" priority="180">
      <formula>AB$9&lt;8/24</formula>
    </cfRule>
  </conditionalFormatting>
  <conditionalFormatting sqref="AL3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28" priority="386">
      <formula>C$9&gt;=20/24</formula>
    </cfRule>
    <cfRule type="expression" dxfId="1627" priority="387">
      <formula>AND(C$9&gt;=14/24,C$9&lt;20/24)</formula>
    </cfRule>
    <cfRule type="expression" dxfId="1626" priority="388">
      <formula>AND(C$9&gt;=8/24,C$9&lt;14/24)</formula>
    </cfRule>
    <cfRule type="expression" dxfId="1625" priority="389">
      <formula>C$9&lt;8/24</formula>
    </cfRule>
  </conditionalFormatting>
  <conditionalFormatting sqref="A200">
    <cfRule type="expression" dxfId="1624" priority="390">
      <formula>$AH200=0</formula>
    </cfRule>
  </conditionalFormatting>
  <conditionalFormatting sqref="AG212">
    <cfRule type="expression" dxfId="1623" priority="391">
      <formula>B$9&gt;=20/24</formula>
    </cfRule>
    <cfRule type="expression" dxfId="1622" priority="392">
      <formula>AND(B$9&gt;=14/24,B$9&lt;20/24)</formula>
    </cfRule>
    <cfRule type="expression" dxfId="1621" priority="393">
      <formula>AND(B$9&gt;=8/24,B$9&lt;14/24)</formula>
    </cfRule>
    <cfRule type="expression" dxfId="1620" priority="394">
      <formula>B$9&lt;8/24</formula>
    </cfRule>
  </conditionalFormatting>
  <conditionalFormatting sqref="S8">
    <cfRule type="expression" dxfId="1619" priority="171">
      <formula>U$9&gt;=20/24</formula>
    </cfRule>
    <cfRule type="expression" dxfId="1618" priority="172">
      <formula>AND(U$9&gt;=14/24,U$9&lt;20/24)</formula>
    </cfRule>
    <cfRule type="expression" dxfId="1617" priority="173">
      <formula>AND(U$9&gt;=8/24,U$9&lt;14/24)</formula>
    </cfRule>
    <cfRule type="expression" dxfId="1616" priority="174">
      <formula>U$9&lt;8/24</formula>
    </cfRule>
  </conditionalFormatting>
  <conditionalFormatting sqref="AB8">
    <cfRule type="expression" dxfId="1615" priority="167">
      <formula>AD$9&gt;=20/24</formula>
    </cfRule>
    <cfRule type="expression" dxfId="1614" priority="168">
      <formula>AND(AD$9&gt;=14/24,AD$9&lt;20/24)</formula>
    </cfRule>
    <cfRule type="expression" dxfId="1613" priority="169">
      <formula>AND(AD$9&gt;=8/24,AD$9&lt;14/24)</formula>
    </cfRule>
    <cfRule type="expression" dxfId="1612" priority="170">
      <formula>AD$9&lt;8/24</formula>
    </cfRule>
  </conditionalFormatting>
  <conditionalFormatting sqref="AH212:AX212">
    <cfRule type="expression" dxfId="1611" priority="395">
      <formula>AG$9&gt;=20/24</formula>
    </cfRule>
    <cfRule type="expression" dxfId="1610" priority="396">
      <formula>AND(AG$9&gt;=14/24,AG$9&lt;20/24)</formula>
    </cfRule>
    <cfRule type="expression" dxfId="1609" priority="397">
      <formula>AND(AG$9&gt;=8/24,AG$9&lt;14/24)</formula>
    </cfRule>
    <cfRule type="expression" dxfId="1608" priority="398">
      <formula>AG$9&lt;8/24</formula>
    </cfRule>
  </conditionalFormatting>
  <conditionalFormatting sqref="T212">
    <cfRule type="expression" dxfId="1607" priority="399">
      <formula>AX$9&gt;=20/24</formula>
    </cfRule>
    <cfRule type="expression" dxfId="1606" priority="400">
      <formula>AND(AX$9&gt;=14/24,AX$9&lt;20/24)</formula>
    </cfRule>
    <cfRule type="expression" dxfId="1605" priority="401">
      <formula>AND(AX$9&gt;=8/24,AX$9&lt;14/24)</formula>
    </cfRule>
    <cfRule type="expression" dxfId="1604" priority="402">
      <formula>AX$9&lt;8/24</formula>
    </cfRule>
  </conditionalFormatting>
  <conditionalFormatting sqref="A99">
    <cfRule type="expression" dxfId="1603" priority="166">
      <formula>$AH99=0</formula>
    </cfRule>
  </conditionalFormatting>
  <conditionalFormatting sqref="Y33:AF33">
    <cfRule type="expression" dxfId="1602" priority="162">
      <formula>Y$9&gt;=20/24</formula>
    </cfRule>
    <cfRule type="expression" dxfId="1601" priority="163">
      <formula>AND(Y$9&gt;=14/24,Y$9&lt;20/24)</formula>
    </cfRule>
    <cfRule type="expression" dxfId="1600" priority="164">
      <formula>AND(Y$9&gt;=8/24,Y$9&lt;14/24)</formula>
    </cfRule>
    <cfRule type="expression" dxfId="1599" priority="165">
      <formula>Y$9&lt;8/24</formula>
    </cfRule>
  </conditionalFormatting>
  <conditionalFormatting sqref="B33:R33 Y33:AF33">
    <cfRule type="expression" dxfId="1598" priority="161">
      <formula>B33&gt;$AG33</formula>
    </cfRule>
  </conditionalFormatting>
  <conditionalFormatting sqref="W16 O36:S36 W22">
    <cfRule type="expression" dxfId="1597" priority="157">
      <formula>O$9&gt;=20/24</formula>
    </cfRule>
    <cfRule type="expression" dxfId="1596" priority="158">
      <formula>AND(O$9&gt;=14/24,O$9&lt;20/24)</formula>
    </cfRule>
    <cfRule type="expression" dxfId="1595" priority="159">
      <formula>AND(O$9&gt;=8/24,O$9&lt;14/24)</formula>
    </cfRule>
    <cfRule type="expression" dxfId="1594" priority="160">
      <formula>O$9&lt;8/24</formula>
    </cfRule>
  </conditionalFormatting>
  <conditionalFormatting sqref="W16 O36:S36 W22">
    <cfRule type="expression" dxfId="1593" priority="152">
      <formula>O16&gt;$AG16</formula>
    </cfRule>
  </conditionalFormatting>
  <conditionalFormatting sqref="T36">
    <cfRule type="expression" dxfId="1592" priority="137">
      <formula>T$9&gt;=20/24</formula>
    </cfRule>
    <cfRule type="expression" dxfId="1591" priority="138">
      <formula>AND(T$9&gt;=14/24,T$9&lt;20/24)</formula>
    </cfRule>
    <cfRule type="expression" dxfId="1590" priority="139">
      <formula>AND(T$9&gt;=8/24,T$9&lt;14/24)</formula>
    </cfRule>
    <cfRule type="expression" dxfId="1589" priority="140">
      <formula>T$9&lt;8/24</formula>
    </cfRule>
  </conditionalFormatting>
  <conditionalFormatting sqref="T36">
    <cfRule type="expression" dxfId="1588" priority="136">
      <formula>T36&gt;$AG36</formula>
    </cfRule>
  </conditionalFormatting>
  <conditionalFormatting sqref="U36">
    <cfRule type="expression" dxfId="1587" priority="130">
      <formula>U$9&gt;=20/24</formula>
    </cfRule>
    <cfRule type="expression" dxfId="1586" priority="131">
      <formula>AND(U$9&gt;=14/24,U$9&lt;20/24)</formula>
    </cfRule>
    <cfRule type="expression" dxfId="1585" priority="132">
      <formula>AND(U$9&gt;=8/24,U$9&lt;14/24)</formula>
    </cfRule>
    <cfRule type="expression" dxfId="1584" priority="133">
      <formula>U$9&lt;8/24</formula>
    </cfRule>
  </conditionalFormatting>
  <conditionalFormatting sqref="U36">
    <cfRule type="expression" dxfId="1583" priority="129">
      <formula>U36&gt;$AG36</formula>
    </cfRule>
  </conditionalFormatting>
  <conditionalFormatting sqref="S13:U14 S11:U11">
    <cfRule type="expression" dxfId="1582" priority="125">
      <formula>S$9&gt;=20/24</formula>
    </cfRule>
    <cfRule type="expression" dxfId="1581" priority="126">
      <formula>AND(S$9&gt;=14/24,S$9&lt;20/24)</formula>
    </cfRule>
    <cfRule type="expression" dxfId="1580" priority="127">
      <formula>AND(S$9&gt;=8/24,S$9&lt;14/24)</formula>
    </cfRule>
    <cfRule type="expression" dxfId="1579" priority="128">
      <formula>S$9&lt;8/24</formula>
    </cfRule>
  </conditionalFormatting>
  <conditionalFormatting sqref="S13:U14 S11:U11">
    <cfRule type="expression" dxfId="1578" priority="124">
      <formula>S11&gt;$AG11</formula>
    </cfRule>
  </conditionalFormatting>
  <conditionalFormatting sqref="S15:U15">
    <cfRule type="expression" dxfId="1577" priority="120">
      <formula>S$9&gt;=20/24</formula>
    </cfRule>
    <cfRule type="expression" dxfId="1576" priority="121">
      <formula>AND(S$9&gt;=14/24,S$9&lt;20/24)</formula>
    </cfRule>
    <cfRule type="expression" dxfId="1575" priority="122">
      <formula>AND(S$9&gt;=8/24,S$9&lt;14/24)</formula>
    </cfRule>
    <cfRule type="expression" dxfId="1574" priority="123">
      <formula>S$9&lt;8/24</formula>
    </cfRule>
  </conditionalFormatting>
  <conditionalFormatting sqref="S15:U15">
    <cfRule type="expression" dxfId="1573" priority="119">
      <formula>S15&gt;$AG15</formula>
    </cfRule>
  </conditionalFormatting>
  <conditionalFormatting sqref="S12:U12">
    <cfRule type="expression" dxfId="1572" priority="115">
      <formula>S$9&gt;=20/24</formula>
    </cfRule>
    <cfRule type="expression" dxfId="1571" priority="116">
      <formula>AND(S$9&gt;=14/24,S$9&lt;20/24)</formula>
    </cfRule>
    <cfRule type="expression" dxfId="1570" priority="117">
      <formula>AND(S$9&gt;=8/24,S$9&lt;14/24)</formula>
    </cfRule>
    <cfRule type="expression" dxfId="1569" priority="118">
      <formula>S$9&lt;8/24</formula>
    </cfRule>
  </conditionalFormatting>
  <conditionalFormatting sqref="S12:U12">
    <cfRule type="expression" dxfId="1568" priority="111">
      <formula>S$9&gt;=20/24</formula>
    </cfRule>
    <cfRule type="expression" dxfId="1567" priority="112">
      <formula>AND(S$9&gt;=14/24,S$9&lt;20/24)</formula>
    </cfRule>
    <cfRule type="expression" dxfId="1566" priority="113">
      <formula>AND(S$9&gt;=8/24,S$9&lt;14/24)</formula>
    </cfRule>
    <cfRule type="expression" dxfId="1565" priority="114">
      <formula>S$9&lt;8/24</formula>
    </cfRule>
  </conditionalFormatting>
  <conditionalFormatting sqref="S16:U32">
    <cfRule type="expression" dxfId="1564" priority="107">
      <formula>S$9&gt;=20/24</formula>
    </cfRule>
    <cfRule type="expression" dxfId="1563" priority="108">
      <formula>AND(S$9&gt;=14/24,S$9&lt;20/24)</formula>
    </cfRule>
    <cfRule type="expression" dxfId="1562" priority="109">
      <formula>AND(S$9&gt;=8/24,S$9&lt;14/24)</formula>
    </cfRule>
    <cfRule type="expression" dxfId="1561" priority="110">
      <formula>S$9&lt;8/24</formula>
    </cfRule>
  </conditionalFormatting>
  <conditionalFormatting sqref="S35:U35">
    <cfRule type="expression" dxfId="1560" priority="103">
      <formula>S$9&gt;=20/24</formula>
    </cfRule>
    <cfRule type="expression" dxfId="1559" priority="104">
      <formula>AND(S$9&gt;=14/24,S$9&lt;20/24)</formula>
    </cfRule>
    <cfRule type="expression" dxfId="1558" priority="105">
      <formula>AND(S$9&gt;=8/24,S$9&lt;14/24)</formula>
    </cfRule>
    <cfRule type="expression" dxfId="1557" priority="106">
      <formula>S$9&lt;8/24</formula>
    </cfRule>
  </conditionalFormatting>
  <conditionalFormatting sqref="S16:U32 S34:U35">
    <cfRule type="expression" dxfId="1556" priority="102">
      <formula>S16&gt;$AG16</formula>
    </cfRule>
  </conditionalFormatting>
  <conditionalFormatting sqref="S34:U34">
    <cfRule type="expression" dxfId="1555" priority="98">
      <formula>S$9&gt;=20/24</formula>
    </cfRule>
    <cfRule type="expression" dxfId="1554" priority="99">
      <formula>AND(S$9&gt;=14/24,S$9&lt;20/24)</formula>
    </cfRule>
    <cfRule type="expression" dxfId="1553" priority="100">
      <formula>AND(S$9&gt;=8/24,S$9&lt;14/24)</formula>
    </cfRule>
    <cfRule type="expression" dxfId="1552" priority="101">
      <formula>S$9&lt;8/24</formula>
    </cfRule>
  </conditionalFormatting>
  <conditionalFormatting sqref="S33:U33">
    <cfRule type="expression" dxfId="1551" priority="94">
      <formula>S$9&gt;=20/24</formula>
    </cfRule>
    <cfRule type="expression" dxfId="1550" priority="95">
      <formula>AND(S$9&gt;=14/24,S$9&lt;20/24)</formula>
    </cfRule>
    <cfRule type="expression" dxfId="1549" priority="96">
      <formula>AND(S$9&gt;=8/24,S$9&lt;14/24)</formula>
    </cfRule>
    <cfRule type="expression" dxfId="1548" priority="97">
      <formula>S$9&lt;8/24</formula>
    </cfRule>
  </conditionalFormatting>
  <conditionalFormatting sqref="S33:U33">
    <cfRule type="expression" dxfId="1547" priority="93">
      <formula>S33&gt;$AG33</formula>
    </cfRule>
  </conditionalFormatting>
  <conditionalFormatting sqref="V36">
    <cfRule type="expression" dxfId="1546" priority="89">
      <formula>V$9&gt;=20/24</formula>
    </cfRule>
    <cfRule type="expression" dxfId="1545" priority="90">
      <formula>AND(V$9&gt;=14/24,V$9&lt;20/24)</formula>
    </cfRule>
    <cfRule type="expression" dxfId="1544" priority="91">
      <formula>AND(V$9&gt;=8/24,V$9&lt;14/24)</formula>
    </cfRule>
    <cfRule type="expression" dxfId="1543" priority="92">
      <formula>V$9&lt;8/24</formula>
    </cfRule>
  </conditionalFormatting>
  <conditionalFormatting sqref="V36">
    <cfRule type="expression" dxfId="1542" priority="88">
      <formula>V36&gt;$AG36</formula>
    </cfRule>
  </conditionalFormatting>
  <conditionalFormatting sqref="V16:V32">
    <cfRule type="expression" dxfId="1541" priority="84">
      <formula>V$9&gt;=20/24</formula>
    </cfRule>
    <cfRule type="expression" dxfId="1540" priority="85">
      <formula>AND(V$9&gt;=14/24,V$9&lt;20/24)</formula>
    </cfRule>
    <cfRule type="expression" dxfId="1539" priority="86">
      <formula>AND(V$9&gt;=8/24,V$9&lt;14/24)</formula>
    </cfRule>
    <cfRule type="expression" dxfId="1538" priority="87">
      <formula>V$9&lt;8/24</formula>
    </cfRule>
  </conditionalFormatting>
  <conditionalFormatting sqref="V35">
    <cfRule type="expression" dxfId="1537" priority="80">
      <formula>V$9&gt;=20/24</formula>
    </cfRule>
    <cfRule type="expression" dxfId="1536" priority="81">
      <formula>AND(V$9&gt;=14/24,V$9&lt;20/24)</formula>
    </cfRule>
    <cfRule type="expression" dxfId="1535" priority="82">
      <formula>AND(V$9&gt;=8/24,V$9&lt;14/24)</formula>
    </cfRule>
    <cfRule type="expression" dxfId="1534" priority="83">
      <formula>V$9&lt;8/24</formula>
    </cfRule>
  </conditionalFormatting>
  <conditionalFormatting sqref="V16:V32 V34:V35">
    <cfRule type="expression" dxfId="1533" priority="79">
      <formula>V16&gt;$AG16</formula>
    </cfRule>
  </conditionalFormatting>
  <conditionalFormatting sqref="V34">
    <cfRule type="expression" dxfId="1532" priority="75">
      <formula>V$9&gt;=20/24</formula>
    </cfRule>
    <cfRule type="expression" dxfId="1531" priority="76">
      <formula>AND(V$9&gt;=14/24,V$9&lt;20/24)</formula>
    </cfRule>
    <cfRule type="expression" dxfId="1530" priority="77">
      <formula>AND(V$9&gt;=8/24,V$9&lt;14/24)</formula>
    </cfRule>
    <cfRule type="expression" dxfId="1529" priority="78">
      <formula>V$9&lt;8/24</formula>
    </cfRule>
  </conditionalFormatting>
  <conditionalFormatting sqref="V33">
    <cfRule type="expression" dxfId="1528" priority="71">
      <formula>V$9&gt;=20/24</formula>
    </cfRule>
    <cfRule type="expression" dxfId="1527" priority="72">
      <formula>AND(V$9&gt;=14/24,V$9&lt;20/24)</formula>
    </cfRule>
    <cfRule type="expression" dxfId="1526" priority="73">
      <formula>AND(V$9&gt;=8/24,V$9&lt;14/24)</formula>
    </cfRule>
    <cfRule type="expression" dxfId="1525" priority="74">
      <formula>V$9&lt;8/24</formula>
    </cfRule>
  </conditionalFormatting>
  <conditionalFormatting sqref="V33">
    <cfRule type="expression" dxfId="1524" priority="70">
      <formula>V33&gt;$AG33</formula>
    </cfRule>
  </conditionalFormatting>
  <conditionalFormatting sqref="W17:W21">
    <cfRule type="expression" dxfId="1523" priority="66">
      <formula>W$9&gt;=20/24</formula>
    </cfRule>
    <cfRule type="expression" dxfId="1522" priority="67">
      <formula>AND(W$9&gt;=14/24,W$9&lt;20/24)</formula>
    </cfRule>
    <cfRule type="expression" dxfId="1521" priority="68">
      <formula>AND(W$9&gt;=8/24,W$9&lt;14/24)</formula>
    </cfRule>
    <cfRule type="expression" dxfId="1520" priority="69">
      <formula>W$9&lt;8/24</formula>
    </cfRule>
  </conditionalFormatting>
  <conditionalFormatting sqref="W17:W21">
    <cfRule type="expression" dxfId="1519" priority="65">
      <formula>W17&gt;$AG17</formula>
    </cfRule>
  </conditionalFormatting>
  <conditionalFormatting sqref="W23:W32">
    <cfRule type="expression" dxfId="1518" priority="61">
      <formula>W$9&gt;=20/24</formula>
    </cfRule>
    <cfRule type="expression" dxfId="1517" priority="62">
      <formula>AND(W$9&gt;=14/24,W$9&lt;20/24)</formula>
    </cfRule>
    <cfRule type="expression" dxfId="1516" priority="63">
      <formula>AND(W$9&gt;=8/24,W$9&lt;14/24)</formula>
    </cfRule>
    <cfRule type="expression" dxfId="1515" priority="64">
      <formula>W$9&lt;8/24</formula>
    </cfRule>
  </conditionalFormatting>
  <conditionalFormatting sqref="W35">
    <cfRule type="expression" dxfId="1514" priority="57">
      <formula>W$9&gt;=20/24</formula>
    </cfRule>
    <cfRule type="expression" dxfId="1513" priority="58">
      <formula>AND(W$9&gt;=14/24,W$9&lt;20/24)</formula>
    </cfRule>
    <cfRule type="expression" dxfId="1512" priority="59">
      <formula>AND(W$9&gt;=8/24,W$9&lt;14/24)</formula>
    </cfRule>
    <cfRule type="expression" dxfId="1511" priority="60">
      <formula>W$9&lt;8/24</formula>
    </cfRule>
  </conditionalFormatting>
  <conditionalFormatting sqref="W23:W32 W34:W35">
    <cfRule type="expression" dxfId="1510" priority="56">
      <formula>W23&gt;$AG23</formula>
    </cfRule>
  </conditionalFormatting>
  <conditionalFormatting sqref="W34">
    <cfRule type="expression" dxfId="1509" priority="52">
      <formula>W$9&gt;=20/24</formula>
    </cfRule>
    <cfRule type="expression" dxfId="1508" priority="53">
      <formula>AND(W$9&gt;=14/24,W$9&lt;20/24)</formula>
    </cfRule>
    <cfRule type="expression" dxfId="1507" priority="54">
      <formula>AND(W$9&gt;=8/24,W$9&lt;14/24)</formula>
    </cfRule>
    <cfRule type="expression" dxfId="1506" priority="55">
      <formula>W$9&lt;8/24</formula>
    </cfRule>
  </conditionalFormatting>
  <conditionalFormatting sqref="W33">
    <cfRule type="expression" dxfId="1505" priority="48">
      <formula>W$9&gt;=20/24</formula>
    </cfRule>
    <cfRule type="expression" dxfId="1504" priority="49">
      <formula>AND(W$9&gt;=14/24,W$9&lt;20/24)</formula>
    </cfRule>
    <cfRule type="expression" dxfId="1503" priority="50">
      <formula>AND(W$9&gt;=8/24,W$9&lt;14/24)</formula>
    </cfRule>
    <cfRule type="expression" dxfId="1502" priority="51">
      <formula>W$9&lt;8/24</formula>
    </cfRule>
  </conditionalFormatting>
  <conditionalFormatting sqref="W33">
    <cfRule type="expression" dxfId="1501" priority="47">
      <formula>W33&gt;$AG33</formula>
    </cfRule>
  </conditionalFormatting>
  <conditionalFormatting sqref="X13:X14 X36">
    <cfRule type="expression" dxfId="1500" priority="43">
      <formula>X$9&gt;=20/24</formula>
    </cfRule>
    <cfRule type="expression" dxfId="1499" priority="44">
      <formula>AND(X$9&gt;=14/24,X$9&lt;20/24)</formula>
    </cfRule>
    <cfRule type="expression" dxfId="1498" priority="45">
      <formula>AND(X$9&gt;=8/24,X$9&lt;14/24)</formula>
    </cfRule>
    <cfRule type="expression" dxfId="1497" priority="46">
      <formula>X$9&lt;8/24</formula>
    </cfRule>
  </conditionalFormatting>
  <conditionalFormatting sqref="X36 X13:X14">
    <cfRule type="expression" dxfId="1496" priority="42">
      <formula>X13&gt;$AG13</formula>
    </cfRule>
  </conditionalFormatting>
  <conditionalFormatting sqref="X15">
    <cfRule type="expression" dxfId="1495" priority="38">
      <formula>X$9&gt;=20/24</formula>
    </cfRule>
    <cfRule type="expression" dxfId="1494" priority="39">
      <formula>AND(X$9&gt;=14/24,X$9&lt;20/24)</formula>
    </cfRule>
    <cfRule type="expression" dxfId="1493" priority="40">
      <formula>AND(X$9&gt;=8/24,X$9&lt;14/24)</formula>
    </cfRule>
    <cfRule type="expression" dxfId="1492" priority="41">
      <formula>X$9&lt;8/24</formula>
    </cfRule>
  </conditionalFormatting>
  <conditionalFormatting sqref="X15">
    <cfRule type="expression" dxfId="1491" priority="37">
      <formula>X15&gt;$AG15</formula>
    </cfRule>
  </conditionalFormatting>
  <conditionalFormatting sqref="X12">
    <cfRule type="expression" dxfId="1490" priority="33">
      <formula>X$9&gt;=20/24</formula>
    </cfRule>
    <cfRule type="expression" dxfId="1489" priority="34">
      <formula>AND(X$9&gt;=14/24,X$9&lt;20/24)</formula>
    </cfRule>
    <cfRule type="expression" dxfId="1488" priority="35">
      <formula>AND(X$9&gt;=8/24,X$9&lt;14/24)</formula>
    </cfRule>
    <cfRule type="expression" dxfId="1487" priority="36">
      <formula>X$9&lt;8/24</formula>
    </cfRule>
  </conditionalFormatting>
  <conditionalFormatting sqref="X12">
    <cfRule type="expression" dxfId="1486" priority="29">
      <formula>X$9&gt;=20/24</formula>
    </cfRule>
    <cfRule type="expression" dxfId="1485" priority="30">
      <formula>AND(X$9&gt;=14/24,X$9&lt;20/24)</formula>
    </cfRule>
    <cfRule type="expression" dxfId="1484" priority="31">
      <formula>AND(X$9&gt;=8/24,X$9&lt;14/24)</formula>
    </cfRule>
    <cfRule type="expression" dxfId="1483" priority="32">
      <formula>X$9&lt;8/24</formula>
    </cfRule>
  </conditionalFormatting>
  <conditionalFormatting sqref="X16 X22">
    <cfRule type="expression" dxfId="1482" priority="25">
      <formula>X$9&gt;=20/24</formula>
    </cfRule>
    <cfRule type="expression" dxfId="1481" priority="26">
      <formula>AND(X$9&gt;=14/24,X$9&lt;20/24)</formula>
    </cfRule>
    <cfRule type="expression" dxfId="1480" priority="27">
      <formula>AND(X$9&gt;=8/24,X$9&lt;14/24)</formula>
    </cfRule>
    <cfRule type="expression" dxfId="1479" priority="28">
      <formula>X$9&lt;8/24</formula>
    </cfRule>
  </conditionalFormatting>
  <conditionalFormatting sqref="X16 X22">
    <cfRule type="expression" dxfId="1478" priority="24">
      <formula>X16&gt;$AG16</formula>
    </cfRule>
  </conditionalFormatting>
  <conditionalFormatting sqref="X17:X21">
    <cfRule type="expression" dxfId="1477" priority="20">
      <formula>X$9&gt;=20/24</formula>
    </cfRule>
    <cfRule type="expression" dxfId="1476" priority="21">
      <formula>AND(X$9&gt;=14/24,X$9&lt;20/24)</formula>
    </cfRule>
    <cfRule type="expression" dxfId="1475" priority="22">
      <formula>AND(X$9&gt;=8/24,X$9&lt;14/24)</formula>
    </cfRule>
    <cfRule type="expression" dxfId="1474" priority="23">
      <formula>X$9&lt;8/24</formula>
    </cfRule>
  </conditionalFormatting>
  <conditionalFormatting sqref="X17:X21">
    <cfRule type="expression" dxfId="1473" priority="19">
      <formula>X17&gt;$AG17</formula>
    </cfRule>
  </conditionalFormatting>
  <conditionalFormatting sqref="X23:X32">
    <cfRule type="expression" dxfId="1472" priority="15">
      <formula>X$9&gt;=20/24</formula>
    </cfRule>
    <cfRule type="expression" dxfId="1471" priority="16">
      <formula>AND(X$9&gt;=14/24,X$9&lt;20/24)</formula>
    </cfRule>
    <cfRule type="expression" dxfId="1470" priority="17">
      <formula>AND(X$9&gt;=8/24,X$9&lt;14/24)</formula>
    </cfRule>
    <cfRule type="expression" dxfId="1469" priority="18">
      <formula>X$9&lt;8/24</formula>
    </cfRule>
  </conditionalFormatting>
  <conditionalFormatting sqref="X35">
    <cfRule type="expression" dxfId="1468" priority="11">
      <formula>X$9&gt;=20/24</formula>
    </cfRule>
    <cfRule type="expression" dxfId="1467" priority="12">
      <formula>AND(X$9&gt;=14/24,X$9&lt;20/24)</formula>
    </cfRule>
    <cfRule type="expression" dxfId="1466" priority="13">
      <formula>AND(X$9&gt;=8/24,X$9&lt;14/24)</formula>
    </cfRule>
    <cfRule type="expression" dxfId="1465" priority="14">
      <formula>X$9&lt;8/24</formula>
    </cfRule>
  </conditionalFormatting>
  <conditionalFormatting sqref="X23:X32 X34:X35">
    <cfRule type="expression" dxfId="1464" priority="10">
      <formula>X23&gt;$AG23</formula>
    </cfRule>
  </conditionalFormatting>
  <conditionalFormatting sqref="X34">
    <cfRule type="expression" dxfId="1463" priority="6">
      <formula>X$9&gt;=20/24</formula>
    </cfRule>
    <cfRule type="expression" dxfId="1462" priority="7">
      <formula>AND(X$9&gt;=14/24,X$9&lt;20/24)</formula>
    </cfRule>
    <cfRule type="expression" dxfId="1461" priority="8">
      <formula>AND(X$9&gt;=8/24,X$9&lt;14/24)</formula>
    </cfRule>
    <cfRule type="expression" dxfId="1460" priority="9">
      <formula>X$9&lt;8/24</formula>
    </cfRule>
  </conditionalFormatting>
  <conditionalFormatting sqref="X33">
    <cfRule type="expression" dxfId="1459" priority="2">
      <formula>X$9&gt;=20/24</formula>
    </cfRule>
    <cfRule type="expression" dxfId="1458" priority="3">
      <formula>AND(X$9&gt;=14/24,X$9&lt;20/24)</formula>
    </cfRule>
    <cfRule type="expression" dxfId="1457" priority="4">
      <formula>AND(X$9&gt;=8/24,X$9&lt;14/24)</formula>
    </cfRule>
    <cfRule type="expression" dxfId="1456" priority="5">
      <formula>X$9&lt;8/24</formula>
    </cfRule>
  </conditionalFormatting>
  <conditionalFormatting sqref="X33">
    <cfRule type="expression" dxfId="1455" priority="1">
      <formula>X33&gt;$AG33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6" id="{6B4A1DB1-942F-4F64-AA10-E6F16B15607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43" sqref="AE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.28515625" customWidth="1"/>
    <col min="12" max="13" width="7.140625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2078/10/28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448.5</v>
      </c>
      <c r="C5" s="32">
        <f t="shared" si="0"/>
        <v>416</v>
      </c>
      <c r="D5" s="32">
        <f t="shared" si="0"/>
        <v>395</v>
      </c>
      <c r="E5" s="32">
        <f t="shared" si="0"/>
        <v>376</v>
      </c>
      <c r="F5" s="32">
        <f t="shared" si="0"/>
        <v>392</v>
      </c>
      <c r="G5" s="32">
        <f t="shared" si="0"/>
        <v>399</v>
      </c>
      <c r="H5" s="32">
        <f t="shared" si="0"/>
        <v>424</v>
      </c>
      <c r="I5" s="32">
        <f t="shared" si="0"/>
        <v>441</v>
      </c>
      <c r="J5" s="32">
        <f t="shared" si="0"/>
        <v>491</v>
      </c>
      <c r="K5" s="32">
        <f t="shared" si="0"/>
        <v>266.7</v>
      </c>
      <c r="L5" s="32">
        <f t="shared" si="0"/>
        <v>560.29999999999995</v>
      </c>
      <c r="M5" s="32">
        <f t="shared" si="0"/>
        <v>516.79999999999995</v>
      </c>
      <c r="N5" s="32">
        <f t="shared" si="0"/>
        <v>517.70000000000005</v>
      </c>
      <c r="O5" s="32">
        <f t="shared" si="0"/>
        <v>493.5</v>
      </c>
      <c r="P5" s="32">
        <f t="shared" si="0"/>
        <v>534.78000000000009</v>
      </c>
      <c r="Q5" s="32">
        <f t="shared" si="0"/>
        <v>549.4</v>
      </c>
      <c r="R5" s="32">
        <f t="shared" si="0"/>
        <v>547</v>
      </c>
      <c r="S5" s="32">
        <f t="shared" si="0"/>
        <v>545.20000000000005</v>
      </c>
      <c r="T5" s="32">
        <f t="shared" si="0"/>
        <v>544.1</v>
      </c>
      <c r="U5" s="32">
        <f t="shared" si="0"/>
        <v>372.5</v>
      </c>
      <c r="V5" s="32">
        <f t="shared" si="0"/>
        <v>363.09999999999997</v>
      </c>
      <c r="W5" s="32">
        <f t="shared" si="0"/>
        <v>387.59999999999997</v>
      </c>
      <c r="X5" s="32">
        <f t="shared" si="0"/>
        <v>428.5</v>
      </c>
      <c r="Y5" s="32">
        <f t="shared" si="0"/>
        <v>307.60000000000002</v>
      </c>
      <c r="Z5" s="32">
        <f t="shared" si="0"/>
        <v>362.70000000000005</v>
      </c>
      <c r="AA5" s="32">
        <f t="shared" si="0"/>
        <v>482.79999999999995</v>
      </c>
      <c r="AB5" s="32">
        <f t="shared" si="0"/>
        <v>477.2</v>
      </c>
      <c r="AC5" s="32">
        <f t="shared" si="0"/>
        <v>562.29999999999995</v>
      </c>
      <c r="AD5" s="32">
        <f t="shared" si="0"/>
        <v>479.6</v>
      </c>
      <c r="AE5" s="32">
        <f t="shared" si="0"/>
        <v>422</v>
      </c>
      <c r="AF5" s="32">
        <f>B68</f>
        <v>447.8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1569MW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Load=929</v>
      </c>
      <c r="B7" s="37">
        <f>B75</f>
        <v>1022.64</v>
      </c>
      <c r="C7" s="37">
        <f t="shared" ref="C7:AF7" si="1">C75</f>
        <v>967.93999999999994</v>
      </c>
      <c r="D7" s="37">
        <f t="shared" si="1"/>
        <v>950.33999999999992</v>
      </c>
      <c r="E7" s="37">
        <f t="shared" si="1"/>
        <v>929.33999999999992</v>
      </c>
      <c r="F7" s="37">
        <f t="shared" si="1"/>
        <v>930.93999999999994</v>
      </c>
      <c r="G7" s="37">
        <f t="shared" si="1"/>
        <v>972.93999999999994</v>
      </c>
      <c r="H7" s="37">
        <f t="shared" si="1"/>
        <v>1013.64</v>
      </c>
      <c r="I7" s="37">
        <f t="shared" si="1"/>
        <v>1113.3399999999999</v>
      </c>
      <c r="J7" s="37">
        <f t="shared" si="1"/>
        <v>1199.04</v>
      </c>
      <c r="K7" s="37">
        <f t="shared" si="1"/>
        <v>1327.6399999999999</v>
      </c>
      <c r="L7" s="37">
        <f t="shared" si="1"/>
        <v>1334.94</v>
      </c>
      <c r="M7" s="37">
        <f t="shared" si="1"/>
        <v>1569.34</v>
      </c>
      <c r="N7" s="37">
        <f t="shared" si="1"/>
        <v>1523.04</v>
      </c>
      <c r="O7" s="37">
        <f t="shared" si="1"/>
        <v>1459.94</v>
      </c>
      <c r="P7" s="37">
        <f t="shared" si="1"/>
        <v>1410.44</v>
      </c>
      <c r="Q7" s="37">
        <f t="shared" si="1"/>
        <v>1278.6199999999999</v>
      </c>
      <c r="R7" s="37">
        <f t="shared" si="1"/>
        <v>1233.74</v>
      </c>
      <c r="S7" s="37">
        <f t="shared" si="1"/>
        <v>1223.6400000000001</v>
      </c>
      <c r="T7" s="37">
        <f t="shared" si="1"/>
        <v>1233.1399999999999</v>
      </c>
      <c r="U7" s="37">
        <f t="shared" si="1"/>
        <v>1259.74</v>
      </c>
      <c r="V7" s="37">
        <f t="shared" si="1"/>
        <v>1264.54</v>
      </c>
      <c r="W7" s="37">
        <f t="shared" si="1"/>
        <v>1348.44</v>
      </c>
      <c r="X7" s="37">
        <f t="shared" si="1"/>
        <v>1446.74</v>
      </c>
      <c r="Y7" s="37">
        <f t="shared" si="1"/>
        <v>1595.74</v>
      </c>
      <c r="Z7" s="37">
        <f t="shared" si="1"/>
        <v>1567.6400000000003</v>
      </c>
      <c r="AA7" s="37">
        <f t="shared" si="1"/>
        <v>1549.54</v>
      </c>
      <c r="AB7" s="37">
        <f t="shared" si="1"/>
        <v>1445.1399999999999</v>
      </c>
      <c r="AC7" s="37">
        <f t="shared" si="1"/>
        <v>1423.2399999999998</v>
      </c>
      <c r="AD7" s="37">
        <f t="shared" si="1"/>
        <v>1443.3400000000001</v>
      </c>
      <c r="AE7" s="37">
        <f t="shared" si="1"/>
        <v>1188.9399999999998</v>
      </c>
      <c r="AF7" s="37">
        <f t="shared" si="1"/>
        <v>1084.74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12</v>
      </c>
      <c r="C11" s="50">
        <v>12</v>
      </c>
      <c r="D11" s="50">
        <v>12</v>
      </c>
      <c r="E11" s="50">
        <v>12</v>
      </c>
      <c r="F11" s="50">
        <v>15</v>
      </c>
      <c r="G11" s="50">
        <v>30</v>
      </c>
      <c r="H11" s="50">
        <v>40</v>
      </c>
      <c r="I11" s="50">
        <v>20</v>
      </c>
      <c r="J11" s="50">
        <v>40</v>
      </c>
      <c r="K11" s="50">
        <v>52.5</v>
      </c>
      <c r="L11" s="50">
        <v>280</v>
      </c>
      <c r="M11" s="50">
        <v>140</v>
      </c>
      <c r="N11" s="50">
        <v>115</v>
      </c>
      <c r="O11" s="50">
        <v>80</v>
      </c>
      <c r="P11" s="50">
        <v>90</v>
      </c>
      <c r="Q11" s="50">
        <v>40</v>
      </c>
      <c r="R11" s="50">
        <v>12</v>
      </c>
      <c r="S11" s="57">
        <v>12</v>
      </c>
      <c r="T11" s="50">
        <v>12</v>
      </c>
      <c r="U11" s="50">
        <v>12</v>
      </c>
      <c r="V11" s="50">
        <v>180</v>
      </c>
      <c r="W11" s="50">
        <v>207</v>
      </c>
      <c r="X11" s="50">
        <v>250</v>
      </c>
      <c r="Y11" s="50">
        <v>280</v>
      </c>
      <c r="Z11" s="51">
        <v>370</v>
      </c>
      <c r="AA11" s="51">
        <v>300</v>
      </c>
      <c r="AB11" s="51">
        <v>150</v>
      </c>
      <c r="AC11" s="51">
        <v>150</v>
      </c>
      <c r="AD11" s="51">
        <v>150</v>
      </c>
      <c r="AE11" s="50">
        <v>40</v>
      </c>
      <c r="AF11" s="50">
        <v>40</v>
      </c>
      <c r="AG11" s="52">
        <v>456</v>
      </c>
      <c r="AH11" s="53">
        <f>MAX(B11:AF11)</f>
        <v>370</v>
      </c>
      <c r="AI11" s="54">
        <f>MIN(B11:AF11)</f>
        <v>12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7">
        <v>33</v>
      </c>
      <c r="C12" s="57">
        <v>33</v>
      </c>
      <c r="D12" s="57">
        <v>33</v>
      </c>
      <c r="E12" s="57">
        <v>33</v>
      </c>
      <c r="F12" s="57">
        <v>33</v>
      </c>
      <c r="G12" s="57">
        <v>33</v>
      </c>
      <c r="H12" s="57">
        <v>33</v>
      </c>
      <c r="I12" s="57">
        <v>33</v>
      </c>
      <c r="J12" s="57">
        <v>33</v>
      </c>
      <c r="K12" s="57">
        <v>33</v>
      </c>
      <c r="L12" s="57">
        <v>33</v>
      </c>
      <c r="M12" s="49">
        <v>33</v>
      </c>
      <c r="N12" s="49">
        <v>33</v>
      </c>
      <c r="O12" s="49">
        <v>33</v>
      </c>
      <c r="P12" s="49">
        <v>33</v>
      </c>
      <c r="Q12" s="49">
        <v>33</v>
      </c>
      <c r="R12" s="49">
        <v>33</v>
      </c>
      <c r="S12" s="49">
        <v>33</v>
      </c>
      <c r="T12" s="57">
        <v>33</v>
      </c>
      <c r="U12" s="57">
        <v>33</v>
      </c>
      <c r="V12" s="57">
        <v>33</v>
      </c>
      <c r="W12" s="57">
        <v>33</v>
      </c>
      <c r="X12" s="57">
        <v>33</v>
      </c>
      <c r="Y12" s="57">
        <v>33</v>
      </c>
      <c r="Z12" s="57">
        <v>33</v>
      </c>
      <c r="AA12" s="57">
        <v>33</v>
      </c>
      <c r="AB12" s="57">
        <v>33</v>
      </c>
      <c r="AC12" s="57">
        <v>33</v>
      </c>
      <c r="AD12" s="57">
        <v>33</v>
      </c>
      <c r="AE12" s="57">
        <v>33</v>
      </c>
      <c r="AF12" s="57">
        <v>33</v>
      </c>
      <c r="AG12" s="58">
        <v>60</v>
      </c>
      <c r="AH12" s="53">
        <f t="shared" ref="AH12:AH75" si="2">MAX(B12:AF12)</f>
        <v>33</v>
      </c>
      <c r="AI12" s="54">
        <f t="shared" ref="AI12:AI75" si="3">MIN(B12:AF12)</f>
        <v>33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19.3</v>
      </c>
      <c r="C13" s="57">
        <v>19.3</v>
      </c>
      <c r="D13" s="57">
        <v>19.3</v>
      </c>
      <c r="E13" s="57">
        <v>19.3</v>
      </c>
      <c r="F13" s="57">
        <v>19.3</v>
      </c>
      <c r="G13" s="57">
        <v>19.3</v>
      </c>
      <c r="H13" s="57">
        <v>19.3</v>
      </c>
      <c r="I13" s="57">
        <v>19.3</v>
      </c>
      <c r="J13" s="57">
        <v>19.3</v>
      </c>
      <c r="K13" s="57">
        <v>19.3</v>
      </c>
      <c r="L13" s="57">
        <v>19.3</v>
      </c>
      <c r="M13" s="49">
        <v>19.3</v>
      </c>
      <c r="N13" s="49">
        <v>19.3</v>
      </c>
      <c r="O13" s="49">
        <v>19.3</v>
      </c>
      <c r="P13" s="49">
        <v>19.3</v>
      </c>
      <c r="Q13" s="49">
        <v>19.3</v>
      </c>
      <c r="R13" s="49">
        <v>19.3</v>
      </c>
      <c r="S13" s="50">
        <v>19.3</v>
      </c>
      <c r="T13" s="49">
        <v>19.600000000000001</v>
      </c>
      <c r="U13" s="49">
        <v>19.600000000000001</v>
      </c>
      <c r="V13" s="49">
        <v>19.3</v>
      </c>
      <c r="W13" s="49">
        <v>19.3</v>
      </c>
      <c r="X13" s="49">
        <v>19.3</v>
      </c>
      <c r="Y13" s="57">
        <v>20.8</v>
      </c>
      <c r="Z13" s="57">
        <v>20.8</v>
      </c>
      <c r="AA13" s="57">
        <v>19.100000000000001</v>
      </c>
      <c r="AB13" s="57">
        <v>19.100000000000001</v>
      </c>
      <c r="AC13" s="57">
        <v>17.899999999999999</v>
      </c>
      <c r="AD13" s="57">
        <v>17.899999999999999</v>
      </c>
      <c r="AE13" s="57">
        <v>17.899999999999999</v>
      </c>
      <c r="AF13" s="57">
        <v>17.899999999999999</v>
      </c>
      <c r="AG13" s="58">
        <v>52.4</v>
      </c>
      <c r="AH13" s="53">
        <f t="shared" si="2"/>
        <v>20.8</v>
      </c>
      <c r="AI13" s="54">
        <f t="shared" si="3"/>
        <v>17.899999999999999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37.700000000000003</v>
      </c>
      <c r="C14" s="59">
        <v>37.700000000000003</v>
      </c>
      <c r="D14" s="59">
        <v>37.700000000000003</v>
      </c>
      <c r="E14" s="59">
        <v>37.700000000000003</v>
      </c>
      <c r="F14" s="59">
        <v>37.700000000000003</v>
      </c>
      <c r="G14" s="59">
        <v>37.700000000000003</v>
      </c>
      <c r="H14" s="59">
        <v>37.700000000000003</v>
      </c>
      <c r="I14" s="59">
        <v>37.700000000000003</v>
      </c>
      <c r="J14" s="59">
        <v>37.700000000000003</v>
      </c>
      <c r="K14" s="59">
        <v>37.700000000000003</v>
      </c>
      <c r="L14" s="59">
        <v>37.700000000000003</v>
      </c>
      <c r="M14" s="49">
        <v>37.700000000000003</v>
      </c>
      <c r="N14" s="49">
        <v>36.700000000000003</v>
      </c>
      <c r="O14" s="49">
        <v>36.700000000000003</v>
      </c>
      <c r="P14" s="49">
        <v>36.700000000000003</v>
      </c>
      <c r="Q14" s="49">
        <v>36.700000000000003</v>
      </c>
      <c r="R14" s="49">
        <v>36.700000000000003</v>
      </c>
      <c r="S14" s="50">
        <v>36.700000000000003</v>
      </c>
      <c r="T14" s="50">
        <v>36.700000000000003</v>
      </c>
      <c r="U14" s="50">
        <v>36.700000000000003</v>
      </c>
      <c r="V14" s="50">
        <v>35.6</v>
      </c>
      <c r="W14" s="50">
        <v>35.6</v>
      </c>
      <c r="X14" s="50">
        <v>35.6</v>
      </c>
      <c r="Y14" s="59">
        <v>34.299999999999997</v>
      </c>
      <c r="Z14" s="59">
        <v>34.299999999999997</v>
      </c>
      <c r="AA14" s="59">
        <v>34.299999999999997</v>
      </c>
      <c r="AB14" s="59">
        <v>34.299999999999997</v>
      </c>
      <c r="AC14" s="59">
        <v>34.299999999999997</v>
      </c>
      <c r="AD14" s="59">
        <v>34.299999999999997</v>
      </c>
      <c r="AE14" s="59">
        <v>34.299999999999997</v>
      </c>
      <c r="AF14" s="59">
        <v>34.299999999999997</v>
      </c>
      <c r="AG14" s="58">
        <v>50</v>
      </c>
      <c r="AH14" s="53">
        <f t="shared" si="2"/>
        <v>37.700000000000003</v>
      </c>
      <c r="AI14" s="54">
        <f t="shared" si="3"/>
        <v>34.299999999999997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22.6</v>
      </c>
      <c r="C15" s="59">
        <v>22.6</v>
      </c>
      <c r="D15" s="59">
        <v>22.6</v>
      </c>
      <c r="E15" s="59">
        <v>22.6</v>
      </c>
      <c r="F15" s="59">
        <v>21.1</v>
      </c>
      <c r="G15" s="59">
        <v>21.1</v>
      </c>
      <c r="H15" s="59">
        <v>21.1</v>
      </c>
      <c r="I15" s="59">
        <v>21.1</v>
      </c>
      <c r="J15" s="59">
        <v>21.1</v>
      </c>
      <c r="K15" s="59">
        <v>21.1</v>
      </c>
      <c r="L15" s="59">
        <v>21.1</v>
      </c>
      <c r="M15" s="60">
        <v>21.1</v>
      </c>
      <c r="N15" s="60">
        <v>20.399999999999999</v>
      </c>
      <c r="O15" s="60">
        <v>20.399999999999999</v>
      </c>
      <c r="P15" s="60">
        <v>20.399999999999999</v>
      </c>
      <c r="Q15" s="60">
        <v>20.399999999999999</v>
      </c>
      <c r="R15" s="60">
        <v>20.399999999999999</v>
      </c>
      <c r="S15" s="50">
        <v>20.399999999999999</v>
      </c>
      <c r="T15" s="50">
        <v>20.399999999999999</v>
      </c>
      <c r="U15" s="50">
        <v>20.399999999999999</v>
      </c>
      <c r="V15" s="50">
        <v>21.9</v>
      </c>
      <c r="W15" s="50">
        <v>21.9</v>
      </c>
      <c r="X15" s="50">
        <v>21.9</v>
      </c>
      <c r="Y15" s="59">
        <v>20.399999999999999</v>
      </c>
      <c r="Z15" s="59">
        <v>20.399999999999999</v>
      </c>
      <c r="AA15" s="59">
        <v>20.399999999999999</v>
      </c>
      <c r="AB15" s="59">
        <v>20.399999999999999</v>
      </c>
      <c r="AC15" s="59">
        <v>20.399999999999999</v>
      </c>
      <c r="AD15" s="59">
        <v>20.399999999999999</v>
      </c>
      <c r="AE15" s="59">
        <v>20.399999999999999</v>
      </c>
      <c r="AF15" s="59">
        <v>20.399999999999999</v>
      </c>
      <c r="AG15" s="61">
        <v>45</v>
      </c>
      <c r="AH15" s="53">
        <f t="shared" si="2"/>
        <v>22.6</v>
      </c>
      <c r="AI15" s="54">
        <f t="shared" si="3"/>
        <v>20.399999999999999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49">
        <v>10</v>
      </c>
      <c r="N16" s="49">
        <v>10</v>
      </c>
      <c r="O16" s="49">
        <v>10</v>
      </c>
      <c r="P16" s="49">
        <v>10</v>
      </c>
      <c r="Q16" s="49">
        <v>10</v>
      </c>
      <c r="R16" s="49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2">
        <v>10</v>
      </c>
      <c r="Z16" s="62">
        <v>10</v>
      </c>
      <c r="AA16" s="62">
        <v>10</v>
      </c>
      <c r="AB16" s="62">
        <v>10</v>
      </c>
      <c r="AC16" s="62">
        <v>10</v>
      </c>
      <c r="AD16" s="62">
        <v>10</v>
      </c>
      <c r="AE16" s="62">
        <v>10</v>
      </c>
      <c r="AF16" s="62">
        <v>10</v>
      </c>
      <c r="AG16" s="58">
        <v>45</v>
      </c>
      <c r="AH16" s="53">
        <f t="shared" si="2"/>
        <v>10</v>
      </c>
      <c r="AI16" s="54">
        <f t="shared" si="3"/>
        <v>10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9</v>
      </c>
      <c r="C17" s="59">
        <v>9</v>
      </c>
      <c r="D17" s="59">
        <v>9</v>
      </c>
      <c r="E17" s="59">
        <v>9</v>
      </c>
      <c r="F17" s="59">
        <v>9</v>
      </c>
      <c r="G17" s="59">
        <v>9</v>
      </c>
      <c r="H17" s="59">
        <v>9</v>
      </c>
      <c r="I17" s="59">
        <v>9</v>
      </c>
      <c r="J17" s="59">
        <v>9</v>
      </c>
      <c r="K17" s="59">
        <v>9</v>
      </c>
      <c r="L17" s="59">
        <v>9</v>
      </c>
      <c r="M17" s="49">
        <v>9</v>
      </c>
      <c r="N17" s="49">
        <v>9</v>
      </c>
      <c r="O17" s="49">
        <v>9</v>
      </c>
      <c r="P17" s="49">
        <v>9</v>
      </c>
      <c r="Q17" s="49">
        <v>9</v>
      </c>
      <c r="R17" s="49">
        <v>9</v>
      </c>
      <c r="S17" s="50">
        <v>9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8">
        <v>42</v>
      </c>
      <c r="AH17" s="53">
        <f t="shared" si="2"/>
        <v>9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7.5</v>
      </c>
      <c r="C18" s="50">
        <v>7.5</v>
      </c>
      <c r="D18" s="50">
        <v>7.5</v>
      </c>
      <c r="E18" s="50">
        <v>7.5</v>
      </c>
      <c r="F18" s="50">
        <v>7.5</v>
      </c>
      <c r="G18" s="50">
        <v>7.5</v>
      </c>
      <c r="H18" s="50">
        <v>7.5</v>
      </c>
      <c r="I18" s="50">
        <v>7.5</v>
      </c>
      <c r="J18" s="50">
        <v>7.5</v>
      </c>
      <c r="K18" s="50">
        <v>7.5</v>
      </c>
      <c r="L18" s="50">
        <v>7.5</v>
      </c>
      <c r="M18" s="49">
        <v>7.5</v>
      </c>
      <c r="N18" s="49">
        <v>7.5</v>
      </c>
      <c r="O18" s="49">
        <v>7.5</v>
      </c>
      <c r="P18" s="49">
        <v>7.5</v>
      </c>
      <c r="Q18" s="49">
        <v>7.5</v>
      </c>
      <c r="R18" s="49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8">
        <v>36</v>
      </c>
      <c r="AH18" s="53">
        <f t="shared" si="2"/>
        <v>7.5</v>
      </c>
      <c r="AI18" s="54">
        <f t="shared" si="3"/>
        <v>7.5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10.3</v>
      </c>
      <c r="C19" s="50">
        <v>10.3</v>
      </c>
      <c r="D19" s="50">
        <v>10.3</v>
      </c>
      <c r="E19" s="50">
        <v>10.3</v>
      </c>
      <c r="F19" s="50">
        <v>10.3</v>
      </c>
      <c r="G19" s="50">
        <v>10.3</v>
      </c>
      <c r="H19" s="50">
        <v>10.3</v>
      </c>
      <c r="I19" s="50">
        <v>10.3</v>
      </c>
      <c r="J19" s="50">
        <v>10.3</v>
      </c>
      <c r="K19" s="50">
        <v>10.3</v>
      </c>
      <c r="L19" s="50">
        <v>10.3</v>
      </c>
      <c r="M19" s="49">
        <v>10.3</v>
      </c>
      <c r="N19" s="49">
        <v>10.3</v>
      </c>
      <c r="O19" s="49">
        <v>10.3</v>
      </c>
      <c r="P19" s="49">
        <v>10.3</v>
      </c>
      <c r="Q19" s="49">
        <v>10.3</v>
      </c>
      <c r="R19" s="49">
        <v>10.3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10.4</v>
      </c>
      <c r="Z19" s="50">
        <v>10.4</v>
      </c>
      <c r="AA19" s="50">
        <v>10.4</v>
      </c>
      <c r="AB19" s="50">
        <v>10.4</v>
      </c>
      <c r="AC19" s="50">
        <v>10.4</v>
      </c>
      <c r="AD19" s="50">
        <v>10.4</v>
      </c>
      <c r="AE19" s="50">
        <v>10.4</v>
      </c>
      <c r="AF19" s="50">
        <v>10.4</v>
      </c>
      <c r="AG19" s="58">
        <v>30</v>
      </c>
      <c r="AH19" s="53">
        <f t="shared" si="2"/>
        <v>10.4</v>
      </c>
      <c r="AI19" s="54">
        <f t="shared" si="3"/>
        <v>10.3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49">
        <v>6.2</v>
      </c>
      <c r="N20" s="49">
        <v>6.2</v>
      </c>
      <c r="O20" s="49">
        <v>6.2</v>
      </c>
      <c r="P20" s="49">
        <v>6.2</v>
      </c>
      <c r="Q20" s="49">
        <v>6.2</v>
      </c>
      <c r="R20" s="49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49">
        <v>8.5</v>
      </c>
      <c r="N21" s="49">
        <v>8.5</v>
      </c>
      <c r="O21" s="49">
        <v>8.5</v>
      </c>
      <c r="P21" s="49">
        <v>8.5</v>
      </c>
      <c r="Q21" s="49">
        <v>8.5</v>
      </c>
      <c r="R21" s="49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17</v>
      </c>
      <c r="C22" s="50">
        <v>17</v>
      </c>
      <c r="D22" s="50">
        <v>17</v>
      </c>
      <c r="E22" s="50">
        <v>17</v>
      </c>
      <c r="F22" s="50">
        <v>17</v>
      </c>
      <c r="G22" s="50">
        <v>17</v>
      </c>
      <c r="H22" s="50">
        <v>17</v>
      </c>
      <c r="I22" s="50">
        <v>17</v>
      </c>
      <c r="J22" s="50">
        <v>17</v>
      </c>
      <c r="K22" s="50">
        <v>17</v>
      </c>
      <c r="L22" s="50">
        <v>17</v>
      </c>
      <c r="M22" s="49">
        <v>11</v>
      </c>
      <c r="N22" s="49">
        <v>11</v>
      </c>
      <c r="O22" s="49">
        <v>11</v>
      </c>
      <c r="P22" s="49">
        <v>11</v>
      </c>
      <c r="Q22" s="49">
        <v>11</v>
      </c>
      <c r="R22" s="49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16.899999999999999</v>
      </c>
      <c r="Z22" s="50">
        <v>17.100000000000001</v>
      </c>
      <c r="AA22" s="50">
        <v>17.100000000000001</v>
      </c>
      <c r="AB22" s="50">
        <v>17.100000000000001</v>
      </c>
      <c r="AC22" s="50">
        <v>17.100000000000001</v>
      </c>
      <c r="AD22" s="50">
        <v>17.100000000000001</v>
      </c>
      <c r="AE22" s="50">
        <v>17.100000000000001</v>
      </c>
      <c r="AF22" s="50">
        <v>17.100000000000001</v>
      </c>
      <c r="AG22" s="58">
        <v>25</v>
      </c>
      <c r="AH22" s="53">
        <f t="shared" si="2"/>
        <v>17.100000000000001</v>
      </c>
      <c r="AI22" s="54">
        <f t="shared" si="3"/>
        <v>11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10.7</v>
      </c>
      <c r="C23" s="50">
        <v>10.7</v>
      </c>
      <c r="D23" s="50">
        <v>10.7</v>
      </c>
      <c r="E23" s="50">
        <v>10.7</v>
      </c>
      <c r="F23" s="50">
        <v>10.7</v>
      </c>
      <c r="G23" s="50">
        <v>10.7</v>
      </c>
      <c r="H23" s="50">
        <v>10.7</v>
      </c>
      <c r="I23" s="50">
        <v>10.7</v>
      </c>
      <c r="J23" s="50">
        <v>10.7</v>
      </c>
      <c r="K23" s="50">
        <v>10.7</v>
      </c>
      <c r="L23" s="50">
        <v>10.7</v>
      </c>
      <c r="M23" s="49">
        <v>10.7</v>
      </c>
      <c r="N23" s="49">
        <v>10.7</v>
      </c>
      <c r="O23" s="49">
        <v>10.7</v>
      </c>
      <c r="P23" s="49">
        <v>10.7</v>
      </c>
      <c r="Q23" s="49">
        <v>10.7</v>
      </c>
      <c r="R23" s="49">
        <v>10.7</v>
      </c>
      <c r="S23" s="50">
        <v>10.7</v>
      </c>
      <c r="T23" s="50">
        <v>10.7</v>
      </c>
      <c r="U23" s="50">
        <v>10.7</v>
      </c>
      <c r="V23" s="50">
        <v>10.7</v>
      </c>
      <c r="W23" s="50">
        <v>10.7</v>
      </c>
      <c r="X23" s="50">
        <v>10.7</v>
      </c>
      <c r="Y23" s="50">
        <v>10.7</v>
      </c>
      <c r="Z23" s="50">
        <v>10.7</v>
      </c>
      <c r="AA23" s="50">
        <v>10.7</v>
      </c>
      <c r="AB23" s="50">
        <v>10.7</v>
      </c>
      <c r="AC23" s="50">
        <v>10.7</v>
      </c>
      <c r="AD23" s="50">
        <v>10.7</v>
      </c>
      <c r="AE23" s="50">
        <v>10.7</v>
      </c>
      <c r="AF23" s="50">
        <v>10.7</v>
      </c>
      <c r="AG23" s="58">
        <v>25</v>
      </c>
      <c r="AH23" s="53">
        <f t="shared" si="2"/>
        <v>10.7</v>
      </c>
      <c r="AI23" s="54">
        <f t="shared" si="3"/>
        <v>10.7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11.1</v>
      </c>
      <c r="C24" s="50">
        <v>11.1</v>
      </c>
      <c r="D24" s="50">
        <v>11.1</v>
      </c>
      <c r="E24" s="50">
        <v>11.1</v>
      </c>
      <c r="F24" s="50">
        <v>11.1</v>
      </c>
      <c r="G24" s="50">
        <v>11.1</v>
      </c>
      <c r="H24" s="50">
        <v>11.1</v>
      </c>
      <c r="I24" s="50">
        <v>11.1</v>
      </c>
      <c r="J24" s="50">
        <v>11.1</v>
      </c>
      <c r="K24" s="50">
        <v>11.1</v>
      </c>
      <c r="L24" s="50">
        <v>11.1</v>
      </c>
      <c r="M24" s="49">
        <v>11.1</v>
      </c>
      <c r="N24" s="49">
        <v>11.1</v>
      </c>
      <c r="O24" s="49">
        <v>11.1</v>
      </c>
      <c r="P24" s="49">
        <v>11.1</v>
      </c>
      <c r="Q24" s="49">
        <v>11.1</v>
      </c>
      <c r="R24" s="49">
        <v>11.1</v>
      </c>
      <c r="S24" s="50">
        <v>11.1</v>
      </c>
      <c r="T24" s="50">
        <v>11.1</v>
      </c>
      <c r="U24" s="50">
        <v>11.1</v>
      </c>
      <c r="V24" s="50">
        <v>11.1</v>
      </c>
      <c r="W24" s="50">
        <v>11.1</v>
      </c>
      <c r="X24" s="50">
        <v>11.1</v>
      </c>
      <c r="Y24" s="50">
        <v>9</v>
      </c>
      <c r="Z24" s="50">
        <v>9</v>
      </c>
      <c r="AA24" s="50">
        <v>9</v>
      </c>
      <c r="AB24" s="50">
        <v>9</v>
      </c>
      <c r="AC24" s="50">
        <v>9</v>
      </c>
      <c r="AD24" s="50">
        <v>9</v>
      </c>
      <c r="AE24" s="50">
        <v>9</v>
      </c>
      <c r="AF24" s="50">
        <v>9</v>
      </c>
      <c r="AG24" s="58">
        <v>25</v>
      </c>
      <c r="AH24" s="53">
        <f t="shared" si="2"/>
        <v>11.1</v>
      </c>
      <c r="AI24" s="54">
        <f t="shared" si="3"/>
        <v>9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49">
        <v>8</v>
      </c>
      <c r="N25" s="49">
        <v>8</v>
      </c>
      <c r="O25" s="49">
        <v>8</v>
      </c>
      <c r="P25" s="49">
        <v>8</v>
      </c>
      <c r="Q25" s="49">
        <v>8</v>
      </c>
      <c r="R25" s="49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49">
        <v>6.2</v>
      </c>
      <c r="N26" s="49">
        <v>6.2</v>
      </c>
      <c r="O26" s="49">
        <v>6.2</v>
      </c>
      <c r="P26" s="49">
        <v>6.2</v>
      </c>
      <c r="Q26" s="49">
        <v>6.2</v>
      </c>
      <c r="R26" s="49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49">
        <v>4.5</v>
      </c>
      <c r="N27" s="49">
        <v>4.5</v>
      </c>
      <c r="O27" s="49">
        <v>4.5</v>
      </c>
      <c r="P27" s="49">
        <v>4.5</v>
      </c>
      <c r="Q27" s="49">
        <v>4.5</v>
      </c>
      <c r="R27" s="49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49">
        <v>4</v>
      </c>
      <c r="N29" s="49">
        <v>4</v>
      </c>
      <c r="O29" s="49">
        <v>4</v>
      </c>
      <c r="P29" s="49">
        <v>4</v>
      </c>
      <c r="Q29" s="49">
        <v>4</v>
      </c>
      <c r="R29" s="49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49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60">
        <v>6</v>
      </c>
      <c r="N31" s="60">
        <v>6</v>
      </c>
      <c r="O31" s="60">
        <v>6</v>
      </c>
      <c r="P31" s="60">
        <v>6</v>
      </c>
      <c r="Q31" s="60">
        <v>6</v>
      </c>
      <c r="R31" s="6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60">
        <v>4.2</v>
      </c>
      <c r="N34" s="60">
        <v>4.2</v>
      </c>
      <c r="O34" s="60">
        <v>4.2</v>
      </c>
      <c r="P34" s="60">
        <v>4.2</v>
      </c>
      <c r="Q34" s="60">
        <v>4.2</v>
      </c>
      <c r="R34" s="6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9">
        <v>50</v>
      </c>
      <c r="C37" s="69">
        <v>50</v>
      </c>
      <c r="D37" s="69">
        <v>50.5</v>
      </c>
      <c r="E37" s="69">
        <v>54</v>
      </c>
      <c r="F37" s="69">
        <f t="shared" ref="F37:L37" si="4">18.1+35.4</f>
        <v>53.5</v>
      </c>
      <c r="G37" s="69">
        <f t="shared" si="4"/>
        <v>53.5</v>
      </c>
      <c r="H37" s="69">
        <f t="shared" si="4"/>
        <v>53.5</v>
      </c>
      <c r="I37" s="69">
        <f t="shared" si="4"/>
        <v>53.5</v>
      </c>
      <c r="J37" s="69">
        <f t="shared" si="4"/>
        <v>53.5</v>
      </c>
      <c r="K37" s="69">
        <f t="shared" si="4"/>
        <v>53.5</v>
      </c>
      <c r="L37" s="69">
        <f t="shared" si="4"/>
        <v>53.5</v>
      </c>
      <c r="M37" s="60">
        <f>33.7+17.2</f>
        <v>50.900000000000006</v>
      </c>
      <c r="N37" s="60">
        <f>34+17.3</f>
        <v>51.3</v>
      </c>
      <c r="O37" s="69">
        <f>35.1+17.6</f>
        <v>52.7</v>
      </c>
      <c r="P37" s="69">
        <f>34+17.4</f>
        <v>51.4</v>
      </c>
      <c r="Q37" s="69">
        <f>33.5+17.3</f>
        <v>50.8</v>
      </c>
      <c r="R37" s="69">
        <f>33.4+17.3</f>
        <v>50.7</v>
      </c>
      <c r="S37" s="69">
        <f>33.4+17.3</f>
        <v>50.7</v>
      </c>
      <c r="T37" s="69">
        <f>12.6+29.4</f>
        <v>42</v>
      </c>
      <c r="U37" s="69">
        <f>12.2+29.1</f>
        <v>41.3</v>
      </c>
      <c r="V37" s="69">
        <f>12+27.2</f>
        <v>39.200000000000003</v>
      </c>
      <c r="W37" s="69">
        <f>11+26</f>
        <v>37</v>
      </c>
      <c r="X37" s="69">
        <f>10.6+25</f>
        <v>35.6</v>
      </c>
      <c r="Y37" s="69">
        <v>35.5</v>
      </c>
      <c r="Z37" s="69">
        <f>10.5+25</f>
        <v>35.5</v>
      </c>
      <c r="AA37" s="69">
        <f>9.3+24.2</f>
        <v>33.5</v>
      </c>
      <c r="AB37" s="69">
        <f>11.1+27.1</f>
        <v>38.200000000000003</v>
      </c>
      <c r="AC37" s="69">
        <f>11.1+27.1</f>
        <v>38.200000000000003</v>
      </c>
      <c r="AD37" s="69">
        <f>11.1+27.1</f>
        <v>38.200000000000003</v>
      </c>
      <c r="AE37" s="69">
        <f>11.1+27.1</f>
        <v>38.200000000000003</v>
      </c>
      <c r="AF37" s="69">
        <f>11.1+27.1</f>
        <v>38.200000000000003</v>
      </c>
      <c r="AG37" s="66">
        <v>240</v>
      </c>
      <c r="AH37" s="53">
        <f t="shared" si="2"/>
        <v>54</v>
      </c>
      <c r="AI37" s="54">
        <f t="shared" si="3"/>
        <v>33.5</v>
      </c>
      <c r="AK37" s="55"/>
    </row>
    <row r="38" spans="1:88" ht="15.75" thickBot="1" x14ac:dyDescent="0.3">
      <c r="A38" s="70" t="s">
        <v>46</v>
      </c>
      <c r="B38" s="71">
        <f t="shared" ref="B38" si="5">SUM(B11:B36)</f>
        <v>419.79999999999995</v>
      </c>
      <c r="C38" s="71">
        <f t="shared" ref="C38:AF38" si="6">SUM(C11:C36)</f>
        <v>419.79999999999995</v>
      </c>
      <c r="D38" s="71">
        <f t="shared" si="6"/>
        <v>419.79999999999995</v>
      </c>
      <c r="E38" s="71">
        <f t="shared" si="6"/>
        <v>419.79999999999995</v>
      </c>
      <c r="F38" s="71">
        <f t="shared" si="6"/>
        <v>421.29999999999995</v>
      </c>
      <c r="G38" s="71">
        <f t="shared" si="6"/>
        <v>436.29999999999995</v>
      </c>
      <c r="H38" s="71">
        <f t="shared" si="6"/>
        <v>446.29999999999995</v>
      </c>
      <c r="I38" s="71">
        <f t="shared" si="6"/>
        <v>426.29999999999995</v>
      </c>
      <c r="J38" s="71">
        <f t="shared" si="6"/>
        <v>446.29999999999995</v>
      </c>
      <c r="K38" s="71">
        <f t="shared" si="6"/>
        <v>458.79999999999995</v>
      </c>
      <c r="L38" s="71">
        <f t="shared" si="6"/>
        <v>686.30000000000007</v>
      </c>
      <c r="M38" s="71">
        <f>SUM(M11:M36)</f>
        <v>540.29999999999995</v>
      </c>
      <c r="N38" s="71">
        <f t="shared" si="6"/>
        <v>513.59999999999991</v>
      </c>
      <c r="O38" s="71">
        <f t="shared" si="6"/>
        <v>478.6</v>
      </c>
      <c r="P38" s="71">
        <f t="shared" si="6"/>
        <v>488.59999999999997</v>
      </c>
      <c r="Q38" s="71">
        <f t="shared" si="6"/>
        <v>438.59999999999997</v>
      </c>
      <c r="R38" s="71">
        <f t="shared" si="6"/>
        <v>410.59999999999997</v>
      </c>
      <c r="S38" s="71">
        <f t="shared" si="6"/>
        <v>410.59999999999997</v>
      </c>
      <c r="T38" s="71">
        <f t="shared" si="6"/>
        <v>401.9</v>
      </c>
      <c r="U38" s="71">
        <f t="shared" si="6"/>
        <v>401.9</v>
      </c>
      <c r="V38" s="71">
        <f t="shared" si="6"/>
        <v>570</v>
      </c>
      <c r="W38" s="71">
        <f t="shared" si="6"/>
        <v>597</v>
      </c>
      <c r="X38" s="71">
        <f t="shared" si="6"/>
        <v>640</v>
      </c>
      <c r="Y38" s="71">
        <f t="shared" si="6"/>
        <v>672.59999999999991</v>
      </c>
      <c r="Z38" s="71">
        <f t="shared" si="6"/>
        <v>762.80000000000018</v>
      </c>
      <c r="AA38" s="71">
        <f t="shared" si="6"/>
        <v>691.1</v>
      </c>
      <c r="AB38" s="71">
        <f t="shared" si="6"/>
        <v>541.09999999999991</v>
      </c>
      <c r="AC38" s="71">
        <f t="shared" si="6"/>
        <v>539.9</v>
      </c>
      <c r="AD38" s="71">
        <f t="shared" si="6"/>
        <v>539.9</v>
      </c>
      <c r="AE38" s="71">
        <f t="shared" si="6"/>
        <v>429.89999999999992</v>
      </c>
      <c r="AF38" s="71">
        <f t="shared" si="6"/>
        <v>429.89999999999992</v>
      </c>
      <c r="AG38" s="66">
        <f>SUM(AG11:AG37)</f>
        <v>1492.8299999999997</v>
      </c>
      <c r="AH38" s="53">
        <f t="shared" si="2"/>
        <v>762.80000000000018</v>
      </c>
      <c r="AI38" s="54">
        <f t="shared" si="3"/>
        <v>401.9</v>
      </c>
      <c r="AK38" s="55"/>
    </row>
    <row r="39" spans="1:88" x14ac:dyDescent="0.25">
      <c r="A39" s="56" t="s">
        <v>47</v>
      </c>
      <c r="B39" s="49">
        <v>0</v>
      </c>
      <c r="C39" s="49">
        <v>0</v>
      </c>
      <c r="D39" s="49">
        <v>0</v>
      </c>
      <c r="E39" s="60">
        <v>0</v>
      </c>
      <c r="F39" s="60">
        <v>0</v>
      </c>
      <c r="G39" s="60">
        <v>0</v>
      </c>
      <c r="H39" s="60">
        <v>0</v>
      </c>
      <c r="I39" s="60">
        <v>80.599999999999994</v>
      </c>
      <c r="J39" s="60">
        <v>110</v>
      </c>
      <c r="K39" s="60">
        <v>142.5</v>
      </c>
      <c r="L39" s="60">
        <v>145.80000000000001</v>
      </c>
      <c r="M39" s="50">
        <v>145.80000000000001</v>
      </c>
      <c r="N39" s="50">
        <v>145.69999999999999</v>
      </c>
      <c r="O39" s="50">
        <v>145.80000000000001</v>
      </c>
      <c r="P39" s="50">
        <v>135.80000000000001</v>
      </c>
      <c r="Q39" s="50">
        <v>86.6</v>
      </c>
      <c r="R39" s="50">
        <v>76.5</v>
      </c>
      <c r="S39" s="50">
        <v>61</v>
      </c>
      <c r="T39" s="50">
        <v>70.099999999999994</v>
      </c>
      <c r="U39" s="50">
        <v>81</v>
      </c>
      <c r="V39" s="50">
        <v>91.5</v>
      </c>
      <c r="W39" s="50">
        <v>101</v>
      </c>
      <c r="X39" s="50">
        <v>111.7</v>
      </c>
      <c r="Y39" s="50">
        <v>144.9</v>
      </c>
      <c r="Z39" s="50">
        <v>144.5</v>
      </c>
      <c r="AA39" s="50">
        <v>136.80000000000001</v>
      </c>
      <c r="AB39" s="50">
        <v>127</v>
      </c>
      <c r="AC39" s="50">
        <v>110</v>
      </c>
      <c r="AD39" s="50">
        <v>81</v>
      </c>
      <c r="AE39" s="50">
        <v>88</v>
      </c>
      <c r="AF39" s="50">
        <v>48.6</v>
      </c>
      <c r="AG39" s="61">
        <v>144</v>
      </c>
      <c r="AH39" s="53">
        <f t="shared" si="2"/>
        <v>145.80000000000001</v>
      </c>
      <c r="AI39" s="54">
        <f t="shared" si="3"/>
        <v>0</v>
      </c>
      <c r="AK39" s="55"/>
    </row>
    <row r="40" spans="1:88" x14ac:dyDescent="0.25">
      <c r="A40" s="65" t="s">
        <v>48</v>
      </c>
      <c r="B40" s="60">
        <v>23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23.9</v>
      </c>
      <c r="I40" s="60">
        <v>23.9</v>
      </c>
      <c r="J40" s="60">
        <v>44.5</v>
      </c>
      <c r="K40" s="60">
        <v>70</v>
      </c>
      <c r="L40" s="60">
        <v>69.3</v>
      </c>
      <c r="M40" s="72">
        <v>70</v>
      </c>
      <c r="N40" s="72">
        <v>69.900000000000006</v>
      </c>
      <c r="O40" s="72">
        <v>64.900000000000006</v>
      </c>
      <c r="P40" s="72">
        <v>55.1</v>
      </c>
      <c r="Q40" s="72">
        <v>18.100000000000001</v>
      </c>
      <c r="R40" s="72">
        <v>25.5</v>
      </c>
      <c r="S40" s="72">
        <v>26</v>
      </c>
      <c r="T40" s="72">
        <v>34.9</v>
      </c>
      <c r="U40" s="72">
        <v>34.799999999999997</v>
      </c>
      <c r="V40" s="72">
        <v>24.8</v>
      </c>
      <c r="W40" s="72">
        <v>44.5</v>
      </c>
      <c r="X40" s="72">
        <v>46.2</v>
      </c>
      <c r="Y40" s="72">
        <v>70.2</v>
      </c>
      <c r="Z40" s="72">
        <v>69.900000000000006</v>
      </c>
      <c r="AA40" s="72">
        <v>70.099999999999994</v>
      </c>
      <c r="AB40" s="72">
        <v>60.1</v>
      </c>
      <c r="AC40" s="72">
        <v>61.2</v>
      </c>
      <c r="AD40" s="72">
        <v>34.6</v>
      </c>
      <c r="AE40" s="72">
        <v>38</v>
      </c>
      <c r="AF40" s="72">
        <v>35.700000000000003</v>
      </c>
      <c r="AG40" s="66">
        <v>70</v>
      </c>
      <c r="AH40" s="53">
        <f t="shared" si="2"/>
        <v>70.2</v>
      </c>
      <c r="AI40" s="54">
        <f t="shared" si="3"/>
        <v>0</v>
      </c>
      <c r="AK40" s="55"/>
    </row>
    <row r="41" spans="1:88" x14ac:dyDescent="0.25">
      <c r="A41" s="65" t="s">
        <v>49</v>
      </c>
      <c r="B41" s="60">
        <v>32.4</v>
      </c>
      <c r="C41" s="60">
        <v>0</v>
      </c>
      <c r="D41" s="60">
        <v>0</v>
      </c>
      <c r="E41" s="60">
        <v>0</v>
      </c>
      <c r="F41" s="60">
        <v>35.1</v>
      </c>
      <c r="G41" s="60">
        <v>46.1</v>
      </c>
      <c r="H41" s="60">
        <v>45.9</v>
      </c>
      <c r="I41" s="60">
        <v>60</v>
      </c>
      <c r="J41" s="60">
        <v>58.7</v>
      </c>
      <c r="K41" s="60">
        <v>66.8</v>
      </c>
      <c r="L41" s="60">
        <v>68.3</v>
      </c>
      <c r="M41" s="72">
        <v>68</v>
      </c>
      <c r="N41" s="72">
        <v>67.5</v>
      </c>
      <c r="O41" s="72">
        <v>58.2</v>
      </c>
      <c r="P41" s="72">
        <v>45.4</v>
      </c>
      <c r="Q41" s="72">
        <v>32.700000000000003</v>
      </c>
      <c r="R41" s="72">
        <v>34.5</v>
      </c>
      <c r="S41" s="72">
        <v>35</v>
      </c>
      <c r="T41" s="72">
        <v>40.200000000000003</v>
      </c>
      <c r="U41" s="72">
        <v>40.6</v>
      </c>
      <c r="V41" s="72">
        <v>34.4</v>
      </c>
      <c r="W41" s="72">
        <v>60</v>
      </c>
      <c r="X41" s="72">
        <v>67</v>
      </c>
      <c r="Y41" s="72">
        <v>68.400000000000006</v>
      </c>
      <c r="Z41" s="72">
        <v>67.8</v>
      </c>
      <c r="AA41" s="72">
        <v>67.900000000000006</v>
      </c>
      <c r="AB41" s="72">
        <v>61.9</v>
      </c>
      <c r="AC41" s="72">
        <v>62</v>
      </c>
      <c r="AD41" s="72">
        <v>52.4</v>
      </c>
      <c r="AE41" s="72">
        <v>52.4</v>
      </c>
      <c r="AF41" s="72">
        <v>47.2</v>
      </c>
      <c r="AG41" s="66">
        <v>69</v>
      </c>
      <c r="AH41" s="53">
        <f t="shared" si="2"/>
        <v>68.400000000000006</v>
      </c>
      <c r="AI41" s="54">
        <f t="shared" si="3"/>
        <v>0</v>
      </c>
      <c r="AK41" s="55"/>
    </row>
    <row r="42" spans="1:88" x14ac:dyDescent="0.25">
      <c r="A42" s="65" t="s">
        <v>50</v>
      </c>
      <c r="B42" s="72">
        <v>52.2</v>
      </c>
      <c r="C42" s="60">
        <v>52.2</v>
      </c>
      <c r="D42" s="60">
        <v>51.1</v>
      </c>
      <c r="E42" s="60">
        <v>51.1</v>
      </c>
      <c r="F42" s="60">
        <v>51.1</v>
      </c>
      <c r="G42" s="60">
        <v>51.1</v>
      </c>
      <c r="H42" s="60">
        <v>51.1</v>
      </c>
      <c r="I42" s="60">
        <v>51.1</v>
      </c>
      <c r="J42" s="60">
        <v>51.1</v>
      </c>
      <c r="K42" s="60">
        <v>51.1</v>
      </c>
      <c r="L42" s="60">
        <v>51.1</v>
      </c>
      <c r="M42" s="60">
        <v>50.6</v>
      </c>
      <c r="N42" s="60">
        <v>50.6</v>
      </c>
      <c r="O42" s="60">
        <v>50.9</v>
      </c>
      <c r="P42" s="60">
        <v>48.1</v>
      </c>
      <c r="Q42" s="60">
        <v>48.1</v>
      </c>
      <c r="R42" s="60">
        <v>48.3</v>
      </c>
      <c r="S42" s="60">
        <v>52.4</v>
      </c>
      <c r="T42" s="72">
        <v>51.9</v>
      </c>
      <c r="U42" s="72">
        <v>46</v>
      </c>
      <c r="V42" s="72">
        <v>45.7</v>
      </c>
      <c r="W42" s="72">
        <v>45.8</v>
      </c>
      <c r="X42" s="72">
        <v>45.9</v>
      </c>
      <c r="Y42" s="72">
        <v>49.6</v>
      </c>
      <c r="Z42" s="72">
        <v>49.7</v>
      </c>
      <c r="AA42" s="72">
        <v>60</v>
      </c>
      <c r="AB42" s="72">
        <v>50.4</v>
      </c>
      <c r="AC42" s="72">
        <v>50.4</v>
      </c>
      <c r="AD42" s="72">
        <v>50.6</v>
      </c>
      <c r="AE42" s="72">
        <v>50.6</v>
      </c>
      <c r="AF42" s="72">
        <v>50.9</v>
      </c>
      <c r="AG42" s="66">
        <v>60</v>
      </c>
      <c r="AH42" s="53">
        <f t="shared" si="2"/>
        <v>60</v>
      </c>
      <c r="AI42" s="54">
        <f t="shared" si="3"/>
        <v>45.7</v>
      </c>
      <c r="AK42" s="55"/>
    </row>
    <row r="43" spans="1:88" x14ac:dyDescent="0.25">
      <c r="A43" s="65" t="s">
        <v>51</v>
      </c>
      <c r="B43" s="72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23</v>
      </c>
      <c r="N43" s="60">
        <v>23</v>
      </c>
      <c r="O43" s="60">
        <v>15</v>
      </c>
      <c r="P43" s="60">
        <v>10</v>
      </c>
      <c r="Q43" s="60">
        <v>10</v>
      </c>
      <c r="R43" s="60">
        <v>0</v>
      </c>
      <c r="S43" s="60">
        <v>0</v>
      </c>
      <c r="T43" s="50">
        <v>0</v>
      </c>
      <c r="U43" s="50">
        <v>0</v>
      </c>
      <c r="V43" s="50">
        <v>0</v>
      </c>
      <c r="W43" s="50">
        <v>13</v>
      </c>
      <c r="X43" s="50">
        <v>23</v>
      </c>
      <c r="Y43" s="50">
        <v>29</v>
      </c>
      <c r="Z43" s="50">
        <v>28.6</v>
      </c>
      <c r="AA43" s="72">
        <v>23</v>
      </c>
      <c r="AB43" s="72">
        <v>23</v>
      </c>
      <c r="AC43" s="72">
        <v>23</v>
      </c>
      <c r="AD43" s="72">
        <v>23</v>
      </c>
      <c r="AE43" s="72">
        <v>0</v>
      </c>
      <c r="AF43" s="72">
        <v>0</v>
      </c>
      <c r="AG43" s="66">
        <v>30</v>
      </c>
      <c r="AH43" s="53">
        <f t="shared" si="2"/>
        <v>29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79">
        <v>16</v>
      </c>
      <c r="F45" s="79">
        <v>16</v>
      </c>
      <c r="G45" s="79">
        <v>16</v>
      </c>
      <c r="H45" s="79">
        <v>16</v>
      </c>
      <c r="I45" s="79">
        <v>16</v>
      </c>
      <c r="J45" s="79">
        <v>16</v>
      </c>
      <c r="K45" s="79">
        <v>16</v>
      </c>
      <c r="L45" s="79">
        <v>16</v>
      </c>
      <c r="M45" s="79">
        <v>16</v>
      </c>
      <c r="N45" s="79">
        <v>16</v>
      </c>
      <c r="O45" s="79">
        <v>16</v>
      </c>
      <c r="P45" s="79">
        <v>16</v>
      </c>
      <c r="Q45" s="79">
        <v>16</v>
      </c>
      <c r="R45" s="79">
        <v>16</v>
      </c>
      <c r="S45" s="79">
        <v>16</v>
      </c>
      <c r="T45" s="79">
        <v>16</v>
      </c>
      <c r="U45" s="79">
        <v>16</v>
      </c>
      <c r="V45" s="79">
        <v>16</v>
      </c>
      <c r="W45" s="79">
        <v>16</v>
      </c>
      <c r="X45" s="79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0</v>
      </c>
      <c r="C46" s="50">
        <v>0</v>
      </c>
      <c r="D46" s="5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50">
        <v>0</v>
      </c>
      <c r="Z46" s="50">
        <v>3</v>
      </c>
      <c r="AA46" s="50">
        <v>3</v>
      </c>
      <c r="AB46" s="50">
        <v>3</v>
      </c>
      <c r="AC46" s="50">
        <v>3</v>
      </c>
      <c r="AD46" s="50">
        <v>3</v>
      </c>
      <c r="AE46" s="50">
        <v>3</v>
      </c>
      <c r="AF46" s="50">
        <v>3</v>
      </c>
      <c r="AG46" s="66">
        <v>15</v>
      </c>
      <c r="AH46" s="53">
        <f t="shared" si="2"/>
        <v>3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12</v>
      </c>
      <c r="C47" s="50">
        <v>12</v>
      </c>
      <c r="D47" s="50">
        <v>12</v>
      </c>
      <c r="E47" s="60">
        <v>12</v>
      </c>
      <c r="F47" s="60">
        <v>12</v>
      </c>
      <c r="G47" s="60">
        <v>12</v>
      </c>
      <c r="H47" s="60">
        <v>12</v>
      </c>
      <c r="I47" s="60">
        <v>12</v>
      </c>
      <c r="J47" s="60">
        <v>12</v>
      </c>
      <c r="K47" s="60">
        <v>12</v>
      </c>
      <c r="L47" s="60">
        <v>12</v>
      </c>
      <c r="M47" s="60">
        <v>12</v>
      </c>
      <c r="N47" s="60">
        <v>12</v>
      </c>
      <c r="O47" s="60">
        <v>12</v>
      </c>
      <c r="P47" s="60">
        <v>12</v>
      </c>
      <c r="Q47" s="60">
        <v>12</v>
      </c>
      <c r="R47" s="60">
        <v>12</v>
      </c>
      <c r="S47" s="60">
        <v>12</v>
      </c>
      <c r="T47" s="60">
        <v>12</v>
      </c>
      <c r="U47" s="60">
        <v>12</v>
      </c>
      <c r="V47" s="60">
        <v>12</v>
      </c>
      <c r="W47" s="60">
        <v>12</v>
      </c>
      <c r="X47" s="6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66">
        <v>14.1</v>
      </c>
      <c r="AH47" s="53">
        <f t="shared" si="2"/>
        <v>12</v>
      </c>
      <c r="AI47" s="54">
        <f t="shared" si="3"/>
        <v>12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5.9</v>
      </c>
      <c r="C48" s="50">
        <v>5.9</v>
      </c>
      <c r="D48" s="50">
        <v>5.9</v>
      </c>
      <c r="E48" s="60">
        <v>5.9</v>
      </c>
      <c r="F48" s="60">
        <v>5.9</v>
      </c>
      <c r="G48" s="60">
        <v>5.9</v>
      </c>
      <c r="H48" s="60">
        <v>5.9</v>
      </c>
      <c r="I48" s="60">
        <v>5.9</v>
      </c>
      <c r="J48" s="60">
        <v>5.9</v>
      </c>
      <c r="K48" s="60">
        <v>5.9</v>
      </c>
      <c r="L48" s="60">
        <v>5.9</v>
      </c>
      <c r="M48" s="60">
        <v>5.9</v>
      </c>
      <c r="N48" s="60">
        <v>5.9</v>
      </c>
      <c r="O48" s="60">
        <v>5.9</v>
      </c>
      <c r="P48" s="60">
        <v>5.9</v>
      </c>
      <c r="Q48" s="60">
        <v>5.9</v>
      </c>
      <c r="R48" s="60">
        <v>5.9</v>
      </c>
      <c r="S48" s="60">
        <v>5.9</v>
      </c>
      <c r="T48" s="60">
        <v>5.9</v>
      </c>
      <c r="U48" s="60">
        <v>5.9</v>
      </c>
      <c r="V48" s="60">
        <v>5.9</v>
      </c>
      <c r="W48" s="60">
        <v>5.9</v>
      </c>
      <c r="X48" s="6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6">
        <v>14</v>
      </c>
      <c r="AH48" s="53">
        <f t="shared" si="2"/>
        <v>5.9</v>
      </c>
      <c r="AI48" s="54">
        <f t="shared" si="3"/>
        <v>5.9</v>
      </c>
      <c r="AK48" s="55"/>
    </row>
    <row r="49" spans="1:37" x14ac:dyDescent="0.25">
      <c r="A49" s="65" t="s">
        <v>57</v>
      </c>
      <c r="B49" s="50">
        <v>6</v>
      </c>
      <c r="C49" s="50">
        <v>6</v>
      </c>
      <c r="D49" s="50">
        <v>6</v>
      </c>
      <c r="E49" s="60">
        <v>6</v>
      </c>
      <c r="F49" s="60">
        <v>6</v>
      </c>
      <c r="G49" s="60">
        <v>6</v>
      </c>
      <c r="H49" s="60">
        <v>6</v>
      </c>
      <c r="I49" s="60">
        <v>6</v>
      </c>
      <c r="J49" s="60">
        <v>6</v>
      </c>
      <c r="K49" s="60">
        <v>6</v>
      </c>
      <c r="L49" s="60">
        <v>6</v>
      </c>
      <c r="M49" s="60">
        <v>6</v>
      </c>
      <c r="N49" s="60">
        <v>6</v>
      </c>
      <c r="O49" s="60">
        <v>6</v>
      </c>
      <c r="P49" s="60">
        <v>6</v>
      </c>
      <c r="Q49" s="60">
        <v>6</v>
      </c>
      <c r="R49" s="60">
        <v>6</v>
      </c>
      <c r="S49" s="60">
        <v>6</v>
      </c>
      <c r="T49" s="60">
        <v>6</v>
      </c>
      <c r="U49" s="60">
        <v>6</v>
      </c>
      <c r="V49" s="60">
        <v>6</v>
      </c>
      <c r="W49" s="60">
        <v>6</v>
      </c>
      <c r="X49" s="60">
        <v>6</v>
      </c>
      <c r="Y49" s="50">
        <v>6</v>
      </c>
      <c r="Z49" s="50">
        <v>6</v>
      </c>
      <c r="AA49" s="50">
        <v>6</v>
      </c>
      <c r="AB49" s="50">
        <v>6</v>
      </c>
      <c r="AC49" s="50">
        <v>6</v>
      </c>
      <c r="AD49" s="50">
        <v>6</v>
      </c>
      <c r="AE49" s="50">
        <v>6</v>
      </c>
      <c r="AF49" s="50">
        <v>6</v>
      </c>
      <c r="AG49" s="66">
        <v>10.050000000000001</v>
      </c>
      <c r="AH49" s="53">
        <f t="shared" si="2"/>
        <v>6</v>
      </c>
      <c r="AI49" s="54">
        <f t="shared" si="3"/>
        <v>6</v>
      </c>
      <c r="AK49" s="55"/>
    </row>
    <row r="50" spans="1:37" x14ac:dyDescent="0.25">
      <c r="A50" s="65" t="s">
        <v>58</v>
      </c>
      <c r="B50" s="50">
        <v>4</v>
      </c>
      <c r="C50" s="50">
        <v>4</v>
      </c>
      <c r="D50" s="50">
        <v>4</v>
      </c>
      <c r="E50" s="60">
        <v>4</v>
      </c>
      <c r="F50" s="60">
        <v>4</v>
      </c>
      <c r="G50" s="60">
        <v>4</v>
      </c>
      <c r="H50" s="60">
        <v>4</v>
      </c>
      <c r="I50" s="60">
        <v>4</v>
      </c>
      <c r="J50" s="60">
        <v>4</v>
      </c>
      <c r="K50" s="60">
        <v>4</v>
      </c>
      <c r="L50" s="60">
        <v>4</v>
      </c>
      <c r="M50" s="60">
        <v>4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60">
        <v>4</v>
      </c>
      <c r="T50" s="60">
        <v>4</v>
      </c>
      <c r="U50" s="60">
        <v>4</v>
      </c>
      <c r="V50" s="60">
        <v>4</v>
      </c>
      <c r="W50" s="60">
        <v>4</v>
      </c>
      <c r="X50" s="6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6">
        <v>6.2</v>
      </c>
      <c r="AH50" s="53">
        <f t="shared" si="2"/>
        <v>4</v>
      </c>
      <c r="AI50" s="54">
        <f t="shared" si="3"/>
        <v>4</v>
      </c>
      <c r="AK50" s="55"/>
    </row>
    <row r="51" spans="1:37" ht="15.75" thickBot="1" x14ac:dyDescent="0.3">
      <c r="A51" s="67" t="s">
        <v>59</v>
      </c>
      <c r="B51" s="75">
        <f t="shared" ref="B51" si="7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8">U199</f>
        <v>3.54</v>
      </c>
      <c r="V51" s="75">
        <f t="shared" si="8"/>
        <v>3.54</v>
      </c>
      <c r="W51" s="75">
        <f t="shared" si="8"/>
        <v>3.54</v>
      </c>
      <c r="X51" s="75">
        <f t="shared" si="8"/>
        <v>3.54</v>
      </c>
      <c r="Y51" s="75">
        <v>3.54</v>
      </c>
      <c r="Z51" s="75">
        <v>3.54</v>
      </c>
      <c r="AA51" s="75">
        <f t="shared" si="8"/>
        <v>3.54</v>
      </c>
      <c r="AB51" s="75">
        <f t="shared" si="8"/>
        <v>3.54</v>
      </c>
      <c r="AC51" s="75">
        <f t="shared" si="8"/>
        <v>3.54</v>
      </c>
      <c r="AD51" s="75">
        <f t="shared" si="8"/>
        <v>3.54</v>
      </c>
      <c r="AE51" s="75">
        <f t="shared" si="8"/>
        <v>3.54</v>
      </c>
      <c r="AF51" s="75">
        <f t="shared" si="8"/>
        <v>3.54</v>
      </c>
      <c r="AG51" s="75">
        <f t="shared" si="8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9">SUM(B39:B51)</f>
        <v>155.04</v>
      </c>
      <c r="C52" s="71">
        <f t="shared" ref="C52:AF52" si="10">SUM(C39:C51)</f>
        <v>99.640000000000015</v>
      </c>
      <c r="D52" s="71">
        <f t="shared" si="10"/>
        <v>98.54</v>
      </c>
      <c r="E52" s="71">
        <f t="shared" si="10"/>
        <v>98.54</v>
      </c>
      <c r="F52" s="71">
        <f t="shared" si="10"/>
        <v>133.64000000000001</v>
      </c>
      <c r="G52" s="71">
        <f t="shared" si="10"/>
        <v>144.63999999999999</v>
      </c>
      <c r="H52" s="71">
        <f t="shared" si="10"/>
        <v>168.34</v>
      </c>
      <c r="I52" s="71">
        <f t="shared" si="10"/>
        <v>263.04000000000002</v>
      </c>
      <c r="J52" s="71">
        <f t="shared" si="10"/>
        <v>311.74</v>
      </c>
      <c r="K52" s="71">
        <f t="shared" si="10"/>
        <v>377.84000000000003</v>
      </c>
      <c r="L52" s="71">
        <f t="shared" si="10"/>
        <v>381.94000000000005</v>
      </c>
      <c r="M52" s="71">
        <f t="shared" si="10"/>
        <v>404.84000000000003</v>
      </c>
      <c r="N52" s="71">
        <f t="shared" si="10"/>
        <v>404.14000000000004</v>
      </c>
      <c r="O52" s="71">
        <f t="shared" si="10"/>
        <v>382.24</v>
      </c>
      <c r="P52" s="71">
        <f t="shared" si="10"/>
        <v>341.84000000000003</v>
      </c>
      <c r="Q52" s="71">
        <f t="shared" si="10"/>
        <v>242.93999999999997</v>
      </c>
      <c r="R52" s="71">
        <f t="shared" si="10"/>
        <v>232.24</v>
      </c>
      <c r="S52" s="71">
        <f t="shared" si="10"/>
        <v>221.84</v>
      </c>
      <c r="T52" s="71">
        <f t="shared" si="10"/>
        <v>244.54</v>
      </c>
      <c r="U52" s="71">
        <f t="shared" si="10"/>
        <v>249.84</v>
      </c>
      <c r="V52" s="71">
        <f t="shared" si="10"/>
        <v>243.83999999999997</v>
      </c>
      <c r="W52" s="71">
        <f t="shared" si="10"/>
        <v>311.74</v>
      </c>
      <c r="X52" s="71">
        <f t="shared" si="10"/>
        <v>341.24</v>
      </c>
      <c r="Y52" s="71">
        <f t="shared" si="10"/>
        <v>409.54</v>
      </c>
      <c r="Z52" s="71">
        <f t="shared" si="10"/>
        <v>410.94</v>
      </c>
      <c r="AA52" s="71">
        <f t="shared" si="10"/>
        <v>408.24</v>
      </c>
      <c r="AB52" s="71">
        <f t="shared" si="10"/>
        <v>372.84</v>
      </c>
      <c r="AC52" s="71">
        <f t="shared" si="10"/>
        <v>357.03999999999996</v>
      </c>
      <c r="AD52" s="71">
        <f t="shared" si="10"/>
        <v>292.04000000000002</v>
      </c>
      <c r="AE52" s="71">
        <f t="shared" si="10"/>
        <v>279.44</v>
      </c>
      <c r="AF52" s="71">
        <f t="shared" si="10"/>
        <v>232.84</v>
      </c>
      <c r="AG52" s="76">
        <f>SUM(AG39:AG51)</f>
        <v>489.91</v>
      </c>
      <c r="AH52" s="53">
        <f t="shared" si="2"/>
        <v>410.94</v>
      </c>
      <c r="AI52" s="54">
        <f t="shared" si="3"/>
        <v>98.54</v>
      </c>
      <c r="AK52" s="55"/>
    </row>
    <row r="53" spans="1:37" x14ac:dyDescent="0.25">
      <c r="A53" s="56" t="s">
        <v>61</v>
      </c>
      <c r="B53" s="5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77">
        <v>40.1</v>
      </c>
      <c r="N53" s="77">
        <v>49.2</v>
      </c>
      <c r="O53" s="77">
        <v>48.9</v>
      </c>
      <c r="P53" s="77">
        <v>49.6</v>
      </c>
      <c r="Q53" s="50">
        <v>40</v>
      </c>
      <c r="R53" s="50">
        <v>24.7</v>
      </c>
      <c r="S53" s="50">
        <v>25</v>
      </c>
      <c r="T53" s="50">
        <v>24.8</v>
      </c>
      <c r="U53" s="50">
        <v>40</v>
      </c>
      <c r="V53" s="50">
        <v>47.6</v>
      </c>
      <c r="W53" s="50">
        <v>47.5</v>
      </c>
      <c r="X53" s="50">
        <v>47.6</v>
      </c>
      <c r="Y53" s="50">
        <v>53.3</v>
      </c>
      <c r="Z53" s="50">
        <v>52.6</v>
      </c>
      <c r="AA53" s="50">
        <v>53</v>
      </c>
      <c r="AB53" s="50">
        <v>29.2</v>
      </c>
      <c r="AC53" s="50">
        <v>29.2</v>
      </c>
      <c r="AD53" s="50">
        <v>29.4</v>
      </c>
      <c r="AE53" s="50">
        <v>0</v>
      </c>
      <c r="AF53" s="50">
        <v>0</v>
      </c>
      <c r="AG53" s="61">
        <v>60</v>
      </c>
      <c r="AH53" s="53">
        <f t="shared" si="2"/>
        <v>53.3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77">
        <v>17.399999999999999</v>
      </c>
      <c r="N54" s="77">
        <v>28.8</v>
      </c>
      <c r="O54" s="77">
        <v>23.8</v>
      </c>
      <c r="P54" s="77">
        <v>27</v>
      </c>
      <c r="Q54" s="72">
        <v>16.3</v>
      </c>
      <c r="R54" s="72">
        <v>12.3</v>
      </c>
      <c r="S54" s="50">
        <v>9.6</v>
      </c>
      <c r="T54" s="50">
        <v>12.2</v>
      </c>
      <c r="U54" s="50">
        <v>17.5</v>
      </c>
      <c r="V54" s="72">
        <v>22.4</v>
      </c>
      <c r="W54" s="72">
        <v>21.3</v>
      </c>
      <c r="X54" s="72">
        <v>22.2</v>
      </c>
      <c r="Y54" s="72">
        <v>23.3</v>
      </c>
      <c r="Z54" s="72">
        <v>24.7</v>
      </c>
      <c r="AA54" s="72">
        <v>25.3</v>
      </c>
      <c r="AB54" s="72">
        <v>14.1</v>
      </c>
      <c r="AC54" s="72">
        <v>14.6</v>
      </c>
      <c r="AD54" s="72">
        <v>14.4</v>
      </c>
      <c r="AE54" s="72">
        <v>0</v>
      </c>
      <c r="AF54" s="72">
        <v>0</v>
      </c>
      <c r="AG54" s="66">
        <v>32</v>
      </c>
      <c r="AH54" s="53">
        <f t="shared" si="2"/>
        <v>28.8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9">
        <v>0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80">
        <v>6.4</v>
      </c>
      <c r="N55" s="80">
        <v>10.5</v>
      </c>
      <c r="O55" s="80">
        <v>8.6999999999999993</v>
      </c>
      <c r="P55" s="80">
        <v>9.9</v>
      </c>
      <c r="Q55" s="78">
        <v>6</v>
      </c>
      <c r="R55" s="78">
        <v>4.5</v>
      </c>
      <c r="S55" s="50">
        <v>9.6</v>
      </c>
      <c r="T55" s="50">
        <v>4.5</v>
      </c>
      <c r="U55" s="50">
        <v>6.4</v>
      </c>
      <c r="V55" s="78">
        <v>8.1999999999999993</v>
      </c>
      <c r="W55" s="78">
        <v>7.8</v>
      </c>
      <c r="X55" s="78">
        <v>8.1</v>
      </c>
      <c r="Y55" s="78">
        <v>8.5</v>
      </c>
      <c r="Z55" s="78">
        <v>9</v>
      </c>
      <c r="AA55" s="78">
        <v>9.1999999999999993</v>
      </c>
      <c r="AB55" s="78">
        <v>5.0999999999999996</v>
      </c>
      <c r="AC55" s="78">
        <v>5.3</v>
      </c>
      <c r="AD55" s="78">
        <v>5.3</v>
      </c>
      <c r="AE55" s="78">
        <v>0</v>
      </c>
      <c r="AF55" s="78">
        <v>0</v>
      </c>
      <c r="AG55" s="81">
        <v>14</v>
      </c>
      <c r="AH55" s="53">
        <f t="shared" si="2"/>
        <v>10.5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1">SUM(B53:B55)</f>
        <v>0</v>
      </c>
      <c r="C56" s="71">
        <f>SUM(C53:C55)</f>
        <v>0</v>
      </c>
      <c r="D56" s="71">
        <f t="shared" ref="D56:AF56" si="12">SUM(D53:D55)</f>
        <v>0</v>
      </c>
      <c r="E56" s="71">
        <f t="shared" si="12"/>
        <v>0</v>
      </c>
      <c r="F56" s="71">
        <f t="shared" si="12"/>
        <v>0</v>
      </c>
      <c r="G56" s="71">
        <f t="shared" si="12"/>
        <v>0</v>
      </c>
      <c r="H56" s="71">
        <f t="shared" si="12"/>
        <v>0</v>
      </c>
      <c r="I56" s="71">
        <f t="shared" si="12"/>
        <v>0</v>
      </c>
      <c r="J56" s="71">
        <f t="shared" si="12"/>
        <v>0</v>
      </c>
      <c r="K56" s="71">
        <f t="shared" si="12"/>
        <v>0</v>
      </c>
      <c r="L56" s="71">
        <f t="shared" si="12"/>
        <v>0</v>
      </c>
      <c r="M56" s="71">
        <f t="shared" si="12"/>
        <v>63.9</v>
      </c>
      <c r="N56" s="71">
        <f t="shared" si="12"/>
        <v>88.5</v>
      </c>
      <c r="O56" s="71">
        <f t="shared" si="12"/>
        <v>81.400000000000006</v>
      </c>
      <c r="P56" s="71">
        <f t="shared" si="12"/>
        <v>86.5</v>
      </c>
      <c r="Q56" s="71">
        <f t="shared" si="12"/>
        <v>62.3</v>
      </c>
      <c r="R56" s="71">
        <f t="shared" si="12"/>
        <v>41.5</v>
      </c>
      <c r="S56" s="71">
        <f t="shared" si="12"/>
        <v>44.2</v>
      </c>
      <c r="T56" s="71">
        <f t="shared" si="12"/>
        <v>41.5</v>
      </c>
      <c r="U56" s="71">
        <f t="shared" si="12"/>
        <v>63.9</v>
      </c>
      <c r="V56" s="71">
        <f t="shared" si="12"/>
        <v>78.2</v>
      </c>
      <c r="W56" s="71">
        <f t="shared" si="12"/>
        <v>76.599999999999994</v>
      </c>
      <c r="X56" s="71">
        <f t="shared" si="12"/>
        <v>77.899999999999991</v>
      </c>
      <c r="Y56" s="71">
        <f t="shared" si="12"/>
        <v>85.1</v>
      </c>
      <c r="Z56" s="71">
        <f t="shared" si="12"/>
        <v>86.3</v>
      </c>
      <c r="AA56" s="71">
        <f t="shared" si="12"/>
        <v>87.5</v>
      </c>
      <c r="AB56" s="71">
        <f t="shared" si="12"/>
        <v>48.4</v>
      </c>
      <c r="AC56" s="71">
        <f t="shared" si="12"/>
        <v>49.099999999999994</v>
      </c>
      <c r="AD56" s="71">
        <f t="shared" si="12"/>
        <v>49.099999999999994</v>
      </c>
      <c r="AE56" s="71">
        <f t="shared" si="12"/>
        <v>0</v>
      </c>
      <c r="AF56" s="71">
        <f t="shared" si="12"/>
        <v>0</v>
      </c>
      <c r="AG56" s="76">
        <f>SUM(AG53:AG55)</f>
        <v>106</v>
      </c>
      <c r="AH56" s="53">
        <f t="shared" si="2"/>
        <v>88.5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65</v>
      </c>
      <c r="C57" s="50">
        <v>62</v>
      </c>
      <c r="D57" s="50">
        <v>54</v>
      </c>
      <c r="E57" s="50">
        <v>60</v>
      </c>
      <c r="F57" s="50">
        <v>69</v>
      </c>
      <c r="G57" s="50">
        <v>62</v>
      </c>
      <c r="H57" s="50">
        <v>64</v>
      </c>
      <c r="I57" s="50">
        <v>64</v>
      </c>
      <c r="J57" s="50">
        <v>75</v>
      </c>
      <c r="K57" s="50">
        <v>69</v>
      </c>
      <c r="L57" s="50">
        <v>68</v>
      </c>
      <c r="M57" s="50">
        <v>68</v>
      </c>
      <c r="N57" s="50">
        <v>68</v>
      </c>
      <c r="O57" s="50">
        <v>68</v>
      </c>
      <c r="P57" s="50">
        <v>68</v>
      </c>
      <c r="Q57" s="50">
        <v>70.28</v>
      </c>
      <c r="R57" s="50">
        <v>68.5</v>
      </c>
      <c r="S57" s="50">
        <v>66</v>
      </c>
      <c r="T57" s="50">
        <v>65.8</v>
      </c>
      <c r="U57" s="50">
        <v>67</v>
      </c>
      <c r="V57" s="50">
        <v>71.400000000000006</v>
      </c>
      <c r="W57" s="50">
        <v>60</v>
      </c>
      <c r="X57" s="50">
        <v>69.7</v>
      </c>
      <c r="Y57" s="50">
        <v>74.8</v>
      </c>
      <c r="Z57" s="50">
        <v>77.3</v>
      </c>
      <c r="AA57" s="50">
        <v>69</v>
      </c>
      <c r="AB57" s="50">
        <v>69</v>
      </c>
      <c r="AC57" s="50">
        <v>69</v>
      </c>
      <c r="AD57" s="50">
        <v>75</v>
      </c>
      <c r="AE57" s="50">
        <v>72</v>
      </c>
      <c r="AF57" s="50">
        <v>66</v>
      </c>
      <c r="AG57" s="61"/>
      <c r="AH57" s="53">
        <f t="shared" si="2"/>
        <v>77.3</v>
      </c>
      <c r="AI57" s="54">
        <f t="shared" si="3"/>
        <v>54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46</v>
      </c>
      <c r="Z58" s="82">
        <v>45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66"/>
      <c r="AH58" s="53">
        <f t="shared" si="2"/>
        <v>46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335</v>
      </c>
      <c r="C59" s="72">
        <v>336.5</v>
      </c>
      <c r="D59" s="72">
        <v>362</v>
      </c>
      <c r="E59" s="72">
        <v>335</v>
      </c>
      <c r="F59" s="72">
        <v>307</v>
      </c>
      <c r="G59" s="72">
        <v>330</v>
      </c>
      <c r="H59" s="72">
        <v>335</v>
      </c>
      <c r="I59" s="72">
        <v>360</v>
      </c>
      <c r="J59" s="72">
        <v>366</v>
      </c>
      <c r="K59" s="72">
        <v>375</v>
      </c>
      <c r="L59" s="72">
        <v>154</v>
      </c>
      <c r="M59" s="72">
        <v>368.8</v>
      </c>
      <c r="N59" s="72">
        <v>369.8</v>
      </c>
      <c r="O59" s="72">
        <v>364</v>
      </c>
      <c r="P59" s="72">
        <v>331</v>
      </c>
      <c r="Q59" s="72">
        <v>335.3</v>
      </c>
      <c r="R59" s="72">
        <v>352.9</v>
      </c>
      <c r="S59" s="72">
        <v>350</v>
      </c>
      <c r="T59" s="72">
        <v>353.5</v>
      </c>
      <c r="U59" s="72">
        <v>352</v>
      </c>
      <c r="V59" s="72">
        <v>175.6</v>
      </c>
      <c r="W59" s="72">
        <v>165</v>
      </c>
      <c r="X59" s="83">
        <v>178</v>
      </c>
      <c r="Y59" s="83">
        <v>158.9</v>
      </c>
      <c r="Z59" s="83">
        <v>45</v>
      </c>
      <c r="AA59" s="83">
        <v>140</v>
      </c>
      <c r="AB59" s="83">
        <v>269</v>
      </c>
      <c r="AC59" s="83">
        <v>265</v>
      </c>
      <c r="AD59" s="83">
        <v>338</v>
      </c>
      <c r="AE59" s="83">
        <v>333</v>
      </c>
      <c r="AF59" s="83">
        <v>350</v>
      </c>
      <c r="AG59" s="84"/>
      <c r="AH59" s="53">
        <f t="shared" si="2"/>
        <v>375</v>
      </c>
      <c r="AI59" s="54">
        <f t="shared" si="3"/>
        <v>45</v>
      </c>
      <c r="AK59" s="55"/>
    </row>
    <row r="60" spans="1:37" x14ac:dyDescent="0.25">
      <c r="A60" s="65" t="s">
        <v>68</v>
      </c>
      <c r="B60" s="57">
        <v>47.8</v>
      </c>
      <c r="C60" s="57">
        <v>50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47</v>
      </c>
      <c r="L60" s="57">
        <v>44.7</v>
      </c>
      <c r="M60" s="72">
        <v>44.5</v>
      </c>
      <c r="N60" s="72">
        <v>0</v>
      </c>
      <c r="O60" s="72">
        <v>0</v>
      </c>
      <c r="P60" s="72">
        <v>12</v>
      </c>
      <c r="Q60" s="72">
        <v>49.1</v>
      </c>
      <c r="R60" s="72">
        <v>69.099999999999994</v>
      </c>
      <c r="S60" s="72">
        <v>59</v>
      </c>
      <c r="T60" s="72">
        <v>55.1</v>
      </c>
      <c r="U60" s="72">
        <v>50.8</v>
      </c>
      <c r="V60" s="72">
        <v>46.5</v>
      </c>
      <c r="W60" s="72">
        <v>55.4</v>
      </c>
      <c r="X60" s="72">
        <v>57.4</v>
      </c>
      <c r="Y60" s="72">
        <v>58.2</v>
      </c>
      <c r="Z60" s="72">
        <v>57.3</v>
      </c>
      <c r="AA60" s="72">
        <v>60.6</v>
      </c>
      <c r="AB60" s="72">
        <v>59.4</v>
      </c>
      <c r="AC60" s="72">
        <v>56.4</v>
      </c>
      <c r="AD60" s="72">
        <v>61.4</v>
      </c>
      <c r="AE60" s="72">
        <v>0</v>
      </c>
      <c r="AF60" s="72">
        <v>0</v>
      </c>
      <c r="AG60" s="84"/>
      <c r="AH60" s="53">
        <f t="shared" si="2"/>
        <v>69.099999999999994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0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0">
        <v>79</v>
      </c>
      <c r="N61" s="50">
        <v>79</v>
      </c>
      <c r="O61" s="50">
        <v>85.7</v>
      </c>
      <c r="P61" s="50">
        <v>82.5</v>
      </c>
      <c r="Q61" s="50">
        <v>80.099999999999994</v>
      </c>
      <c r="R61" s="50">
        <v>58.9</v>
      </c>
      <c r="S61" s="50">
        <v>72</v>
      </c>
      <c r="T61" s="50">
        <v>70.8</v>
      </c>
      <c r="U61" s="50">
        <v>74.3</v>
      </c>
      <c r="V61" s="50">
        <v>79</v>
      </c>
      <c r="W61" s="50">
        <v>82.7</v>
      </c>
      <c r="X61" s="50">
        <v>82.5</v>
      </c>
      <c r="Y61" s="50">
        <v>84.6</v>
      </c>
      <c r="Z61" s="50">
        <v>77</v>
      </c>
      <c r="AA61" s="50">
        <v>87.1</v>
      </c>
      <c r="AB61" s="50">
        <v>79.400000000000006</v>
      </c>
      <c r="AC61" s="50">
        <v>80.8</v>
      </c>
      <c r="AD61" s="50">
        <v>81.900000000000006</v>
      </c>
      <c r="AE61" s="50">
        <v>68.599999999999994</v>
      </c>
      <c r="AF61" s="50">
        <v>0</v>
      </c>
      <c r="AG61" s="84"/>
      <c r="AH61" s="53">
        <f t="shared" si="2"/>
        <v>87.1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0</v>
      </c>
      <c r="C62" s="59">
        <v>0</v>
      </c>
      <c r="D62" s="59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50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59">
        <v>0</v>
      </c>
      <c r="V62" s="59">
        <v>0</v>
      </c>
      <c r="W62" s="59">
        <v>0</v>
      </c>
      <c r="X62" s="59">
        <v>0</v>
      </c>
      <c r="Y62" s="59">
        <v>6</v>
      </c>
      <c r="Z62" s="59">
        <v>6</v>
      </c>
      <c r="AA62" s="59">
        <v>6</v>
      </c>
      <c r="AB62" s="59">
        <v>6</v>
      </c>
      <c r="AC62" s="59">
        <v>6</v>
      </c>
      <c r="AD62" s="59">
        <v>6</v>
      </c>
      <c r="AE62" s="59">
        <v>6</v>
      </c>
      <c r="AF62" s="59">
        <v>6</v>
      </c>
      <c r="AG62" s="84"/>
      <c r="AH62" s="53">
        <f t="shared" si="2"/>
        <v>6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9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0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>
        <v>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0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59">
        <v>0</v>
      </c>
      <c r="V64" s="59">
        <v>0</v>
      </c>
      <c r="W64" s="59">
        <v>0</v>
      </c>
      <c r="X64" s="59">
        <v>0</v>
      </c>
      <c r="Y64" s="57">
        <v>0</v>
      </c>
      <c r="Z64" s="57">
        <v>0</v>
      </c>
      <c r="AA64" s="59">
        <v>0</v>
      </c>
      <c r="AB64" s="59">
        <v>0</v>
      </c>
      <c r="AC64" s="59">
        <v>0</v>
      </c>
      <c r="AD64" s="59">
        <v>0</v>
      </c>
      <c r="AE64" s="59">
        <v>0</v>
      </c>
      <c r="AF64" s="59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>
        <v>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0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59">
        <v>0</v>
      </c>
      <c r="V65" s="59">
        <v>0</v>
      </c>
      <c r="W65" s="59">
        <v>0</v>
      </c>
      <c r="X65" s="59">
        <v>0</v>
      </c>
      <c r="Y65" s="57">
        <v>0</v>
      </c>
      <c r="Z65" s="57">
        <v>0</v>
      </c>
      <c r="AA65" s="59">
        <v>0</v>
      </c>
      <c r="AB65" s="59">
        <v>0</v>
      </c>
      <c r="AC65" s="59">
        <v>0</v>
      </c>
      <c r="AD65" s="59">
        <v>0</v>
      </c>
      <c r="AE65" s="59">
        <v>0</v>
      </c>
      <c r="AF65" s="59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>
        <v>0</v>
      </c>
      <c r="C66" s="62">
        <v>0</v>
      </c>
      <c r="D66" s="62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0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59">
        <v>0</v>
      </c>
      <c r="V66" s="59">
        <v>0</v>
      </c>
      <c r="W66" s="59">
        <v>0</v>
      </c>
      <c r="X66" s="59">
        <v>0</v>
      </c>
      <c r="Y66" s="62">
        <v>0</v>
      </c>
      <c r="Z66" s="62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>
        <v>0</v>
      </c>
      <c r="C67" s="62">
        <v>0</v>
      </c>
      <c r="D67" s="62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0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59">
        <v>0</v>
      </c>
      <c r="V67" s="59">
        <v>0</v>
      </c>
      <c r="W67" s="59">
        <v>0</v>
      </c>
      <c r="X67" s="59">
        <v>0</v>
      </c>
      <c r="Y67" s="62">
        <v>0</v>
      </c>
      <c r="Z67" s="62">
        <v>0</v>
      </c>
      <c r="AA67" s="59">
        <v>0</v>
      </c>
      <c r="AB67" s="59">
        <v>0</v>
      </c>
      <c r="AC67" s="59">
        <v>0</v>
      </c>
      <c r="AD67" s="59">
        <v>0</v>
      </c>
      <c r="AE67" s="59">
        <v>0</v>
      </c>
      <c r="AF67" s="59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 t="shared" ref="B68" si="13">SUM(B57:B67)</f>
        <v>447.8</v>
      </c>
      <c r="C68" s="71">
        <f>SUM(C57:C67)</f>
        <v>448.5</v>
      </c>
      <c r="D68" s="71">
        <f t="shared" ref="D68:AF68" si="14">SUM(D57:D67)</f>
        <v>416</v>
      </c>
      <c r="E68" s="71">
        <f t="shared" si="14"/>
        <v>395</v>
      </c>
      <c r="F68" s="71">
        <f t="shared" si="14"/>
        <v>376</v>
      </c>
      <c r="G68" s="71">
        <f t="shared" si="14"/>
        <v>392</v>
      </c>
      <c r="H68" s="71">
        <f t="shared" si="14"/>
        <v>399</v>
      </c>
      <c r="I68" s="71">
        <f t="shared" si="14"/>
        <v>424</v>
      </c>
      <c r="J68" s="71">
        <f t="shared" si="14"/>
        <v>441</v>
      </c>
      <c r="K68" s="71">
        <f t="shared" si="14"/>
        <v>491</v>
      </c>
      <c r="L68" s="71">
        <f t="shared" si="14"/>
        <v>266.7</v>
      </c>
      <c r="M68" s="71">
        <f t="shared" si="14"/>
        <v>560.29999999999995</v>
      </c>
      <c r="N68" s="71">
        <f t="shared" si="14"/>
        <v>516.79999999999995</v>
      </c>
      <c r="O68" s="71">
        <f t="shared" si="14"/>
        <v>517.70000000000005</v>
      </c>
      <c r="P68" s="71">
        <f t="shared" si="14"/>
        <v>493.5</v>
      </c>
      <c r="Q68" s="71">
        <f t="shared" si="14"/>
        <v>534.78000000000009</v>
      </c>
      <c r="R68" s="71">
        <f t="shared" si="14"/>
        <v>549.4</v>
      </c>
      <c r="S68" s="71">
        <f t="shared" si="14"/>
        <v>547</v>
      </c>
      <c r="T68" s="71">
        <f t="shared" si="14"/>
        <v>545.20000000000005</v>
      </c>
      <c r="U68" s="71">
        <f t="shared" si="14"/>
        <v>544.1</v>
      </c>
      <c r="V68" s="71">
        <f t="shared" si="14"/>
        <v>372.5</v>
      </c>
      <c r="W68" s="71">
        <f t="shared" si="14"/>
        <v>363.09999999999997</v>
      </c>
      <c r="X68" s="71">
        <f t="shared" si="14"/>
        <v>387.59999999999997</v>
      </c>
      <c r="Y68" s="71">
        <f t="shared" si="14"/>
        <v>428.5</v>
      </c>
      <c r="Z68" s="71">
        <f t="shared" si="14"/>
        <v>307.60000000000002</v>
      </c>
      <c r="AA68" s="71">
        <f t="shared" si="14"/>
        <v>362.70000000000005</v>
      </c>
      <c r="AB68" s="71">
        <f t="shared" si="14"/>
        <v>482.79999999999995</v>
      </c>
      <c r="AC68" s="71">
        <f t="shared" si="14"/>
        <v>477.2</v>
      </c>
      <c r="AD68" s="71">
        <f t="shared" si="14"/>
        <v>562.29999999999995</v>
      </c>
      <c r="AE68" s="71">
        <f t="shared" si="14"/>
        <v>479.6</v>
      </c>
      <c r="AF68" s="71">
        <f t="shared" si="14"/>
        <v>422</v>
      </c>
      <c r="AG68" s="76">
        <f>SUM(AG57:AG67)</f>
        <v>0</v>
      </c>
      <c r="AH68" s="53">
        <f t="shared" si="2"/>
        <v>562.29999999999995</v>
      </c>
      <c r="AI68" s="54">
        <f t="shared" si="3"/>
        <v>266.7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8.5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8.5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 t="shared" ref="B72" si="15">SUM(B69:B71)</f>
        <v>0</v>
      </c>
      <c r="C72" s="71">
        <f>SUM(C69:C71)</f>
        <v>0</v>
      </c>
      <c r="D72" s="71">
        <f t="shared" ref="D72:AF72" si="16">SUM(D69:D71)</f>
        <v>0</v>
      </c>
      <c r="E72" s="71">
        <f t="shared" si="16"/>
        <v>0</v>
      </c>
      <c r="F72" s="71">
        <f t="shared" si="16"/>
        <v>0</v>
      </c>
      <c r="G72" s="71">
        <f t="shared" si="16"/>
        <v>0</v>
      </c>
      <c r="H72" s="71">
        <f t="shared" si="16"/>
        <v>0</v>
      </c>
      <c r="I72" s="71">
        <f t="shared" si="16"/>
        <v>0</v>
      </c>
      <c r="J72" s="71">
        <f t="shared" si="16"/>
        <v>0</v>
      </c>
      <c r="K72" s="71">
        <f t="shared" si="16"/>
        <v>0</v>
      </c>
      <c r="L72" s="71">
        <f t="shared" si="16"/>
        <v>0</v>
      </c>
      <c r="M72" s="71">
        <f t="shared" si="16"/>
        <v>0</v>
      </c>
      <c r="N72" s="71">
        <f t="shared" si="16"/>
        <v>0</v>
      </c>
      <c r="O72" s="71">
        <f t="shared" si="16"/>
        <v>0</v>
      </c>
      <c r="P72" s="71">
        <f t="shared" si="16"/>
        <v>0</v>
      </c>
      <c r="Q72" s="71">
        <f t="shared" si="16"/>
        <v>0</v>
      </c>
      <c r="R72" s="71">
        <f t="shared" si="16"/>
        <v>0</v>
      </c>
      <c r="S72" s="71">
        <f t="shared" si="16"/>
        <v>0</v>
      </c>
      <c r="T72" s="71">
        <f t="shared" si="16"/>
        <v>0</v>
      </c>
      <c r="U72" s="71">
        <f t="shared" si="16"/>
        <v>0</v>
      </c>
      <c r="V72" s="71">
        <f t="shared" si="16"/>
        <v>0</v>
      </c>
      <c r="W72" s="71">
        <f t="shared" si="16"/>
        <v>0</v>
      </c>
      <c r="X72" s="71">
        <f t="shared" si="16"/>
        <v>0</v>
      </c>
      <c r="Y72" s="71">
        <v>0</v>
      </c>
      <c r="Z72" s="71">
        <f t="shared" si="16"/>
        <v>0</v>
      </c>
      <c r="AA72" s="71">
        <f t="shared" si="16"/>
        <v>0</v>
      </c>
      <c r="AB72" s="71">
        <f t="shared" si="16"/>
        <v>0</v>
      </c>
      <c r="AC72" s="71">
        <f t="shared" si="16"/>
        <v>0</v>
      </c>
      <c r="AD72" s="71">
        <f t="shared" si="16"/>
        <v>0</v>
      </c>
      <c r="AE72" s="71">
        <f t="shared" si="16"/>
        <v>0</v>
      </c>
      <c r="AF72" s="71">
        <f t="shared" si="16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 t="shared" ref="B73" si="17">B68+B56+B52+B38+B72</f>
        <v>1022.64</v>
      </c>
      <c r="C73" s="88">
        <f>C68+C56+C52+C38+C72</f>
        <v>967.93999999999994</v>
      </c>
      <c r="D73" s="88">
        <f t="shared" ref="D73:AG73" si="18">D68+D56+D52+D38+D72</f>
        <v>934.33999999999992</v>
      </c>
      <c r="E73" s="88">
        <f t="shared" si="18"/>
        <v>913.33999999999992</v>
      </c>
      <c r="F73" s="88">
        <f t="shared" si="18"/>
        <v>930.93999999999994</v>
      </c>
      <c r="G73" s="88">
        <f t="shared" si="18"/>
        <v>972.93999999999994</v>
      </c>
      <c r="H73" s="88">
        <f t="shared" si="18"/>
        <v>1013.64</v>
      </c>
      <c r="I73" s="88">
        <f t="shared" si="18"/>
        <v>1113.3399999999999</v>
      </c>
      <c r="J73" s="88">
        <f t="shared" si="18"/>
        <v>1199.04</v>
      </c>
      <c r="K73" s="88">
        <f t="shared" si="18"/>
        <v>1327.6399999999999</v>
      </c>
      <c r="L73" s="88">
        <f t="shared" si="18"/>
        <v>1334.94</v>
      </c>
      <c r="M73" s="88">
        <f t="shared" si="18"/>
        <v>1569.34</v>
      </c>
      <c r="N73" s="88">
        <f t="shared" si="18"/>
        <v>1523.04</v>
      </c>
      <c r="O73" s="88">
        <f t="shared" si="18"/>
        <v>1459.94</v>
      </c>
      <c r="P73" s="88">
        <f t="shared" si="18"/>
        <v>1410.44</v>
      </c>
      <c r="Q73" s="88">
        <f t="shared" si="18"/>
        <v>1278.6199999999999</v>
      </c>
      <c r="R73" s="88">
        <f t="shared" si="18"/>
        <v>1233.74</v>
      </c>
      <c r="S73" s="88">
        <f t="shared" si="18"/>
        <v>1223.6400000000001</v>
      </c>
      <c r="T73" s="88">
        <f t="shared" si="18"/>
        <v>1233.1399999999999</v>
      </c>
      <c r="U73" s="88">
        <f t="shared" si="18"/>
        <v>1259.74</v>
      </c>
      <c r="V73" s="88">
        <f t="shared" si="18"/>
        <v>1264.54</v>
      </c>
      <c r="W73" s="88">
        <f t="shared" si="18"/>
        <v>1348.44</v>
      </c>
      <c r="X73" s="88">
        <f t="shared" si="18"/>
        <v>1446.74</v>
      </c>
      <c r="Y73" s="88">
        <f t="shared" si="18"/>
        <v>1595.74</v>
      </c>
      <c r="Z73" s="88">
        <f t="shared" si="18"/>
        <v>1567.6400000000003</v>
      </c>
      <c r="AA73" s="88">
        <f t="shared" si="18"/>
        <v>1549.54</v>
      </c>
      <c r="AB73" s="88">
        <f t="shared" si="18"/>
        <v>1445.1399999999999</v>
      </c>
      <c r="AC73" s="88">
        <f t="shared" si="18"/>
        <v>1423.2399999999998</v>
      </c>
      <c r="AD73" s="88">
        <f t="shared" si="18"/>
        <v>1443.3400000000001</v>
      </c>
      <c r="AE73" s="88">
        <f t="shared" si="18"/>
        <v>1188.9399999999998</v>
      </c>
      <c r="AF73" s="88">
        <f t="shared" si="18"/>
        <v>1084.74</v>
      </c>
      <c r="AG73" s="88">
        <f t="shared" si="18"/>
        <v>2144.14</v>
      </c>
      <c r="AH73" s="53">
        <f t="shared" si="2"/>
        <v>1595.74</v>
      </c>
      <c r="AI73" s="54">
        <f t="shared" si="3"/>
        <v>913.33999999999992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>
        <v>16</v>
      </c>
      <c r="E74" s="90">
        <v>16</v>
      </c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16</v>
      </c>
      <c r="AI74" s="54">
        <f t="shared" si="3"/>
        <v>16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 t="shared" ref="B75" si="19">B72+B68+B56+B52+B38+B74</f>
        <v>1022.64</v>
      </c>
      <c r="C75" s="88">
        <f>C73+C74</f>
        <v>967.93999999999994</v>
      </c>
      <c r="D75" s="88">
        <f t="shared" ref="D75:AF75" si="20">D72+D68+D56+D52+D38+D74</f>
        <v>950.33999999999992</v>
      </c>
      <c r="E75" s="88">
        <f t="shared" si="20"/>
        <v>929.33999999999992</v>
      </c>
      <c r="F75" s="88">
        <f t="shared" si="20"/>
        <v>930.93999999999994</v>
      </c>
      <c r="G75" s="88">
        <f t="shared" si="20"/>
        <v>972.93999999999994</v>
      </c>
      <c r="H75" s="88">
        <f t="shared" si="20"/>
        <v>1013.64</v>
      </c>
      <c r="I75" s="88">
        <f t="shared" si="20"/>
        <v>1113.3399999999999</v>
      </c>
      <c r="J75" s="88">
        <f t="shared" si="20"/>
        <v>1199.04</v>
      </c>
      <c r="K75" s="88">
        <f t="shared" si="20"/>
        <v>1327.6399999999999</v>
      </c>
      <c r="L75" s="88">
        <f t="shared" si="20"/>
        <v>1334.94</v>
      </c>
      <c r="M75" s="88">
        <f t="shared" si="20"/>
        <v>1569.34</v>
      </c>
      <c r="N75" s="88">
        <f t="shared" si="20"/>
        <v>1523.04</v>
      </c>
      <c r="O75" s="88">
        <f t="shared" si="20"/>
        <v>1459.94</v>
      </c>
      <c r="P75" s="88">
        <f t="shared" si="20"/>
        <v>1410.44</v>
      </c>
      <c r="Q75" s="88">
        <f t="shared" si="20"/>
        <v>1278.6199999999999</v>
      </c>
      <c r="R75" s="88">
        <f t="shared" si="20"/>
        <v>1233.74</v>
      </c>
      <c r="S75" s="88">
        <f t="shared" si="20"/>
        <v>1223.6400000000001</v>
      </c>
      <c r="T75" s="88">
        <f t="shared" si="20"/>
        <v>1233.1399999999999</v>
      </c>
      <c r="U75" s="88">
        <f t="shared" si="20"/>
        <v>1259.74</v>
      </c>
      <c r="V75" s="88">
        <f t="shared" si="20"/>
        <v>1264.54</v>
      </c>
      <c r="W75" s="88">
        <f t="shared" si="20"/>
        <v>1348.44</v>
      </c>
      <c r="X75" s="88">
        <f t="shared" si="20"/>
        <v>1446.74</v>
      </c>
      <c r="Y75" s="88">
        <f t="shared" si="20"/>
        <v>1595.74</v>
      </c>
      <c r="Z75" s="88">
        <f t="shared" si="20"/>
        <v>1567.6400000000003</v>
      </c>
      <c r="AA75" s="88">
        <f t="shared" si="20"/>
        <v>1549.54</v>
      </c>
      <c r="AB75" s="88">
        <f t="shared" si="20"/>
        <v>1445.1399999999999</v>
      </c>
      <c r="AC75" s="88">
        <f t="shared" si="20"/>
        <v>1423.2399999999998</v>
      </c>
      <c r="AD75" s="88">
        <f t="shared" si="20"/>
        <v>1443.3400000000001</v>
      </c>
      <c r="AE75" s="88">
        <f t="shared" si="20"/>
        <v>1188.9399999999998</v>
      </c>
      <c r="AF75" s="88">
        <f t="shared" si="20"/>
        <v>1084.74</v>
      </c>
      <c r="AG75" s="76">
        <f>AG72+AG68+AG56+AG52+AG38+AG74</f>
        <v>2144.14</v>
      </c>
      <c r="AH75" s="53">
        <f t="shared" si="2"/>
        <v>1595.74</v>
      </c>
      <c r="AI75" s="54">
        <f t="shared" si="3"/>
        <v>929.33999999999992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 t="shared" ref="B76" si="21">IF(B60&lt;0,B60*-1,0)</f>
        <v>0</v>
      </c>
      <c r="C76" s="57">
        <f>IF(C60&lt;0,C60*-1,0)</f>
        <v>0</v>
      </c>
      <c r="D76" s="57">
        <f t="shared" ref="D76:AF76" si="22">IF(D60&lt;0,D60*-1,0)</f>
        <v>0</v>
      </c>
      <c r="E76" s="57">
        <f t="shared" si="22"/>
        <v>0</v>
      </c>
      <c r="F76" s="57">
        <f t="shared" si="22"/>
        <v>0</v>
      </c>
      <c r="G76" s="57">
        <f t="shared" si="22"/>
        <v>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7">
        <f t="shared" si="22"/>
        <v>0</v>
      </c>
      <c r="M76" s="57">
        <f t="shared" si="22"/>
        <v>0</v>
      </c>
      <c r="N76" s="57">
        <f t="shared" si="22"/>
        <v>0</v>
      </c>
      <c r="O76" s="57">
        <f t="shared" si="22"/>
        <v>0</v>
      </c>
      <c r="P76" s="57">
        <f t="shared" si="22"/>
        <v>0</v>
      </c>
      <c r="Q76" s="57">
        <f t="shared" si="22"/>
        <v>0</v>
      </c>
      <c r="R76" s="57">
        <f t="shared" si="22"/>
        <v>0</v>
      </c>
      <c r="S76" s="57">
        <f t="shared" si="22"/>
        <v>0</v>
      </c>
      <c r="T76" s="57">
        <f t="shared" si="22"/>
        <v>0</v>
      </c>
      <c r="U76" s="57">
        <f t="shared" si="22"/>
        <v>0</v>
      </c>
      <c r="V76" s="57">
        <f t="shared" si="22"/>
        <v>0</v>
      </c>
      <c r="W76" s="57">
        <f t="shared" si="22"/>
        <v>0</v>
      </c>
      <c r="X76" s="57">
        <f t="shared" si="22"/>
        <v>0</v>
      </c>
      <c r="Y76" s="57">
        <f t="shared" si="22"/>
        <v>0</v>
      </c>
      <c r="Z76" s="57">
        <f t="shared" si="22"/>
        <v>0</v>
      </c>
      <c r="AA76" s="57">
        <f t="shared" si="22"/>
        <v>0</v>
      </c>
      <c r="AB76" s="57">
        <f t="shared" si="22"/>
        <v>0</v>
      </c>
      <c r="AC76" s="57">
        <f t="shared" si="22"/>
        <v>0</v>
      </c>
      <c r="AD76" s="57">
        <f t="shared" si="22"/>
        <v>0</v>
      </c>
      <c r="AE76" s="57">
        <f t="shared" si="22"/>
        <v>0</v>
      </c>
      <c r="AF76" s="57">
        <f t="shared" si="22"/>
        <v>0</v>
      </c>
      <c r="AG76" s="61"/>
      <c r="AH76" s="53">
        <f t="shared" ref="AH76:AH91" si="23">MAX(B76:AF76)</f>
        <v>0</v>
      </c>
      <c r="AI76" s="54">
        <f t="shared" ref="AI76:AI91" si="2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 t="shared" ref="B77" si="25">IF(B58&lt;0,B58*-1,0)</f>
        <v>0</v>
      </c>
      <c r="C77" s="57">
        <f>IF(C58&lt;0,C58*-1,0)</f>
        <v>0</v>
      </c>
      <c r="D77" s="57">
        <f t="shared" ref="D77:AF77" si="26">IF(D58&lt;0,D58*-1,0)</f>
        <v>0</v>
      </c>
      <c r="E77" s="57">
        <f t="shared" si="26"/>
        <v>0</v>
      </c>
      <c r="F77" s="57">
        <f t="shared" si="26"/>
        <v>0</v>
      </c>
      <c r="G77" s="57">
        <f t="shared" si="26"/>
        <v>0</v>
      </c>
      <c r="H77" s="57">
        <f t="shared" si="26"/>
        <v>0</v>
      </c>
      <c r="I77" s="57">
        <f t="shared" si="26"/>
        <v>0</v>
      </c>
      <c r="J77" s="57">
        <f t="shared" si="26"/>
        <v>0</v>
      </c>
      <c r="K77" s="57">
        <f t="shared" si="26"/>
        <v>0</v>
      </c>
      <c r="L77" s="57">
        <f t="shared" si="26"/>
        <v>0</v>
      </c>
      <c r="M77" s="57">
        <f t="shared" si="26"/>
        <v>0</v>
      </c>
      <c r="N77" s="57">
        <f t="shared" si="26"/>
        <v>0</v>
      </c>
      <c r="O77" s="57">
        <f t="shared" si="26"/>
        <v>0</v>
      </c>
      <c r="P77" s="57">
        <f t="shared" si="26"/>
        <v>0</v>
      </c>
      <c r="Q77" s="57">
        <f t="shared" si="26"/>
        <v>0</v>
      </c>
      <c r="R77" s="57">
        <f t="shared" si="26"/>
        <v>0</v>
      </c>
      <c r="S77" s="57">
        <f t="shared" si="26"/>
        <v>0</v>
      </c>
      <c r="T77" s="57">
        <f t="shared" si="26"/>
        <v>0</v>
      </c>
      <c r="U77" s="57">
        <f t="shared" si="26"/>
        <v>0</v>
      </c>
      <c r="V77" s="57">
        <f t="shared" si="26"/>
        <v>0</v>
      </c>
      <c r="W77" s="57">
        <f t="shared" si="26"/>
        <v>0</v>
      </c>
      <c r="X77" s="57">
        <f t="shared" si="26"/>
        <v>0</v>
      </c>
      <c r="Y77" s="57">
        <f t="shared" si="26"/>
        <v>0</v>
      </c>
      <c r="Z77" s="57">
        <f t="shared" si="26"/>
        <v>0</v>
      </c>
      <c r="AA77" s="57">
        <f t="shared" si="26"/>
        <v>0</v>
      </c>
      <c r="AB77" s="57">
        <f t="shared" si="26"/>
        <v>0</v>
      </c>
      <c r="AC77" s="57">
        <f t="shared" si="26"/>
        <v>0</v>
      </c>
      <c r="AD77" s="57">
        <f t="shared" si="26"/>
        <v>0</v>
      </c>
      <c r="AE77" s="57">
        <f t="shared" si="26"/>
        <v>0</v>
      </c>
      <c r="AF77" s="57">
        <f t="shared" si="26"/>
        <v>0</v>
      </c>
      <c r="AG77" s="66"/>
      <c r="AH77" s="53">
        <f t="shared" si="23"/>
        <v>0</v>
      </c>
      <c r="AI77" s="54">
        <f t="shared" si="2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 t="shared" ref="B78" si="27">IF(B61&lt;0,B61*-1,0)</f>
        <v>0</v>
      </c>
      <c r="C78" s="57">
        <f>IF(C61&lt;0,C61*-1,0)</f>
        <v>0</v>
      </c>
      <c r="D78" s="57">
        <f t="shared" ref="D78:AF78" si="28">IF(D61&lt;0,D61*-1,0)</f>
        <v>0</v>
      </c>
      <c r="E78" s="57">
        <f t="shared" si="28"/>
        <v>0</v>
      </c>
      <c r="F78" s="57">
        <f t="shared" si="28"/>
        <v>0</v>
      </c>
      <c r="G78" s="57">
        <f t="shared" si="28"/>
        <v>0</v>
      </c>
      <c r="H78" s="57">
        <f t="shared" si="28"/>
        <v>0</v>
      </c>
      <c r="I78" s="57">
        <f t="shared" si="28"/>
        <v>0</v>
      </c>
      <c r="J78" s="57">
        <f t="shared" si="28"/>
        <v>0</v>
      </c>
      <c r="K78" s="57">
        <f t="shared" si="28"/>
        <v>0</v>
      </c>
      <c r="L78" s="57">
        <f t="shared" si="28"/>
        <v>0</v>
      </c>
      <c r="M78" s="57">
        <f t="shared" si="28"/>
        <v>0</v>
      </c>
      <c r="N78" s="57">
        <f t="shared" si="28"/>
        <v>0</v>
      </c>
      <c r="O78" s="57">
        <f t="shared" si="28"/>
        <v>0</v>
      </c>
      <c r="P78" s="57">
        <f t="shared" si="28"/>
        <v>0</v>
      </c>
      <c r="Q78" s="57">
        <f t="shared" si="28"/>
        <v>0</v>
      </c>
      <c r="R78" s="57">
        <f t="shared" si="28"/>
        <v>0</v>
      </c>
      <c r="S78" s="57">
        <f t="shared" si="28"/>
        <v>0</v>
      </c>
      <c r="T78" s="57">
        <f t="shared" si="28"/>
        <v>0</v>
      </c>
      <c r="U78" s="57">
        <f t="shared" si="28"/>
        <v>0</v>
      </c>
      <c r="V78" s="57">
        <f t="shared" si="28"/>
        <v>0</v>
      </c>
      <c r="W78" s="57">
        <f t="shared" si="28"/>
        <v>0</v>
      </c>
      <c r="X78" s="57">
        <f t="shared" si="28"/>
        <v>0</v>
      </c>
      <c r="Y78" s="57">
        <f t="shared" si="28"/>
        <v>0</v>
      </c>
      <c r="Z78" s="57">
        <f t="shared" si="28"/>
        <v>0</v>
      </c>
      <c r="AA78" s="57">
        <f t="shared" si="28"/>
        <v>0</v>
      </c>
      <c r="AB78" s="57">
        <f t="shared" si="28"/>
        <v>0</v>
      </c>
      <c r="AC78" s="57">
        <f t="shared" si="28"/>
        <v>0</v>
      </c>
      <c r="AD78" s="57">
        <f t="shared" si="28"/>
        <v>0</v>
      </c>
      <c r="AE78" s="57">
        <f t="shared" si="28"/>
        <v>0</v>
      </c>
      <c r="AF78" s="57">
        <f t="shared" si="28"/>
        <v>0</v>
      </c>
      <c r="AG78" s="91"/>
      <c r="AH78" s="53">
        <f t="shared" si="23"/>
        <v>0</v>
      </c>
      <c r="AI78" s="54">
        <f t="shared" si="2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 t="shared" ref="B79" si="29">IF(B59&lt;0,B59*-1,0)</f>
        <v>0</v>
      </c>
      <c r="C79" s="57">
        <f>IF(C59&lt;0,C59*-1,0)</f>
        <v>0</v>
      </c>
      <c r="D79" s="57">
        <f t="shared" ref="D79:AF79" si="30">IF(D59&lt;0,D59*-1,0)</f>
        <v>0</v>
      </c>
      <c r="E79" s="57">
        <f t="shared" si="30"/>
        <v>0</v>
      </c>
      <c r="F79" s="57">
        <f t="shared" si="30"/>
        <v>0</v>
      </c>
      <c r="G79" s="57">
        <f t="shared" si="30"/>
        <v>0</v>
      </c>
      <c r="H79" s="57">
        <f t="shared" si="30"/>
        <v>0</v>
      </c>
      <c r="I79" s="57">
        <f t="shared" si="30"/>
        <v>0</v>
      </c>
      <c r="J79" s="57">
        <f t="shared" si="30"/>
        <v>0</v>
      </c>
      <c r="K79" s="57">
        <f t="shared" si="30"/>
        <v>0</v>
      </c>
      <c r="L79" s="57">
        <f t="shared" si="30"/>
        <v>0</v>
      </c>
      <c r="M79" s="57">
        <f t="shared" si="30"/>
        <v>0</v>
      </c>
      <c r="N79" s="57">
        <f t="shared" si="30"/>
        <v>0</v>
      </c>
      <c r="O79" s="57">
        <f t="shared" si="30"/>
        <v>0</v>
      </c>
      <c r="P79" s="57">
        <f t="shared" si="30"/>
        <v>0</v>
      </c>
      <c r="Q79" s="57">
        <f t="shared" si="30"/>
        <v>0</v>
      </c>
      <c r="R79" s="57">
        <f t="shared" si="30"/>
        <v>0</v>
      </c>
      <c r="S79" s="57">
        <f t="shared" si="30"/>
        <v>0</v>
      </c>
      <c r="T79" s="57">
        <f t="shared" si="30"/>
        <v>0</v>
      </c>
      <c r="U79" s="57">
        <f t="shared" si="30"/>
        <v>0</v>
      </c>
      <c r="V79" s="57">
        <f t="shared" si="30"/>
        <v>0</v>
      </c>
      <c r="W79" s="57">
        <f t="shared" si="30"/>
        <v>0</v>
      </c>
      <c r="X79" s="57">
        <f t="shared" si="30"/>
        <v>0</v>
      </c>
      <c r="Y79" s="57">
        <f t="shared" si="30"/>
        <v>0</v>
      </c>
      <c r="Z79" s="57">
        <f t="shared" si="30"/>
        <v>0</v>
      </c>
      <c r="AA79" s="57">
        <f t="shared" si="30"/>
        <v>0</v>
      </c>
      <c r="AB79" s="57">
        <f t="shared" si="30"/>
        <v>0</v>
      </c>
      <c r="AC79" s="57">
        <f t="shared" si="30"/>
        <v>0</v>
      </c>
      <c r="AD79" s="57">
        <f t="shared" si="30"/>
        <v>0</v>
      </c>
      <c r="AE79" s="57">
        <f t="shared" si="30"/>
        <v>0</v>
      </c>
      <c r="AF79" s="57">
        <f t="shared" si="30"/>
        <v>0</v>
      </c>
      <c r="AG79" s="91"/>
      <c r="AH79" s="53">
        <f t="shared" si="23"/>
        <v>0</v>
      </c>
      <c r="AI79" s="54">
        <f t="shared" si="2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 t="shared" ref="B80" si="31">IF(B57&lt;0,B57*-1,0)</f>
        <v>0</v>
      </c>
      <c r="C80" s="57">
        <f>IF(C57&lt;0,C57*-1,0)</f>
        <v>0</v>
      </c>
      <c r="D80" s="57">
        <f t="shared" ref="D80:AF80" si="32">IF(D57&lt;0,D57*-1,0)</f>
        <v>0</v>
      </c>
      <c r="E80" s="57">
        <f t="shared" si="32"/>
        <v>0</v>
      </c>
      <c r="F80" s="57">
        <f t="shared" si="32"/>
        <v>0</v>
      </c>
      <c r="G80" s="57">
        <f t="shared" si="32"/>
        <v>0</v>
      </c>
      <c r="H80" s="57">
        <f t="shared" si="32"/>
        <v>0</v>
      </c>
      <c r="I80" s="57">
        <f t="shared" si="32"/>
        <v>0</v>
      </c>
      <c r="J80" s="57">
        <f t="shared" si="32"/>
        <v>0</v>
      </c>
      <c r="K80" s="57">
        <f t="shared" si="32"/>
        <v>0</v>
      </c>
      <c r="L80" s="57">
        <f t="shared" si="32"/>
        <v>0</v>
      </c>
      <c r="M80" s="57">
        <f t="shared" si="32"/>
        <v>0</v>
      </c>
      <c r="N80" s="57">
        <f t="shared" si="32"/>
        <v>0</v>
      </c>
      <c r="O80" s="57">
        <f t="shared" si="32"/>
        <v>0</v>
      </c>
      <c r="P80" s="57">
        <f t="shared" si="32"/>
        <v>0</v>
      </c>
      <c r="Q80" s="57">
        <f t="shared" si="32"/>
        <v>0</v>
      </c>
      <c r="R80" s="57">
        <f t="shared" si="32"/>
        <v>0</v>
      </c>
      <c r="S80" s="57">
        <f t="shared" si="32"/>
        <v>0</v>
      </c>
      <c r="T80" s="57">
        <f t="shared" si="32"/>
        <v>0</v>
      </c>
      <c r="U80" s="57">
        <f t="shared" si="32"/>
        <v>0</v>
      </c>
      <c r="V80" s="57">
        <f t="shared" si="32"/>
        <v>0</v>
      </c>
      <c r="W80" s="57">
        <f t="shared" si="32"/>
        <v>0</v>
      </c>
      <c r="X80" s="57">
        <f t="shared" si="32"/>
        <v>0</v>
      </c>
      <c r="Y80" s="57">
        <f t="shared" si="32"/>
        <v>0</v>
      </c>
      <c r="Z80" s="57">
        <f t="shared" si="32"/>
        <v>0</v>
      </c>
      <c r="AA80" s="57">
        <f t="shared" si="32"/>
        <v>0</v>
      </c>
      <c r="AB80" s="57">
        <f t="shared" si="32"/>
        <v>0</v>
      </c>
      <c r="AC80" s="57">
        <f t="shared" si="32"/>
        <v>0</v>
      </c>
      <c r="AD80" s="57">
        <f t="shared" si="32"/>
        <v>0</v>
      </c>
      <c r="AE80" s="57">
        <f t="shared" si="32"/>
        <v>0</v>
      </c>
      <c r="AF80" s="57">
        <f t="shared" si="32"/>
        <v>0</v>
      </c>
      <c r="AG80" s="91"/>
      <c r="AH80" s="53">
        <f t="shared" si="23"/>
        <v>0</v>
      </c>
      <c r="AI80" s="54">
        <f t="shared" si="2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23"/>
        <v>0</v>
      </c>
      <c r="AI81" s="54">
        <f t="shared" si="2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 t="shared" ref="B82" si="33">SUM(B76:B81)</f>
        <v>0</v>
      </c>
      <c r="C82" s="71">
        <f t="shared" ref="C82:AG82" si="34">SUM(C76:C81)</f>
        <v>0</v>
      </c>
      <c r="D82" s="71">
        <f t="shared" si="34"/>
        <v>0</v>
      </c>
      <c r="E82" s="71">
        <f t="shared" si="34"/>
        <v>0</v>
      </c>
      <c r="F82" s="71">
        <f t="shared" si="34"/>
        <v>0</v>
      </c>
      <c r="G82" s="71">
        <f t="shared" si="34"/>
        <v>0</v>
      </c>
      <c r="H82" s="71">
        <f t="shared" si="34"/>
        <v>0</v>
      </c>
      <c r="I82" s="71">
        <f t="shared" si="34"/>
        <v>0</v>
      </c>
      <c r="J82" s="71">
        <f t="shared" si="34"/>
        <v>0</v>
      </c>
      <c r="K82" s="71">
        <f t="shared" si="34"/>
        <v>0</v>
      </c>
      <c r="L82" s="71">
        <f t="shared" si="34"/>
        <v>0</v>
      </c>
      <c r="M82" s="71">
        <f t="shared" si="34"/>
        <v>0</v>
      </c>
      <c r="N82" s="71">
        <f t="shared" si="34"/>
        <v>0</v>
      </c>
      <c r="O82" s="71">
        <f t="shared" si="34"/>
        <v>0</v>
      </c>
      <c r="P82" s="71">
        <f t="shared" si="34"/>
        <v>0</v>
      </c>
      <c r="Q82" s="71">
        <f t="shared" si="34"/>
        <v>0</v>
      </c>
      <c r="R82" s="71">
        <f t="shared" si="34"/>
        <v>0</v>
      </c>
      <c r="S82" s="71">
        <f t="shared" si="34"/>
        <v>0</v>
      </c>
      <c r="T82" s="71">
        <f t="shared" si="34"/>
        <v>0</v>
      </c>
      <c r="U82" s="71">
        <f t="shared" si="34"/>
        <v>0</v>
      </c>
      <c r="V82" s="71">
        <f t="shared" si="34"/>
        <v>0</v>
      </c>
      <c r="W82" s="71">
        <f t="shared" si="34"/>
        <v>0</v>
      </c>
      <c r="X82" s="71">
        <f t="shared" si="34"/>
        <v>0</v>
      </c>
      <c r="Y82" s="71">
        <f t="shared" si="34"/>
        <v>0</v>
      </c>
      <c r="Z82" s="71">
        <f t="shared" si="34"/>
        <v>0</v>
      </c>
      <c r="AA82" s="71">
        <f t="shared" si="34"/>
        <v>0</v>
      </c>
      <c r="AB82" s="71">
        <f t="shared" si="34"/>
        <v>0</v>
      </c>
      <c r="AC82" s="71">
        <f t="shared" si="34"/>
        <v>0</v>
      </c>
      <c r="AD82" s="71">
        <f t="shared" si="34"/>
        <v>0</v>
      </c>
      <c r="AE82" s="71">
        <f t="shared" si="34"/>
        <v>0</v>
      </c>
      <c r="AF82" s="71">
        <f t="shared" si="34"/>
        <v>0</v>
      </c>
      <c r="AG82" s="76">
        <f t="shared" si="34"/>
        <v>0</v>
      </c>
      <c r="AH82" s="53">
        <f t="shared" si="23"/>
        <v>0</v>
      </c>
      <c r="AI82" s="54">
        <f t="shared" si="24"/>
        <v>0</v>
      </c>
      <c r="AK82" s="55"/>
    </row>
    <row r="83" spans="1:88" s="1" customFormat="1" ht="15.75" thickBot="1" x14ac:dyDescent="0.3">
      <c r="A83" s="70" t="s">
        <v>88</v>
      </c>
      <c r="B83" s="71">
        <f t="shared" ref="B83" si="35">SUM(B70:B82)</f>
        <v>2045.28</v>
      </c>
      <c r="C83" s="71">
        <f t="shared" ref="C83:AG83" si="36">SUM(C70:C82)</f>
        <v>1935.8799999999999</v>
      </c>
      <c r="D83" s="71">
        <f t="shared" si="36"/>
        <v>1900.6799999999998</v>
      </c>
      <c r="E83" s="71">
        <f t="shared" si="36"/>
        <v>1858.6799999999998</v>
      </c>
      <c r="F83" s="71">
        <f t="shared" si="36"/>
        <v>1861.8799999999999</v>
      </c>
      <c r="G83" s="71">
        <f t="shared" si="36"/>
        <v>1945.8799999999999</v>
      </c>
      <c r="H83" s="71">
        <f t="shared" si="36"/>
        <v>2027.28</v>
      </c>
      <c r="I83" s="71">
        <f t="shared" si="36"/>
        <v>2226.6799999999998</v>
      </c>
      <c r="J83" s="71">
        <f t="shared" si="36"/>
        <v>2398.08</v>
      </c>
      <c r="K83" s="71">
        <f t="shared" si="36"/>
        <v>2655.2799999999997</v>
      </c>
      <c r="L83" s="71">
        <f t="shared" si="36"/>
        <v>2669.88</v>
      </c>
      <c r="M83" s="71">
        <f t="shared" si="36"/>
        <v>3138.68</v>
      </c>
      <c r="N83" s="71">
        <f t="shared" si="36"/>
        <v>3046.08</v>
      </c>
      <c r="O83" s="71">
        <f t="shared" si="36"/>
        <v>2919.88</v>
      </c>
      <c r="P83" s="71">
        <f t="shared" si="36"/>
        <v>2820.88</v>
      </c>
      <c r="Q83" s="71">
        <f t="shared" si="36"/>
        <v>2557.2399999999998</v>
      </c>
      <c r="R83" s="71">
        <f t="shared" si="36"/>
        <v>2467.48</v>
      </c>
      <c r="S83" s="71">
        <f t="shared" si="36"/>
        <v>2447.2800000000002</v>
      </c>
      <c r="T83" s="71">
        <f t="shared" si="36"/>
        <v>2466.2799999999997</v>
      </c>
      <c r="U83" s="71">
        <f t="shared" si="36"/>
        <v>2519.48</v>
      </c>
      <c r="V83" s="71">
        <f t="shared" si="36"/>
        <v>2529.08</v>
      </c>
      <c r="W83" s="71">
        <f t="shared" si="36"/>
        <v>2696.88</v>
      </c>
      <c r="X83" s="71">
        <f t="shared" si="36"/>
        <v>2893.48</v>
      </c>
      <c r="Y83" s="71">
        <f t="shared" si="36"/>
        <v>3199.98</v>
      </c>
      <c r="Z83" s="71">
        <f t="shared" si="36"/>
        <v>3135.2800000000007</v>
      </c>
      <c r="AA83" s="71">
        <f t="shared" si="36"/>
        <v>3099.08</v>
      </c>
      <c r="AB83" s="71">
        <f t="shared" si="36"/>
        <v>2890.2799999999997</v>
      </c>
      <c r="AC83" s="71">
        <f t="shared" si="36"/>
        <v>2846.4799999999996</v>
      </c>
      <c r="AD83" s="71">
        <f t="shared" si="36"/>
        <v>2886.6800000000003</v>
      </c>
      <c r="AE83" s="71">
        <f t="shared" si="36"/>
        <v>2377.8799999999997</v>
      </c>
      <c r="AF83" s="71">
        <f t="shared" si="36"/>
        <v>2169.48</v>
      </c>
      <c r="AG83" s="76">
        <f t="shared" si="36"/>
        <v>4360.08</v>
      </c>
      <c r="AH83" s="53">
        <f t="shared" si="23"/>
        <v>3199.98</v>
      </c>
      <c r="AI83" s="54">
        <f t="shared" si="24"/>
        <v>1858.6799999999998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49.997999999999998</v>
      </c>
      <c r="C84" s="95">
        <v>50.018999999999998</v>
      </c>
      <c r="D84" s="95">
        <v>50.012</v>
      </c>
      <c r="E84" s="95">
        <v>50.031999999999996</v>
      </c>
      <c r="F84" s="95">
        <v>50.02</v>
      </c>
      <c r="G84" s="95">
        <v>49.97</v>
      </c>
      <c r="H84" s="95">
        <v>49.96</v>
      </c>
      <c r="I84" s="95">
        <v>50</v>
      </c>
      <c r="J84" s="95">
        <v>50</v>
      </c>
      <c r="K84" s="95">
        <v>50</v>
      </c>
      <c r="L84" s="95">
        <v>49.98</v>
      </c>
      <c r="M84" s="95">
        <v>50.037999999999997</v>
      </c>
      <c r="N84" s="95">
        <v>50.039000000000001</v>
      </c>
      <c r="O84" s="95">
        <v>50.042000000000002</v>
      </c>
      <c r="P84" s="95">
        <v>50.031999999999996</v>
      </c>
      <c r="Q84" s="95">
        <v>49.96</v>
      </c>
      <c r="R84" s="95">
        <v>50.048000000000002</v>
      </c>
      <c r="S84" s="95">
        <v>50</v>
      </c>
      <c r="T84" s="95">
        <v>50.030999999999999</v>
      </c>
      <c r="U84" s="95">
        <v>50.040999999999997</v>
      </c>
      <c r="V84" s="95">
        <v>49.893999999999998</v>
      </c>
      <c r="W84" s="95">
        <v>50.036999999999999</v>
      </c>
      <c r="X84" s="95">
        <v>49.956000000000003</v>
      </c>
      <c r="Y84" s="95">
        <v>49.972000000000001</v>
      </c>
      <c r="Z84" s="95">
        <v>50.024000000000001</v>
      </c>
      <c r="AA84" s="95">
        <v>49.984000000000002</v>
      </c>
      <c r="AB84" s="95">
        <v>49.96</v>
      </c>
      <c r="AC84" s="95">
        <v>49.94</v>
      </c>
      <c r="AD84" s="95">
        <v>49.99</v>
      </c>
      <c r="AE84" s="95">
        <v>49.98</v>
      </c>
      <c r="AF84" s="95">
        <v>50.02</v>
      </c>
      <c r="AG84" s="96"/>
      <c r="AH84" s="53">
        <f t="shared" si="23"/>
        <v>50.048000000000002</v>
      </c>
      <c r="AI84" s="54">
        <f t="shared" si="24"/>
        <v>49.893999999999998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72">
        <v>125.9</v>
      </c>
      <c r="C85" s="72">
        <v>126.1</v>
      </c>
      <c r="D85" s="72">
        <v>125.9</v>
      </c>
      <c r="E85" s="72">
        <v>125.9</v>
      </c>
      <c r="F85" s="72">
        <v>127.2</v>
      </c>
      <c r="G85" s="72">
        <v>124</v>
      </c>
      <c r="H85" s="72">
        <v>123.7</v>
      </c>
      <c r="I85" s="72">
        <v>124.1</v>
      </c>
      <c r="J85" s="72">
        <v>123.5</v>
      </c>
      <c r="K85" s="72">
        <v>123.4</v>
      </c>
      <c r="L85" s="72">
        <v>123.4</v>
      </c>
      <c r="M85" s="72">
        <v>124.2</v>
      </c>
      <c r="N85" s="72">
        <v>123.9</v>
      </c>
      <c r="O85" s="72">
        <v>123.9</v>
      </c>
      <c r="P85" s="72">
        <v>125.1</v>
      </c>
      <c r="Q85" s="72">
        <v>127.4</v>
      </c>
      <c r="R85" s="72">
        <v>124.5</v>
      </c>
      <c r="S85" s="72">
        <v>125</v>
      </c>
      <c r="T85" s="72">
        <v>125.4</v>
      </c>
      <c r="U85" s="99">
        <v>125.8</v>
      </c>
      <c r="V85" s="99">
        <v>126.2</v>
      </c>
      <c r="W85" s="99">
        <v>126.2</v>
      </c>
      <c r="X85" s="99">
        <v>124.4</v>
      </c>
      <c r="Y85" s="99">
        <v>124</v>
      </c>
      <c r="Z85" s="99">
        <v>126.7</v>
      </c>
      <c r="AA85" s="99">
        <v>125.3</v>
      </c>
      <c r="AB85" s="99">
        <v>125.5</v>
      </c>
      <c r="AC85" s="99">
        <v>125.9</v>
      </c>
      <c r="AD85" s="99">
        <v>127.4</v>
      </c>
      <c r="AE85" s="99">
        <v>126.3</v>
      </c>
      <c r="AF85" s="99">
        <v>124.2</v>
      </c>
      <c r="AG85" s="100"/>
      <c r="AH85" s="53">
        <f t="shared" si="23"/>
        <v>127.4</v>
      </c>
      <c r="AI85" s="54">
        <f t="shared" si="24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72">
        <v>130.19999999999999</v>
      </c>
      <c r="C86" s="72">
        <v>129.9</v>
      </c>
      <c r="D86" s="72">
        <v>129.5</v>
      </c>
      <c r="E86" s="72">
        <v>130</v>
      </c>
      <c r="F86" s="72">
        <v>130.9</v>
      </c>
      <c r="G86" s="72">
        <v>128</v>
      </c>
      <c r="H86" s="72">
        <v>127.5</v>
      </c>
      <c r="I86" s="72">
        <v>128</v>
      </c>
      <c r="J86" s="72">
        <v>127.3</v>
      </c>
      <c r="K86" s="72">
        <v>126.6</v>
      </c>
      <c r="L86" s="72">
        <v>126.6</v>
      </c>
      <c r="M86" s="72">
        <v>126.1</v>
      </c>
      <c r="N86" s="72">
        <v>126</v>
      </c>
      <c r="O86" s="72">
        <v>126.2</v>
      </c>
      <c r="P86" s="72">
        <v>127.6</v>
      </c>
      <c r="Q86" s="72">
        <v>129.30000000000001</v>
      </c>
      <c r="R86" s="72">
        <v>127.3</v>
      </c>
      <c r="S86" s="72">
        <v>127</v>
      </c>
      <c r="T86" s="72">
        <v>128.19999999999999</v>
      </c>
      <c r="U86" s="99">
        <v>128.69999999999999</v>
      </c>
      <c r="V86" s="99">
        <v>128.80000000000001</v>
      </c>
      <c r="W86" s="99">
        <v>128.80000000000001</v>
      </c>
      <c r="X86" s="99">
        <v>126.6</v>
      </c>
      <c r="Y86" s="99">
        <v>126.1</v>
      </c>
      <c r="Z86" s="99">
        <v>127.8</v>
      </c>
      <c r="AA86" s="99">
        <v>127</v>
      </c>
      <c r="AB86" s="99">
        <v>127.2</v>
      </c>
      <c r="AC86" s="99">
        <v>128</v>
      </c>
      <c r="AD86" s="99">
        <v>129.6</v>
      </c>
      <c r="AE86" s="99">
        <v>129</v>
      </c>
      <c r="AF86" s="99">
        <v>128.6</v>
      </c>
      <c r="AG86" s="100"/>
      <c r="AH86" s="53">
        <f t="shared" si="23"/>
        <v>130.9</v>
      </c>
      <c r="AI86" s="54">
        <f t="shared" si="24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72">
        <v>130.19999999999999</v>
      </c>
      <c r="C87" s="72">
        <v>129.5</v>
      </c>
      <c r="D87" s="72">
        <v>129.69999999999999</v>
      </c>
      <c r="E87" s="72">
        <v>131.4</v>
      </c>
      <c r="F87" s="72">
        <v>128.5</v>
      </c>
      <c r="G87" s="72">
        <v>126.8</v>
      </c>
      <c r="H87" s="72">
        <v>127.3</v>
      </c>
      <c r="I87" s="72">
        <v>126.6</v>
      </c>
      <c r="J87" s="72">
        <v>128.9</v>
      </c>
      <c r="K87" s="72">
        <v>125.3</v>
      </c>
      <c r="L87" s="72">
        <v>125.3</v>
      </c>
      <c r="M87" s="72">
        <v>123.9</v>
      </c>
      <c r="N87" s="72">
        <v>126.3</v>
      </c>
      <c r="O87" s="72">
        <v>128.80000000000001</v>
      </c>
      <c r="P87" s="72">
        <v>130.69999999999999</v>
      </c>
      <c r="Q87" s="72">
        <v>131.1</v>
      </c>
      <c r="R87" s="72">
        <v>129.19999999999999</v>
      </c>
      <c r="S87" s="72">
        <v>129</v>
      </c>
      <c r="T87" s="72">
        <v>129.19999999999999</v>
      </c>
      <c r="U87" s="72">
        <v>128.5</v>
      </c>
      <c r="V87" s="72">
        <v>129.30000000000001</v>
      </c>
      <c r="W87" s="72">
        <v>129.30000000000001</v>
      </c>
      <c r="X87" s="99">
        <v>129.1</v>
      </c>
      <c r="Y87" s="99">
        <v>127.1</v>
      </c>
      <c r="Z87" s="99">
        <v>129.19999999999999</v>
      </c>
      <c r="AA87" s="99">
        <v>129.5</v>
      </c>
      <c r="AB87" s="99">
        <v>130.6</v>
      </c>
      <c r="AC87" s="99">
        <v>129.5</v>
      </c>
      <c r="AD87" s="99">
        <v>130</v>
      </c>
      <c r="AE87" s="99">
        <v>132.19999999999999</v>
      </c>
      <c r="AF87" s="99">
        <v>129.69999999999999</v>
      </c>
      <c r="AG87" s="100"/>
      <c r="AH87" s="53">
        <f t="shared" si="23"/>
        <v>132.19999999999999</v>
      </c>
      <c r="AI87" s="54">
        <f t="shared" si="24"/>
        <v>123.9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72">
        <v>132.1</v>
      </c>
      <c r="C88" s="72">
        <v>131.4</v>
      </c>
      <c r="D88" s="72">
        <v>131.9</v>
      </c>
      <c r="E88" s="72">
        <v>132.5</v>
      </c>
      <c r="F88" s="72">
        <v>130.9</v>
      </c>
      <c r="G88" s="72">
        <v>129</v>
      </c>
      <c r="H88" s="72">
        <v>129.5</v>
      </c>
      <c r="I88" s="72">
        <v>131.69999999999999</v>
      </c>
      <c r="J88" s="72">
        <v>132.80000000000001</v>
      </c>
      <c r="K88" s="72">
        <v>129</v>
      </c>
      <c r="L88" s="72">
        <v>129</v>
      </c>
      <c r="M88" s="72">
        <v>128.19999999999999</v>
      </c>
      <c r="N88" s="72">
        <v>130.9</v>
      </c>
      <c r="O88" s="72">
        <v>133.1</v>
      </c>
      <c r="P88" s="72">
        <v>132.9</v>
      </c>
      <c r="Q88" s="72">
        <v>134.5</v>
      </c>
      <c r="R88" s="72">
        <v>131.30000000000001</v>
      </c>
      <c r="S88" s="72">
        <v>130.9</v>
      </c>
      <c r="T88" s="72">
        <v>131.9</v>
      </c>
      <c r="U88" s="72">
        <v>131.19999999999999</v>
      </c>
      <c r="V88" s="72">
        <v>132.4</v>
      </c>
      <c r="W88" s="72">
        <v>132.4</v>
      </c>
      <c r="X88" s="99">
        <v>130.5</v>
      </c>
      <c r="Y88" s="99">
        <v>131.69999999999999</v>
      </c>
      <c r="Z88" s="99">
        <v>135.19999999999999</v>
      </c>
      <c r="AA88" s="99">
        <v>133</v>
      </c>
      <c r="AB88" s="99">
        <v>134.1</v>
      </c>
      <c r="AC88" s="99">
        <v>134</v>
      </c>
      <c r="AD88" s="99">
        <v>133</v>
      </c>
      <c r="AE88" s="99">
        <v>134.69999999999999</v>
      </c>
      <c r="AF88" s="99">
        <v>132.80000000000001</v>
      </c>
      <c r="AG88" s="100"/>
      <c r="AH88" s="53">
        <f t="shared" si="23"/>
        <v>135.19999999999999</v>
      </c>
      <c r="AI88" s="54">
        <f t="shared" si="24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3">
        <v>135.19999999999999</v>
      </c>
      <c r="C89" s="103">
        <v>128.5</v>
      </c>
      <c r="D89" s="103">
        <v>129.30000000000001</v>
      </c>
      <c r="E89" s="103">
        <v>130.30000000000001</v>
      </c>
      <c r="F89" s="103">
        <v>129</v>
      </c>
      <c r="G89" s="103">
        <v>127.8</v>
      </c>
      <c r="H89" s="103">
        <v>128.80000000000001</v>
      </c>
      <c r="I89" s="103">
        <v>132.80000000000001</v>
      </c>
      <c r="J89" s="103">
        <v>135.9</v>
      </c>
      <c r="K89" s="103">
        <v>133.6</v>
      </c>
      <c r="L89" s="103">
        <v>133.6</v>
      </c>
      <c r="M89" s="103">
        <v>135.9</v>
      </c>
      <c r="N89" s="103">
        <v>134.19999999999999</v>
      </c>
      <c r="O89" s="103">
        <v>134.69999999999999</v>
      </c>
      <c r="P89" s="103">
        <v>133.9</v>
      </c>
      <c r="Q89" s="103">
        <v>134.30000000000001</v>
      </c>
      <c r="R89" s="103">
        <v>134.5</v>
      </c>
      <c r="S89" s="103">
        <v>130</v>
      </c>
      <c r="T89" s="103">
        <v>133.5</v>
      </c>
      <c r="U89" s="103">
        <v>135.80000000000001</v>
      </c>
      <c r="V89" s="103">
        <v>133.80000000000001</v>
      </c>
      <c r="W89" s="103">
        <v>133.80000000000001</v>
      </c>
      <c r="X89" s="99">
        <v>134</v>
      </c>
      <c r="Y89" s="99">
        <v>135.4</v>
      </c>
      <c r="Z89" s="99">
        <v>134.69999999999999</v>
      </c>
      <c r="AA89" s="99">
        <v>134</v>
      </c>
      <c r="AB89" s="99">
        <v>134.1</v>
      </c>
      <c r="AC89" s="99">
        <v>133.30000000000001</v>
      </c>
      <c r="AD89" s="99">
        <v>133.69999999999999</v>
      </c>
      <c r="AE89" s="99">
        <v>131.9</v>
      </c>
      <c r="AF89" s="99">
        <v>128.69999999999999</v>
      </c>
      <c r="AG89" s="104"/>
      <c r="AH89" s="53">
        <f t="shared" si="23"/>
        <v>135.9</v>
      </c>
      <c r="AI89" s="54">
        <f t="shared" si="24"/>
        <v>127.8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72">
        <v>136.1</v>
      </c>
      <c r="C90" s="72">
        <v>139.69999999999999</v>
      </c>
      <c r="D90" s="72">
        <v>139.4</v>
      </c>
      <c r="E90" s="72">
        <v>139.4</v>
      </c>
      <c r="F90" s="72">
        <v>136.69999999999999</v>
      </c>
      <c r="G90" s="72">
        <v>136.5</v>
      </c>
      <c r="H90" s="72">
        <v>136</v>
      </c>
      <c r="I90" s="72">
        <v>133.5</v>
      </c>
      <c r="J90" s="72">
        <v>129</v>
      </c>
      <c r="K90" s="72">
        <v>130.69999999999999</v>
      </c>
      <c r="L90" s="72">
        <v>130.69999999999999</v>
      </c>
      <c r="M90" s="72">
        <v>129.80000000000001</v>
      </c>
      <c r="N90" s="72">
        <v>128.4</v>
      </c>
      <c r="O90" s="72">
        <v>134.4</v>
      </c>
      <c r="P90" s="72">
        <v>132</v>
      </c>
      <c r="Q90" s="72"/>
      <c r="R90" s="72">
        <v>134.80000000000001</v>
      </c>
      <c r="S90" s="72">
        <v>134.6</v>
      </c>
      <c r="T90" s="72">
        <v>133.9</v>
      </c>
      <c r="U90" s="72">
        <v>133.4</v>
      </c>
      <c r="V90" s="72">
        <v>132.19999999999999</v>
      </c>
      <c r="W90" s="72">
        <v>132.19999999999999</v>
      </c>
      <c r="X90" s="99">
        <v>131.5</v>
      </c>
      <c r="Y90" s="99">
        <v>128.6</v>
      </c>
      <c r="Z90" s="99">
        <v>133.4</v>
      </c>
      <c r="AA90" s="99">
        <v>133</v>
      </c>
      <c r="AB90" s="99">
        <v>131.5</v>
      </c>
      <c r="AC90" s="99">
        <v>132.30000000000001</v>
      </c>
      <c r="AD90" s="99">
        <v>135.30000000000001</v>
      </c>
      <c r="AE90" s="99">
        <v>133.80000000000001</v>
      </c>
      <c r="AF90" s="99">
        <v>138.19999999999999</v>
      </c>
      <c r="AG90" s="100"/>
      <c r="AH90" s="53">
        <f t="shared" si="23"/>
        <v>139.69999999999999</v>
      </c>
      <c r="AI90" s="54">
        <f t="shared" si="24"/>
        <v>128.4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>
        <v>65.900000000000006</v>
      </c>
      <c r="C91" s="106">
        <v>65.900000000000006</v>
      </c>
      <c r="D91" s="106">
        <v>65.7</v>
      </c>
      <c r="E91" s="106">
        <v>65.8</v>
      </c>
      <c r="F91" s="106">
        <v>66.3</v>
      </c>
      <c r="G91" s="106">
        <v>64.8</v>
      </c>
      <c r="H91" s="106">
        <v>64.7</v>
      </c>
      <c r="I91" s="106">
        <v>64.7</v>
      </c>
      <c r="J91" s="106">
        <v>64.400000000000006</v>
      </c>
      <c r="K91" s="106">
        <v>64.5</v>
      </c>
      <c r="L91" s="106">
        <v>64.5</v>
      </c>
      <c r="M91" s="106">
        <v>63.7</v>
      </c>
      <c r="N91" s="106">
        <v>63.6</v>
      </c>
      <c r="O91" s="106">
        <v>63.5</v>
      </c>
      <c r="P91" s="106">
        <v>64.3</v>
      </c>
      <c r="Q91" s="106">
        <v>65</v>
      </c>
      <c r="R91" s="106">
        <v>64.400000000000006</v>
      </c>
      <c r="S91" s="106">
        <v>64.400000000000006</v>
      </c>
      <c r="T91" s="106">
        <v>65.2</v>
      </c>
      <c r="U91" s="106">
        <v>65.2</v>
      </c>
      <c r="V91" s="106">
        <v>65.400000000000006</v>
      </c>
      <c r="W91" s="106">
        <v>65.400000000000006</v>
      </c>
      <c r="X91" s="106">
        <v>64</v>
      </c>
      <c r="Y91" s="106">
        <v>63.5</v>
      </c>
      <c r="Z91" s="106">
        <v>64.400000000000006</v>
      </c>
      <c r="AA91" s="106">
        <v>64.099999999999994</v>
      </c>
      <c r="AB91" s="106">
        <v>64.8</v>
      </c>
      <c r="AC91" s="106">
        <v>65</v>
      </c>
      <c r="AD91" s="106">
        <v>65</v>
      </c>
      <c r="AE91" s="106">
        <v>65.400000000000006</v>
      </c>
      <c r="AF91" s="106">
        <v>65.2</v>
      </c>
      <c r="AG91" s="107"/>
      <c r="AH91" s="53">
        <f t="shared" si="23"/>
        <v>66.3</v>
      </c>
      <c r="AI91" s="54">
        <f t="shared" si="24"/>
        <v>63.5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 t="shared" ref="B93" si="37">SUM(B15,B18,B21:B22,B42,B44:B45,B47,B49,B94:B97,B102,B108,B114,B123,B125,B137,B144,B147:B148,B155,B157,B159,B163:B165,B167:B169,B174,B180:B181,B183:B185,B193,B198)</f>
        <v>208.73999999999998</v>
      </c>
      <c r="C93" s="113">
        <f>SUM(C15,C18,C21:C22,C42,C44:C45,C47,C49,C94:C97,C102,C108,C114,C123,C125,C137,C144,C147:C148,C155,C157,C159,C163:C165,C167:C169,C174,C180:C181,C183:C185,C193,C198)</f>
        <v>192.44</v>
      </c>
      <c r="D93" s="113">
        <f t="shared" ref="D93:AF93" si="38">SUM(D15,D18,D21:D22,D42,D44:D45,D47,D49,D94:D97,D102,D108,D114,D123,D125,D137,D144,D147:D148,D155,D157,D159,D163:D165,D167:D169,D174,D180:D181,D183:D185,D193,D198)</f>
        <v>189.33999999999997</v>
      </c>
      <c r="E93" s="113">
        <f t="shared" si="38"/>
        <v>187.93999999999994</v>
      </c>
      <c r="F93" s="113">
        <f t="shared" si="38"/>
        <v>193.64</v>
      </c>
      <c r="G93" s="112">
        <f t="shared" si="38"/>
        <v>214.73999999999995</v>
      </c>
      <c r="H93" s="112">
        <f t="shared" si="38"/>
        <v>230.83999999999997</v>
      </c>
      <c r="I93" s="112">
        <f t="shared" si="38"/>
        <v>264.34000000000003</v>
      </c>
      <c r="J93" s="112">
        <f t="shared" si="38"/>
        <v>307.34000000000003</v>
      </c>
      <c r="K93" s="112">
        <f t="shared" si="38"/>
        <v>319.24</v>
      </c>
      <c r="L93" s="112">
        <f t="shared" si="38"/>
        <v>309.34000000000003</v>
      </c>
      <c r="M93" s="112">
        <f t="shared" si="38"/>
        <v>420.84000000000003</v>
      </c>
      <c r="N93" s="112">
        <f t="shared" si="38"/>
        <v>408.64</v>
      </c>
      <c r="O93" s="112">
        <f t="shared" si="38"/>
        <v>392.54000000000008</v>
      </c>
      <c r="P93" s="112">
        <f t="shared" si="38"/>
        <v>380.84000000000003</v>
      </c>
      <c r="Q93" s="112">
        <f t="shared" si="38"/>
        <v>361.34000000000003</v>
      </c>
      <c r="R93" s="112">
        <f t="shared" si="38"/>
        <v>346.84000000000003</v>
      </c>
      <c r="S93" s="112">
        <f t="shared" si="38"/>
        <v>343.04000000000008</v>
      </c>
      <c r="T93" s="112">
        <f t="shared" si="38"/>
        <v>340.14000000000004</v>
      </c>
      <c r="U93" s="112">
        <f t="shared" si="38"/>
        <v>350.14000000000004</v>
      </c>
      <c r="V93" s="112">
        <f t="shared" si="38"/>
        <v>350.34000000000003</v>
      </c>
      <c r="W93" s="112">
        <f t="shared" si="38"/>
        <v>379.04</v>
      </c>
      <c r="X93" s="112">
        <f t="shared" si="38"/>
        <v>431.54000000000008</v>
      </c>
      <c r="Y93" s="112">
        <f t="shared" si="38"/>
        <v>462.04</v>
      </c>
      <c r="Z93" s="112">
        <f t="shared" si="38"/>
        <v>464.74</v>
      </c>
      <c r="AA93" s="112">
        <f t="shared" si="38"/>
        <v>455.34000000000003</v>
      </c>
      <c r="AB93" s="112">
        <f t="shared" si="38"/>
        <v>426.34000000000003</v>
      </c>
      <c r="AC93" s="112">
        <f t="shared" si="38"/>
        <v>394.14000000000004</v>
      </c>
      <c r="AD93" s="112">
        <f t="shared" si="38"/>
        <v>370.14000000000004</v>
      </c>
      <c r="AE93" s="112">
        <f t="shared" si="38"/>
        <v>312.04000000000002</v>
      </c>
      <c r="AF93" s="112">
        <f t="shared" si="38"/>
        <v>247.93999999999997</v>
      </c>
      <c r="AG93" s="114"/>
      <c r="AH93" s="53">
        <f>MAX(C93:AF93)</f>
        <v>464.74</v>
      </c>
      <c r="AI93" s="54">
        <f>MIN(C93:AF93)</f>
        <v>187.93999999999994</v>
      </c>
    </row>
    <row r="94" spans="1:88" x14ac:dyDescent="0.25">
      <c r="A94" s="115" t="s">
        <v>98</v>
      </c>
      <c r="B94" s="118">
        <v>-7.5</v>
      </c>
      <c r="C94" s="57">
        <v>-31.5</v>
      </c>
      <c r="D94" s="57">
        <v>-43.8</v>
      </c>
      <c r="E94" s="57">
        <v>-28.5</v>
      </c>
      <c r="F94" s="57">
        <v>-25.7</v>
      </c>
      <c r="G94" s="57">
        <v>-23.3</v>
      </c>
      <c r="H94" s="57">
        <v>-13.6</v>
      </c>
      <c r="I94" s="117">
        <v>12.2</v>
      </c>
      <c r="J94" s="117">
        <v>36.5</v>
      </c>
      <c r="K94" s="117">
        <v>42</v>
      </c>
      <c r="L94" s="117">
        <v>38.5</v>
      </c>
      <c r="M94" s="118">
        <v>47.5</v>
      </c>
      <c r="N94" s="118">
        <v>30.1</v>
      </c>
      <c r="O94" s="117">
        <v>29.4</v>
      </c>
      <c r="P94" s="117">
        <v>27</v>
      </c>
      <c r="Q94" s="117">
        <v>3.2</v>
      </c>
      <c r="R94" s="117">
        <v>14.2</v>
      </c>
      <c r="S94" s="117">
        <v>1.4</v>
      </c>
      <c r="T94" s="117">
        <v>13</v>
      </c>
      <c r="U94" s="118">
        <v>17.3</v>
      </c>
      <c r="V94" s="118">
        <v>22.5</v>
      </c>
      <c r="W94" s="118">
        <v>42</v>
      </c>
      <c r="X94" s="117">
        <v>43.7</v>
      </c>
      <c r="Y94" s="117">
        <v>51.9</v>
      </c>
      <c r="Z94" s="117">
        <v>59.6</v>
      </c>
      <c r="AA94" s="117">
        <v>50.9</v>
      </c>
      <c r="AB94" s="117">
        <v>49</v>
      </c>
      <c r="AC94" s="117">
        <v>43.1</v>
      </c>
      <c r="AD94" s="117">
        <v>25.8</v>
      </c>
      <c r="AE94" s="118">
        <v>14.1</v>
      </c>
      <c r="AF94" s="118">
        <v>7.1</v>
      </c>
      <c r="AG94" s="119">
        <v>75</v>
      </c>
      <c r="AH94" s="53">
        <f t="shared" ref="AH94:AH99" si="39">IF(ABS(MAX(C94:AF94))&gt;ABS(MIN(C94:AF94)),MAX(C94:AF94),MIN(C94:AF94))</f>
        <v>59.6</v>
      </c>
      <c r="AI94" s="120">
        <f t="shared" ref="AI94:AI99" si="40">INDEX($C$9:$AF$9,1,MATCH(AH94,C94:AF94,0))</f>
        <v>0.79166666666666663</v>
      </c>
    </row>
    <row r="95" spans="1:88" x14ac:dyDescent="0.25">
      <c r="A95" s="121" t="s">
        <v>99</v>
      </c>
      <c r="B95" s="72">
        <v>-35</v>
      </c>
      <c r="C95" s="59">
        <v>-35</v>
      </c>
      <c r="D95" s="59">
        <v>-33</v>
      </c>
      <c r="E95" s="59">
        <v>-38</v>
      </c>
      <c r="F95" s="59">
        <f>-16.9-18</f>
        <v>-34.9</v>
      </c>
      <c r="G95" s="59">
        <f>-13.3-15.2</f>
        <v>-28.5</v>
      </c>
      <c r="H95" s="59">
        <f>-12.6-14.1</f>
        <v>-26.7</v>
      </c>
      <c r="I95" s="59">
        <f>-8.8-10.2</f>
        <v>-19</v>
      </c>
      <c r="J95" s="59">
        <f>-3.1-3.7</f>
        <v>-6.8000000000000007</v>
      </c>
      <c r="K95" s="59">
        <v>12.4</v>
      </c>
      <c r="L95" s="59">
        <f t="shared" ref="L95" si="41">-3.1-3.7</f>
        <v>-6.8000000000000007</v>
      </c>
      <c r="M95" s="59">
        <v>55.5</v>
      </c>
      <c r="N95" s="59">
        <v>65.400000000000006</v>
      </c>
      <c r="O95" s="59">
        <v>59</v>
      </c>
      <c r="P95" s="59">
        <v>35.9</v>
      </c>
      <c r="Q95" s="59">
        <v>52.3</v>
      </c>
      <c r="R95" s="59">
        <v>36.799999999999997</v>
      </c>
      <c r="S95" s="59">
        <v>35</v>
      </c>
      <c r="T95" s="59">
        <v>33</v>
      </c>
      <c r="U95" s="59">
        <v>45.3</v>
      </c>
      <c r="V95" s="59">
        <v>31.6</v>
      </c>
      <c r="W95" s="59">
        <v>60</v>
      </c>
      <c r="X95" s="59">
        <v>84</v>
      </c>
      <c r="Y95" s="59">
        <v>83.2</v>
      </c>
      <c r="Z95" s="59">
        <v>78.3</v>
      </c>
      <c r="AA95" s="59">
        <v>72</v>
      </c>
      <c r="AB95" s="59">
        <f>28.3+27.6</f>
        <v>55.900000000000006</v>
      </c>
      <c r="AC95" s="59">
        <f>26.9+25</f>
        <v>51.9</v>
      </c>
      <c r="AD95" s="59">
        <f>21.9+20.2</f>
        <v>42.099999999999994</v>
      </c>
      <c r="AE95" s="72">
        <f>8.1+9.4</f>
        <v>17.5</v>
      </c>
      <c r="AF95" s="72">
        <f>-13.6-14.9</f>
        <v>-28.5</v>
      </c>
      <c r="AG95" s="119">
        <v>240</v>
      </c>
      <c r="AH95" s="53">
        <f t="shared" si="39"/>
        <v>84</v>
      </c>
      <c r="AI95" s="120">
        <f t="shared" si="40"/>
        <v>0.75</v>
      </c>
    </row>
    <row r="96" spans="1:88" x14ac:dyDescent="0.25">
      <c r="A96" s="121" t="s">
        <v>100</v>
      </c>
      <c r="B96" s="72">
        <v>-10.5</v>
      </c>
      <c r="C96" s="59">
        <v>-4.7</v>
      </c>
      <c r="D96" s="59">
        <v>-5.4</v>
      </c>
      <c r="E96" s="59">
        <v>-8.6999999999999993</v>
      </c>
      <c r="F96" s="59">
        <v>-2.1</v>
      </c>
      <c r="G96" s="59">
        <v>-11.2</v>
      </c>
      <c r="H96" s="59">
        <v>-4.0999999999999996</v>
      </c>
      <c r="I96" s="59">
        <v>-4.0999999999999996</v>
      </c>
      <c r="J96" s="59">
        <v>1.3</v>
      </c>
      <c r="K96" s="59">
        <v>1.8</v>
      </c>
      <c r="L96" s="59">
        <v>1.3</v>
      </c>
      <c r="M96" s="59">
        <v>40.799999999999997</v>
      </c>
      <c r="N96" s="59">
        <v>43.7</v>
      </c>
      <c r="O96" s="59">
        <v>45.7</v>
      </c>
      <c r="P96" s="59">
        <v>48</v>
      </c>
      <c r="Q96" s="59">
        <v>48.8</v>
      </c>
      <c r="R96" s="59">
        <v>21.9</v>
      </c>
      <c r="S96" s="59">
        <v>24</v>
      </c>
      <c r="T96" s="59">
        <v>27.1</v>
      </c>
      <c r="U96" s="59">
        <v>31.5</v>
      </c>
      <c r="V96" s="59">
        <v>37</v>
      </c>
      <c r="W96" s="59">
        <v>46.3</v>
      </c>
      <c r="X96" s="59">
        <v>55.6</v>
      </c>
      <c r="Y96" s="59">
        <v>60.4</v>
      </c>
      <c r="Z96" s="59">
        <v>60.2</v>
      </c>
      <c r="AA96" s="59">
        <v>60.5</v>
      </c>
      <c r="AB96" s="59">
        <v>34.700000000000003</v>
      </c>
      <c r="AC96" s="59">
        <v>22.4</v>
      </c>
      <c r="AD96" s="59">
        <v>22.4</v>
      </c>
      <c r="AE96" s="72">
        <v>5</v>
      </c>
      <c r="AF96" s="72">
        <v>-6.4</v>
      </c>
      <c r="AG96" s="119">
        <v>60</v>
      </c>
      <c r="AH96" s="53">
        <f t="shared" si="39"/>
        <v>60.5</v>
      </c>
      <c r="AI96" s="120">
        <f t="shared" si="40"/>
        <v>0.8125</v>
      </c>
    </row>
    <row r="97" spans="1:37" x14ac:dyDescent="0.25">
      <c r="A97" s="123" t="s">
        <v>101</v>
      </c>
      <c r="B97" s="125">
        <v>85.1</v>
      </c>
      <c r="C97" s="62">
        <v>87</v>
      </c>
      <c r="D97" s="62">
        <v>96</v>
      </c>
      <c r="E97" s="62">
        <v>87.6</v>
      </c>
      <c r="F97" s="62">
        <v>82.3</v>
      </c>
      <c r="G97" s="62">
        <v>103.7</v>
      </c>
      <c r="H97" s="62">
        <v>101.2</v>
      </c>
      <c r="I97" s="62">
        <v>101.2</v>
      </c>
      <c r="J97" s="62">
        <v>102.3</v>
      </c>
      <c r="K97" s="62">
        <v>89</v>
      </c>
      <c r="L97" s="62">
        <v>102.3</v>
      </c>
      <c r="M97" s="62">
        <v>109.5</v>
      </c>
      <c r="N97" s="62">
        <v>102.6</v>
      </c>
      <c r="O97" s="62">
        <v>91.3</v>
      </c>
      <c r="P97" s="62">
        <v>105.6</v>
      </c>
      <c r="Q97" s="62">
        <v>92.7</v>
      </c>
      <c r="R97" s="62">
        <v>109.4</v>
      </c>
      <c r="S97" s="62">
        <v>114</v>
      </c>
      <c r="T97" s="62">
        <v>98.9</v>
      </c>
      <c r="U97" s="62">
        <v>93.8</v>
      </c>
      <c r="V97" s="62">
        <v>95.8</v>
      </c>
      <c r="W97" s="62">
        <v>67.2</v>
      </c>
      <c r="X97" s="62">
        <v>84.6</v>
      </c>
      <c r="Y97" s="62">
        <v>94.8</v>
      </c>
      <c r="Z97" s="62">
        <v>94.6</v>
      </c>
      <c r="AA97" s="62">
        <v>89.6</v>
      </c>
      <c r="AB97" s="62">
        <v>114</v>
      </c>
      <c r="AC97" s="62">
        <v>104</v>
      </c>
      <c r="AD97" s="62">
        <v>106.9</v>
      </c>
      <c r="AE97" s="125">
        <v>102.5</v>
      </c>
      <c r="AF97" s="125">
        <v>102.5</v>
      </c>
      <c r="AG97" s="126">
        <v>120</v>
      </c>
      <c r="AH97" s="53">
        <f t="shared" si="39"/>
        <v>114</v>
      </c>
      <c r="AI97" s="120">
        <f t="shared" si="40"/>
        <v>0.58333333333333304</v>
      </c>
    </row>
    <row r="98" spans="1:37" x14ac:dyDescent="0.25">
      <c r="A98" s="123" t="s">
        <v>102</v>
      </c>
      <c r="B98" s="125">
        <v>89.1</v>
      </c>
      <c r="C98" s="62">
        <v>92</v>
      </c>
      <c r="D98" s="62">
        <v>101</v>
      </c>
      <c r="E98" s="62">
        <v>93.9</v>
      </c>
      <c r="F98" s="62">
        <v>86.5</v>
      </c>
      <c r="G98" s="62">
        <v>105.8</v>
      </c>
      <c r="H98" s="62">
        <v>101</v>
      </c>
      <c r="I98" s="62">
        <v>99.3</v>
      </c>
      <c r="J98" s="62">
        <v>96.5</v>
      </c>
      <c r="K98" s="62">
        <v>76</v>
      </c>
      <c r="L98" s="62">
        <v>96.5</v>
      </c>
      <c r="M98" s="62">
        <v>100.6</v>
      </c>
      <c r="N98" s="62">
        <v>96.8</v>
      </c>
      <c r="O98" s="62">
        <v>90.3</v>
      </c>
      <c r="P98" s="62">
        <v>90.3</v>
      </c>
      <c r="Q98" s="62">
        <v>88.9</v>
      </c>
      <c r="R98" s="62">
        <v>90.5</v>
      </c>
      <c r="S98" s="62">
        <v>96</v>
      </c>
      <c r="T98" s="62">
        <v>80.3</v>
      </c>
      <c r="U98" s="62">
        <v>87.8</v>
      </c>
      <c r="V98" s="62">
        <v>58.9</v>
      </c>
      <c r="W98" s="62">
        <v>92.7</v>
      </c>
      <c r="X98" s="62">
        <v>107.5</v>
      </c>
      <c r="Y98" s="62">
        <v>101.2</v>
      </c>
      <c r="Z98" s="62">
        <v>71.3</v>
      </c>
      <c r="AA98" s="62">
        <v>90.1</v>
      </c>
      <c r="AB98" s="62">
        <v>78.099999999999994</v>
      </c>
      <c r="AC98" s="62">
        <v>77.5</v>
      </c>
      <c r="AD98" s="62">
        <v>80.5</v>
      </c>
      <c r="AE98" s="125">
        <v>84.1</v>
      </c>
      <c r="AF98" s="125">
        <v>88.8</v>
      </c>
      <c r="AG98" s="126"/>
      <c r="AH98" s="53">
        <f t="shared" si="39"/>
        <v>107.5</v>
      </c>
      <c r="AI98" s="120">
        <f t="shared" si="40"/>
        <v>0.75</v>
      </c>
    </row>
    <row r="99" spans="1:37" ht="15.75" thickBot="1" x14ac:dyDescent="0.3">
      <c r="A99" s="123" t="s">
        <v>103</v>
      </c>
      <c r="B99" s="125">
        <v>58.7</v>
      </c>
      <c r="C99" s="62">
        <v>56.3</v>
      </c>
      <c r="D99" s="62">
        <v>75.3</v>
      </c>
      <c r="E99" s="62">
        <v>68.099999999999994</v>
      </c>
      <c r="F99" s="62">
        <v>73.5</v>
      </c>
      <c r="G99" s="62">
        <v>74.5</v>
      </c>
      <c r="H99" s="62">
        <v>67.900000000000006</v>
      </c>
      <c r="I99" s="62">
        <v>51.1</v>
      </c>
      <c r="J99" s="62">
        <v>30.6</v>
      </c>
      <c r="K99" s="62">
        <v>37.700000000000003</v>
      </c>
      <c r="L99" s="62">
        <v>30.6</v>
      </c>
      <c r="M99" s="62">
        <v>30.3</v>
      </c>
      <c r="N99" s="62">
        <v>54.9</v>
      </c>
      <c r="O99" s="62">
        <v>55.7</v>
      </c>
      <c r="P99" s="62">
        <v>55.6</v>
      </c>
      <c r="Q99" s="62">
        <v>48</v>
      </c>
      <c r="R99" s="62">
        <v>36.6</v>
      </c>
      <c r="S99" s="62">
        <v>51</v>
      </c>
      <c r="T99" s="62">
        <v>45.3</v>
      </c>
      <c r="U99" s="62">
        <v>39.200000000000003</v>
      </c>
      <c r="V99" s="62">
        <v>21.5</v>
      </c>
      <c r="W99" s="62">
        <v>21.2</v>
      </c>
      <c r="X99" s="62">
        <v>27.8</v>
      </c>
      <c r="Y99" s="62">
        <v>24.7</v>
      </c>
      <c r="Z99" s="62">
        <v>18.600000000000001</v>
      </c>
      <c r="AA99" s="62">
        <v>24.4</v>
      </c>
      <c r="AB99" s="62">
        <v>27.3</v>
      </c>
      <c r="AC99" s="62">
        <v>39.5</v>
      </c>
      <c r="AD99" s="62">
        <v>38.299999999999997</v>
      </c>
      <c r="AE99" s="125">
        <v>67.3</v>
      </c>
      <c r="AF99" s="125">
        <v>66.2</v>
      </c>
      <c r="AG99" s="127"/>
      <c r="AH99" s="53">
        <f t="shared" si="39"/>
        <v>75.3</v>
      </c>
      <c r="AI99" s="120">
        <f t="shared" si="40"/>
        <v>8.3333333333333301E-2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42">AF101</f>
        <v>9.9</v>
      </c>
      <c r="C101" s="52">
        <v>9.9</v>
      </c>
      <c r="D101" s="133">
        <f t="shared" ref="D101:S106" si="43">C101</f>
        <v>9.9</v>
      </c>
      <c r="E101" s="133">
        <f t="shared" si="43"/>
        <v>9.9</v>
      </c>
      <c r="F101" s="133">
        <f t="shared" si="43"/>
        <v>9.9</v>
      </c>
      <c r="G101" s="133">
        <f t="shared" si="43"/>
        <v>9.9</v>
      </c>
      <c r="H101" s="133">
        <f t="shared" si="43"/>
        <v>9.9</v>
      </c>
      <c r="I101" s="133">
        <f t="shared" si="43"/>
        <v>9.9</v>
      </c>
      <c r="J101" s="133">
        <f t="shared" si="43"/>
        <v>9.9</v>
      </c>
      <c r="K101" s="133">
        <f t="shared" si="43"/>
        <v>9.9</v>
      </c>
      <c r="L101" s="133">
        <f t="shared" si="43"/>
        <v>9.9</v>
      </c>
      <c r="M101" s="133">
        <f t="shared" si="43"/>
        <v>9.9</v>
      </c>
      <c r="N101" s="133">
        <f t="shared" si="43"/>
        <v>9.9</v>
      </c>
      <c r="O101" s="133">
        <f t="shared" si="43"/>
        <v>9.9</v>
      </c>
      <c r="P101" s="133">
        <f t="shared" si="43"/>
        <v>9.9</v>
      </c>
      <c r="Q101" s="133">
        <f t="shared" si="43"/>
        <v>9.9</v>
      </c>
      <c r="R101" s="133">
        <f t="shared" si="43"/>
        <v>9.9</v>
      </c>
      <c r="S101" s="133">
        <f t="shared" si="43"/>
        <v>9.9</v>
      </c>
      <c r="T101" s="133">
        <f t="shared" ref="T101:AF106" si="44">S101</f>
        <v>9.9</v>
      </c>
      <c r="U101" s="133">
        <f t="shared" si="44"/>
        <v>9.9</v>
      </c>
      <c r="V101" s="133">
        <f t="shared" si="44"/>
        <v>9.9</v>
      </c>
      <c r="W101" s="133">
        <f t="shared" si="44"/>
        <v>9.9</v>
      </c>
      <c r="X101" s="133">
        <f t="shared" si="44"/>
        <v>9.9</v>
      </c>
      <c r="Y101" s="133">
        <f t="shared" si="44"/>
        <v>9.9</v>
      </c>
      <c r="Z101" s="133">
        <f t="shared" si="44"/>
        <v>9.9</v>
      </c>
      <c r="AA101" s="133">
        <f t="shared" si="44"/>
        <v>9.9</v>
      </c>
      <c r="AB101" s="133">
        <f t="shared" si="44"/>
        <v>9.9</v>
      </c>
      <c r="AC101" s="133">
        <f t="shared" si="44"/>
        <v>9.9</v>
      </c>
      <c r="AD101" s="133">
        <f t="shared" si="44"/>
        <v>9.9</v>
      </c>
      <c r="AE101" s="133">
        <f t="shared" si="44"/>
        <v>9.9</v>
      </c>
      <c r="AF101" s="133">
        <f t="shared" si="44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42"/>
        <v>9.6</v>
      </c>
      <c r="C102" s="136">
        <v>9.6</v>
      </c>
      <c r="D102" s="135">
        <f t="shared" si="43"/>
        <v>9.6</v>
      </c>
      <c r="E102" s="135">
        <f t="shared" si="43"/>
        <v>9.6</v>
      </c>
      <c r="F102" s="135">
        <f t="shared" si="43"/>
        <v>9.6</v>
      </c>
      <c r="G102" s="135">
        <f t="shared" si="43"/>
        <v>9.6</v>
      </c>
      <c r="H102" s="135">
        <f t="shared" si="43"/>
        <v>9.6</v>
      </c>
      <c r="I102" s="135">
        <f t="shared" si="43"/>
        <v>9.6</v>
      </c>
      <c r="J102" s="135">
        <f t="shared" si="43"/>
        <v>9.6</v>
      </c>
      <c r="K102" s="135">
        <f t="shared" si="43"/>
        <v>9.6</v>
      </c>
      <c r="L102" s="135">
        <f t="shared" si="43"/>
        <v>9.6</v>
      </c>
      <c r="M102" s="135">
        <f t="shared" si="43"/>
        <v>9.6</v>
      </c>
      <c r="N102" s="135">
        <f t="shared" si="43"/>
        <v>9.6</v>
      </c>
      <c r="O102" s="135">
        <f t="shared" si="43"/>
        <v>9.6</v>
      </c>
      <c r="P102" s="135">
        <f t="shared" si="43"/>
        <v>9.6</v>
      </c>
      <c r="Q102" s="135">
        <f t="shared" si="43"/>
        <v>9.6</v>
      </c>
      <c r="R102" s="135">
        <f t="shared" si="43"/>
        <v>9.6</v>
      </c>
      <c r="S102" s="135">
        <f t="shared" si="43"/>
        <v>9.6</v>
      </c>
      <c r="T102" s="135">
        <f t="shared" si="44"/>
        <v>9.6</v>
      </c>
      <c r="U102" s="135">
        <f t="shared" si="44"/>
        <v>9.6</v>
      </c>
      <c r="V102" s="135">
        <f t="shared" si="44"/>
        <v>9.6</v>
      </c>
      <c r="W102" s="135">
        <f t="shared" si="44"/>
        <v>9.6</v>
      </c>
      <c r="X102" s="135">
        <f t="shared" si="44"/>
        <v>9.6</v>
      </c>
      <c r="Y102" s="135">
        <f t="shared" si="44"/>
        <v>9.6</v>
      </c>
      <c r="Z102" s="135">
        <f t="shared" si="44"/>
        <v>9.6</v>
      </c>
      <c r="AA102" s="135">
        <f t="shared" si="44"/>
        <v>9.6</v>
      </c>
      <c r="AB102" s="135">
        <f t="shared" si="44"/>
        <v>9.6</v>
      </c>
      <c r="AC102" s="135">
        <f t="shared" si="44"/>
        <v>9.6</v>
      </c>
      <c r="AD102" s="135">
        <f t="shared" si="44"/>
        <v>9.6</v>
      </c>
      <c r="AE102" s="135">
        <f t="shared" si="44"/>
        <v>9.6</v>
      </c>
      <c r="AF102" s="135">
        <f t="shared" si="44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42"/>
        <v>9.98</v>
      </c>
      <c r="C103" s="136">
        <v>9.98</v>
      </c>
      <c r="D103" s="135">
        <f t="shared" si="43"/>
        <v>9.98</v>
      </c>
      <c r="E103" s="135">
        <f t="shared" si="43"/>
        <v>9.98</v>
      </c>
      <c r="F103" s="135">
        <f t="shared" si="43"/>
        <v>9.98</v>
      </c>
      <c r="G103" s="135">
        <f t="shared" si="43"/>
        <v>9.98</v>
      </c>
      <c r="H103" s="135">
        <f t="shared" si="43"/>
        <v>9.98</v>
      </c>
      <c r="I103" s="135">
        <f t="shared" si="43"/>
        <v>9.98</v>
      </c>
      <c r="J103" s="135">
        <f t="shared" si="43"/>
        <v>9.98</v>
      </c>
      <c r="K103" s="135">
        <f t="shared" si="43"/>
        <v>9.98</v>
      </c>
      <c r="L103" s="135">
        <f t="shared" si="43"/>
        <v>9.98</v>
      </c>
      <c r="M103" s="135">
        <f t="shared" si="43"/>
        <v>9.98</v>
      </c>
      <c r="N103" s="135">
        <f t="shared" si="43"/>
        <v>9.98</v>
      </c>
      <c r="O103" s="135">
        <f t="shared" si="43"/>
        <v>9.98</v>
      </c>
      <c r="P103" s="135">
        <f t="shared" si="43"/>
        <v>9.98</v>
      </c>
      <c r="Q103" s="135">
        <f t="shared" si="43"/>
        <v>9.98</v>
      </c>
      <c r="R103" s="135">
        <f t="shared" si="43"/>
        <v>9.98</v>
      </c>
      <c r="S103" s="135">
        <f t="shared" si="43"/>
        <v>9.98</v>
      </c>
      <c r="T103" s="135">
        <f t="shared" si="44"/>
        <v>9.98</v>
      </c>
      <c r="U103" s="135">
        <f t="shared" si="44"/>
        <v>9.98</v>
      </c>
      <c r="V103" s="135">
        <f t="shared" si="44"/>
        <v>9.98</v>
      </c>
      <c r="W103" s="135">
        <f t="shared" si="44"/>
        <v>9.98</v>
      </c>
      <c r="X103" s="135">
        <f t="shared" si="44"/>
        <v>9.98</v>
      </c>
      <c r="Y103" s="135">
        <f t="shared" si="44"/>
        <v>9.98</v>
      </c>
      <c r="Z103" s="135">
        <f t="shared" si="44"/>
        <v>9.98</v>
      </c>
      <c r="AA103" s="135">
        <f t="shared" si="44"/>
        <v>9.98</v>
      </c>
      <c r="AB103" s="135">
        <f t="shared" si="44"/>
        <v>9.98</v>
      </c>
      <c r="AC103" s="135">
        <f t="shared" si="44"/>
        <v>9.98</v>
      </c>
      <c r="AD103" s="135">
        <f t="shared" si="44"/>
        <v>9.98</v>
      </c>
      <c r="AE103" s="135">
        <f t="shared" si="44"/>
        <v>9.98</v>
      </c>
      <c r="AF103" s="135">
        <f t="shared" si="44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42"/>
        <v>9.1</v>
      </c>
      <c r="C104" s="136">
        <v>9.1</v>
      </c>
      <c r="D104" s="135">
        <f t="shared" si="43"/>
        <v>9.1</v>
      </c>
      <c r="E104" s="135">
        <f t="shared" si="43"/>
        <v>9.1</v>
      </c>
      <c r="F104" s="135">
        <f t="shared" si="43"/>
        <v>9.1</v>
      </c>
      <c r="G104" s="135">
        <f t="shared" si="43"/>
        <v>9.1</v>
      </c>
      <c r="H104" s="135">
        <f t="shared" si="43"/>
        <v>9.1</v>
      </c>
      <c r="I104" s="135">
        <f t="shared" si="43"/>
        <v>9.1</v>
      </c>
      <c r="J104" s="135">
        <f t="shared" si="43"/>
        <v>9.1</v>
      </c>
      <c r="K104" s="135">
        <f t="shared" si="43"/>
        <v>9.1</v>
      </c>
      <c r="L104" s="135">
        <f t="shared" si="43"/>
        <v>9.1</v>
      </c>
      <c r="M104" s="135">
        <f t="shared" si="43"/>
        <v>9.1</v>
      </c>
      <c r="N104" s="135">
        <f t="shared" si="43"/>
        <v>9.1</v>
      </c>
      <c r="O104" s="135">
        <f t="shared" si="43"/>
        <v>9.1</v>
      </c>
      <c r="P104" s="135">
        <f t="shared" si="43"/>
        <v>9.1</v>
      </c>
      <c r="Q104" s="135">
        <f t="shared" si="43"/>
        <v>9.1</v>
      </c>
      <c r="R104" s="135">
        <f t="shared" si="43"/>
        <v>9.1</v>
      </c>
      <c r="S104" s="135">
        <f t="shared" si="43"/>
        <v>9.1</v>
      </c>
      <c r="T104" s="135">
        <f t="shared" si="44"/>
        <v>9.1</v>
      </c>
      <c r="U104" s="135">
        <f t="shared" si="44"/>
        <v>9.1</v>
      </c>
      <c r="V104" s="135">
        <f t="shared" si="44"/>
        <v>9.1</v>
      </c>
      <c r="W104" s="135">
        <f t="shared" si="44"/>
        <v>9.1</v>
      </c>
      <c r="X104" s="135">
        <f t="shared" si="44"/>
        <v>9.1</v>
      </c>
      <c r="Y104" s="135">
        <f t="shared" si="44"/>
        <v>9.1</v>
      </c>
      <c r="Z104" s="135">
        <f t="shared" si="44"/>
        <v>9.1</v>
      </c>
      <c r="AA104" s="135">
        <f t="shared" si="44"/>
        <v>9.1</v>
      </c>
      <c r="AB104" s="135">
        <f t="shared" si="44"/>
        <v>9.1</v>
      </c>
      <c r="AC104" s="135">
        <f t="shared" si="44"/>
        <v>9.1</v>
      </c>
      <c r="AD104" s="135">
        <f t="shared" si="44"/>
        <v>9.1</v>
      </c>
      <c r="AE104" s="135">
        <f t="shared" si="44"/>
        <v>9.1</v>
      </c>
      <c r="AF104" s="135">
        <f t="shared" si="44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42"/>
        <v>9.18</v>
      </c>
      <c r="C105" s="136">
        <v>9.18</v>
      </c>
      <c r="D105" s="135">
        <f t="shared" si="43"/>
        <v>9.18</v>
      </c>
      <c r="E105" s="135">
        <f t="shared" si="43"/>
        <v>9.18</v>
      </c>
      <c r="F105" s="135">
        <f t="shared" si="43"/>
        <v>9.18</v>
      </c>
      <c r="G105" s="135">
        <f t="shared" si="43"/>
        <v>9.18</v>
      </c>
      <c r="H105" s="135">
        <f t="shared" si="43"/>
        <v>9.18</v>
      </c>
      <c r="I105" s="135">
        <f t="shared" si="43"/>
        <v>9.18</v>
      </c>
      <c r="J105" s="135">
        <f t="shared" si="43"/>
        <v>9.18</v>
      </c>
      <c r="K105" s="135">
        <f t="shared" si="43"/>
        <v>9.18</v>
      </c>
      <c r="L105" s="135">
        <f t="shared" si="43"/>
        <v>9.18</v>
      </c>
      <c r="M105" s="135">
        <f t="shared" si="43"/>
        <v>9.18</v>
      </c>
      <c r="N105" s="135">
        <f t="shared" si="43"/>
        <v>9.18</v>
      </c>
      <c r="O105" s="135">
        <f t="shared" si="43"/>
        <v>9.18</v>
      </c>
      <c r="P105" s="135">
        <f t="shared" si="43"/>
        <v>9.18</v>
      </c>
      <c r="Q105" s="135">
        <f t="shared" si="43"/>
        <v>9.18</v>
      </c>
      <c r="R105" s="135">
        <f t="shared" si="43"/>
        <v>9.18</v>
      </c>
      <c r="S105" s="135">
        <f t="shared" si="43"/>
        <v>9.18</v>
      </c>
      <c r="T105" s="135">
        <f t="shared" si="44"/>
        <v>9.18</v>
      </c>
      <c r="U105" s="135">
        <f t="shared" si="44"/>
        <v>9.18</v>
      </c>
      <c r="V105" s="135">
        <f t="shared" si="44"/>
        <v>9.18</v>
      </c>
      <c r="W105" s="135">
        <f t="shared" si="44"/>
        <v>9.18</v>
      </c>
      <c r="X105" s="135">
        <f t="shared" si="44"/>
        <v>9.18</v>
      </c>
      <c r="Y105" s="135">
        <f t="shared" si="44"/>
        <v>9.18</v>
      </c>
      <c r="Z105" s="135">
        <f t="shared" si="44"/>
        <v>9.18</v>
      </c>
      <c r="AA105" s="135">
        <f t="shared" si="44"/>
        <v>9.18</v>
      </c>
      <c r="AB105" s="135">
        <f t="shared" si="44"/>
        <v>9.18</v>
      </c>
      <c r="AC105" s="135">
        <f t="shared" si="44"/>
        <v>9.18</v>
      </c>
      <c r="AD105" s="135">
        <f t="shared" si="44"/>
        <v>9.18</v>
      </c>
      <c r="AE105" s="135">
        <f t="shared" si="44"/>
        <v>9.18</v>
      </c>
      <c r="AF105" s="135">
        <f t="shared" si="44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42"/>
        <v>7</v>
      </c>
      <c r="C106" s="136">
        <v>7</v>
      </c>
      <c r="D106" s="135">
        <f t="shared" si="43"/>
        <v>7</v>
      </c>
      <c r="E106" s="135">
        <f t="shared" si="43"/>
        <v>7</v>
      </c>
      <c r="F106" s="135">
        <f t="shared" si="43"/>
        <v>7</v>
      </c>
      <c r="G106" s="135">
        <f t="shared" si="43"/>
        <v>7</v>
      </c>
      <c r="H106" s="135">
        <f t="shared" si="43"/>
        <v>7</v>
      </c>
      <c r="I106" s="135">
        <f t="shared" si="43"/>
        <v>7</v>
      </c>
      <c r="J106" s="135">
        <f t="shared" si="43"/>
        <v>7</v>
      </c>
      <c r="K106" s="135">
        <f t="shared" si="43"/>
        <v>7</v>
      </c>
      <c r="L106" s="135">
        <f t="shared" si="43"/>
        <v>7</v>
      </c>
      <c r="M106" s="135">
        <f t="shared" si="43"/>
        <v>7</v>
      </c>
      <c r="N106" s="135">
        <f t="shared" si="43"/>
        <v>7</v>
      </c>
      <c r="O106" s="135">
        <f t="shared" si="43"/>
        <v>7</v>
      </c>
      <c r="P106" s="135">
        <f t="shared" si="43"/>
        <v>7</v>
      </c>
      <c r="Q106" s="135">
        <f t="shared" si="43"/>
        <v>7</v>
      </c>
      <c r="R106" s="135">
        <f t="shared" si="43"/>
        <v>7</v>
      </c>
      <c r="S106" s="135">
        <f t="shared" si="43"/>
        <v>7</v>
      </c>
      <c r="T106" s="135">
        <f t="shared" si="44"/>
        <v>7</v>
      </c>
      <c r="U106" s="135">
        <f t="shared" si="44"/>
        <v>7</v>
      </c>
      <c r="V106" s="135">
        <f t="shared" si="44"/>
        <v>7</v>
      </c>
      <c r="W106" s="135">
        <f t="shared" si="44"/>
        <v>7</v>
      </c>
      <c r="X106" s="135">
        <f t="shared" si="44"/>
        <v>7</v>
      </c>
      <c r="Y106" s="135">
        <f t="shared" si="44"/>
        <v>7</v>
      </c>
      <c r="Z106" s="135">
        <f t="shared" si="44"/>
        <v>7</v>
      </c>
      <c r="AA106" s="135">
        <f t="shared" si="44"/>
        <v>7</v>
      </c>
      <c r="AB106" s="135">
        <f t="shared" si="44"/>
        <v>7</v>
      </c>
      <c r="AC106" s="135">
        <f t="shared" si="44"/>
        <v>7</v>
      </c>
      <c r="AD106" s="135">
        <f t="shared" si="44"/>
        <v>7</v>
      </c>
      <c r="AE106" s="135">
        <f t="shared" si="44"/>
        <v>7</v>
      </c>
      <c r="AF106" s="135">
        <f t="shared" si="44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45">C108</f>
        <v>2.25</v>
      </c>
      <c r="E108" s="135">
        <f t="shared" si="45"/>
        <v>2.25</v>
      </c>
      <c r="F108" s="135">
        <f t="shared" si="45"/>
        <v>2.25</v>
      </c>
      <c r="G108" s="135">
        <f t="shared" si="45"/>
        <v>2.25</v>
      </c>
      <c r="H108" s="135">
        <f t="shared" si="45"/>
        <v>2.25</v>
      </c>
      <c r="I108" s="135">
        <f t="shared" si="45"/>
        <v>2.25</v>
      </c>
      <c r="J108" s="135">
        <f t="shared" si="45"/>
        <v>2.25</v>
      </c>
      <c r="K108" s="135">
        <f t="shared" si="45"/>
        <v>2.25</v>
      </c>
      <c r="L108" s="135">
        <f t="shared" si="45"/>
        <v>2.25</v>
      </c>
      <c r="M108" s="135">
        <f t="shared" si="45"/>
        <v>2.25</v>
      </c>
      <c r="N108" s="135">
        <f t="shared" si="45"/>
        <v>2.25</v>
      </c>
      <c r="O108" s="135">
        <f t="shared" si="45"/>
        <v>2.25</v>
      </c>
      <c r="P108" s="135">
        <f t="shared" si="45"/>
        <v>2.25</v>
      </c>
      <c r="Q108" s="135">
        <f t="shared" si="45"/>
        <v>2.25</v>
      </c>
      <c r="R108" s="135">
        <f t="shared" si="45"/>
        <v>2.25</v>
      </c>
      <c r="S108" s="135">
        <f t="shared" si="45"/>
        <v>2.25</v>
      </c>
      <c r="T108" s="135">
        <f t="shared" ref="T108:AF109" si="46">S108</f>
        <v>2.25</v>
      </c>
      <c r="U108" s="135">
        <f t="shared" si="46"/>
        <v>2.25</v>
      </c>
      <c r="V108" s="135">
        <f t="shared" si="46"/>
        <v>2.25</v>
      </c>
      <c r="W108" s="135">
        <f t="shared" si="46"/>
        <v>2.25</v>
      </c>
      <c r="X108" s="135">
        <f t="shared" si="46"/>
        <v>2.25</v>
      </c>
      <c r="Y108" s="135">
        <f t="shared" si="46"/>
        <v>2.25</v>
      </c>
      <c r="Z108" s="135">
        <f t="shared" si="46"/>
        <v>2.25</v>
      </c>
      <c r="AA108" s="135">
        <f t="shared" si="46"/>
        <v>2.25</v>
      </c>
      <c r="AB108" s="135">
        <f t="shared" si="46"/>
        <v>2.25</v>
      </c>
      <c r="AC108" s="135">
        <f t="shared" si="46"/>
        <v>2.25</v>
      </c>
      <c r="AD108" s="135">
        <f t="shared" si="46"/>
        <v>2.25</v>
      </c>
      <c r="AE108" s="135">
        <f t="shared" si="46"/>
        <v>2.25</v>
      </c>
      <c r="AF108" s="135">
        <f t="shared" si="46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45"/>
        <v>1.64</v>
      </c>
      <c r="E109" s="135">
        <f t="shared" si="45"/>
        <v>1.64</v>
      </c>
      <c r="F109" s="135">
        <f t="shared" si="45"/>
        <v>1.64</v>
      </c>
      <c r="G109" s="135">
        <f t="shared" si="45"/>
        <v>1.64</v>
      </c>
      <c r="H109" s="135">
        <f t="shared" si="45"/>
        <v>1.64</v>
      </c>
      <c r="I109" s="135">
        <f t="shared" si="45"/>
        <v>1.64</v>
      </c>
      <c r="J109" s="135">
        <f t="shared" si="45"/>
        <v>1.64</v>
      </c>
      <c r="K109" s="135">
        <f t="shared" si="45"/>
        <v>1.64</v>
      </c>
      <c r="L109" s="135">
        <f t="shared" si="45"/>
        <v>1.64</v>
      </c>
      <c r="M109" s="135">
        <f t="shared" si="45"/>
        <v>1.64</v>
      </c>
      <c r="N109" s="135">
        <f t="shared" si="45"/>
        <v>1.64</v>
      </c>
      <c r="O109" s="135">
        <f t="shared" si="45"/>
        <v>1.64</v>
      </c>
      <c r="P109" s="135">
        <f t="shared" si="45"/>
        <v>1.64</v>
      </c>
      <c r="Q109" s="135">
        <f t="shared" si="45"/>
        <v>1.64</v>
      </c>
      <c r="R109" s="135">
        <f t="shared" si="45"/>
        <v>1.64</v>
      </c>
      <c r="S109" s="135">
        <f t="shared" si="45"/>
        <v>1.64</v>
      </c>
      <c r="T109" s="135">
        <f t="shared" si="46"/>
        <v>1.64</v>
      </c>
      <c r="U109" s="135">
        <f t="shared" si="46"/>
        <v>1.64</v>
      </c>
      <c r="V109" s="135">
        <f t="shared" si="46"/>
        <v>1.64</v>
      </c>
      <c r="W109" s="135">
        <f t="shared" si="46"/>
        <v>1.64</v>
      </c>
      <c r="X109" s="135">
        <f t="shared" si="46"/>
        <v>1.64</v>
      </c>
      <c r="Y109" s="135">
        <f t="shared" si="46"/>
        <v>1.64</v>
      </c>
      <c r="Z109" s="135">
        <f t="shared" si="46"/>
        <v>1.64</v>
      </c>
      <c r="AA109" s="135">
        <f t="shared" si="46"/>
        <v>1.64</v>
      </c>
      <c r="AB109" s="135">
        <f t="shared" si="46"/>
        <v>1.64</v>
      </c>
      <c r="AC109" s="135">
        <f t="shared" si="46"/>
        <v>1.64</v>
      </c>
      <c r="AD109" s="135">
        <f t="shared" si="46"/>
        <v>1.64</v>
      </c>
      <c r="AE109" s="135">
        <f t="shared" si="46"/>
        <v>1.64</v>
      </c>
      <c r="AF109" s="135">
        <f t="shared" si="46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47">AF111</f>
        <v>1.62</v>
      </c>
      <c r="C111" s="136">
        <v>1.62</v>
      </c>
      <c r="D111" s="135">
        <f t="shared" ref="D111:S118" si="48">C111</f>
        <v>1.62</v>
      </c>
      <c r="E111" s="135">
        <f t="shared" si="48"/>
        <v>1.62</v>
      </c>
      <c r="F111" s="135">
        <f t="shared" si="48"/>
        <v>1.62</v>
      </c>
      <c r="G111" s="135">
        <f t="shared" si="48"/>
        <v>1.62</v>
      </c>
      <c r="H111" s="135">
        <f t="shared" si="48"/>
        <v>1.62</v>
      </c>
      <c r="I111" s="135">
        <f t="shared" si="48"/>
        <v>1.62</v>
      </c>
      <c r="J111" s="135">
        <f t="shared" si="48"/>
        <v>1.62</v>
      </c>
      <c r="K111" s="135">
        <f t="shared" si="48"/>
        <v>1.62</v>
      </c>
      <c r="L111" s="135">
        <f t="shared" si="48"/>
        <v>1.62</v>
      </c>
      <c r="M111" s="135">
        <f t="shared" si="48"/>
        <v>1.62</v>
      </c>
      <c r="N111" s="135">
        <f t="shared" si="48"/>
        <v>1.62</v>
      </c>
      <c r="O111" s="135">
        <f t="shared" si="48"/>
        <v>1.62</v>
      </c>
      <c r="P111" s="135">
        <f t="shared" si="48"/>
        <v>1.62</v>
      </c>
      <c r="Q111" s="135">
        <f t="shared" si="48"/>
        <v>1.62</v>
      </c>
      <c r="R111" s="135">
        <f t="shared" si="48"/>
        <v>1.62</v>
      </c>
      <c r="S111" s="135">
        <f t="shared" si="48"/>
        <v>1.62</v>
      </c>
      <c r="T111" s="135">
        <f t="shared" ref="T111:AF126" si="49">S111</f>
        <v>1.62</v>
      </c>
      <c r="U111" s="135">
        <f t="shared" si="49"/>
        <v>1.62</v>
      </c>
      <c r="V111" s="135">
        <f t="shared" si="49"/>
        <v>1.62</v>
      </c>
      <c r="W111" s="135">
        <f t="shared" si="49"/>
        <v>1.62</v>
      </c>
      <c r="X111" s="135">
        <f t="shared" si="49"/>
        <v>1.62</v>
      </c>
      <c r="Y111" s="135">
        <f t="shared" si="49"/>
        <v>1.62</v>
      </c>
      <c r="Z111" s="135">
        <f t="shared" si="49"/>
        <v>1.62</v>
      </c>
      <c r="AA111" s="135">
        <f t="shared" si="49"/>
        <v>1.62</v>
      </c>
      <c r="AB111" s="135">
        <f t="shared" si="49"/>
        <v>1.62</v>
      </c>
      <c r="AC111" s="135">
        <f t="shared" si="49"/>
        <v>1.62</v>
      </c>
      <c r="AD111" s="135">
        <f t="shared" si="49"/>
        <v>1.62</v>
      </c>
      <c r="AE111" s="135">
        <f t="shared" si="49"/>
        <v>1.62</v>
      </c>
      <c r="AF111" s="135">
        <f t="shared" si="49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47"/>
        <v>8.36</v>
      </c>
      <c r="C112" s="136">
        <v>8.36</v>
      </c>
      <c r="D112" s="135">
        <f t="shared" si="48"/>
        <v>8.36</v>
      </c>
      <c r="E112" s="135">
        <f t="shared" si="48"/>
        <v>8.36</v>
      </c>
      <c r="F112" s="135">
        <f t="shared" si="48"/>
        <v>8.36</v>
      </c>
      <c r="G112" s="135">
        <f t="shared" si="48"/>
        <v>8.36</v>
      </c>
      <c r="H112" s="135">
        <f t="shared" si="48"/>
        <v>8.36</v>
      </c>
      <c r="I112" s="135">
        <f t="shared" si="48"/>
        <v>8.36</v>
      </c>
      <c r="J112" s="135">
        <f t="shared" si="48"/>
        <v>8.36</v>
      </c>
      <c r="K112" s="135">
        <f t="shared" si="48"/>
        <v>8.36</v>
      </c>
      <c r="L112" s="135">
        <f t="shared" si="48"/>
        <v>8.36</v>
      </c>
      <c r="M112" s="135">
        <f t="shared" si="48"/>
        <v>8.36</v>
      </c>
      <c r="N112" s="135">
        <f t="shared" si="48"/>
        <v>8.36</v>
      </c>
      <c r="O112" s="135">
        <f t="shared" si="48"/>
        <v>8.36</v>
      </c>
      <c r="P112" s="135">
        <f t="shared" si="48"/>
        <v>8.36</v>
      </c>
      <c r="Q112" s="135">
        <f t="shared" si="48"/>
        <v>8.36</v>
      </c>
      <c r="R112" s="135">
        <f t="shared" si="48"/>
        <v>8.36</v>
      </c>
      <c r="S112" s="135">
        <f t="shared" si="48"/>
        <v>8.36</v>
      </c>
      <c r="T112" s="135">
        <f t="shared" si="49"/>
        <v>8.36</v>
      </c>
      <c r="U112" s="135">
        <f t="shared" si="49"/>
        <v>8.36</v>
      </c>
      <c r="V112" s="135">
        <f t="shared" si="49"/>
        <v>8.36</v>
      </c>
      <c r="W112" s="135">
        <f t="shared" si="49"/>
        <v>8.36</v>
      </c>
      <c r="X112" s="135">
        <f t="shared" si="49"/>
        <v>8.36</v>
      </c>
      <c r="Y112" s="135">
        <f t="shared" si="49"/>
        <v>8.36</v>
      </c>
      <c r="Z112" s="135">
        <f t="shared" si="49"/>
        <v>8.36</v>
      </c>
      <c r="AA112" s="135">
        <f t="shared" si="49"/>
        <v>8.36</v>
      </c>
      <c r="AB112" s="135">
        <f t="shared" si="49"/>
        <v>8.36</v>
      </c>
      <c r="AC112" s="135">
        <f t="shared" si="49"/>
        <v>8.36</v>
      </c>
      <c r="AD112" s="135">
        <f t="shared" si="49"/>
        <v>8.36</v>
      </c>
      <c r="AE112" s="135">
        <f t="shared" si="49"/>
        <v>8.36</v>
      </c>
      <c r="AF112" s="135">
        <f t="shared" si="49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47"/>
        <v>5.4</v>
      </c>
      <c r="C113" s="136">
        <v>8</v>
      </c>
      <c r="D113" s="135">
        <f t="shared" si="48"/>
        <v>8</v>
      </c>
      <c r="E113" s="135">
        <f t="shared" si="48"/>
        <v>8</v>
      </c>
      <c r="F113" s="135">
        <f t="shared" si="48"/>
        <v>8</v>
      </c>
      <c r="G113" s="135">
        <f t="shared" si="48"/>
        <v>8</v>
      </c>
      <c r="H113" s="135">
        <f t="shared" si="48"/>
        <v>8</v>
      </c>
      <c r="I113" s="135">
        <f t="shared" si="48"/>
        <v>8</v>
      </c>
      <c r="J113" s="135">
        <v>5.4</v>
      </c>
      <c r="K113" s="135">
        <f t="shared" si="48"/>
        <v>5.4</v>
      </c>
      <c r="L113" s="135">
        <f t="shared" si="48"/>
        <v>5.4</v>
      </c>
      <c r="M113" s="135">
        <f t="shared" si="48"/>
        <v>5.4</v>
      </c>
      <c r="N113" s="135">
        <f t="shared" si="48"/>
        <v>5.4</v>
      </c>
      <c r="O113" s="135">
        <f t="shared" si="48"/>
        <v>5.4</v>
      </c>
      <c r="P113" s="135">
        <f t="shared" si="48"/>
        <v>5.4</v>
      </c>
      <c r="Q113" s="135">
        <f t="shared" si="48"/>
        <v>5.4</v>
      </c>
      <c r="R113" s="135">
        <f t="shared" si="48"/>
        <v>5.4</v>
      </c>
      <c r="S113" s="135">
        <f t="shared" si="48"/>
        <v>5.4</v>
      </c>
      <c r="T113" s="135">
        <f t="shared" si="49"/>
        <v>5.4</v>
      </c>
      <c r="U113" s="135">
        <f t="shared" si="49"/>
        <v>5.4</v>
      </c>
      <c r="V113" s="135">
        <f t="shared" si="49"/>
        <v>5.4</v>
      </c>
      <c r="W113" s="135">
        <f t="shared" si="49"/>
        <v>5.4</v>
      </c>
      <c r="X113" s="135">
        <f t="shared" si="49"/>
        <v>5.4</v>
      </c>
      <c r="Y113" s="135">
        <f t="shared" si="49"/>
        <v>5.4</v>
      </c>
      <c r="Z113" s="135">
        <f t="shared" si="49"/>
        <v>5.4</v>
      </c>
      <c r="AA113" s="135">
        <f t="shared" si="49"/>
        <v>5.4</v>
      </c>
      <c r="AB113" s="135">
        <f t="shared" si="49"/>
        <v>5.4</v>
      </c>
      <c r="AC113" s="135">
        <f t="shared" si="49"/>
        <v>5.4</v>
      </c>
      <c r="AD113" s="135">
        <f t="shared" si="49"/>
        <v>5.4</v>
      </c>
      <c r="AE113" s="135">
        <f t="shared" si="49"/>
        <v>5.4</v>
      </c>
      <c r="AF113" s="135">
        <f t="shared" si="49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47"/>
        <v>6.57</v>
      </c>
      <c r="C114" s="136">
        <v>6.57</v>
      </c>
      <c r="D114" s="135">
        <f t="shared" si="48"/>
        <v>6.57</v>
      </c>
      <c r="E114" s="135">
        <f t="shared" si="48"/>
        <v>6.57</v>
      </c>
      <c r="F114" s="135">
        <f t="shared" si="48"/>
        <v>6.57</v>
      </c>
      <c r="G114" s="135">
        <f t="shared" si="48"/>
        <v>6.57</v>
      </c>
      <c r="H114" s="135">
        <f t="shared" si="48"/>
        <v>6.57</v>
      </c>
      <c r="I114" s="135">
        <f t="shared" si="48"/>
        <v>6.57</v>
      </c>
      <c r="J114" s="135">
        <f t="shared" si="48"/>
        <v>6.57</v>
      </c>
      <c r="K114" s="135">
        <f t="shared" si="48"/>
        <v>6.57</v>
      </c>
      <c r="L114" s="135">
        <f t="shared" si="48"/>
        <v>6.57</v>
      </c>
      <c r="M114" s="135">
        <f t="shared" si="48"/>
        <v>6.57</v>
      </c>
      <c r="N114" s="135">
        <f t="shared" si="48"/>
        <v>6.57</v>
      </c>
      <c r="O114" s="135">
        <f t="shared" si="48"/>
        <v>6.57</v>
      </c>
      <c r="P114" s="135">
        <f t="shared" si="48"/>
        <v>6.57</v>
      </c>
      <c r="Q114" s="135">
        <f t="shared" si="48"/>
        <v>6.57</v>
      </c>
      <c r="R114" s="135">
        <f t="shared" si="48"/>
        <v>6.57</v>
      </c>
      <c r="S114" s="135">
        <f t="shared" si="48"/>
        <v>6.57</v>
      </c>
      <c r="T114" s="135">
        <f t="shared" si="49"/>
        <v>6.57</v>
      </c>
      <c r="U114" s="135">
        <f t="shared" si="49"/>
        <v>6.57</v>
      </c>
      <c r="V114" s="135">
        <f t="shared" si="49"/>
        <v>6.57</v>
      </c>
      <c r="W114" s="135">
        <f t="shared" si="49"/>
        <v>6.57</v>
      </c>
      <c r="X114" s="135">
        <f t="shared" si="49"/>
        <v>6.57</v>
      </c>
      <c r="Y114" s="135">
        <f t="shared" si="49"/>
        <v>6.57</v>
      </c>
      <c r="Z114" s="135">
        <f t="shared" si="49"/>
        <v>6.57</v>
      </c>
      <c r="AA114" s="135">
        <f t="shared" si="49"/>
        <v>6.57</v>
      </c>
      <c r="AB114" s="135">
        <f t="shared" si="49"/>
        <v>6.57</v>
      </c>
      <c r="AC114" s="135">
        <f t="shared" si="49"/>
        <v>6.57</v>
      </c>
      <c r="AD114" s="135">
        <f t="shared" si="49"/>
        <v>6.57</v>
      </c>
      <c r="AE114" s="135">
        <f t="shared" si="49"/>
        <v>6.57</v>
      </c>
      <c r="AF114" s="135">
        <f t="shared" si="49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47"/>
        <v>3.43</v>
      </c>
      <c r="C115" s="136">
        <v>3.43</v>
      </c>
      <c r="D115" s="135">
        <f t="shared" si="48"/>
        <v>3.43</v>
      </c>
      <c r="E115" s="135">
        <f t="shared" si="48"/>
        <v>3.43</v>
      </c>
      <c r="F115" s="135">
        <f t="shared" si="48"/>
        <v>3.43</v>
      </c>
      <c r="G115" s="135">
        <f t="shared" si="48"/>
        <v>3.43</v>
      </c>
      <c r="H115" s="135">
        <f t="shared" si="48"/>
        <v>3.43</v>
      </c>
      <c r="I115" s="135">
        <f t="shared" si="48"/>
        <v>3.43</v>
      </c>
      <c r="J115" s="135">
        <f t="shared" si="48"/>
        <v>3.43</v>
      </c>
      <c r="K115" s="135">
        <f t="shared" si="48"/>
        <v>3.43</v>
      </c>
      <c r="L115" s="135">
        <f t="shared" si="48"/>
        <v>3.43</v>
      </c>
      <c r="M115" s="135">
        <f t="shared" si="48"/>
        <v>3.43</v>
      </c>
      <c r="N115" s="135">
        <f t="shared" si="48"/>
        <v>3.43</v>
      </c>
      <c r="O115" s="135">
        <f t="shared" si="48"/>
        <v>3.43</v>
      </c>
      <c r="P115" s="135">
        <f t="shared" si="48"/>
        <v>3.43</v>
      </c>
      <c r="Q115" s="135">
        <f t="shared" si="48"/>
        <v>3.43</v>
      </c>
      <c r="R115" s="135">
        <f t="shared" si="48"/>
        <v>3.43</v>
      </c>
      <c r="S115" s="135">
        <f t="shared" si="48"/>
        <v>3.43</v>
      </c>
      <c r="T115" s="135">
        <f t="shared" si="49"/>
        <v>3.43</v>
      </c>
      <c r="U115" s="135">
        <f t="shared" si="49"/>
        <v>3.43</v>
      </c>
      <c r="V115" s="135">
        <f t="shared" si="49"/>
        <v>3.43</v>
      </c>
      <c r="W115" s="135">
        <f t="shared" si="49"/>
        <v>3.43</v>
      </c>
      <c r="X115" s="135">
        <f t="shared" si="49"/>
        <v>3.43</v>
      </c>
      <c r="Y115" s="135">
        <f t="shared" si="49"/>
        <v>3.43</v>
      </c>
      <c r="Z115" s="135">
        <f t="shared" si="49"/>
        <v>3.43</v>
      </c>
      <c r="AA115" s="135">
        <f t="shared" si="49"/>
        <v>3.43</v>
      </c>
      <c r="AB115" s="135">
        <f t="shared" si="49"/>
        <v>3.43</v>
      </c>
      <c r="AC115" s="135">
        <f t="shared" si="49"/>
        <v>3.43</v>
      </c>
      <c r="AD115" s="135">
        <f t="shared" si="49"/>
        <v>3.43</v>
      </c>
      <c r="AE115" s="135">
        <f t="shared" si="49"/>
        <v>3.43</v>
      </c>
      <c r="AF115" s="135">
        <f t="shared" si="49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47"/>
        <v>2.96</v>
      </c>
      <c r="C116" s="136">
        <v>2.96</v>
      </c>
      <c r="D116" s="135">
        <f t="shared" si="48"/>
        <v>2.96</v>
      </c>
      <c r="E116" s="135">
        <f t="shared" si="48"/>
        <v>2.96</v>
      </c>
      <c r="F116" s="135">
        <f t="shared" si="48"/>
        <v>2.96</v>
      </c>
      <c r="G116" s="135">
        <f t="shared" si="48"/>
        <v>2.96</v>
      </c>
      <c r="H116" s="135">
        <f t="shared" si="48"/>
        <v>2.96</v>
      </c>
      <c r="I116" s="135">
        <f t="shared" si="48"/>
        <v>2.96</v>
      </c>
      <c r="J116" s="135">
        <f t="shared" si="48"/>
        <v>2.96</v>
      </c>
      <c r="K116" s="135">
        <f t="shared" si="48"/>
        <v>2.96</v>
      </c>
      <c r="L116" s="135">
        <f t="shared" si="48"/>
        <v>2.96</v>
      </c>
      <c r="M116" s="135">
        <f t="shared" si="48"/>
        <v>2.96</v>
      </c>
      <c r="N116" s="135">
        <f t="shared" si="48"/>
        <v>2.96</v>
      </c>
      <c r="O116" s="135">
        <f t="shared" si="48"/>
        <v>2.96</v>
      </c>
      <c r="P116" s="135">
        <f t="shared" si="48"/>
        <v>2.96</v>
      </c>
      <c r="Q116" s="135">
        <f t="shared" si="48"/>
        <v>2.96</v>
      </c>
      <c r="R116" s="135">
        <f t="shared" si="48"/>
        <v>2.96</v>
      </c>
      <c r="S116" s="135">
        <f t="shared" si="48"/>
        <v>2.96</v>
      </c>
      <c r="T116" s="135">
        <f t="shared" si="49"/>
        <v>2.96</v>
      </c>
      <c r="U116" s="135">
        <f t="shared" si="49"/>
        <v>2.96</v>
      </c>
      <c r="V116" s="135">
        <f t="shared" si="49"/>
        <v>2.96</v>
      </c>
      <c r="W116" s="135">
        <f t="shared" si="49"/>
        <v>2.96</v>
      </c>
      <c r="X116" s="135">
        <f t="shared" si="49"/>
        <v>2.96</v>
      </c>
      <c r="Y116" s="135">
        <f t="shared" si="49"/>
        <v>2.96</v>
      </c>
      <c r="Z116" s="135">
        <f t="shared" si="49"/>
        <v>2.96</v>
      </c>
      <c r="AA116" s="135">
        <f t="shared" si="49"/>
        <v>2.96</v>
      </c>
      <c r="AB116" s="135">
        <f t="shared" si="49"/>
        <v>2.96</v>
      </c>
      <c r="AC116" s="135">
        <f t="shared" si="49"/>
        <v>2.96</v>
      </c>
      <c r="AD116" s="135">
        <f t="shared" si="49"/>
        <v>2.96</v>
      </c>
      <c r="AE116" s="135">
        <f t="shared" si="49"/>
        <v>2.96</v>
      </c>
      <c r="AF116" s="135">
        <f t="shared" si="49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47"/>
        <v>8</v>
      </c>
      <c r="C117" s="136">
        <v>8</v>
      </c>
      <c r="D117" s="135">
        <f t="shared" si="48"/>
        <v>8</v>
      </c>
      <c r="E117" s="135">
        <f t="shared" si="48"/>
        <v>8</v>
      </c>
      <c r="F117" s="135">
        <f t="shared" si="48"/>
        <v>8</v>
      </c>
      <c r="G117" s="135">
        <f t="shared" si="48"/>
        <v>8</v>
      </c>
      <c r="H117" s="135">
        <f t="shared" si="48"/>
        <v>8</v>
      </c>
      <c r="I117" s="135">
        <f t="shared" si="48"/>
        <v>8</v>
      </c>
      <c r="J117" s="135">
        <f t="shared" si="48"/>
        <v>8</v>
      </c>
      <c r="K117" s="135">
        <f t="shared" si="48"/>
        <v>8</v>
      </c>
      <c r="L117" s="135">
        <f t="shared" si="48"/>
        <v>8</v>
      </c>
      <c r="M117" s="135">
        <f t="shared" si="48"/>
        <v>8</v>
      </c>
      <c r="N117" s="135">
        <f t="shared" si="48"/>
        <v>8</v>
      </c>
      <c r="O117" s="135">
        <f t="shared" si="48"/>
        <v>8</v>
      </c>
      <c r="P117" s="135">
        <f t="shared" si="48"/>
        <v>8</v>
      </c>
      <c r="Q117" s="135">
        <f t="shared" si="48"/>
        <v>8</v>
      </c>
      <c r="R117" s="135">
        <f t="shared" si="48"/>
        <v>8</v>
      </c>
      <c r="S117" s="135">
        <f t="shared" si="48"/>
        <v>8</v>
      </c>
      <c r="T117" s="135">
        <f t="shared" si="49"/>
        <v>8</v>
      </c>
      <c r="U117" s="135">
        <f t="shared" si="49"/>
        <v>8</v>
      </c>
      <c r="V117" s="135">
        <f t="shared" si="49"/>
        <v>8</v>
      </c>
      <c r="W117" s="135">
        <f t="shared" si="49"/>
        <v>8</v>
      </c>
      <c r="X117" s="135">
        <f t="shared" si="49"/>
        <v>8</v>
      </c>
      <c r="Y117" s="135">
        <f t="shared" si="49"/>
        <v>8</v>
      </c>
      <c r="Z117" s="135">
        <f t="shared" si="49"/>
        <v>8</v>
      </c>
      <c r="AA117" s="135">
        <f t="shared" si="49"/>
        <v>8</v>
      </c>
      <c r="AB117" s="135">
        <f t="shared" si="49"/>
        <v>8</v>
      </c>
      <c r="AC117" s="135">
        <f t="shared" si="49"/>
        <v>8</v>
      </c>
      <c r="AD117" s="135">
        <f t="shared" si="49"/>
        <v>8</v>
      </c>
      <c r="AE117" s="135">
        <f t="shared" si="49"/>
        <v>8</v>
      </c>
      <c r="AF117" s="135">
        <f t="shared" si="49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47"/>
        <v>7</v>
      </c>
      <c r="C118" s="136">
        <v>7</v>
      </c>
      <c r="D118" s="135">
        <f>C118</f>
        <v>7</v>
      </c>
      <c r="E118" s="135">
        <f t="shared" si="48"/>
        <v>7</v>
      </c>
      <c r="F118" s="135">
        <f t="shared" si="48"/>
        <v>7</v>
      </c>
      <c r="G118" s="135">
        <f t="shared" si="48"/>
        <v>7</v>
      </c>
      <c r="H118" s="135">
        <f t="shared" si="48"/>
        <v>7</v>
      </c>
      <c r="I118" s="135">
        <f t="shared" si="48"/>
        <v>7</v>
      </c>
      <c r="J118" s="135">
        <f t="shared" si="48"/>
        <v>7</v>
      </c>
      <c r="K118" s="135">
        <f t="shared" si="48"/>
        <v>7</v>
      </c>
      <c r="L118" s="135">
        <f t="shared" si="48"/>
        <v>7</v>
      </c>
      <c r="M118" s="135">
        <f t="shared" si="48"/>
        <v>7</v>
      </c>
      <c r="N118" s="135">
        <f t="shared" si="48"/>
        <v>7</v>
      </c>
      <c r="O118" s="135">
        <f t="shared" si="48"/>
        <v>7</v>
      </c>
      <c r="P118" s="135">
        <f t="shared" si="48"/>
        <v>7</v>
      </c>
      <c r="Q118" s="135">
        <f t="shared" si="48"/>
        <v>7</v>
      </c>
      <c r="R118" s="135">
        <f t="shared" si="48"/>
        <v>7</v>
      </c>
      <c r="S118" s="135">
        <f t="shared" si="48"/>
        <v>7</v>
      </c>
      <c r="T118" s="135">
        <f t="shared" si="49"/>
        <v>7</v>
      </c>
      <c r="U118" s="135">
        <f t="shared" si="49"/>
        <v>7</v>
      </c>
      <c r="V118" s="135">
        <f t="shared" si="49"/>
        <v>7</v>
      </c>
      <c r="W118" s="135">
        <f t="shared" si="49"/>
        <v>7</v>
      </c>
      <c r="X118" s="135">
        <f t="shared" si="49"/>
        <v>7</v>
      </c>
      <c r="Y118" s="135">
        <f t="shared" si="49"/>
        <v>7</v>
      </c>
      <c r="Z118" s="135">
        <f t="shared" si="49"/>
        <v>7</v>
      </c>
      <c r="AA118" s="135">
        <f t="shared" si="49"/>
        <v>7</v>
      </c>
      <c r="AB118" s="135">
        <f t="shared" si="49"/>
        <v>7</v>
      </c>
      <c r="AC118" s="135">
        <f t="shared" si="49"/>
        <v>7</v>
      </c>
      <c r="AD118" s="135">
        <f t="shared" si="49"/>
        <v>7</v>
      </c>
      <c r="AE118" s="135">
        <f t="shared" si="49"/>
        <v>7</v>
      </c>
      <c r="AF118" s="135">
        <f t="shared" si="49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47"/>
        <v>3.47</v>
      </c>
      <c r="C119" s="136">
        <v>3.47</v>
      </c>
      <c r="D119" s="135">
        <f t="shared" ref="D119:S128" si="50">C119</f>
        <v>3.47</v>
      </c>
      <c r="E119" s="135">
        <f t="shared" si="50"/>
        <v>3.47</v>
      </c>
      <c r="F119" s="135">
        <f t="shared" si="50"/>
        <v>3.47</v>
      </c>
      <c r="G119" s="135">
        <f t="shared" si="50"/>
        <v>3.47</v>
      </c>
      <c r="H119" s="135">
        <f t="shared" si="50"/>
        <v>3.47</v>
      </c>
      <c r="I119" s="135">
        <f t="shared" si="50"/>
        <v>3.47</v>
      </c>
      <c r="J119" s="135">
        <f t="shared" si="50"/>
        <v>3.47</v>
      </c>
      <c r="K119" s="135">
        <f t="shared" si="50"/>
        <v>3.47</v>
      </c>
      <c r="L119" s="135">
        <f t="shared" si="50"/>
        <v>3.47</v>
      </c>
      <c r="M119" s="135">
        <f t="shared" si="50"/>
        <v>3.47</v>
      </c>
      <c r="N119" s="135">
        <f t="shared" si="50"/>
        <v>3.47</v>
      </c>
      <c r="O119" s="135">
        <f t="shared" si="50"/>
        <v>3.47</v>
      </c>
      <c r="P119" s="135">
        <f t="shared" si="50"/>
        <v>3.47</v>
      </c>
      <c r="Q119" s="135">
        <f t="shared" si="50"/>
        <v>3.47</v>
      </c>
      <c r="R119" s="135">
        <f t="shared" si="50"/>
        <v>3.47</v>
      </c>
      <c r="S119" s="135">
        <f t="shared" si="50"/>
        <v>3.47</v>
      </c>
      <c r="T119" s="135">
        <f t="shared" si="49"/>
        <v>3.47</v>
      </c>
      <c r="U119" s="135">
        <f t="shared" si="49"/>
        <v>3.47</v>
      </c>
      <c r="V119" s="135">
        <f t="shared" si="49"/>
        <v>3.47</v>
      </c>
      <c r="W119" s="135">
        <f t="shared" si="49"/>
        <v>3.47</v>
      </c>
      <c r="X119" s="135">
        <f t="shared" si="49"/>
        <v>3.47</v>
      </c>
      <c r="Y119" s="135">
        <f t="shared" si="49"/>
        <v>3.47</v>
      </c>
      <c r="Z119" s="135">
        <f t="shared" si="49"/>
        <v>3.47</v>
      </c>
      <c r="AA119" s="135">
        <f t="shared" si="49"/>
        <v>3.47</v>
      </c>
      <c r="AB119" s="135">
        <f t="shared" si="49"/>
        <v>3.47</v>
      </c>
      <c r="AC119" s="135">
        <f t="shared" si="49"/>
        <v>3.47</v>
      </c>
      <c r="AD119" s="135">
        <f t="shared" si="49"/>
        <v>3.47</v>
      </c>
      <c r="AE119" s="135">
        <f t="shared" si="49"/>
        <v>3.47</v>
      </c>
      <c r="AF119" s="135">
        <f t="shared" si="49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47"/>
        <v>2.1</v>
      </c>
      <c r="C120" s="136">
        <v>2.1</v>
      </c>
      <c r="D120" s="135">
        <f t="shared" si="50"/>
        <v>2.1</v>
      </c>
      <c r="E120" s="135">
        <f t="shared" si="50"/>
        <v>2.1</v>
      </c>
      <c r="F120" s="135">
        <f t="shared" si="50"/>
        <v>2.1</v>
      </c>
      <c r="G120" s="135">
        <f t="shared" si="50"/>
        <v>2.1</v>
      </c>
      <c r="H120" s="135">
        <f t="shared" si="50"/>
        <v>2.1</v>
      </c>
      <c r="I120" s="135">
        <f t="shared" si="50"/>
        <v>2.1</v>
      </c>
      <c r="J120" s="135">
        <f t="shared" si="50"/>
        <v>2.1</v>
      </c>
      <c r="K120" s="135">
        <f t="shared" si="50"/>
        <v>2.1</v>
      </c>
      <c r="L120" s="135">
        <f t="shared" si="50"/>
        <v>2.1</v>
      </c>
      <c r="M120" s="135">
        <f t="shared" si="50"/>
        <v>2.1</v>
      </c>
      <c r="N120" s="135">
        <f t="shared" si="50"/>
        <v>2.1</v>
      </c>
      <c r="O120" s="135">
        <f t="shared" si="50"/>
        <v>2.1</v>
      </c>
      <c r="P120" s="135">
        <f t="shared" si="50"/>
        <v>2.1</v>
      </c>
      <c r="Q120" s="135">
        <f t="shared" si="50"/>
        <v>2.1</v>
      </c>
      <c r="R120" s="135">
        <f t="shared" si="50"/>
        <v>2.1</v>
      </c>
      <c r="S120" s="135">
        <f t="shared" si="50"/>
        <v>2.1</v>
      </c>
      <c r="T120" s="135">
        <f t="shared" si="49"/>
        <v>2.1</v>
      </c>
      <c r="U120" s="135">
        <f t="shared" si="49"/>
        <v>2.1</v>
      </c>
      <c r="V120" s="135">
        <f t="shared" si="49"/>
        <v>2.1</v>
      </c>
      <c r="W120" s="135">
        <f t="shared" si="49"/>
        <v>2.1</v>
      </c>
      <c r="X120" s="135">
        <f t="shared" si="49"/>
        <v>2.1</v>
      </c>
      <c r="Y120" s="135">
        <f t="shared" si="49"/>
        <v>2.1</v>
      </c>
      <c r="Z120" s="135">
        <f t="shared" si="49"/>
        <v>2.1</v>
      </c>
      <c r="AA120" s="135">
        <f t="shared" si="49"/>
        <v>2.1</v>
      </c>
      <c r="AB120" s="135">
        <f t="shared" si="49"/>
        <v>2.1</v>
      </c>
      <c r="AC120" s="135">
        <f t="shared" si="49"/>
        <v>2.1</v>
      </c>
      <c r="AD120" s="135">
        <f t="shared" si="49"/>
        <v>2.1</v>
      </c>
      <c r="AE120" s="135">
        <f t="shared" si="49"/>
        <v>2.1</v>
      </c>
      <c r="AF120" s="135">
        <f t="shared" si="49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47"/>
        <v>9.3000000000000007</v>
      </c>
      <c r="C121" s="136">
        <v>9.3000000000000007</v>
      </c>
      <c r="D121" s="135">
        <f t="shared" si="50"/>
        <v>9.3000000000000007</v>
      </c>
      <c r="E121" s="135">
        <f t="shared" si="50"/>
        <v>9.3000000000000007</v>
      </c>
      <c r="F121" s="135">
        <f t="shared" si="50"/>
        <v>9.3000000000000007</v>
      </c>
      <c r="G121" s="135">
        <f t="shared" si="50"/>
        <v>9.3000000000000007</v>
      </c>
      <c r="H121" s="135">
        <f t="shared" si="50"/>
        <v>9.3000000000000007</v>
      </c>
      <c r="I121" s="135">
        <f t="shared" si="50"/>
        <v>9.3000000000000007</v>
      </c>
      <c r="J121" s="135">
        <f t="shared" si="50"/>
        <v>9.3000000000000007</v>
      </c>
      <c r="K121" s="135">
        <f t="shared" si="50"/>
        <v>9.3000000000000007</v>
      </c>
      <c r="L121" s="135">
        <f t="shared" si="50"/>
        <v>9.3000000000000007</v>
      </c>
      <c r="M121" s="135">
        <f t="shared" si="50"/>
        <v>9.3000000000000007</v>
      </c>
      <c r="N121" s="135">
        <f t="shared" si="50"/>
        <v>9.3000000000000007</v>
      </c>
      <c r="O121" s="135">
        <f t="shared" si="50"/>
        <v>9.3000000000000007</v>
      </c>
      <c r="P121" s="135">
        <f t="shared" si="50"/>
        <v>9.3000000000000007</v>
      </c>
      <c r="Q121" s="135">
        <f t="shared" si="50"/>
        <v>9.3000000000000007</v>
      </c>
      <c r="R121" s="135">
        <f t="shared" si="50"/>
        <v>9.3000000000000007</v>
      </c>
      <c r="S121" s="135">
        <f t="shared" si="50"/>
        <v>9.3000000000000007</v>
      </c>
      <c r="T121" s="135">
        <f t="shared" si="49"/>
        <v>9.3000000000000007</v>
      </c>
      <c r="U121" s="135">
        <f t="shared" si="49"/>
        <v>9.3000000000000007</v>
      </c>
      <c r="V121" s="135">
        <f t="shared" si="49"/>
        <v>9.3000000000000007</v>
      </c>
      <c r="W121" s="135">
        <f t="shared" si="49"/>
        <v>9.3000000000000007</v>
      </c>
      <c r="X121" s="135">
        <f t="shared" si="49"/>
        <v>9.3000000000000007</v>
      </c>
      <c r="Y121" s="135">
        <f t="shared" si="49"/>
        <v>9.3000000000000007</v>
      </c>
      <c r="Z121" s="135">
        <f t="shared" si="49"/>
        <v>9.3000000000000007</v>
      </c>
      <c r="AA121" s="135">
        <f t="shared" si="49"/>
        <v>9.3000000000000007</v>
      </c>
      <c r="AB121" s="135">
        <f t="shared" si="49"/>
        <v>9.3000000000000007</v>
      </c>
      <c r="AC121" s="135">
        <f t="shared" si="49"/>
        <v>9.3000000000000007</v>
      </c>
      <c r="AD121" s="135">
        <f t="shared" si="49"/>
        <v>9.3000000000000007</v>
      </c>
      <c r="AE121" s="135">
        <f t="shared" si="49"/>
        <v>9.3000000000000007</v>
      </c>
      <c r="AF121" s="135">
        <f t="shared" si="49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47"/>
        <v>0</v>
      </c>
      <c r="C122" s="136">
        <v>0</v>
      </c>
      <c r="D122" s="135">
        <f t="shared" si="50"/>
        <v>0</v>
      </c>
      <c r="E122" s="135">
        <f t="shared" si="50"/>
        <v>0</v>
      </c>
      <c r="F122" s="135">
        <f t="shared" si="50"/>
        <v>0</v>
      </c>
      <c r="G122" s="135">
        <f t="shared" si="50"/>
        <v>0</v>
      </c>
      <c r="H122" s="135">
        <f t="shared" si="50"/>
        <v>0</v>
      </c>
      <c r="I122" s="135">
        <f t="shared" si="50"/>
        <v>0</v>
      </c>
      <c r="J122" s="135">
        <f t="shared" si="50"/>
        <v>0</v>
      </c>
      <c r="K122" s="135">
        <f t="shared" si="50"/>
        <v>0</v>
      </c>
      <c r="L122" s="135">
        <f t="shared" si="50"/>
        <v>0</v>
      </c>
      <c r="M122" s="135">
        <f t="shared" si="50"/>
        <v>0</v>
      </c>
      <c r="N122" s="135">
        <f t="shared" si="50"/>
        <v>0</v>
      </c>
      <c r="O122" s="135">
        <f t="shared" si="50"/>
        <v>0</v>
      </c>
      <c r="P122" s="135">
        <f t="shared" si="50"/>
        <v>0</v>
      </c>
      <c r="Q122" s="135">
        <f t="shared" si="50"/>
        <v>0</v>
      </c>
      <c r="R122" s="135">
        <f t="shared" si="50"/>
        <v>0</v>
      </c>
      <c r="S122" s="135">
        <f t="shared" si="50"/>
        <v>0</v>
      </c>
      <c r="T122" s="135">
        <f t="shared" si="49"/>
        <v>0</v>
      </c>
      <c r="U122" s="135">
        <f t="shared" si="49"/>
        <v>0</v>
      </c>
      <c r="V122" s="135">
        <f t="shared" si="49"/>
        <v>0</v>
      </c>
      <c r="W122" s="135">
        <f t="shared" si="49"/>
        <v>0</v>
      </c>
      <c r="X122" s="135">
        <f t="shared" si="49"/>
        <v>0</v>
      </c>
      <c r="Y122" s="135">
        <f t="shared" si="49"/>
        <v>0</v>
      </c>
      <c r="Z122" s="135">
        <f t="shared" si="49"/>
        <v>0</v>
      </c>
      <c r="AA122" s="135">
        <f t="shared" si="49"/>
        <v>0</v>
      </c>
      <c r="AB122" s="135">
        <f t="shared" si="49"/>
        <v>0</v>
      </c>
      <c r="AC122" s="135">
        <f t="shared" si="49"/>
        <v>0</v>
      </c>
      <c r="AD122" s="135">
        <f t="shared" si="49"/>
        <v>0</v>
      </c>
      <c r="AE122" s="135">
        <f t="shared" si="49"/>
        <v>0</v>
      </c>
      <c r="AF122" s="135">
        <f t="shared" si="49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47"/>
        <v>0</v>
      </c>
      <c r="C123" s="136">
        <v>0</v>
      </c>
      <c r="D123" s="135">
        <f t="shared" si="50"/>
        <v>0</v>
      </c>
      <c r="E123" s="135">
        <f t="shared" si="50"/>
        <v>0</v>
      </c>
      <c r="F123" s="135">
        <f t="shared" si="50"/>
        <v>0</v>
      </c>
      <c r="G123" s="135">
        <f t="shared" si="50"/>
        <v>0</v>
      </c>
      <c r="H123" s="135">
        <f t="shared" si="50"/>
        <v>0</v>
      </c>
      <c r="I123" s="135">
        <f t="shared" si="50"/>
        <v>0</v>
      </c>
      <c r="J123" s="135">
        <f t="shared" si="50"/>
        <v>0</v>
      </c>
      <c r="K123" s="135">
        <f t="shared" si="50"/>
        <v>0</v>
      </c>
      <c r="L123" s="135">
        <f t="shared" si="50"/>
        <v>0</v>
      </c>
      <c r="M123" s="135">
        <f t="shared" si="50"/>
        <v>0</v>
      </c>
      <c r="N123" s="135">
        <f t="shared" si="50"/>
        <v>0</v>
      </c>
      <c r="O123" s="135">
        <f t="shared" si="50"/>
        <v>0</v>
      </c>
      <c r="P123" s="135">
        <f t="shared" si="50"/>
        <v>0</v>
      </c>
      <c r="Q123" s="135">
        <f t="shared" si="50"/>
        <v>0</v>
      </c>
      <c r="R123" s="135">
        <f t="shared" si="50"/>
        <v>0</v>
      </c>
      <c r="S123" s="135">
        <f t="shared" si="50"/>
        <v>0</v>
      </c>
      <c r="T123" s="135">
        <f t="shared" si="49"/>
        <v>0</v>
      </c>
      <c r="U123" s="135">
        <f t="shared" si="49"/>
        <v>0</v>
      </c>
      <c r="V123" s="135">
        <f t="shared" si="49"/>
        <v>0</v>
      </c>
      <c r="W123" s="135">
        <f t="shared" si="49"/>
        <v>0</v>
      </c>
      <c r="X123" s="135">
        <f t="shared" si="49"/>
        <v>0</v>
      </c>
      <c r="Y123" s="135">
        <f t="shared" si="49"/>
        <v>0</v>
      </c>
      <c r="Z123" s="135">
        <f t="shared" si="49"/>
        <v>0</v>
      </c>
      <c r="AA123" s="135">
        <f t="shared" si="49"/>
        <v>0</v>
      </c>
      <c r="AB123" s="135">
        <f t="shared" si="49"/>
        <v>0</v>
      </c>
      <c r="AC123" s="135">
        <f t="shared" si="49"/>
        <v>0</v>
      </c>
      <c r="AD123" s="135">
        <f t="shared" si="49"/>
        <v>0</v>
      </c>
      <c r="AE123" s="135">
        <f t="shared" si="49"/>
        <v>0</v>
      </c>
      <c r="AF123" s="135">
        <f t="shared" si="49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47"/>
        <v>5</v>
      </c>
      <c r="C124" s="136">
        <v>5</v>
      </c>
      <c r="D124" s="135">
        <f t="shared" si="50"/>
        <v>5</v>
      </c>
      <c r="E124" s="135">
        <f t="shared" si="50"/>
        <v>5</v>
      </c>
      <c r="F124" s="135">
        <f t="shared" si="50"/>
        <v>5</v>
      </c>
      <c r="G124" s="135">
        <f t="shared" si="50"/>
        <v>5</v>
      </c>
      <c r="H124" s="135">
        <f t="shared" si="50"/>
        <v>5</v>
      </c>
      <c r="I124" s="135">
        <f t="shared" si="50"/>
        <v>5</v>
      </c>
      <c r="J124" s="135">
        <f t="shared" si="50"/>
        <v>5</v>
      </c>
      <c r="K124" s="135">
        <f t="shared" si="50"/>
        <v>5</v>
      </c>
      <c r="L124" s="135">
        <f t="shared" si="50"/>
        <v>5</v>
      </c>
      <c r="M124" s="135">
        <f t="shared" si="50"/>
        <v>5</v>
      </c>
      <c r="N124" s="135">
        <f t="shared" si="50"/>
        <v>5</v>
      </c>
      <c r="O124" s="135">
        <f t="shared" si="50"/>
        <v>5</v>
      </c>
      <c r="P124" s="135">
        <f t="shared" si="50"/>
        <v>5</v>
      </c>
      <c r="Q124" s="135">
        <f t="shared" si="50"/>
        <v>5</v>
      </c>
      <c r="R124" s="135">
        <f t="shared" si="50"/>
        <v>5</v>
      </c>
      <c r="S124" s="135">
        <f t="shared" si="50"/>
        <v>5</v>
      </c>
      <c r="T124" s="135">
        <f t="shared" si="49"/>
        <v>5</v>
      </c>
      <c r="U124" s="135">
        <f t="shared" si="49"/>
        <v>5</v>
      </c>
      <c r="V124" s="135">
        <f t="shared" si="49"/>
        <v>5</v>
      </c>
      <c r="W124" s="135">
        <f t="shared" si="49"/>
        <v>5</v>
      </c>
      <c r="X124" s="135">
        <f t="shared" si="49"/>
        <v>5</v>
      </c>
      <c r="Y124" s="135">
        <f t="shared" si="49"/>
        <v>5</v>
      </c>
      <c r="Z124" s="135">
        <f t="shared" si="49"/>
        <v>5</v>
      </c>
      <c r="AA124" s="135">
        <f t="shared" si="49"/>
        <v>5</v>
      </c>
      <c r="AB124" s="135">
        <f t="shared" si="49"/>
        <v>5</v>
      </c>
      <c r="AC124" s="135">
        <f t="shared" si="49"/>
        <v>5</v>
      </c>
      <c r="AD124" s="135">
        <f t="shared" si="49"/>
        <v>5</v>
      </c>
      <c r="AE124" s="135">
        <f t="shared" si="49"/>
        <v>5</v>
      </c>
      <c r="AF124" s="135">
        <f t="shared" si="49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47"/>
        <v>1</v>
      </c>
      <c r="C125" s="136">
        <v>1</v>
      </c>
      <c r="D125" s="135">
        <f t="shared" si="50"/>
        <v>1</v>
      </c>
      <c r="E125" s="135">
        <f t="shared" si="50"/>
        <v>1</v>
      </c>
      <c r="F125" s="135">
        <f t="shared" si="50"/>
        <v>1</v>
      </c>
      <c r="G125" s="135">
        <f t="shared" si="50"/>
        <v>1</v>
      </c>
      <c r="H125" s="135">
        <f t="shared" si="50"/>
        <v>1</v>
      </c>
      <c r="I125" s="135">
        <f t="shared" si="50"/>
        <v>1</v>
      </c>
      <c r="J125" s="135">
        <f t="shared" si="50"/>
        <v>1</v>
      </c>
      <c r="K125" s="135">
        <f t="shared" si="50"/>
        <v>1</v>
      </c>
      <c r="L125" s="135">
        <f t="shared" si="50"/>
        <v>1</v>
      </c>
      <c r="M125" s="135">
        <f t="shared" si="50"/>
        <v>1</v>
      </c>
      <c r="N125" s="135">
        <f t="shared" si="50"/>
        <v>1</v>
      </c>
      <c r="O125" s="135">
        <f t="shared" si="50"/>
        <v>1</v>
      </c>
      <c r="P125" s="135">
        <f t="shared" si="50"/>
        <v>1</v>
      </c>
      <c r="Q125" s="135">
        <f t="shared" si="50"/>
        <v>1</v>
      </c>
      <c r="R125" s="135">
        <f t="shared" si="50"/>
        <v>1</v>
      </c>
      <c r="S125" s="135">
        <f t="shared" si="50"/>
        <v>1</v>
      </c>
      <c r="T125" s="135">
        <f t="shared" si="49"/>
        <v>1</v>
      </c>
      <c r="U125" s="135">
        <f t="shared" si="49"/>
        <v>1</v>
      </c>
      <c r="V125" s="135">
        <f t="shared" si="49"/>
        <v>1</v>
      </c>
      <c r="W125" s="135">
        <f t="shared" si="49"/>
        <v>1</v>
      </c>
      <c r="X125" s="135">
        <f t="shared" si="49"/>
        <v>1</v>
      </c>
      <c r="Y125" s="135">
        <f t="shared" si="49"/>
        <v>1</v>
      </c>
      <c r="Z125" s="135">
        <f t="shared" si="49"/>
        <v>1</v>
      </c>
      <c r="AA125" s="135">
        <f t="shared" si="49"/>
        <v>1</v>
      </c>
      <c r="AB125" s="135">
        <f t="shared" si="49"/>
        <v>1</v>
      </c>
      <c r="AC125" s="135">
        <f t="shared" si="49"/>
        <v>1</v>
      </c>
      <c r="AD125" s="135">
        <f t="shared" si="49"/>
        <v>1</v>
      </c>
      <c r="AE125" s="135">
        <f t="shared" si="49"/>
        <v>1</v>
      </c>
      <c r="AF125" s="135">
        <f t="shared" si="49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47"/>
        <v>1.58</v>
      </c>
      <c r="C126" s="136">
        <v>1.58</v>
      </c>
      <c r="D126" s="135">
        <f t="shared" si="50"/>
        <v>1.58</v>
      </c>
      <c r="E126" s="135">
        <f t="shared" si="50"/>
        <v>1.58</v>
      </c>
      <c r="F126" s="135">
        <f t="shared" si="50"/>
        <v>1.58</v>
      </c>
      <c r="G126" s="135">
        <f t="shared" si="50"/>
        <v>1.58</v>
      </c>
      <c r="H126" s="135">
        <f t="shared" si="50"/>
        <v>1.58</v>
      </c>
      <c r="I126" s="135">
        <f t="shared" si="50"/>
        <v>1.58</v>
      </c>
      <c r="J126" s="135">
        <f t="shared" si="50"/>
        <v>1.58</v>
      </c>
      <c r="K126" s="135">
        <f t="shared" si="50"/>
        <v>1.58</v>
      </c>
      <c r="L126" s="135">
        <f t="shared" si="50"/>
        <v>1.58</v>
      </c>
      <c r="M126" s="135">
        <f t="shared" si="50"/>
        <v>1.58</v>
      </c>
      <c r="N126" s="135">
        <f t="shared" si="50"/>
        <v>1.58</v>
      </c>
      <c r="O126" s="135">
        <f t="shared" si="50"/>
        <v>1.58</v>
      </c>
      <c r="P126" s="135">
        <f t="shared" si="50"/>
        <v>1.58</v>
      </c>
      <c r="Q126" s="135">
        <f t="shared" si="50"/>
        <v>1.58</v>
      </c>
      <c r="R126" s="135">
        <f t="shared" si="50"/>
        <v>1.58</v>
      </c>
      <c r="S126" s="135">
        <f t="shared" si="50"/>
        <v>1.58</v>
      </c>
      <c r="T126" s="135">
        <f t="shared" si="49"/>
        <v>1.58</v>
      </c>
      <c r="U126" s="135">
        <f t="shared" si="49"/>
        <v>1.58</v>
      </c>
      <c r="V126" s="135">
        <f t="shared" si="49"/>
        <v>1.58</v>
      </c>
      <c r="W126" s="135">
        <f t="shared" si="49"/>
        <v>1.58</v>
      </c>
      <c r="X126" s="135">
        <f t="shared" si="49"/>
        <v>1.58</v>
      </c>
      <c r="Y126" s="135">
        <f t="shared" si="49"/>
        <v>1.58</v>
      </c>
      <c r="Z126" s="135">
        <f t="shared" si="49"/>
        <v>1.58</v>
      </c>
      <c r="AA126" s="135">
        <f t="shared" si="49"/>
        <v>1.58</v>
      </c>
      <c r="AB126" s="135">
        <f t="shared" si="49"/>
        <v>1.58</v>
      </c>
      <c r="AC126" s="135">
        <f t="shared" si="49"/>
        <v>1.58</v>
      </c>
      <c r="AD126" s="135">
        <f t="shared" si="49"/>
        <v>1.58</v>
      </c>
      <c r="AE126" s="135">
        <f t="shared" si="49"/>
        <v>1.58</v>
      </c>
      <c r="AF126" s="135">
        <f t="shared" si="49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47"/>
        <v>1.46</v>
      </c>
      <c r="C127" s="136">
        <v>1.46</v>
      </c>
      <c r="D127" s="135">
        <f t="shared" si="50"/>
        <v>1.46</v>
      </c>
      <c r="E127" s="135">
        <f t="shared" si="50"/>
        <v>1.46</v>
      </c>
      <c r="F127" s="135">
        <f t="shared" si="50"/>
        <v>1.46</v>
      </c>
      <c r="G127" s="135">
        <f t="shared" si="50"/>
        <v>1.46</v>
      </c>
      <c r="H127" s="135">
        <f t="shared" si="50"/>
        <v>1.46</v>
      </c>
      <c r="I127" s="135">
        <f t="shared" si="50"/>
        <v>1.46</v>
      </c>
      <c r="J127" s="135">
        <f t="shared" si="50"/>
        <v>1.46</v>
      </c>
      <c r="K127" s="135">
        <f t="shared" si="50"/>
        <v>1.46</v>
      </c>
      <c r="L127" s="135">
        <f t="shared" si="50"/>
        <v>1.46</v>
      </c>
      <c r="M127" s="135">
        <f t="shared" si="50"/>
        <v>1.46</v>
      </c>
      <c r="N127" s="135">
        <f t="shared" si="50"/>
        <v>1.46</v>
      </c>
      <c r="O127" s="135">
        <f t="shared" si="50"/>
        <v>1.46</v>
      </c>
      <c r="P127" s="135">
        <f t="shared" si="50"/>
        <v>1.46</v>
      </c>
      <c r="Q127" s="135">
        <f t="shared" si="50"/>
        <v>1.46</v>
      </c>
      <c r="R127" s="135">
        <f t="shared" si="50"/>
        <v>1.46</v>
      </c>
      <c r="S127" s="135">
        <f t="shared" si="50"/>
        <v>1.46</v>
      </c>
      <c r="T127" s="135">
        <f t="shared" ref="T127:AF128" si="51">S127</f>
        <v>1.46</v>
      </c>
      <c r="U127" s="135">
        <f t="shared" si="51"/>
        <v>1.46</v>
      </c>
      <c r="V127" s="135">
        <f t="shared" si="51"/>
        <v>1.46</v>
      </c>
      <c r="W127" s="135">
        <f t="shared" si="51"/>
        <v>1.46</v>
      </c>
      <c r="X127" s="135">
        <f t="shared" si="51"/>
        <v>1.46</v>
      </c>
      <c r="Y127" s="135">
        <f t="shared" si="51"/>
        <v>1.46</v>
      </c>
      <c r="Z127" s="135">
        <f t="shared" si="51"/>
        <v>1.46</v>
      </c>
      <c r="AA127" s="135">
        <f t="shared" si="51"/>
        <v>1.46</v>
      </c>
      <c r="AB127" s="135">
        <f t="shared" si="51"/>
        <v>1.46</v>
      </c>
      <c r="AC127" s="135">
        <f t="shared" si="51"/>
        <v>1.46</v>
      </c>
      <c r="AD127" s="135">
        <f t="shared" si="51"/>
        <v>1.46</v>
      </c>
      <c r="AE127" s="135">
        <f t="shared" si="51"/>
        <v>1.46</v>
      </c>
      <c r="AF127" s="135">
        <f t="shared" si="51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47"/>
        <v>1.48</v>
      </c>
      <c r="C128" s="136">
        <v>1.48</v>
      </c>
      <c r="D128" s="135">
        <f t="shared" si="50"/>
        <v>1.48</v>
      </c>
      <c r="E128" s="135">
        <f t="shared" si="50"/>
        <v>1.48</v>
      </c>
      <c r="F128" s="135">
        <f t="shared" si="50"/>
        <v>1.48</v>
      </c>
      <c r="G128" s="135">
        <f t="shared" si="50"/>
        <v>1.48</v>
      </c>
      <c r="H128" s="135">
        <f t="shared" si="50"/>
        <v>1.48</v>
      </c>
      <c r="I128" s="135">
        <f t="shared" si="50"/>
        <v>1.48</v>
      </c>
      <c r="J128" s="135">
        <f t="shared" si="50"/>
        <v>1.48</v>
      </c>
      <c r="K128" s="135">
        <f t="shared" si="50"/>
        <v>1.48</v>
      </c>
      <c r="L128" s="135">
        <f t="shared" si="50"/>
        <v>1.48</v>
      </c>
      <c r="M128" s="135">
        <f t="shared" si="50"/>
        <v>1.48</v>
      </c>
      <c r="N128" s="135">
        <f t="shared" si="50"/>
        <v>1.48</v>
      </c>
      <c r="O128" s="135">
        <f t="shared" si="50"/>
        <v>1.48</v>
      </c>
      <c r="P128" s="135">
        <f t="shared" si="50"/>
        <v>1.48</v>
      </c>
      <c r="Q128" s="135">
        <f t="shared" si="50"/>
        <v>1.48</v>
      </c>
      <c r="R128" s="135">
        <f t="shared" si="50"/>
        <v>1.48</v>
      </c>
      <c r="S128" s="135">
        <f t="shared" si="50"/>
        <v>1.48</v>
      </c>
      <c r="T128" s="135">
        <f t="shared" si="51"/>
        <v>1.48</v>
      </c>
      <c r="U128" s="135">
        <f t="shared" si="51"/>
        <v>1.48</v>
      </c>
      <c r="V128" s="135">
        <f t="shared" si="51"/>
        <v>1.48</v>
      </c>
      <c r="W128" s="135">
        <f t="shared" si="51"/>
        <v>1.48</v>
      </c>
      <c r="X128" s="135">
        <f t="shared" si="51"/>
        <v>1.48</v>
      </c>
      <c r="Y128" s="135">
        <f t="shared" si="51"/>
        <v>1.48</v>
      </c>
      <c r="Z128" s="135">
        <f t="shared" si="51"/>
        <v>1.48</v>
      </c>
      <c r="AA128" s="135">
        <f t="shared" si="51"/>
        <v>1.48</v>
      </c>
      <c r="AB128" s="135">
        <f t="shared" si="51"/>
        <v>1.48</v>
      </c>
      <c r="AC128" s="135">
        <f t="shared" si="51"/>
        <v>1.48</v>
      </c>
      <c r="AD128" s="135">
        <f t="shared" si="51"/>
        <v>1.48</v>
      </c>
      <c r="AE128" s="135">
        <f t="shared" si="51"/>
        <v>1.48</v>
      </c>
      <c r="AF128" s="135">
        <f t="shared" si="51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52">AF130</f>
        <v>2.2000000000000002</v>
      </c>
      <c r="C130" s="136">
        <v>2.2000000000000002</v>
      </c>
      <c r="D130" s="135">
        <f t="shared" ref="D130:S137" si="53">C130</f>
        <v>2.2000000000000002</v>
      </c>
      <c r="E130" s="135">
        <f t="shared" si="53"/>
        <v>2.2000000000000002</v>
      </c>
      <c r="F130" s="135">
        <f t="shared" si="53"/>
        <v>2.2000000000000002</v>
      </c>
      <c r="G130" s="135">
        <f t="shared" si="53"/>
        <v>2.2000000000000002</v>
      </c>
      <c r="H130" s="135">
        <f t="shared" si="53"/>
        <v>2.2000000000000002</v>
      </c>
      <c r="I130" s="135">
        <f t="shared" si="53"/>
        <v>2.2000000000000002</v>
      </c>
      <c r="J130" s="135">
        <f t="shared" si="53"/>
        <v>2.2000000000000002</v>
      </c>
      <c r="K130" s="135">
        <f t="shared" si="53"/>
        <v>2.2000000000000002</v>
      </c>
      <c r="L130" s="135">
        <f t="shared" si="53"/>
        <v>2.2000000000000002</v>
      </c>
      <c r="M130" s="135">
        <f t="shared" si="53"/>
        <v>2.2000000000000002</v>
      </c>
      <c r="N130" s="135">
        <f t="shared" si="53"/>
        <v>2.2000000000000002</v>
      </c>
      <c r="O130" s="135">
        <f t="shared" si="53"/>
        <v>2.2000000000000002</v>
      </c>
      <c r="P130" s="135">
        <f t="shared" si="53"/>
        <v>2.2000000000000002</v>
      </c>
      <c r="Q130" s="135">
        <f t="shared" si="53"/>
        <v>2.2000000000000002</v>
      </c>
      <c r="R130" s="135">
        <f t="shared" si="53"/>
        <v>2.2000000000000002</v>
      </c>
      <c r="S130" s="135">
        <f t="shared" si="53"/>
        <v>2.2000000000000002</v>
      </c>
      <c r="T130" s="135">
        <f t="shared" ref="T130:AF137" si="54">S130</f>
        <v>2.2000000000000002</v>
      </c>
      <c r="U130" s="135">
        <f t="shared" si="54"/>
        <v>2.2000000000000002</v>
      </c>
      <c r="V130" s="135">
        <f t="shared" si="54"/>
        <v>2.2000000000000002</v>
      </c>
      <c r="W130" s="135">
        <f t="shared" si="54"/>
        <v>2.2000000000000002</v>
      </c>
      <c r="X130" s="135">
        <f t="shared" si="54"/>
        <v>2.2000000000000002</v>
      </c>
      <c r="Y130" s="135">
        <f t="shared" si="54"/>
        <v>2.2000000000000002</v>
      </c>
      <c r="Z130" s="135">
        <f t="shared" si="54"/>
        <v>2.2000000000000002</v>
      </c>
      <c r="AA130" s="135">
        <f t="shared" si="54"/>
        <v>2.2000000000000002</v>
      </c>
      <c r="AB130" s="135">
        <f t="shared" si="54"/>
        <v>2.2000000000000002</v>
      </c>
      <c r="AC130" s="135">
        <f t="shared" si="54"/>
        <v>2.2000000000000002</v>
      </c>
      <c r="AD130" s="135">
        <f t="shared" si="54"/>
        <v>2.2000000000000002</v>
      </c>
      <c r="AE130" s="135">
        <f t="shared" si="54"/>
        <v>2.2000000000000002</v>
      </c>
      <c r="AF130" s="135">
        <f t="shared" si="54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52"/>
        <v>2</v>
      </c>
      <c r="C131" s="136">
        <v>2</v>
      </c>
      <c r="D131" s="135">
        <f t="shared" si="53"/>
        <v>2</v>
      </c>
      <c r="E131" s="135">
        <f t="shared" si="53"/>
        <v>2</v>
      </c>
      <c r="F131" s="135">
        <f t="shared" si="53"/>
        <v>2</v>
      </c>
      <c r="G131" s="135">
        <f t="shared" si="53"/>
        <v>2</v>
      </c>
      <c r="H131" s="135">
        <f t="shared" si="53"/>
        <v>2</v>
      </c>
      <c r="I131" s="135">
        <f t="shared" si="53"/>
        <v>2</v>
      </c>
      <c r="J131" s="135">
        <f t="shared" si="53"/>
        <v>2</v>
      </c>
      <c r="K131" s="135">
        <f t="shared" si="53"/>
        <v>2</v>
      </c>
      <c r="L131" s="135">
        <f t="shared" si="53"/>
        <v>2</v>
      </c>
      <c r="M131" s="135">
        <f t="shared" si="53"/>
        <v>2</v>
      </c>
      <c r="N131" s="135">
        <f t="shared" si="53"/>
        <v>2</v>
      </c>
      <c r="O131" s="135">
        <f t="shared" si="53"/>
        <v>2</v>
      </c>
      <c r="P131" s="135">
        <f t="shared" si="53"/>
        <v>2</v>
      </c>
      <c r="Q131" s="135">
        <f t="shared" si="53"/>
        <v>2</v>
      </c>
      <c r="R131" s="135">
        <f t="shared" si="53"/>
        <v>2</v>
      </c>
      <c r="S131" s="135">
        <f t="shared" si="53"/>
        <v>2</v>
      </c>
      <c r="T131" s="135">
        <f t="shared" si="54"/>
        <v>2</v>
      </c>
      <c r="U131" s="135">
        <f t="shared" si="54"/>
        <v>2</v>
      </c>
      <c r="V131" s="135">
        <f t="shared" si="54"/>
        <v>2</v>
      </c>
      <c r="W131" s="135">
        <f t="shared" si="54"/>
        <v>2</v>
      </c>
      <c r="X131" s="135">
        <f t="shared" si="54"/>
        <v>2</v>
      </c>
      <c r="Y131" s="135">
        <f t="shared" si="54"/>
        <v>2</v>
      </c>
      <c r="Z131" s="135">
        <f t="shared" si="54"/>
        <v>2</v>
      </c>
      <c r="AA131" s="135">
        <f t="shared" si="54"/>
        <v>2</v>
      </c>
      <c r="AB131" s="135">
        <f t="shared" si="54"/>
        <v>2</v>
      </c>
      <c r="AC131" s="135">
        <f t="shared" si="54"/>
        <v>2</v>
      </c>
      <c r="AD131" s="135">
        <f t="shared" si="54"/>
        <v>2</v>
      </c>
      <c r="AE131" s="135">
        <f t="shared" si="54"/>
        <v>2</v>
      </c>
      <c r="AF131" s="135">
        <f t="shared" si="54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52"/>
        <v>1.25</v>
      </c>
      <c r="C132" s="136">
        <v>1.25</v>
      </c>
      <c r="D132" s="135">
        <f t="shared" si="53"/>
        <v>1.25</v>
      </c>
      <c r="E132" s="135">
        <f t="shared" si="53"/>
        <v>1.25</v>
      </c>
      <c r="F132" s="135">
        <f t="shared" si="53"/>
        <v>1.25</v>
      </c>
      <c r="G132" s="135">
        <f t="shared" si="53"/>
        <v>1.25</v>
      </c>
      <c r="H132" s="135">
        <f t="shared" si="53"/>
        <v>1.25</v>
      </c>
      <c r="I132" s="135">
        <f t="shared" si="53"/>
        <v>1.25</v>
      </c>
      <c r="J132" s="135">
        <f t="shared" si="53"/>
        <v>1.25</v>
      </c>
      <c r="K132" s="135">
        <f t="shared" si="53"/>
        <v>1.25</v>
      </c>
      <c r="L132" s="135">
        <f t="shared" si="53"/>
        <v>1.25</v>
      </c>
      <c r="M132" s="135">
        <f t="shared" si="53"/>
        <v>1.25</v>
      </c>
      <c r="N132" s="135">
        <f t="shared" si="53"/>
        <v>1.25</v>
      </c>
      <c r="O132" s="135">
        <f t="shared" si="53"/>
        <v>1.25</v>
      </c>
      <c r="P132" s="135">
        <f t="shared" si="53"/>
        <v>1.25</v>
      </c>
      <c r="Q132" s="135">
        <f t="shared" si="53"/>
        <v>1.25</v>
      </c>
      <c r="R132" s="135">
        <f t="shared" si="53"/>
        <v>1.25</v>
      </c>
      <c r="S132" s="135">
        <f t="shared" si="53"/>
        <v>1.25</v>
      </c>
      <c r="T132" s="135">
        <f t="shared" si="54"/>
        <v>1.25</v>
      </c>
      <c r="U132" s="135">
        <f t="shared" si="54"/>
        <v>1.25</v>
      </c>
      <c r="V132" s="135">
        <f t="shared" si="54"/>
        <v>1.25</v>
      </c>
      <c r="W132" s="135">
        <f t="shared" si="54"/>
        <v>1.25</v>
      </c>
      <c r="X132" s="135">
        <f t="shared" si="54"/>
        <v>1.25</v>
      </c>
      <c r="Y132" s="135">
        <f t="shared" si="54"/>
        <v>1.25</v>
      </c>
      <c r="Z132" s="135">
        <f t="shared" si="54"/>
        <v>1.25</v>
      </c>
      <c r="AA132" s="135">
        <f t="shared" si="54"/>
        <v>1.25</v>
      </c>
      <c r="AB132" s="135">
        <f t="shared" si="54"/>
        <v>1.25</v>
      </c>
      <c r="AC132" s="135">
        <f t="shared" si="54"/>
        <v>1.25</v>
      </c>
      <c r="AD132" s="135">
        <f t="shared" si="54"/>
        <v>1.25</v>
      </c>
      <c r="AE132" s="135">
        <f t="shared" si="54"/>
        <v>1.25</v>
      </c>
      <c r="AF132" s="135">
        <f t="shared" si="54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52"/>
        <v>1.1499999999999999</v>
      </c>
      <c r="C133" s="136">
        <v>1.1499999999999999</v>
      </c>
      <c r="D133" s="135">
        <f t="shared" si="53"/>
        <v>1.1499999999999999</v>
      </c>
      <c r="E133" s="135">
        <f t="shared" si="53"/>
        <v>1.1499999999999999</v>
      </c>
      <c r="F133" s="135">
        <f t="shared" si="53"/>
        <v>1.1499999999999999</v>
      </c>
      <c r="G133" s="135">
        <f t="shared" si="53"/>
        <v>1.1499999999999999</v>
      </c>
      <c r="H133" s="135">
        <f t="shared" si="53"/>
        <v>1.1499999999999999</v>
      </c>
      <c r="I133" s="135">
        <f t="shared" si="53"/>
        <v>1.1499999999999999</v>
      </c>
      <c r="J133" s="135">
        <f t="shared" si="53"/>
        <v>1.1499999999999999</v>
      </c>
      <c r="K133" s="135">
        <f t="shared" si="53"/>
        <v>1.1499999999999999</v>
      </c>
      <c r="L133" s="135">
        <f t="shared" si="53"/>
        <v>1.1499999999999999</v>
      </c>
      <c r="M133" s="135">
        <f t="shared" si="53"/>
        <v>1.1499999999999999</v>
      </c>
      <c r="N133" s="135">
        <f t="shared" si="53"/>
        <v>1.1499999999999999</v>
      </c>
      <c r="O133" s="135">
        <f t="shared" si="53"/>
        <v>1.1499999999999999</v>
      </c>
      <c r="P133" s="135">
        <f t="shared" si="53"/>
        <v>1.1499999999999999</v>
      </c>
      <c r="Q133" s="135">
        <f t="shared" si="53"/>
        <v>1.1499999999999999</v>
      </c>
      <c r="R133" s="135">
        <f t="shared" si="53"/>
        <v>1.1499999999999999</v>
      </c>
      <c r="S133" s="135">
        <f t="shared" si="53"/>
        <v>1.1499999999999999</v>
      </c>
      <c r="T133" s="135">
        <f t="shared" si="54"/>
        <v>1.1499999999999999</v>
      </c>
      <c r="U133" s="135">
        <f t="shared" si="54"/>
        <v>1.1499999999999999</v>
      </c>
      <c r="V133" s="135">
        <f t="shared" si="54"/>
        <v>1.1499999999999999</v>
      </c>
      <c r="W133" s="135">
        <f t="shared" si="54"/>
        <v>1.1499999999999999</v>
      </c>
      <c r="X133" s="135">
        <f t="shared" si="54"/>
        <v>1.1499999999999999</v>
      </c>
      <c r="Y133" s="135">
        <f t="shared" si="54"/>
        <v>1.1499999999999999</v>
      </c>
      <c r="Z133" s="135">
        <f t="shared" si="54"/>
        <v>1.1499999999999999</v>
      </c>
      <c r="AA133" s="135">
        <f t="shared" si="54"/>
        <v>1.1499999999999999</v>
      </c>
      <c r="AB133" s="135">
        <f t="shared" si="54"/>
        <v>1.1499999999999999</v>
      </c>
      <c r="AC133" s="135">
        <f t="shared" si="54"/>
        <v>1.1499999999999999</v>
      </c>
      <c r="AD133" s="135">
        <f t="shared" si="54"/>
        <v>1.1499999999999999</v>
      </c>
      <c r="AE133" s="135">
        <f t="shared" si="54"/>
        <v>1.1499999999999999</v>
      </c>
      <c r="AF133" s="135">
        <f t="shared" si="54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52"/>
        <v>2.133</v>
      </c>
      <c r="C134" s="136">
        <v>2.133</v>
      </c>
      <c r="D134" s="135">
        <f t="shared" si="53"/>
        <v>2.133</v>
      </c>
      <c r="E134" s="135">
        <f t="shared" si="53"/>
        <v>2.133</v>
      </c>
      <c r="F134" s="135">
        <f t="shared" si="53"/>
        <v>2.133</v>
      </c>
      <c r="G134" s="135">
        <f t="shared" si="53"/>
        <v>2.133</v>
      </c>
      <c r="H134" s="135">
        <f t="shared" si="53"/>
        <v>2.133</v>
      </c>
      <c r="I134" s="135">
        <f t="shared" si="53"/>
        <v>2.133</v>
      </c>
      <c r="J134" s="135">
        <f t="shared" si="53"/>
        <v>2.133</v>
      </c>
      <c r="K134" s="135">
        <f t="shared" si="53"/>
        <v>2.133</v>
      </c>
      <c r="L134" s="135">
        <f t="shared" si="53"/>
        <v>2.133</v>
      </c>
      <c r="M134" s="135">
        <f t="shared" si="53"/>
        <v>2.133</v>
      </c>
      <c r="N134" s="135">
        <f t="shared" si="53"/>
        <v>2.133</v>
      </c>
      <c r="O134" s="135">
        <f t="shared" si="53"/>
        <v>2.133</v>
      </c>
      <c r="P134" s="135">
        <f t="shared" si="53"/>
        <v>2.133</v>
      </c>
      <c r="Q134" s="135">
        <f t="shared" si="53"/>
        <v>2.133</v>
      </c>
      <c r="R134" s="135">
        <f t="shared" si="53"/>
        <v>2.133</v>
      </c>
      <c r="S134" s="135">
        <f t="shared" si="53"/>
        <v>2.133</v>
      </c>
      <c r="T134" s="135">
        <f t="shared" si="54"/>
        <v>2.133</v>
      </c>
      <c r="U134" s="135">
        <f t="shared" si="54"/>
        <v>2.133</v>
      </c>
      <c r="V134" s="135">
        <f t="shared" si="54"/>
        <v>2.133</v>
      </c>
      <c r="W134" s="135">
        <f t="shared" si="54"/>
        <v>2.133</v>
      </c>
      <c r="X134" s="135">
        <f t="shared" si="54"/>
        <v>2.133</v>
      </c>
      <c r="Y134" s="135">
        <f t="shared" si="54"/>
        <v>2.133</v>
      </c>
      <c r="Z134" s="135">
        <f t="shared" si="54"/>
        <v>2.133</v>
      </c>
      <c r="AA134" s="135">
        <f t="shared" si="54"/>
        <v>2.133</v>
      </c>
      <c r="AB134" s="135">
        <f t="shared" si="54"/>
        <v>2.133</v>
      </c>
      <c r="AC134" s="135">
        <f t="shared" si="54"/>
        <v>2.133</v>
      </c>
      <c r="AD134" s="135">
        <f t="shared" si="54"/>
        <v>2.133</v>
      </c>
      <c r="AE134" s="135">
        <f t="shared" si="54"/>
        <v>2.133</v>
      </c>
      <c r="AF134" s="135">
        <f t="shared" si="54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52"/>
        <v>2.09</v>
      </c>
      <c r="C135" s="136">
        <v>2.09</v>
      </c>
      <c r="D135" s="135">
        <f t="shared" si="53"/>
        <v>2.09</v>
      </c>
      <c r="E135" s="135">
        <f t="shared" si="53"/>
        <v>2.09</v>
      </c>
      <c r="F135" s="135">
        <f t="shared" si="53"/>
        <v>2.09</v>
      </c>
      <c r="G135" s="135">
        <f t="shared" si="53"/>
        <v>2.09</v>
      </c>
      <c r="H135" s="135">
        <f t="shared" si="53"/>
        <v>2.09</v>
      </c>
      <c r="I135" s="135">
        <f t="shared" si="53"/>
        <v>2.09</v>
      </c>
      <c r="J135" s="135">
        <f t="shared" si="53"/>
        <v>2.09</v>
      </c>
      <c r="K135" s="135">
        <f t="shared" si="53"/>
        <v>2.09</v>
      </c>
      <c r="L135" s="135">
        <f t="shared" si="53"/>
        <v>2.09</v>
      </c>
      <c r="M135" s="135">
        <f t="shared" si="53"/>
        <v>2.09</v>
      </c>
      <c r="N135" s="135">
        <f t="shared" si="53"/>
        <v>2.09</v>
      </c>
      <c r="O135" s="135">
        <f t="shared" si="53"/>
        <v>2.09</v>
      </c>
      <c r="P135" s="135">
        <f t="shared" si="53"/>
        <v>2.09</v>
      </c>
      <c r="Q135" s="135">
        <f t="shared" si="53"/>
        <v>2.09</v>
      </c>
      <c r="R135" s="135">
        <f t="shared" si="53"/>
        <v>2.09</v>
      </c>
      <c r="S135" s="135">
        <f t="shared" si="53"/>
        <v>2.09</v>
      </c>
      <c r="T135" s="135">
        <f t="shared" si="54"/>
        <v>2.09</v>
      </c>
      <c r="U135" s="135">
        <f t="shared" si="54"/>
        <v>2.09</v>
      </c>
      <c r="V135" s="135">
        <f t="shared" si="54"/>
        <v>2.09</v>
      </c>
      <c r="W135" s="135">
        <f t="shared" si="54"/>
        <v>2.09</v>
      </c>
      <c r="X135" s="135">
        <f t="shared" si="54"/>
        <v>2.09</v>
      </c>
      <c r="Y135" s="135">
        <f t="shared" si="54"/>
        <v>2.09</v>
      </c>
      <c r="Z135" s="135">
        <f t="shared" si="54"/>
        <v>2.09</v>
      </c>
      <c r="AA135" s="135">
        <f t="shared" si="54"/>
        <v>2.09</v>
      </c>
      <c r="AB135" s="135">
        <f t="shared" si="54"/>
        <v>2.09</v>
      </c>
      <c r="AC135" s="135">
        <f t="shared" si="54"/>
        <v>2.09</v>
      </c>
      <c r="AD135" s="135">
        <f t="shared" si="54"/>
        <v>2.09</v>
      </c>
      <c r="AE135" s="135">
        <f t="shared" si="54"/>
        <v>2.09</v>
      </c>
      <c r="AF135" s="135">
        <f t="shared" si="54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52"/>
        <v>1.1399999999999999</v>
      </c>
      <c r="C136" s="136">
        <v>1.1399999999999999</v>
      </c>
      <c r="D136" s="135">
        <f t="shared" si="53"/>
        <v>1.1399999999999999</v>
      </c>
      <c r="E136" s="135">
        <f t="shared" si="53"/>
        <v>1.1399999999999999</v>
      </c>
      <c r="F136" s="135">
        <f t="shared" si="53"/>
        <v>1.1399999999999999</v>
      </c>
      <c r="G136" s="135">
        <f t="shared" si="53"/>
        <v>1.1399999999999999</v>
      </c>
      <c r="H136" s="135">
        <f t="shared" si="53"/>
        <v>1.1399999999999999</v>
      </c>
      <c r="I136" s="135">
        <f t="shared" si="53"/>
        <v>1.1399999999999999</v>
      </c>
      <c r="J136" s="135">
        <f t="shared" si="53"/>
        <v>1.1399999999999999</v>
      </c>
      <c r="K136" s="135">
        <f t="shared" si="53"/>
        <v>1.1399999999999999</v>
      </c>
      <c r="L136" s="135">
        <f t="shared" si="53"/>
        <v>1.1399999999999999</v>
      </c>
      <c r="M136" s="135">
        <f t="shared" si="53"/>
        <v>1.1399999999999999</v>
      </c>
      <c r="N136" s="135">
        <f t="shared" si="53"/>
        <v>1.1399999999999999</v>
      </c>
      <c r="O136" s="135">
        <f t="shared" si="53"/>
        <v>1.1399999999999999</v>
      </c>
      <c r="P136" s="135">
        <f t="shared" si="53"/>
        <v>1.1399999999999999</v>
      </c>
      <c r="Q136" s="135">
        <f t="shared" si="53"/>
        <v>1.1399999999999999</v>
      </c>
      <c r="R136" s="135">
        <f t="shared" si="53"/>
        <v>1.1399999999999999</v>
      </c>
      <c r="S136" s="135">
        <f t="shared" si="53"/>
        <v>1.1399999999999999</v>
      </c>
      <c r="T136" s="135">
        <f t="shared" si="54"/>
        <v>1.1399999999999999</v>
      </c>
      <c r="U136" s="135">
        <f t="shared" si="54"/>
        <v>1.1399999999999999</v>
      </c>
      <c r="V136" s="135">
        <f t="shared" si="54"/>
        <v>1.1399999999999999</v>
      </c>
      <c r="W136" s="135">
        <f t="shared" si="54"/>
        <v>1.1399999999999999</v>
      </c>
      <c r="X136" s="135">
        <f t="shared" si="54"/>
        <v>1.1399999999999999</v>
      </c>
      <c r="Y136" s="135">
        <f t="shared" si="54"/>
        <v>1.1399999999999999</v>
      </c>
      <c r="Z136" s="135">
        <f t="shared" si="54"/>
        <v>1.1399999999999999</v>
      </c>
      <c r="AA136" s="135">
        <f t="shared" si="54"/>
        <v>1.1399999999999999</v>
      </c>
      <c r="AB136" s="135">
        <f t="shared" si="54"/>
        <v>1.1399999999999999</v>
      </c>
      <c r="AC136" s="135">
        <f t="shared" si="54"/>
        <v>1.1399999999999999</v>
      </c>
      <c r="AD136" s="135">
        <f t="shared" si="54"/>
        <v>1.1399999999999999</v>
      </c>
      <c r="AE136" s="135">
        <f t="shared" si="54"/>
        <v>1.1399999999999999</v>
      </c>
      <c r="AF136" s="135">
        <f t="shared" si="54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52"/>
        <v>0.82</v>
      </c>
      <c r="C137" s="136">
        <v>0.82</v>
      </c>
      <c r="D137" s="135">
        <f t="shared" si="53"/>
        <v>0.82</v>
      </c>
      <c r="E137" s="135">
        <f t="shared" si="53"/>
        <v>0.82</v>
      </c>
      <c r="F137" s="135">
        <f t="shared" si="53"/>
        <v>0.82</v>
      </c>
      <c r="G137" s="135">
        <f t="shared" si="53"/>
        <v>0.82</v>
      </c>
      <c r="H137" s="135">
        <f t="shared" si="53"/>
        <v>0.82</v>
      </c>
      <c r="I137" s="135">
        <f t="shared" si="53"/>
        <v>0.82</v>
      </c>
      <c r="J137" s="135">
        <f t="shared" si="53"/>
        <v>0.82</v>
      </c>
      <c r="K137" s="135">
        <f t="shared" si="53"/>
        <v>0.82</v>
      </c>
      <c r="L137" s="135">
        <f t="shared" si="53"/>
        <v>0.82</v>
      </c>
      <c r="M137" s="135">
        <f t="shared" si="53"/>
        <v>0.82</v>
      </c>
      <c r="N137" s="135">
        <f t="shared" si="53"/>
        <v>0.82</v>
      </c>
      <c r="O137" s="135">
        <f t="shared" si="53"/>
        <v>0.82</v>
      </c>
      <c r="P137" s="135">
        <f t="shared" si="53"/>
        <v>0.82</v>
      </c>
      <c r="Q137" s="135">
        <f t="shared" si="53"/>
        <v>0.82</v>
      </c>
      <c r="R137" s="135">
        <f t="shared" si="53"/>
        <v>0.82</v>
      </c>
      <c r="S137" s="135">
        <f t="shared" si="53"/>
        <v>0.82</v>
      </c>
      <c r="T137" s="135">
        <f t="shared" si="54"/>
        <v>0.82</v>
      </c>
      <c r="U137" s="135">
        <f t="shared" si="54"/>
        <v>0.82</v>
      </c>
      <c r="V137" s="135">
        <f t="shared" si="54"/>
        <v>0.82</v>
      </c>
      <c r="W137" s="135">
        <f t="shared" si="54"/>
        <v>0.82</v>
      </c>
      <c r="X137" s="135">
        <f t="shared" si="54"/>
        <v>0.82</v>
      </c>
      <c r="Y137" s="135">
        <f t="shared" si="54"/>
        <v>0.82</v>
      </c>
      <c r="Z137" s="135">
        <f t="shared" si="54"/>
        <v>0.82</v>
      </c>
      <c r="AA137" s="135">
        <f t="shared" si="54"/>
        <v>0.82</v>
      </c>
      <c r="AB137" s="135">
        <f t="shared" si="54"/>
        <v>0.82</v>
      </c>
      <c r="AC137" s="135">
        <f t="shared" si="54"/>
        <v>0.82</v>
      </c>
      <c r="AD137" s="135">
        <f t="shared" si="54"/>
        <v>0.82</v>
      </c>
      <c r="AE137" s="135">
        <f t="shared" si="54"/>
        <v>0.82</v>
      </c>
      <c r="AF137" s="135">
        <f t="shared" si="54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55">AF139</f>
        <v>2</v>
      </c>
      <c r="C139" s="136">
        <v>2</v>
      </c>
      <c r="D139" s="135">
        <f t="shared" ref="D139:S145" si="56">C139</f>
        <v>2</v>
      </c>
      <c r="E139" s="135">
        <f t="shared" si="56"/>
        <v>2</v>
      </c>
      <c r="F139" s="135">
        <f t="shared" si="56"/>
        <v>2</v>
      </c>
      <c r="G139" s="135">
        <f t="shared" si="56"/>
        <v>2</v>
      </c>
      <c r="H139" s="135">
        <f t="shared" si="56"/>
        <v>2</v>
      </c>
      <c r="I139" s="135">
        <f t="shared" si="56"/>
        <v>2</v>
      </c>
      <c r="J139" s="135">
        <f t="shared" si="56"/>
        <v>2</v>
      </c>
      <c r="K139" s="135">
        <f t="shared" si="56"/>
        <v>2</v>
      </c>
      <c r="L139" s="135">
        <f t="shared" si="56"/>
        <v>2</v>
      </c>
      <c r="M139" s="135">
        <f t="shared" si="56"/>
        <v>2</v>
      </c>
      <c r="N139" s="135">
        <f t="shared" si="56"/>
        <v>2</v>
      </c>
      <c r="O139" s="135">
        <f t="shared" si="56"/>
        <v>2</v>
      </c>
      <c r="P139" s="135">
        <f t="shared" si="56"/>
        <v>2</v>
      </c>
      <c r="Q139" s="135">
        <f t="shared" si="56"/>
        <v>2</v>
      </c>
      <c r="R139" s="135">
        <f t="shared" si="56"/>
        <v>2</v>
      </c>
      <c r="S139" s="135">
        <f t="shared" si="56"/>
        <v>2</v>
      </c>
      <c r="T139" s="135">
        <f t="shared" ref="T139:AF145" si="57">S139</f>
        <v>2</v>
      </c>
      <c r="U139" s="135">
        <f t="shared" si="57"/>
        <v>2</v>
      </c>
      <c r="V139" s="135">
        <f t="shared" si="57"/>
        <v>2</v>
      </c>
      <c r="W139" s="135">
        <f t="shared" si="57"/>
        <v>2</v>
      </c>
      <c r="X139" s="135">
        <f t="shared" si="57"/>
        <v>2</v>
      </c>
      <c r="Y139" s="135">
        <f t="shared" si="57"/>
        <v>2</v>
      </c>
      <c r="Z139" s="135">
        <f t="shared" si="57"/>
        <v>2</v>
      </c>
      <c r="AA139" s="135">
        <f t="shared" si="57"/>
        <v>2</v>
      </c>
      <c r="AB139" s="135">
        <f t="shared" si="57"/>
        <v>2</v>
      </c>
      <c r="AC139" s="135">
        <f t="shared" si="57"/>
        <v>2</v>
      </c>
      <c r="AD139" s="135">
        <f t="shared" si="57"/>
        <v>2</v>
      </c>
      <c r="AE139" s="135">
        <f t="shared" si="57"/>
        <v>2</v>
      </c>
      <c r="AF139" s="135">
        <f t="shared" si="57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55"/>
        <v>5.61</v>
      </c>
      <c r="C140" s="136">
        <v>5.61</v>
      </c>
      <c r="D140" s="135">
        <f t="shared" si="56"/>
        <v>5.61</v>
      </c>
      <c r="E140" s="135">
        <f t="shared" si="56"/>
        <v>5.61</v>
      </c>
      <c r="F140" s="135">
        <f t="shared" si="56"/>
        <v>5.61</v>
      </c>
      <c r="G140" s="135">
        <f t="shared" si="56"/>
        <v>5.61</v>
      </c>
      <c r="H140" s="135">
        <f t="shared" si="56"/>
        <v>5.61</v>
      </c>
      <c r="I140" s="135">
        <f t="shared" si="56"/>
        <v>5.61</v>
      </c>
      <c r="J140" s="135">
        <f t="shared" si="56"/>
        <v>5.61</v>
      </c>
      <c r="K140" s="135">
        <f t="shared" si="56"/>
        <v>5.61</v>
      </c>
      <c r="L140" s="135">
        <f t="shared" si="56"/>
        <v>5.61</v>
      </c>
      <c r="M140" s="135">
        <f t="shared" si="56"/>
        <v>5.61</v>
      </c>
      <c r="N140" s="135">
        <f t="shared" si="56"/>
        <v>5.61</v>
      </c>
      <c r="O140" s="135">
        <f t="shared" si="56"/>
        <v>5.61</v>
      </c>
      <c r="P140" s="135">
        <f t="shared" si="56"/>
        <v>5.61</v>
      </c>
      <c r="Q140" s="135">
        <f t="shared" si="56"/>
        <v>5.61</v>
      </c>
      <c r="R140" s="135">
        <f t="shared" si="56"/>
        <v>5.61</v>
      </c>
      <c r="S140" s="135">
        <f t="shared" si="56"/>
        <v>5.61</v>
      </c>
      <c r="T140" s="135">
        <f t="shared" si="57"/>
        <v>5.61</v>
      </c>
      <c r="U140" s="135">
        <f t="shared" si="57"/>
        <v>5.61</v>
      </c>
      <c r="V140" s="135">
        <f t="shared" si="57"/>
        <v>5.61</v>
      </c>
      <c r="W140" s="135">
        <f t="shared" si="57"/>
        <v>5.61</v>
      </c>
      <c r="X140" s="135">
        <f t="shared" si="57"/>
        <v>5.61</v>
      </c>
      <c r="Y140" s="135">
        <f t="shared" si="57"/>
        <v>5.61</v>
      </c>
      <c r="Z140" s="135">
        <f t="shared" si="57"/>
        <v>5.61</v>
      </c>
      <c r="AA140" s="135">
        <f t="shared" si="57"/>
        <v>5.61</v>
      </c>
      <c r="AB140" s="135">
        <f t="shared" si="57"/>
        <v>5.61</v>
      </c>
      <c r="AC140" s="135">
        <f t="shared" si="57"/>
        <v>5.61</v>
      </c>
      <c r="AD140" s="135">
        <f t="shared" si="57"/>
        <v>5.61</v>
      </c>
      <c r="AE140" s="135">
        <f t="shared" si="57"/>
        <v>5.61</v>
      </c>
      <c r="AF140" s="135">
        <f t="shared" si="57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55"/>
        <v>1.25</v>
      </c>
      <c r="C141" s="136">
        <v>1.25</v>
      </c>
      <c r="D141" s="135">
        <f t="shared" si="56"/>
        <v>1.25</v>
      </c>
      <c r="E141" s="135">
        <f t="shared" si="56"/>
        <v>1.25</v>
      </c>
      <c r="F141" s="135">
        <f t="shared" si="56"/>
        <v>1.25</v>
      </c>
      <c r="G141" s="135">
        <f t="shared" si="56"/>
        <v>1.25</v>
      </c>
      <c r="H141" s="135">
        <f t="shared" si="56"/>
        <v>1.25</v>
      </c>
      <c r="I141" s="135">
        <f t="shared" si="56"/>
        <v>1.25</v>
      </c>
      <c r="J141" s="135">
        <f t="shared" si="56"/>
        <v>1.25</v>
      </c>
      <c r="K141" s="135">
        <f t="shared" si="56"/>
        <v>1.25</v>
      </c>
      <c r="L141" s="135">
        <f t="shared" si="56"/>
        <v>1.25</v>
      </c>
      <c r="M141" s="135">
        <f t="shared" si="56"/>
        <v>1.25</v>
      </c>
      <c r="N141" s="135">
        <f t="shared" si="56"/>
        <v>1.25</v>
      </c>
      <c r="O141" s="135">
        <f t="shared" si="56"/>
        <v>1.25</v>
      </c>
      <c r="P141" s="135">
        <f t="shared" si="56"/>
        <v>1.25</v>
      </c>
      <c r="Q141" s="135">
        <f t="shared" si="56"/>
        <v>1.25</v>
      </c>
      <c r="R141" s="135">
        <f t="shared" si="56"/>
        <v>1.25</v>
      </c>
      <c r="S141" s="135">
        <f t="shared" si="56"/>
        <v>1.25</v>
      </c>
      <c r="T141" s="135">
        <f t="shared" si="57"/>
        <v>1.25</v>
      </c>
      <c r="U141" s="135">
        <f t="shared" si="57"/>
        <v>1.25</v>
      </c>
      <c r="V141" s="135">
        <f t="shared" si="57"/>
        <v>1.25</v>
      </c>
      <c r="W141" s="135">
        <f t="shared" si="57"/>
        <v>1.25</v>
      </c>
      <c r="X141" s="135">
        <f t="shared" si="57"/>
        <v>1.25</v>
      </c>
      <c r="Y141" s="135">
        <f t="shared" si="57"/>
        <v>1.25</v>
      </c>
      <c r="Z141" s="135">
        <f t="shared" si="57"/>
        <v>1.25</v>
      </c>
      <c r="AA141" s="135">
        <f t="shared" si="57"/>
        <v>1.25</v>
      </c>
      <c r="AB141" s="135">
        <f t="shared" si="57"/>
        <v>1.25</v>
      </c>
      <c r="AC141" s="135">
        <f t="shared" si="57"/>
        <v>1.25</v>
      </c>
      <c r="AD141" s="135">
        <f t="shared" si="57"/>
        <v>1.25</v>
      </c>
      <c r="AE141" s="135">
        <f t="shared" si="57"/>
        <v>1.25</v>
      </c>
      <c r="AF141" s="135">
        <f t="shared" si="57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55"/>
        <v>1.25</v>
      </c>
      <c r="C142" s="136">
        <v>1.25</v>
      </c>
      <c r="D142" s="135">
        <f t="shared" si="56"/>
        <v>1.25</v>
      </c>
      <c r="E142" s="135">
        <f t="shared" si="56"/>
        <v>1.25</v>
      </c>
      <c r="F142" s="135">
        <f t="shared" si="56"/>
        <v>1.25</v>
      </c>
      <c r="G142" s="135">
        <f t="shared" si="56"/>
        <v>1.25</v>
      </c>
      <c r="H142" s="135">
        <f t="shared" si="56"/>
        <v>1.25</v>
      </c>
      <c r="I142" s="135">
        <f t="shared" si="56"/>
        <v>1.25</v>
      </c>
      <c r="J142" s="135">
        <f t="shared" si="56"/>
        <v>1.25</v>
      </c>
      <c r="K142" s="135">
        <f t="shared" si="56"/>
        <v>1.25</v>
      </c>
      <c r="L142" s="135">
        <f t="shared" si="56"/>
        <v>1.25</v>
      </c>
      <c r="M142" s="135">
        <f t="shared" si="56"/>
        <v>1.25</v>
      </c>
      <c r="N142" s="135">
        <f t="shared" si="56"/>
        <v>1.25</v>
      </c>
      <c r="O142" s="135">
        <f t="shared" si="56"/>
        <v>1.25</v>
      </c>
      <c r="P142" s="135">
        <f t="shared" si="56"/>
        <v>1.25</v>
      </c>
      <c r="Q142" s="135">
        <f t="shared" si="56"/>
        <v>1.25</v>
      </c>
      <c r="R142" s="135">
        <f t="shared" si="56"/>
        <v>1.25</v>
      </c>
      <c r="S142" s="135">
        <f t="shared" si="56"/>
        <v>1.25</v>
      </c>
      <c r="T142" s="135">
        <f t="shared" si="57"/>
        <v>1.25</v>
      </c>
      <c r="U142" s="135">
        <f t="shared" si="57"/>
        <v>1.25</v>
      </c>
      <c r="V142" s="135">
        <f t="shared" si="57"/>
        <v>1.25</v>
      </c>
      <c r="W142" s="135">
        <f t="shared" si="57"/>
        <v>1.25</v>
      </c>
      <c r="X142" s="135">
        <f t="shared" si="57"/>
        <v>1.25</v>
      </c>
      <c r="Y142" s="135">
        <f t="shared" si="57"/>
        <v>1.25</v>
      </c>
      <c r="Z142" s="135">
        <f t="shared" si="57"/>
        <v>1.25</v>
      </c>
      <c r="AA142" s="135">
        <f t="shared" si="57"/>
        <v>1.25</v>
      </c>
      <c r="AB142" s="135">
        <f t="shared" si="57"/>
        <v>1.25</v>
      </c>
      <c r="AC142" s="135">
        <f t="shared" si="57"/>
        <v>1.25</v>
      </c>
      <c r="AD142" s="135">
        <f t="shared" si="57"/>
        <v>1.25</v>
      </c>
      <c r="AE142" s="135">
        <f t="shared" si="57"/>
        <v>1.25</v>
      </c>
      <c r="AF142" s="135">
        <f t="shared" si="57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55"/>
        <v>1.46</v>
      </c>
      <c r="C143" s="136">
        <v>1.46</v>
      </c>
      <c r="D143" s="135">
        <f t="shared" si="56"/>
        <v>1.46</v>
      </c>
      <c r="E143" s="135">
        <f t="shared" si="56"/>
        <v>1.46</v>
      </c>
      <c r="F143" s="135">
        <f t="shared" si="56"/>
        <v>1.46</v>
      </c>
      <c r="G143" s="135">
        <f t="shared" si="56"/>
        <v>1.46</v>
      </c>
      <c r="H143" s="135">
        <f t="shared" si="56"/>
        <v>1.46</v>
      </c>
      <c r="I143" s="135">
        <f t="shared" si="56"/>
        <v>1.46</v>
      </c>
      <c r="J143" s="135">
        <f t="shared" si="56"/>
        <v>1.46</v>
      </c>
      <c r="K143" s="135">
        <f t="shared" si="56"/>
        <v>1.46</v>
      </c>
      <c r="L143" s="135">
        <f t="shared" si="56"/>
        <v>1.46</v>
      </c>
      <c r="M143" s="135">
        <f t="shared" si="56"/>
        <v>1.46</v>
      </c>
      <c r="N143" s="135">
        <f t="shared" si="56"/>
        <v>1.46</v>
      </c>
      <c r="O143" s="135">
        <f t="shared" si="56"/>
        <v>1.46</v>
      </c>
      <c r="P143" s="135">
        <f t="shared" si="56"/>
        <v>1.46</v>
      </c>
      <c r="Q143" s="135">
        <f t="shared" si="56"/>
        <v>1.46</v>
      </c>
      <c r="R143" s="135">
        <f t="shared" si="56"/>
        <v>1.46</v>
      </c>
      <c r="S143" s="135">
        <f t="shared" si="56"/>
        <v>1.46</v>
      </c>
      <c r="T143" s="135">
        <f t="shared" si="57"/>
        <v>1.46</v>
      </c>
      <c r="U143" s="135">
        <f t="shared" si="57"/>
        <v>1.46</v>
      </c>
      <c r="V143" s="135">
        <f t="shared" si="57"/>
        <v>1.46</v>
      </c>
      <c r="W143" s="135">
        <f t="shared" si="57"/>
        <v>1.46</v>
      </c>
      <c r="X143" s="135">
        <f t="shared" si="57"/>
        <v>1.46</v>
      </c>
      <c r="Y143" s="135">
        <f t="shared" si="57"/>
        <v>1.46</v>
      </c>
      <c r="Z143" s="135">
        <f t="shared" si="57"/>
        <v>1.46</v>
      </c>
      <c r="AA143" s="135">
        <f t="shared" si="57"/>
        <v>1.46</v>
      </c>
      <c r="AB143" s="135">
        <f t="shared" si="57"/>
        <v>1.46</v>
      </c>
      <c r="AC143" s="135">
        <f t="shared" si="57"/>
        <v>1.46</v>
      </c>
      <c r="AD143" s="135">
        <f t="shared" si="57"/>
        <v>1.46</v>
      </c>
      <c r="AE143" s="135">
        <f t="shared" si="57"/>
        <v>1.46</v>
      </c>
      <c r="AF143" s="135">
        <f t="shared" si="57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55"/>
        <v>3</v>
      </c>
      <c r="C144" s="136">
        <v>3</v>
      </c>
      <c r="D144" s="135">
        <f t="shared" si="56"/>
        <v>3</v>
      </c>
      <c r="E144" s="135">
        <f t="shared" si="56"/>
        <v>3</v>
      </c>
      <c r="F144" s="135">
        <f t="shared" si="56"/>
        <v>3</v>
      </c>
      <c r="G144" s="135">
        <f t="shared" si="56"/>
        <v>3</v>
      </c>
      <c r="H144" s="135">
        <f t="shared" si="56"/>
        <v>3</v>
      </c>
      <c r="I144" s="135">
        <f t="shared" si="56"/>
        <v>3</v>
      </c>
      <c r="J144" s="135">
        <f t="shared" si="56"/>
        <v>3</v>
      </c>
      <c r="K144" s="135">
        <f t="shared" si="56"/>
        <v>3</v>
      </c>
      <c r="L144" s="135">
        <f t="shared" si="56"/>
        <v>3</v>
      </c>
      <c r="M144" s="135">
        <f t="shared" si="56"/>
        <v>3</v>
      </c>
      <c r="N144" s="135">
        <f t="shared" si="56"/>
        <v>3</v>
      </c>
      <c r="O144" s="135">
        <f t="shared" si="56"/>
        <v>3</v>
      </c>
      <c r="P144" s="135">
        <f t="shared" si="56"/>
        <v>3</v>
      </c>
      <c r="Q144" s="135">
        <f t="shared" si="56"/>
        <v>3</v>
      </c>
      <c r="R144" s="135">
        <f t="shared" si="56"/>
        <v>3</v>
      </c>
      <c r="S144" s="135">
        <f t="shared" si="56"/>
        <v>3</v>
      </c>
      <c r="T144" s="135">
        <f t="shared" si="57"/>
        <v>3</v>
      </c>
      <c r="U144" s="135">
        <f t="shared" si="57"/>
        <v>3</v>
      </c>
      <c r="V144" s="135">
        <f t="shared" si="57"/>
        <v>3</v>
      </c>
      <c r="W144" s="135">
        <f t="shared" si="57"/>
        <v>3</v>
      </c>
      <c r="X144" s="135">
        <f t="shared" si="57"/>
        <v>3</v>
      </c>
      <c r="Y144" s="135">
        <f t="shared" si="57"/>
        <v>3</v>
      </c>
      <c r="Z144" s="135">
        <f t="shared" si="57"/>
        <v>3</v>
      </c>
      <c r="AA144" s="135">
        <f t="shared" si="57"/>
        <v>3</v>
      </c>
      <c r="AB144" s="135">
        <f t="shared" si="57"/>
        <v>3</v>
      </c>
      <c r="AC144" s="135">
        <f t="shared" si="57"/>
        <v>3</v>
      </c>
      <c r="AD144" s="135">
        <f t="shared" si="57"/>
        <v>3</v>
      </c>
      <c r="AE144" s="135">
        <f t="shared" si="57"/>
        <v>3</v>
      </c>
      <c r="AF144" s="135">
        <f t="shared" si="57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55"/>
        <v>3.3</v>
      </c>
      <c r="C145" s="136">
        <v>3.3</v>
      </c>
      <c r="D145" s="135">
        <f t="shared" si="56"/>
        <v>3.3</v>
      </c>
      <c r="E145" s="135">
        <f t="shared" si="56"/>
        <v>3.3</v>
      </c>
      <c r="F145" s="135">
        <f t="shared" si="56"/>
        <v>3.3</v>
      </c>
      <c r="G145" s="135">
        <f t="shared" si="56"/>
        <v>3.3</v>
      </c>
      <c r="H145" s="135">
        <f t="shared" si="56"/>
        <v>3.3</v>
      </c>
      <c r="I145" s="135">
        <f t="shared" si="56"/>
        <v>3.3</v>
      </c>
      <c r="J145" s="135">
        <f t="shared" si="56"/>
        <v>3.3</v>
      </c>
      <c r="K145" s="135">
        <f t="shared" si="56"/>
        <v>3.3</v>
      </c>
      <c r="L145" s="135">
        <f t="shared" si="56"/>
        <v>3.3</v>
      </c>
      <c r="M145" s="135">
        <f t="shared" si="56"/>
        <v>3.3</v>
      </c>
      <c r="N145" s="135">
        <f t="shared" si="56"/>
        <v>3.3</v>
      </c>
      <c r="O145" s="135">
        <f t="shared" si="56"/>
        <v>3.3</v>
      </c>
      <c r="P145" s="135">
        <f t="shared" si="56"/>
        <v>3.3</v>
      </c>
      <c r="Q145" s="135">
        <f t="shared" si="56"/>
        <v>3.3</v>
      </c>
      <c r="R145" s="135">
        <f t="shared" si="56"/>
        <v>3.3</v>
      </c>
      <c r="S145" s="135">
        <f t="shared" si="56"/>
        <v>3.3</v>
      </c>
      <c r="T145" s="135">
        <f t="shared" si="57"/>
        <v>3.3</v>
      </c>
      <c r="U145" s="135">
        <f t="shared" si="57"/>
        <v>3.3</v>
      </c>
      <c r="V145" s="135">
        <f t="shared" si="57"/>
        <v>3.3</v>
      </c>
      <c r="W145" s="135">
        <f t="shared" si="57"/>
        <v>3.3</v>
      </c>
      <c r="X145" s="135">
        <f t="shared" si="57"/>
        <v>3.3</v>
      </c>
      <c r="Y145" s="135">
        <f t="shared" si="57"/>
        <v>3.3</v>
      </c>
      <c r="Z145" s="135">
        <f t="shared" si="57"/>
        <v>3.3</v>
      </c>
      <c r="AA145" s="135">
        <f t="shared" si="57"/>
        <v>3.3</v>
      </c>
      <c r="AB145" s="135">
        <f t="shared" si="57"/>
        <v>3.3</v>
      </c>
      <c r="AC145" s="135">
        <f t="shared" si="57"/>
        <v>3.3</v>
      </c>
      <c r="AD145" s="135">
        <f t="shared" si="57"/>
        <v>3.3</v>
      </c>
      <c r="AE145" s="135">
        <f t="shared" si="57"/>
        <v>3.3</v>
      </c>
      <c r="AF145" s="135">
        <f t="shared" si="57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58">C147</f>
        <v>1.76</v>
      </c>
      <c r="E147" s="135">
        <f t="shared" si="58"/>
        <v>1.76</v>
      </c>
      <c r="F147" s="135">
        <f t="shared" si="58"/>
        <v>1.76</v>
      </c>
      <c r="G147" s="135">
        <f t="shared" si="58"/>
        <v>1.76</v>
      </c>
      <c r="H147" s="135">
        <f t="shared" si="58"/>
        <v>1.76</v>
      </c>
      <c r="I147" s="135">
        <f t="shared" si="58"/>
        <v>1.76</v>
      </c>
      <c r="J147" s="135">
        <f t="shared" si="58"/>
        <v>1.76</v>
      </c>
      <c r="K147" s="135">
        <f t="shared" si="58"/>
        <v>1.76</v>
      </c>
      <c r="L147" s="135">
        <f t="shared" si="58"/>
        <v>1.76</v>
      </c>
      <c r="M147" s="135">
        <f t="shared" si="58"/>
        <v>1.76</v>
      </c>
      <c r="N147" s="135">
        <f t="shared" si="58"/>
        <v>1.76</v>
      </c>
      <c r="O147" s="135">
        <f t="shared" si="58"/>
        <v>1.76</v>
      </c>
      <c r="P147" s="135">
        <f t="shared" si="58"/>
        <v>1.76</v>
      </c>
      <c r="Q147" s="135">
        <f t="shared" si="58"/>
        <v>1.76</v>
      </c>
      <c r="R147" s="135">
        <f t="shared" si="58"/>
        <v>1.76</v>
      </c>
      <c r="S147" s="135">
        <f t="shared" si="58"/>
        <v>1.76</v>
      </c>
      <c r="T147" s="135">
        <f t="shared" ref="T147:AF148" si="59">S147</f>
        <v>1.76</v>
      </c>
      <c r="U147" s="135">
        <f t="shared" si="59"/>
        <v>1.76</v>
      </c>
      <c r="V147" s="135">
        <f t="shared" si="59"/>
        <v>1.76</v>
      </c>
      <c r="W147" s="135">
        <f t="shared" si="59"/>
        <v>1.76</v>
      </c>
      <c r="X147" s="135">
        <f t="shared" si="59"/>
        <v>1.76</v>
      </c>
      <c r="Y147" s="135">
        <f t="shared" si="59"/>
        <v>1.76</v>
      </c>
      <c r="Z147" s="135">
        <f t="shared" si="59"/>
        <v>1.76</v>
      </c>
      <c r="AA147" s="135">
        <f t="shared" si="59"/>
        <v>1.76</v>
      </c>
      <c r="AB147" s="135">
        <f t="shared" si="59"/>
        <v>1.76</v>
      </c>
      <c r="AC147" s="135">
        <f t="shared" si="59"/>
        <v>1.76</v>
      </c>
      <c r="AD147" s="135">
        <f t="shared" si="59"/>
        <v>1.76</v>
      </c>
      <c r="AE147" s="135">
        <f t="shared" si="59"/>
        <v>1.76</v>
      </c>
      <c r="AF147" s="135">
        <f t="shared" si="59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58"/>
        <v>0</v>
      </c>
      <c r="E148" s="135">
        <f t="shared" si="58"/>
        <v>0</v>
      </c>
      <c r="F148" s="135">
        <f t="shared" si="58"/>
        <v>0</v>
      </c>
      <c r="G148" s="135">
        <f t="shared" si="58"/>
        <v>0</v>
      </c>
      <c r="H148" s="135">
        <f t="shared" si="58"/>
        <v>0</v>
      </c>
      <c r="I148" s="135">
        <f t="shared" si="58"/>
        <v>0</v>
      </c>
      <c r="J148" s="135">
        <f t="shared" si="58"/>
        <v>0</v>
      </c>
      <c r="K148" s="135">
        <f t="shared" si="58"/>
        <v>0</v>
      </c>
      <c r="L148" s="135">
        <f t="shared" si="58"/>
        <v>0</v>
      </c>
      <c r="M148" s="135">
        <f t="shared" si="58"/>
        <v>0</v>
      </c>
      <c r="N148" s="135">
        <f t="shared" si="58"/>
        <v>0</v>
      </c>
      <c r="O148" s="135">
        <f t="shared" si="58"/>
        <v>0</v>
      </c>
      <c r="P148" s="135">
        <f t="shared" si="58"/>
        <v>0</v>
      </c>
      <c r="Q148" s="135">
        <f t="shared" si="58"/>
        <v>0</v>
      </c>
      <c r="R148" s="135">
        <f t="shared" si="58"/>
        <v>0</v>
      </c>
      <c r="S148" s="135">
        <f t="shared" si="58"/>
        <v>0</v>
      </c>
      <c r="T148" s="135">
        <f t="shared" si="59"/>
        <v>0</v>
      </c>
      <c r="U148" s="135">
        <f t="shared" si="59"/>
        <v>0</v>
      </c>
      <c r="V148" s="135">
        <f t="shared" si="59"/>
        <v>0</v>
      </c>
      <c r="W148" s="135">
        <f t="shared" si="59"/>
        <v>0</v>
      </c>
      <c r="X148" s="135">
        <f t="shared" si="59"/>
        <v>0</v>
      </c>
      <c r="Y148" s="135">
        <f t="shared" si="59"/>
        <v>0</v>
      </c>
      <c r="Z148" s="135">
        <f t="shared" si="59"/>
        <v>0</v>
      </c>
      <c r="AA148" s="135">
        <f t="shared" si="59"/>
        <v>0</v>
      </c>
      <c r="AB148" s="135">
        <f t="shared" si="59"/>
        <v>0</v>
      </c>
      <c r="AC148" s="135">
        <f t="shared" si="59"/>
        <v>0</v>
      </c>
      <c r="AD148" s="135">
        <f t="shared" si="59"/>
        <v>0</v>
      </c>
      <c r="AE148" s="135">
        <f t="shared" si="59"/>
        <v>0</v>
      </c>
      <c r="AF148" s="135">
        <f t="shared" si="59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60">C150</f>
        <v>0.1</v>
      </c>
      <c r="E150" s="135">
        <f t="shared" si="60"/>
        <v>0.1</v>
      </c>
      <c r="F150" s="135">
        <f t="shared" si="60"/>
        <v>0.1</v>
      </c>
      <c r="G150" s="135">
        <f t="shared" si="60"/>
        <v>0.1</v>
      </c>
      <c r="H150" s="135">
        <f t="shared" si="60"/>
        <v>0.1</v>
      </c>
      <c r="I150" s="135">
        <f t="shared" si="60"/>
        <v>0.1</v>
      </c>
      <c r="J150" s="135">
        <f t="shared" si="60"/>
        <v>0.1</v>
      </c>
      <c r="K150" s="135">
        <f t="shared" si="60"/>
        <v>0.1</v>
      </c>
      <c r="L150" s="135">
        <f t="shared" si="60"/>
        <v>0.1</v>
      </c>
      <c r="M150" s="135">
        <f t="shared" si="60"/>
        <v>0.1</v>
      </c>
      <c r="N150" s="135">
        <f t="shared" si="60"/>
        <v>0.1</v>
      </c>
      <c r="O150" s="135">
        <f t="shared" si="60"/>
        <v>0.1</v>
      </c>
      <c r="P150" s="135">
        <f t="shared" si="60"/>
        <v>0.1</v>
      </c>
      <c r="Q150" s="135">
        <f t="shared" si="60"/>
        <v>0.1</v>
      </c>
      <c r="R150" s="135">
        <f t="shared" si="60"/>
        <v>0.1</v>
      </c>
      <c r="S150" s="135">
        <f t="shared" si="60"/>
        <v>0.1</v>
      </c>
      <c r="T150" s="135">
        <f t="shared" ref="T150:AF153" si="61">S150</f>
        <v>0.1</v>
      </c>
      <c r="U150" s="135">
        <f t="shared" si="61"/>
        <v>0.1</v>
      </c>
      <c r="V150" s="135">
        <f t="shared" si="61"/>
        <v>0.1</v>
      </c>
      <c r="W150" s="135">
        <f t="shared" si="61"/>
        <v>0.1</v>
      </c>
      <c r="X150" s="135">
        <f t="shared" si="61"/>
        <v>0.1</v>
      </c>
      <c r="Y150" s="135">
        <f t="shared" si="61"/>
        <v>0.1</v>
      </c>
      <c r="Z150" s="135">
        <f t="shared" si="61"/>
        <v>0.1</v>
      </c>
      <c r="AA150" s="135">
        <f t="shared" si="61"/>
        <v>0.1</v>
      </c>
      <c r="AB150" s="135">
        <f t="shared" si="61"/>
        <v>0.1</v>
      </c>
      <c r="AC150" s="135">
        <f t="shared" si="61"/>
        <v>0.1</v>
      </c>
      <c r="AD150" s="135">
        <f t="shared" si="61"/>
        <v>0.1</v>
      </c>
      <c r="AE150" s="135">
        <f t="shared" si="61"/>
        <v>0.1</v>
      </c>
      <c r="AF150" s="135">
        <f t="shared" si="61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60"/>
        <v>2.0499999999999998</v>
      </c>
      <c r="E151" s="135">
        <f t="shared" si="60"/>
        <v>2.0499999999999998</v>
      </c>
      <c r="F151" s="135">
        <f t="shared" si="60"/>
        <v>2.0499999999999998</v>
      </c>
      <c r="G151" s="135">
        <f t="shared" si="60"/>
        <v>2.0499999999999998</v>
      </c>
      <c r="H151" s="135">
        <f t="shared" si="60"/>
        <v>2.0499999999999998</v>
      </c>
      <c r="I151" s="135">
        <f t="shared" si="60"/>
        <v>2.0499999999999998</v>
      </c>
      <c r="J151" s="135">
        <f t="shared" si="60"/>
        <v>2.0499999999999998</v>
      </c>
      <c r="K151" s="135">
        <f t="shared" si="60"/>
        <v>2.0499999999999998</v>
      </c>
      <c r="L151" s="135">
        <f t="shared" si="60"/>
        <v>2.0499999999999998</v>
      </c>
      <c r="M151" s="135">
        <f t="shared" si="60"/>
        <v>2.0499999999999998</v>
      </c>
      <c r="N151" s="135">
        <f t="shared" si="60"/>
        <v>2.0499999999999998</v>
      </c>
      <c r="O151" s="135">
        <f t="shared" si="60"/>
        <v>2.0499999999999998</v>
      </c>
      <c r="P151" s="135">
        <f t="shared" si="60"/>
        <v>2.0499999999999998</v>
      </c>
      <c r="Q151" s="135">
        <f t="shared" si="60"/>
        <v>2.0499999999999998</v>
      </c>
      <c r="R151" s="135">
        <f t="shared" si="60"/>
        <v>2.0499999999999998</v>
      </c>
      <c r="S151" s="135">
        <f t="shared" si="60"/>
        <v>2.0499999999999998</v>
      </c>
      <c r="T151" s="135">
        <f t="shared" si="61"/>
        <v>2.0499999999999998</v>
      </c>
      <c r="U151" s="135">
        <f t="shared" si="61"/>
        <v>2.0499999999999998</v>
      </c>
      <c r="V151" s="135">
        <f t="shared" si="61"/>
        <v>2.0499999999999998</v>
      </c>
      <c r="W151" s="135">
        <f t="shared" si="61"/>
        <v>2.0499999999999998</v>
      </c>
      <c r="X151" s="135">
        <f t="shared" si="61"/>
        <v>2.0499999999999998</v>
      </c>
      <c r="Y151" s="135">
        <f t="shared" si="61"/>
        <v>2.0499999999999998</v>
      </c>
      <c r="Z151" s="135">
        <f t="shared" si="61"/>
        <v>2.0499999999999998</v>
      </c>
      <c r="AA151" s="135">
        <f t="shared" si="61"/>
        <v>2.0499999999999998</v>
      </c>
      <c r="AB151" s="135">
        <f t="shared" si="61"/>
        <v>2.0499999999999998</v>
      </c>
      <c r="AC151" s="135">
        <f t="shared" si="61"/>
        <v>2.0499999999999998</v>
      </c>
      <c r="AD151" s="135">
        <f t="shared" si="61"/>
        <v>2.0499999999999998</v>
      </c>
      <c r="AE151" s="135">
        <f t="shared" si="61"/>
        <v>2.0499999999999998</v>
      </c>
      <c r="AF151" s="135">
        <f t="shared" si="61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60"/>
        <v>2.7</v>
      </c>
      <c r="E152" s="135">
        <f t="shared" si="60"/>
        <v>2.7</v>
      </c>
      <c r="F152" s="135">
        <f t="shared" si="60"/>
        <v>2.7</v>
      </c>
      <c r="G152" s="135">
        <f t="shared" si="60"/>
        <v>2.7</v>
      </c>
      <c r="H152" s="135">
        <f t="shared" si="60"/>
        <v>2.7</v>
      </c>
      <c r="I152" s="135">
        <f t="shared" si="60"/>
        <v>2.7</v>
      </c>
      <c r="J152" s="135">
        <f t="shared" si="60"/>
        <v>2.7</v>
      </c>
      <c r="K152" s="135">
        <f t="shared" si="60"/>
        <v>2.7</v>
      </c>
      <c r="L152" s="135">
        <f t="shared" si="60"/>
        <v>2.7</v>
      </c>
      <c r="M152" s="135">
        <f t="shared" si="60"/>
        <v>2.7</v>
      </c>
      <c r="N152" s="135">
        <f t="shared" si="60"/>
        <v>2.7</v>
      </c>
      <c r="O152" s="135">
        <f t="shared" si="60"/>
        <v>2.7</v>
      </c>
      <c r="P152" s="135">
        <f t="shared" si="60"/>
        <v>2.7</v>
      </c>
      <c r="Q152" s="135">
        <f t="shared" si="60"/>
        <v>2.7</v>
      </c>
      <c r="R152" s="135">
        <f t="shared" si="60"/>
        <v>2.7</v>
      </c>
      <c r="S152" s="135">
        <f t="shared" si="60"/>
        <v>2.7</v>
      </c>
      <c r="T152" s="135">
        <f t="shared" si="61"/>
        <v>2.7</v>
      </c>
      <c r="U152" s="135">
        <f t="shared" si="61"/>
        <v>2.7</v>
      </c>
      <c r="V152" s="135">
        <f t="shared" si="61"/>
        <v>2.7</v>
      </c>
      <c r="W152" s="135">
        <f t="shared" si="61"/>
        <v>2.7</v>
      </c>
      <c r="X152" s="135">
        <f t="shared" si="61"/>
        <v>2.7</v>
      </c>
      <c r="Y152" s="135">
        <f t="shared" si="61"/>
        <v>2.7</v>
      </c>
      <c r="Z152" s="135">
        <f t="shared" si="61"/>
        <v>2.7</v>
      </c>
      <c r="AA152" s="135">
        <f t="shared" si="61"/>
        <v>2.7</v>
      </c>
      <c r="AB152" s="135">
        <f t="shared" si="61"/>
        <v>2.7</v>
      </c>
      <c r="AC152" s="135">
        <f t="shared" si="61"/>
        <v>2.7</v>
      </c>
      <c r="AD152" s="135">
        <f t="shared" si="61"/>
        <v>2.7</v>
      </c>
      <c r="AE152" s="135">
        <f t="shared" si="61"/>
        <v>2.7</v>
      </c>
      <c r="AF152" s="135">
        <f t="shared" si="61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60"/>
        <v>2.15</v>
      </c>
      <c r="E153" s="135">
        <f t="shared" si="60"/>
        <v>2.15</v>
      </c>
      <c r="F153" s="135">
        <f t="shared" si="60"/>
        <v>2.15</v>
      </c>
      <c r="G153" s="135">
        <f t="shared" si="60"/>
        <v>2.15</v>
      </c>
      <c r="H153" s="135">
        <f t="shared" si="60"/>
        <v>2.15</v>
      </c>
      <c r="I153" s="135">
        <f t="shared" si="60"/>
        <v>2.15</v>
      </c>
      <c r="J153" s="135">
        <f t="shared" si="60"/>
        <v>2.15</v>
      </c>
      <c r="K153" s="135">
        <f t="shared" si="60"/>
        <v>2.15</v>
      </c>
      <c r="L153" s="135">
        <f t="shared" si="60"/>
        <v>2.15</v>
      </c>
      <c r="M153" s="135">
        <f t="shared" si="60"/>
        <v>2.15</v>
      </c>
      <c r="N153" s="135">
        <f t="shared" si="60"/>
        <v>2.15</v>
      </c>
      <c r="O153" s="135">
        <f t="shared" si="60"/>
        <v>2.15</v>
      </c>
      <c r="P153" s="135">
        <f t="shared" si="60"/>
        <v>2.15</v>
      </c>
      <c r="Q153" s="135">
        <f t="shared" si="60"/>
        <v>2.15</v>
      </c>
      <c r="R153" s="135">
        <f t="shared" si="60"/>
        <v>2.15</v>
      </c>
      <c r="S153" s="135">
        <f t="shared" si="60"/>
        <v>2.15</v>
      </c>
      <c r="T153" s="135">
        <f t="shared" si="61"/>
        <v>2.15</v>
      </c>
      <c r="U153" s="135">
        <f t="shared" si="61"/>
        <v>2.15</v>
      </c>
      <c r="V153" s="135">
        <f t="shared" si="61"/>
        <v>2.15</v>
      </c>
      <c r="W153" s="135">
        <f t="shared" si="61"/>
        <v>2.15</v>
      </c>
      <c r="X153" s="135">
        <f t="shared" si="61"/>
        <v>2.15</v>
      </c>
      <c r="Y153" s="135">
        <f t="shared" si="61"/>
        <v>2.15</v>
      </c>
      <c r="Z153" s="135">
        <f t="shared" si="61"/>
        <v>2.15</v>
      </c>
      <c r="AA153" s="135">
        <f t="shared" si="61"/>
        <v>2.15</v>
      </c>
      <c r="AB153" s="135">
        <f t="shared" si="61"/>
        <v>2.15</v>
      </c>
      <c r="AC153" s="135">
        <f t="shared" si="61"/>
        <v>2.15</v>
      </c>
      <c r="AD153" s="135">
        <f t="shared" si="61"/>
        <v>2.15</v>
      </c>
      <c r="AE153" s="135">
        <f t="shared" si="61"/>
        <v>2.15</v>
      </c>
      <c r="AF153" s="135">
        <f t="shared" si="61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62">AF155</f>
        <v>0.9</v>
      </c>
      <c r="C155" s="136">
        <v>0.9</v>
      </c>
      <c r="D155" s="135">
        <f t="shared" ref="D155:S167" si="63">C155</f>
        <v>0.9</v>
      </c>
      <c r="E155" s="135">
        <f t="shared" si="63"/>
        <v>0.9</v>
      </c>
      <c r="F155" s="135">
        <f t="shared" si="63"/>
        <v>0.9</v>
      </c>
      <c r="G155" s="135">
        <f t="shared" si="63"/>
        <v>0.9</v>
      </c>
      <c r="H155" s="135">
        <f t="shared" si="63"/>
        <v>0.9</v>
      </c>
      <c r="I155" s="135">
        <f t="shared" si="63"/>
        <v>0.9</v>
      </c>
      <c r="J155" s="135">
        <f t="shared" si="63"/>
        <v>0.9</v>
      </c>
      <c r="K155" s="135">
        <f t="shared" si="63"/>
        <v>0.9</v>
      </c>
      <c r="L155" s="135">
        <f t="shared" si="63"/>
        <v>0.9</v>
      </c>
      <c r="M155" s="135">
        <f t="shared" si="63"/>
        <v>0.9</v>
      </c>
      <c r="N155" s="135">
        <f t="shared" si="63"/>
        <v>0.9</v>
      </c>
      <c r="O155" s="135">
        <f t="shared" si="63"/>
        <v>0.9</v>
      </c>
      <c r="P155" s="135">
        <f t="shared" si="63"/>
        <v>0.9</v>
      </c>
      <c r="Q155" s="135">
        <f t="shared" si="63"/>
        <v>0.9</v>
      </c>
      <c r="R155" s="135">
        <f t="shared" si="63"/>
        <v>0.9</v>
      </c>
      <c r="S155" s="135">
        <f t="shared" si="63"/>
        <v>0.9</v>
      </c>
      <c r="T155" s="135">
        <f t="shared" ref="S155:AF167" si="64">S155</f>
        <v>0.9</v>
      </c>
      <c r="U155" s="135">
        <f t="shared" si="64"/>
        <v>0.9</v>
      </c>
      <c r="V155" s="135">
        <f t="shared" si="64"/>
        <v>0.9</v>
      </c>
      <c r="W155" s="135">
        <f t="shared" si="64"/>
        <v>0.9</v>
      </c>
      <c r="X155" s="135">
        <f t="shared" si="64"/>
        <v>0.9</v>
      </c>
      <c r="Y155" s="135">
        <f t="shared" si="64"/>
        <v>0.9</v>
      </c>
      <c r="Z155" s="135">
        <f t="shared" si="64"/>
        <v>0.9</v>
      </c>
      <c r="AA155" s="135">
        <f t="shared" si="64"/>
        <v>0.9</v>
      </c>
      <c r="AB155" s="135">
        <f t="shared" si="64"/>
        <v>0.9</v>
      </c>
      <c r="AC155" s="135">
        <f t="shared" si="64"/>
        <v>0.9</v>
      </c>
      <c r="AD155" s="135">
        <f t="shared" si="64"/>
        <v>0.9</v>
      </c>
      <c r="AE155" s="135">
        <f t="shared" si="64"/>
        <v>0.9</v>
      </c>
      <c r="AF155" s="135">
        <f t="shared" si="64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62"/>
        <v>1.08</v>
      </c>
      <c r="C156" s="136">
        <v>1.08</v>
      </c>
      <c r="D156" s="135">
        <f t="shared" si="63"/>
        <v>1.08</v>
      </c>
      <c r="E156" s="135">
        <f t="shared" si="63"/>
        <v>1.08</v>
      </c>
      <c r="F156" s="135">
        <f t="shared" si="63"/>
        <v>1.08</v>
      </c>
      <c r="G156" s="135">
        <f t="shared" si="63"/>
        <v>1.08</v>
      </c>
      <c r="H156" s="135">
        <f t="shared" si="63"/>
        <v>1.08</v>
      </c>
      <c r="I156" s="135">
        <f t="shared" si="63"/>
        <v>1.08</v>
      </c>
      <c r="J156" s="135">
        <f t="shared" si="63"/>
        <v>1.08</v>
      </c>
      <c r="K156" s="135">
        <f t="shared" si="63"/>
        <v>1.08</v>
      </c>
      <c r="L156" s="135">
        <f t="shared" si="63"/>
        <v>1.08</v>
      </c>
      <c r="M156" s="135">
        <f t="shared" si="63"/>
        <v>1.08</v>
      </c>
      <c r="N156" s="135">
        <f t="shared" si="63"/>
        <v>1.08</v>
      </c>
      <c r="O156" s="135">
        <f t="shared" si="63"/>
        <v>1.08</v>
      </c>
      <c r="P156" s="135">
        <f t="shared" si="63"/>
        <v>1.08</v>
      </c>
      <c r="Q156" s="135">
        <f t="shared" si="63"/>
        <v>1.08</v>
      </c>
      <c r="R156" s="135">
        <f t="shared" si="63"/>
        <v>1.08</v>
      </c>
      <c r="S156" s="135">
        <f t="shared" si="63"/>
        <v>1.08</v>
      </c>
      <c r="T156" s="135">
        <f t="shared" si="64"/>
        <v>1.08</v>
      </c>
      <c r="U156" s="135">
        <f t="shared" si="64"/>
        <v>1.08</v>
      </c>
      <c r="V156" s="135">
        <f t="shared" si="64"/>
        <v>1.08</v>
      </c>
      <c r="W156" s="135">
        <f t="shared" si="64"/>
        <v>1.08</v>
      </c>
      <c r="X156" s="135">
        <f t="shared" si="64"/>
        <v>1.08</v>
      </c>
      <c r="Y156" s="135">
        <f t="shared" si="64"/>
        <v>1.08</v>
      </c>
      <c r="Z156" s="135">
        <f t="shared" si="64"/>
        <v>1.08</v>
      </c>
      <c r="AA156" s="135">
        <f t="shared" si="64"/>
        <v>1.08</v>
      </c>
      <c r="AB156" s="135">
        <f t="shared" si="64"/>
        <v>1.08</v>
      </c>
      <c r="AC156" s="135">
        <f t="shared" si="64"/>
        <v>1.08</v>
      </c>
      <c r="AD156" s="135">
        <f t="shared" si="64"/>
        <v>1.08</v>
      </c>
      <c r="AE156" s="135">
        <f t="shared" si="64"/>
        <v>1.08</v>
      </c>
      <c r="AF156" s="135">
        <f t="shared" si="64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62"/>
        <v>2.37</v>
      </c>
      <c r="C157" s="136">
        <v>2.37</v>
      </c>
      <c r="D157" s="135">
        <f t="shared" si="63"/>
        <v>2.37</v>
      </c>
      <c r="E157" s="135">
        <f t="shared" si="63"/>
        <v>2.37</v>
      </c>
      <c r="F157" s="135">
        <f t="shared" si="63"/>
        <v>2.37</v>
      </c>
      <c r="G157" s="135">
        <f t="shared" si="63"/>
        <v>2.37</v>
      </c>
      <c r="H157" s="135">
        <f t="shared" si="63"/>
        <v>2.37</v>
      </c>
      <c r="I157" s="135">
        <f t="shared" si="63"/>
        <v>2.37</v>
      </c>
      <c r="J157" s="135">
        <f t="shared" si="63"/>
        <v>2.37</v>
      </c>
      <c r="K157" s="135">
        <f t="shared" si="63"/>
        <v>2.37</v>
      </c>
      <c r="L157" s="135">
        <f t="shared" si="63"/>
        <v>2.37</v>
      </c>
      <c r="M157" s="135">
        <f t="shared" si="63"/>
        <v>2.37</v>
      </c>
      <c r="N157" s="135">
        <f t="shared" si="63"/>
        <v>2.37</v>
      </c>
      <c r="O157" s="135">
        <f t="shared" si="63"/>
        <v>2.37</v>
      </c>
      <c r="P157" s="135">
        <f t="shared" si="63"/>
        <v>2.37</v>
      </c>
      <c r="Q157" s="135">
        <f t="shared" si="63"/>
        <v>2.37</v>
      </c>
      <c r="R157" s="135">
        <f t="shared" si="63"/>
        <v>2.37</v>
      </c>
      <c r="S157" s="135">
        <f t="shared" si="63"/>
        <v>2.37</v>
      </c>
      <c r="T157" s="135">
        <f t="shared" si="64"/>
        <v>2.37</v>
      </c>
      <c r="U157" s="135">
        <f t="shared" si="64"/>
        <v>2.37</v>
      </c>
      <c r="V157" s="135">
        <f t="shared" si="64"/>
        <v>2.37</v>
      </c>
      <c r="W157" s="135">
        <f t="shared" si="64"/>
        <v>2.37</v>
      </c>
      <c r="X157" s="135">
        <f t="shared" si="64"/>
        <v>2.37</v>
      </c>
      <c r="Y157" s="135">
        <f t="shared" si="64"/>
        <v>2.37</v>
      </c>
      <c r="Z157" s="135">
        <f t="shared" si="64"/>
        <v>2.37</v>
      </c>
      <c r="AA157" s="135">
        <f t="shared" si="64"/>
        <v>2.37</v>
      </c>
      <c r="AB157" s="135">
        <f t="shared" si="64"/>
        <v>2.37</v>
      </c>
      <c r="AC157" s="135">
        <f t="shared" si="64"/>
        <v>2.37</v>
      </c>
      <c r="AD157" s="135">
        <f t="shared" si="64"/>
        <v>2.37</v>
      </c>
      <c r="AE157" s="135">
        <f t="shared" si="64"/>
        <v>2.37</v>
      </c>
      <c r="AF157" s="135">
        <f t="shared" si="64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62"/>
        <v>1.81</v>
      </c>
      <c r="C158" s="136">
        <v>1.81</v>
      </c>
      <c r="D158" s="135">
        <f t="shared" si="63"/>
        <v>1.81</v>
      </c>
      <c r="E158" s="135">
        <f t="shared" si="63"/>
        <v>1.81</v>
      </c>
      <c r="F158" s="135">
        <f t="shared" si="63"/>
        <v>1.81</v>
      </c>
      <c r="G158" s="135">
        <f t="shared" si="63"/>
        <v>1.81</v>
      </c>
      <c r="H158" s="135">
        <f t="shared" si="63"/>
        <v>1.81</v>
      </c>
      <c r="I158" s="135">
        <f t="shared" si="63"/>
        <v>1.81</v>
      </c>
      <c r="J158" s="135">
        <f t="shared" si="63"/>
        <v>1.81</v>
      </c>
      <c r="K158" s="135">
        <f t="shared" si="63"/>
        <v>1.81</v>
      </c>
      <c r="L158" s="135">
        <f t="shared" si="63"/>
        <v>1.81</v>
      </c>
      <c r="M158" s="135">
        <f t="shared" si="63"/>
        <v>1.81</v>
      </c>
      <c r="N158" s="135">
        <f t="shared" si="63"/>
        <v>1.81</v>
      </c>
      <c r="O158" s="135">
        <f t="shared" si="63"/>
        <v>1.81</v>
      </c>
      <c r="P158" s="135">
        <f t="shared" si="63"/>
        <v>1.81</v>
      </c>
      <c r="Q158" s="135">
        <f t="shared" si="63"/>
        <v>1.81</v>
      </c>
      <c r="R158" s="135">
        <f t="shared" si="63"/>
        <v>1.81</v>
      </c>
      <c r="S158" s="135">
        <f t="shared" si="63"/>
        <v>1.81</v>
      </c>
      <c r="T158" s="135">
        <f t="shared" si="64"/>
        <v>1.81</v>
      </c>
      <c r="U158" s="135">
        <f t="shared" si="64"/>
        <v>1.81</v>
      </c>
      <c r="V158" s="135">
        <f t="shared" si="64"/>
        <v>1.81</v>
      </c>
      <c r="W158" s="135">
        <f t="shared" si="64"/>
        <v>1.81</v>
      </c>
      <c r="X158" s="135">
        <f t="shared" si="64"/>
        <v>1.81</v>
      </c>
      <c r="Y158" s="135">
        <f t="shared" si="64"/>
        <v>1.81</v>
      </c>
      <c r="Z158" s="135">
        <f t="shared" si="64"/>
        <v>1.81</v>
      </c>
      <c r="AA158" s="135">
        <f t="shared" si="64"/>
        <v>1.81</v>
      </c>
      <c r="AB158" s="135">
        <f t="shared" si="64"/>
        <v>1.81</v>
      </c>
      <c r="AC158" s="135">
        <f t="shared" si="64"/>
        <v>1.81</v>
      </c>
      <c r="AD158" s="135">
        <f t="shared" si="64"/>
        <v>1.81</v>
      </c>
      <c r="AE158" s="135">
        <f t="shared" si="64"/>
        <v>1.81</v>
      </c>
      <c r="AF158" s="135">
        <f t="shared" si="64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62"/>
        <v>1.0900000000000001</v>
      </c>
      <c r="C159" s="136">
        <v>1.0900000000000001</v>
      </c>
      <c r="D159" s="135">
        <f t="shared" si="63"/>
        <v>1.0900000000000001</v>
      </c>
      <c r="E159" s="135">
        <f t="shared" si="63"/>
        <v>1.0900000000000001</v>
      </c>
      <c r="F159" s="135">
        <f t="shared" si="63"/>
        <v>1.0900000000000001</v>
      </c>
      <c r="G159" s="135">
        <f t="shared" si="63"/>
        <v>1.0900000000000001</v>
      </c>
      <c r="H159" s="135">
        <f t="shared" si="63"/>
        <v>1.0900000000000001</v>
      </c>
      <c r="I159" s="135">
        <f t="shared" si="63"/>
        <v>1.0900000000000001</v>
      </c>
      <c r="J159" s="135">
        <f t="shared" si="63"/>
        <v>1.0900000000000001</v>
      </c>
      <c r="K159" s="135">
        <f t="shared" si="63"/>
        <v>1.0900000000000001</v>
      </c>
      <c r="L159" s="135">
        <f t="shared" si="63"/>
        <v>1.0900000000000001</v>
      </c>
      <c r="M159" s="135">
        <f t="shared" si="63"/>
        <v>1.0900000000000001</v>
      </c>
      <c r="N159" s="135">
        <f t="shared" si="63"/>
        <v>1.0900000000000001</v>
      </c>
      <c r="O159" s="135">
        <f t="shared" si="63"/>
        <v>1.0900000000000001</v>
      </c>
      <c r="P159" s="135">
        <f t="shared" si="63"/>
        <v>1.0900000000000001</v>
      </c>
      <c r="Q159" s="135">
        <f t="shared" si="63"/>
        <v>1.0900000000000001</v>
      </c>
      <c r="R159" s="135">
        <f t="shared" si="63"/>
        <v>1.0900000000000001</v>
      </c>
      <c r="S159" s="135">
        <f t="shared" si="63"/>
        <v>1.0900000000000001</v>
      </c>
      <c r="T159" s="135">
        <f t="shared" si="64"/>
        <v>1.0900000000000001</v>
      </c>
      <c r="U159" s="135">
        <f t="shared" si="64"/>
        <v>1.0900000000000001</v>
      </c>
      <c r="V159" s="135">
        <f t="shared" si="64"/>
        <v>1.0900000000000001</v>
      </c>
      <c r="W159" s="135">
        <f t="shared" si="64"/>
        <v>1.0900000000000001</v>
      </c>
      <c r="X159" s="135">
        <f t="shared" si="64"/>
        <v>1.0900000000000001</v>
      </c>
      <c r="Y159" s="135">
        <f t="shared" si="64"/>
        <v>1.0900000000000001</v>
      </c>
      <c r="Z159" s="135">
        <f t="shared" si="64"/>
        <v>1.0900000000000001</v>
      </c>
      <c r="AA159" s="135">
        <f t="shared" si="64"/>
        <v>1.0900000000000001</v>
      </c>
      <c r="AB159" s="135">
        <f t="shared" si="64"/>
        <v>1.0900000000000001</v>
      </c>
      <c r="AC159" s="135">
        <f t="shared" si="64"/>
        <v>1.0900000000000001</v>
      </c>
      <c r="AD159" s="135">
        <f t="shared" si="64"/>
        <v>1.0900000000000001</v>
      </c>
      <c r="AE159" s="135">
        <f t="shared" si="64"/>
        <v>1.0900000000000001</v>
      </c>
      <c r="AF159" s="135">
        <f t="shared" si="64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62"/>
        <v>1.58</v>
      </c>
      <c r="C160" s="136">
        <v>1.58</v>
      </c>
      <c r="D160" s="135">
        <f t="shared" si="63"/>
        <v>1.58</v>
      </c>
      <c r="E160" s="135">
        <f t="shared" si="63"/>
        <v>1.58</v>
      </c>
      <c r="F160" s="135">
        <f t="shared" si="63"/>
        <v>1.58</v>
      </c>
      <c r="G160" s="135">
        <f t="shared" si="63"/>
        <v>1.58</v>
      </c>
      <c r="H160" s="135">
        <f t="shared" si="63"/>
        <v>1.58</v>
      </c>
      <c r="I160" s="135">
        <f t="shared" si="63"/>
        <v>1.58</v>
      </c>
      <c r="J160" s="135">
        <f t="shared" si="63"/>
        <v>1.58</v>
      </c>
      <c r="K160" s="135">
        <f t="shared" si="63"/>
        <v>1.58</v>
      </c>
      <c r="L160" s="135">
        <f t="shared" si="63"/>
        <v>1.58</v>
      </c>
      <c r="M160" s="135">
        <f t="shared" si="63"/>
        <v>1.58</v>
      </c>
      <c r="N160" s="135">
        <f t="shared" si="63"/>
        <v>1.58</v>
      </c>
      <c r="O160" s="135">
        <f t="shared" si="63"/>
        <v>1.58</v>
      </c>
      <c r="P160" s="135">
        <f t="shared" si="63"/>
        <v>1.58</v>
      </c>
      <c r="Q160" s="135">
        <f t="shared" si="63"/>
        <v>1.58</v>
      </c>
      <c r="R160" s="135">
        <f t="shared" si="63"/>
        <v>1.58</v>
      </c>
      <c r="S160" s="135">
        <f t="shared" si="63"/>
        <v>1.58</v>
      </c>
      <c r="T160" s="135">
        <f t="shared" si="64"/>
        <v>1.58</v>
      </c>
      <c r="U160" s="135">
        <f t="shared" si="64"/>
        <v>1.58</v>
      </c>
      <c r="V160" s="135">
        <f t="shared" si="64"/>
        <v>1.58</v>
      </c>
      <c r="W160" s="135">
        <f t="shared" si="64"/>
        <v>1.58</v>
      </c>
      <c r="X160" s="135">
        <f t="shared" si="64"/>
        <v>1.58</v>
      </c>
      <c r="Y160" s="135">
        <f t="shared" si="64"/>
        <v>1.58</v>
      </c>
      <c r="Z160" s="135">
        <f t="shared" si="64"/>
        <v>1.58</v>
      </c>
      <c r="AA160" s="135">
        <f t="shared" si="64"/>
        <v>1.58</v>
      </c>
      <c r="AB160" s="135">
        <f t="shared" si="64"/>
        <v>1.58</v>
      </c>
      <c r="AC160" s="135">
        <f t="shared" si="64"/>
        <v>1.58</v>
      </c>
      <c r="AD160" s="135">
        <f t="shared" si="64"/>
        <v>1.58</v>
      </c>
      <c r="AE160" s="135">
        <f t="shared" si="64"/>
        <v>1.58</v>
      </c>
      <c r="AF160" s="135">
        <f t="shared" si="64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62"/>
        <v>2</v>
      </c>
      <c r="C161" s="136">
        <v>2</v>
      </c>
      <c r="D161" s="135">
        <f t="shared" si="63"/>
        <v>2</v>
      </c>
      <c r="E161" s="135">
        <f t="shared" si="63"/>
        <v>2</v>
      </c>
      <c r="F161" s="135">
        <f t="shared" si="63"/>
        <v>2</v>
      </c>
      <c r="G161" s="135">
        <f t="shared" si="63"/>
        <v>2</v>
      </c>
      <c r="H161" s="135">
        <f t="shared" si="63"/>
        <v>2</v>
      </c>
      <c r="I161" s="135">
        <f t="shared" si="63"/>
        <v>2</v>
      </c>
      <c r="J161" s="135">
        <f t="shared" si="63"/>
        <v>2</v>
      </c>
      <c r="K161" s="135">
        <f t="shared" si="63"/>
        <v>2</v>
      </c>
      <c r="L161" s="135">
        <f t="shared" si="63"/>
        <v>2</v>
      </c>
      <c r="M161" s="135">
        <f t="shared" si="63"/>
        <v>2</v>
      </c>
      <c r="N161" s="135">
        <f t="shared" si="63"/>
        <v>2</v>
      </c>
      <c r="O161" s="135">
        <f t="shared" si="63"/>
        <v>2</v>
      </c>
      <c r="P161" s="135">
        <f t="shared" si="63"/>
        <v>2</v>
      </c>
      <c r="Q161" s="135">
        <f t="shared" si="63"/>
        <v>2</v>
      </c>
      <c r="R161" s="135">
        <f t="shared" si="63"/>
        <v>2</v>
      </c>
      <c r="S161" s="135">
        <f t="shared" si="63"/>
        <v>2</v>
      </c>
      <c r="T161" s="135">
        <f t="shared" si="64"/>
        <v>2</v>
      </c>
      <c r="U161" s="135">
        <f t="shared" si="64"/>
        <v>2</v>
      </c>
      <c r="V161" s="135">
        <f t="shared" si="64"/>
        <v>2</v>
      </c>
      <c r="W161" s="135">
        <f t="shared" si="64"/>
        <v>2</v>
      </c>
      <c r="X161" s="135">
        <f t="shared" si="64"/>
        <v>2</v>
      </c>
      <c r="Y161" s="135">
        <f t="shared" si="64"/>
        <v>2</v>
      </c>
      <c r="Z161" s="135">
        <f t="shared" si="64"/>
        <v>2</v>
      </c>
      <c r="AA161" s="135">
        <f t="shared" si="64"/>
        <v>2</v>
      </c>
      <c r="AB161" s="135">
        <f t="shared" si="64"/>
        <v>2</v>
      </c>
      <c r="AC161" s="135">
        <f t="shared" si="64"/>
        <v>2</v>
      </c>
      <c r="AD161" s="135">
        <f t="shared" si="64"/>
        <v>2</v>
      </c>
      <c r="AE161" s="135">
        <f t="shared" si="64"/>
        <v>2</v>
      </c>
      <c r="AF161" s="135">
        <f t="shared" si="64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62"/>
        <v>0.47</v>
      </c>
      <c r="C162" s="136">
        <v>0.47</v>
      </c>
      <c r="D162" s="135">
        <f t="shared" si="63"/>
        <v>0.47</v>
      </c>
      <c r="E162" s="135">
        <f t="shared" si="63"/>
        <v>0.47</v>
      </c>
      <c r="F162" s="135">
        <f t="shared" si="63"/>
        <v>0.47</v>
      </c>
      <c r="G162" s="135">
        <f t="shared" si="63"/>
        <v>0.47</v>
      </c>
      <c r="H162" s="135">
        <f t="shared" si="63"/>
        <v>0.47</v>
      </c>
      <c r="I162" s="135">
        <f t="shared" si="63"/>
        <v>0.47</v>
      </c>
      <c r="J162" s="135">
        <f t="shared" si="63"/>
        <v>0.47</v>
      </c>
      <c r="K162" s="135">
        <f t="shared" si="63"/>
        <v>0.47</v>
      </c>
      <c r="L162" s="135">
        <f t="shared" si="63"/>
        <v>0.47</v>
      </c>
      <c r="M162" s="135">
        <f t="shared" si="63"/>
        <v>0.47</v>
      </c>
      <c r="N162" s="135">
        <f t="shared" si="63"/>
        <v>0.47</v>
      </c>
      <c r="O162" s="135">
        <f t="shared" si="63"/>
        <v>0.47</v>
      </c>
      <c r="P162" s="135">
        <f t="shared" si="63"/>
        <v>0.47</v>
      </c>
      <c r="Q162" s="135">
        <f t="shared" si="63"/>
        <v>0.47</v>
      </c>
      <c r="R162" s="135">
        <f t="shared" si="63"/>
        <v>0.47</v>
      </c>
      <c r="S162" s="135">
        <f t="shared" si="63"/>
        <v>0.47</v>
      </c>
      <c r="T162" s="135">
        <f t="shared" si="64"/>
        <v>0.47</v>
      </c>
      <c r="U162" s="135">
        <f t="shared" si="64"/>
        <v>0.47</v>
      </c>
      <c r="V162" s="135">
        <f t="shared" si="64"/>
        <v>0.47</v>
      </c>
      <c r="W162" s="135">
        <f t="shared" si="64"/>
        <v>0.47</v>
      </c>
      <c r="X162" s="135">
        <f t="shared" si="64"/>
        <v>0.47</v>
      </c>
      <c r="Y162" s="135">
        <f t="shared" si="64"/>
        <v>0.47</v>
      </c>
      <c r="Z162" s="135">
        <f t="shared" si="64"/>
        <v>0.47</v>
      </c>
      <c r="AA162" s="135">
        <f t="shared" si="64"/>
        <v>0.47</v>
      </c>
      <c r="AB162" s="135">
        <f t="shared" si="64"/>
        <v>0.47</v>
      </c>
      <c r="AC162" s="135">
        <f t="shared" si="64"/>
        <v>0.47</v>
      </c>
      <c r="AD162" s="135">
        <f t="shared" si="64"/>
        <v>0.47</v>
      </c>
      <c r="AE162" s="135">
        <f t="shared" si="64"/>
        <v>0.47</v>
      </c>
      <c r="AF162" s="135">
        <f t="shared" si="64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62"/>
        <v>0</v>
      </c>
      <c r="C163" s="136">
        <v>0</v>
      </c>
      <c r="D163" s="135">
        <f t="shared" si="63"/>
        <v>0</v>
      </c>
      <c r="E163" s="135">
        <f t="shared" si="63"/>
        <v>0</v>
      </c>
      <c r="F163" s="135">
        <f t="shared" si="63"/>
        <v>0</v>
      </c>
      <c r="G163" s="135">
        <f t="shared" si="63"/>
        <v>0</v>
      </c>
      <c r="H163" s="135">
        <f t="shared" si="63"/>
        <v>0</v>
      </c>
      <c r="I163" s="135">
        <f t="shared" si="63"/>
        <v>0</v>
      </c>
      <c r="J163" s="135">
        <f t="shared" si="63"/>
        <v>0</v>
      </c>
      <c r="K163" s="135">
        <f t="shared" si="63"/>
        <v>0</v>
      </c>
      <c r="L163" s="135">
        <f t="shared" si="63"/>
        <v>0</v>
      </c>
      <c r="M163" s="135">
        <f t="shared" si="63"/>
        <v>0</v>
      </c>
      <c r="N163" s="135">
        <f t="shared" si="63"/>
        <v>0</v>
      </c>
      <c r="O163" s="135">
        <f t="shared" si="63"/>
        <v>0</v>
      </c>
      <c r="P163" s="135">
        <f t="shared" si="63"/>
        <v>0</v>
      </c>
      <c r="Q163" s="135">
        <f t="shared" si="63"/>
        <v>0</v>
      </c>
      <c r="R163" s="135">
        <f t="shared" si="63"/>
        <v>0</v>
      </c>
      <c r="S163" s="135">
        <f t="shared" si="63"/>
        <v>0</v>
      </c>
      <c r="T163" s="135">
        <f t="shared" si="64"/>
        <v>0</v>
      </c>
      <c r="U163" s="135">
        <f t="shared" si="64"/>
        <v>0</v>
      </c>
      <c r="V163" s="135">
        <f t="shared" si="64"/>
        <v>0</v>
      </c>
      <c r="W163" s="135">
        <f t="shared" si="64"/>
        <v>0</v>
      </c>
      <c r="X163" s="135">
        <f t="shared" si="64"/>
        <v>0</v>
      </c>
      <c r="Y163" s="135">
        <f t="shared" si="64"/>
        <v>0</v>
      </c>
      <c r="Z163" s="135">
        <f t="shared" si="64"/>
        <v>0</v>
      </c>
      <c r="AA163" s="135">
        <f t="shared" si="64"/>
        <v>0</v>
      </c>
      <c r="AB163" s="135">
        <f t="shared" si="64"/>
        <v>0</v>
      </c>
      <c r="AC163" s="135">
        <f t="shared" si="64"/>
        <v>0</v>
      </c>
      <c r="AD163" s="135">
        <f t="shared" si="64"/>
        <v>0</v>
      </c>
      <c r="AE163" s="135">
        <f t="shared" si="64"/>
        <v>0</v>
      </c>
      <c r="AF163" s="135">
        <f t="shared" si="64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62"/>
        <v>0</v>
      </c>
      <c r="C164" s="136">
        <v>0</v>
      </c>
      <c r="D164" s="135">
        <f t="shared" si="63"/>
        <v>0</v>
      </c>
      <c r="E164" s="135">
        <f t="shared" si="63"/>
        <v>0</v>
      </c>
      <c r="F164" s="135">
        <f t="shared" si="63"/>
        <v>0</v>
      </c>
      <c r="G164" s="135">
        <f t="shared" si="63"/>
        <v>0</v>
      </c>
      <c r="H164" s="135">
        <f t="shared" si="63"/>
        <v>0</v>
      </c>
      <c r="I164" s="135">
        <f t="shared" si="63"/>
        <v>0</v>
      </c>
      <c r="J164" s="135">
        <f t="shared" si="63"/>
        <v>0</v>
      </c>
      <c r="K164" s="135">
        <f t="shared" si="63"/>
        <v>0</v>
      </c>
      <c r="L164" s="135">
        <f t="shared" si="63"/>
        <v>0</v>
      </c>
      <c r="M164" s="135">
        <f t="shared" si="63"/>
        <v>0</v>
      </c>
      <c r="N164" s="135">
        <f t="shared" si="63"/>
        <v>0</v>
      </c>
      <c r="O164" s="135">
        <f t="shared" si="63"/>
        <v>0</v>
      </c>
      <c r="P164" s="135">
        <f t="shared" si="63"/>
        <v>0</v>
      </c>
      <c r="Q164" s="135">
        <f t="shared" si="63"/>
        <v>0</v>
      </c>
      <c r="R164" s="135">
        <f t="shared" si="63"/>
        <v>0</v>
      </c>
      <c r="S164" s="135">
        <f t="shared" si="64"/>
        <v>0</v>
      </c>
      <c r="T164" s="135">
        <f t="shared" si="64"/>
        <v>0</v>
      </c>
      <c r="U164" s="135">
        <f t="shared" si="64"/>
        <v>0</v>
      </c>
      <c r="V164" s="135">
        <f t="shared" si="64"/>
        <v>0</v>
      </c>
      <c r="W164" s="135">
        <f t="shared" si="64"/>
        <v>0</v>
      </c>
      <c r="X164" s="135">
        <f t="shared" si="64"/>
        <v>0</v>
      </c>
      <c r="Y164" s="135">
        <f t="shared" si="64"/>
        <v>0</v>
      </c>
      <c r="Z164" s="135">
        <f t="shared" si="64"/>
        <v>0</v>
      </c>
      <c r="AA164" s="135">
        <f t="shared" si="64"/>
        <v>0</v>
      </c>
      <c r="AB164" s="135">
        <f t="shared" si="64"/>
        <v>0</v>
      </c>
      <c r="AC164" s="135">
        <f t="shared" si="64"/>
        <v>0</v>
      </c>
      <c r="AD164" s="135">
        <f t="shared" si="64"/>
        <v>0</v>
      </c>
      <c r="AE164" s="135">
        <f t="shared" si="64"/>
        <v>0</v>
      </c>
      <c r="AF164" s="135">
        <f t="shared" si="64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62"/>
        <v>0.8</v>
      </c>
      <c r="C165" s="136">
        <v>0.8</v>
      </c>
      <c r="D165" s="135">
        <f t="shared" si="63"/>
        <v>0.8</v>
      </c>
      <c r="E165" s="135">
        <f t="shared" si="63"/>
        <v>0.8</v>
      </c>
      <c r="F165" s="135">
        <f t="shared" si="63"/>
        <v>0.8</v>
      </c>
      <c r="G165" s="135">
        <f t="shared" si="63"/>
        <v>0.8</v>
      </c>
      <c r="H165" s="135">
        <f t="shared" si="63"/>
        <v>0.8</v>
      </c>
      <c r="I165" s="135">
        <f t="shared" si="63"/>
        <v>0.8</v>
      </c>
      <c r="J165" s="135">
        <f t="shared" si="63"/>
        <v>0.8</v>
      </c>
      <c r="K165" s="135">
        <f t="shared" si="63"/>
        <v>0.8</v>
      </c>
      <c r="L165" s="135">
        <f t="shared" si="63"/>
        <v>0.8</v>
      </c>
      <c r="M165" s="135">
        <f t="shared" si="63"/>
        <v>0.8</v>
      </c>
      <c r="N165" s="135">
        <f t="shared" si="63"/>
        <v>0.8</v>
      </c>
      <c r="O165" s="135">
        <f t="shared" si="63"/>
        <v>0.8</v>
      </c>
      <c r="P165" s="135">
        <f t="shared" si="63"/>
        <v>0.8</v>
      </c>
      <c r="Q165" s="135">
        <f t="shared" si="63"/>
        <v>0.8</v>
      </c>
      <c r="R165" s="135">
        <f t="shared" si="63"/>
        <v>0.8</v>
      </c>
      <c r="S165" s="135">
        <f t="shared" si="64"/>
        <v>0.8</v>
      </c>
      <c r="T165" s="135">
        <f t="shared" si="64"/>
        <v>0.8</v>
      </c>
      <c r="U165" s="135">
        <f t="shared" si="64"/>
        <v>0.8</v>
      </c>
      <c r="V165" s="135">
        <f t="shared" si="64"/>
        <v>0.8</v>
      </c>
      <c r="W165" s="135">
        <f t="shared" si="64"/>
        <v>0.8</v>
      </c>
      <c r="X165" s="135">
        <f t="shared" si="64"/>
        <v>0.8</v>
      </c>
      <c r="Y165" s="135">
        <f t="shared" si="64"/>
        <v>0.8</v>
      </c>
      <c r="Z165" s="135">
        <f t="shared" si="64"/>
        <v>0.8</v>
      </c>
      <c r="AA165" s="135">
        <f t="shared" si="64"/>
        <v>0.8</v>
      </c>
      <c r="AB165" s="135">
        <f t="shared" si="64"/>
        <v>0.8</v>
      </c>
      <c r="AC165" s="135">
        <f t="shared" si="64"/>
        <v>0.8</v>
      </c>
      <c r="AD165" s="135">
        <f t="shared" si="64"/>
        <v>0.8</v>
      </c>
      <c r="AE165" s="135">
        <f t="shared" si="64"/>
        <v>0.8</v>
      </c>
      <c r="AF165" s="135">
        <f t="shared" si="64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62"/>
        <v>1.5</v>
      </c>
      <c r="C166" s="136">
        <v>1.5</v>
      </c>
      <c r="D166" s="135">
        <f t="shared" si="63"/>
        <v>1.5</v>
      </c>
      <c r="E166" s="135">
        <f t="shared" si="63"/>
        <v>1.5</v>
      </c>
      <c r="F166" s="135">
        <f t="shared" si="63"/>
        <v>1.5</v>
      </c>
      <c r="G166" s="135">
        <f t="shared" si="63"/>
        <v>1.5</v>
      </c>
      <c r="H166" s="135">
        <f t="shared" si="63"/>
        <v>1.5</v>
      </c>
      <c r="I166" s="135">
        <f t="shared" si="63"/>
        <v>1.5</v>
      </c>
      <c r="J166" s="135">
        <f t="shared" si="63"/>
        <v>1.5</v>
      </c>
      <c r="K166" s="135">
        <f t="shared" si="63"/>
        <v>1.5</v>
      </c>
      <c r="L166" s="135">
        <f t="shared" si="63"/>
        <v>1.5</v>
      </c>
      <c r="M166" s="135">
        <f t="shared" si="63"/>
        <v>1.5</v>
      </c>
      <c r="N166" s="135">
        <f t="shared" si="63"/>
        <v>1.5</v>
      </c>
      <c r="O166" s="135">
        <f t="shared" si="63"/>
        <v>1.5</v>
      </c>
      <c r="P166" s="135">
        <f t="shared" si="63"/>
        <v>1.5</v>
      </c>
      <c r="Q166" s="135">
        <f t="shared" si="63"/>
        <v>1.5</v>
      </c>
      <c r="R166" s="135">
        <f t="shared" si="63"/>
        <v>1.5</v>
      </c>
      <c r="S166" s="135">
        <f t="shared" si="64"/>
        <v>1.5</v>
      </c>
      <c r="T166" s="135">
        <f t="shared" si="64"/>
        <v>1.5</v>
      </c>
      <c r="U166" s="135">
        <f t="shared" si="64"/>
        <v>1.5</v>
      </c>
      <c r="V166" s="135">
        <f t="shared" si="64"/>
        <v>1.5</v>
      </c>
      <c r="W166" s="135">
        <f t="shared" si="64"/>
        <v>1.5</v>
      </c>
      <c r="X166" s="135">
        <f t="shared" si="64"/>
        <v>1.5</v>
      </c>
      <c r="Y166" s="135">
        <f t="shared" si="64"/>
        <v>1.5</v>
      </c>
      <c r="Z166" s="135">
        <f t="shared" si="64"/>
        <v>1.5</v>
      </c>
      <c r="AA166" s="135">
        <f t="shared" si="64"/>
        <v>1.5</v>
      </c>
      <c r="AB166" s="135">
        <f t="shared" si="64"/>
        <v>1.5</v>
      </c>
      <c r="AC166" s="135">
        <f t="shared" si="64"/>
        <v>1.5</v>
      </c>
      <c r="AD166" s="135">
        <f t="shared" si="64"/>
        <v>1.5</v>
      </c>
      <c r="AE166" s="135">
        <f t="shared" si="64"/>
        <v>1.5</v>
      </c>
      <c r="AF166" s="135">
        <f t="shared" si="64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62"/>
        <v>1</v>
      </c>
      <c r="C167" s="136">
        <v>1</v>
      </c>
      <c r="D167" s="135">
        <f t="shared" si="63"/>
        <v>1</v>
      </c>
      <c r="E167" s="135">
        <f t="shared" si="63"/>
        <v>1</v>
      </c>
      <c r="F167" s="135">
        <f t="shared" si="63"/>
        <v>1</v>
      </c>
      <c r="G167" s="135">
        <f t="shared" si="63"/>
        <v>1</v>
      </c>
      <c r="H167" s="135">
        <f t="shared" si="63"/>
        <v>1</v>
      </c>
      <c r="I167" s="135">
        <f t="shared" si="63"/>
        <v>1</v>
      </c>
      <c r="J167" s="135">
        <f t="shared" si="63"/>
        <v>1</v>
      </c>
      <c r="K167" s="135">
        <f t="shared" si="63"/>
        <v>1</v>
      </c>
      <c r="L167" s="135">
        <f t="shared" si="63"/>
        <v>1</v>
      </c>
      <c r="M167" s="135">
        <f t="shared" si="63"/>
        <v>1</v>
      </c>
      <c r="N167" s="135">
        <f t="shared" si="63"/>
        <v>1</v>
      </c>
      <c r="O167" s="135">
        <f t="shared" si="63"/>
        <v>1</v>
      </c>
      <c r="P167" s="135">
        <f t="shared" si="63"/>
        <v>1</v>
      </c>
      <c r="Q167" s="135">
        <f t="shared" si="63"/>
        <v>1</v>
      </c>
      <c r="R167" s="135">
        <f t="shared" si="63"/>
        <v>1</v>
      </c>
      <c r="S167" s="135">
        <f t="shared" si="64"/>
        <v>1</v>
      </c>
      <c r="T167" s="135">
        <f t="shared" si="64"/>
        <v>1</v>
      </c>
      <c r="U167" s="135">
        <f t="shared" si="64"/>
        <v>1</v>
      </c>
      <c r="V167" s="135">
        <f t="shared" si="64"/>
        <v>1</v>
      </c>
      <c r="W167" s="135">
        <f t="shared" si="64"/>
        <v>1</v>
      </c>
      <c r="X167" s="135">
        <f t="shared" si="64"/>
        <v>1</v>
      </c>
      <c r="Y167" s="135">
        <f t="shared" si="64"/>
        <v>1</v>
      </c>
      <c r="Z167" s="135">
        <f t="shared" si="64"/>
        <v>1</v>
      </c>
      <c r="AA167" s="135">
        <f t="shared" si="64"/>
        <v>1</v>
      </c>
      <c r="AB167" s="135">
        <f t="shared" si="64"/>
        <v>1</v>
      </c>
      <c r="AC167" s="135">
        <f t="shared" si="64"/>
        <v>1</v>
      </c>
      <c r="AD167" s="135">
        <f t="shared" si="64"/>
        <v>1</v>
      </c>
      <c r="AE167" s="135">
        <f t="shared" si="64"/>
        <v>1</v>
      </c>
      <c r="AF167" s="135">
        <f t="shared" si="64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65">AF169</f>
        <v>1</v>
      </c>
      <c r="C169" s="136">
        <v>1</v>
      </c>
      <c r="D169" s="135">
        <f t="shared" ref="D169:S176" si="66">C169</f>
        <v>1</v>
      </c>
      <c r="E169" s="135">
        <f t="shared" si="66"/>
        <v>1</v>
      </c>
      <c r="F169" s="135">
        <f t="shared" si="66"/>
        <v>1</v>
      </c>
      <c r="G169" s="135">
        <f t="shared" si="66"/>
        <v>1</v>
      </c>
      <c r="H169" s="135">
        <f t="shared" si="66"/>
        <v>1</v>
      </c>
      <c r="I169" s="135">
        <f t="shared" si="66"/>
        <v>1</v>
      </c>
      <c r="J169" s="135">
        <f t="shared" si="66"/>
        <v>1</v>
      </c>
      <c r="K169" s="135">
        <f t="shared" si="66"/>
        <v>1</v>
      </c>
      <c r="L169" s="135">
        <f t="shared" si="66"/>
        <v>1</v>
      </c>
      <c r="M169" s="135">
        <f t="shared" si="66"/>
        <v>1</v>
      </c>
      <c r="N169" s="135">
        <f t="shared" si="66"/>
        <v>1</v>
      </c>
      <c r="O169" s="135">
        <f t="shared" si="66"/>
        <v>1</v>
      </c>
      <c r="P169" s="135">
        <f t="shared" si="66"/>
        <v>1</v>
      </c>
      <c r="Q169" s="135">
        <f t="shared" si="66"/>
        <v>1</v>
      </c>
      <c r="R169" s="135">
        <f t="shared" si="66"/>
        <v>1</v>
      </c>
      <c r="S169" s="135">
        <f t="shared" si="66"/>
        <v>1</v>
      </c>
      <c r="T169" s="135">
        <f t="shared" ref="S169:AF176" si="67">S169</f>
        <v>1</v>
      </c>
      <c r="U169" s="135">
        <f t="shared" si="67"/>
        <v>1</v>
      </c>
      <c r="V169" s="135">
        <f t="shared" si="67"/>
        <v>1</v>
      </c>
      <c r="W169" s="135">
        <f t="shared" si="67"/>
        <v>1</v>
      </c>
      <c r="X169" s="135">
        <f t="shared" si="67"/>
        <v>1</v>
      </c>
      <c r="Y169" s="135">
        <f t="shared" si="67"/>
        <v>1</v>
      </c>
      <c r="Z169" s="135">
        <f t="shared" si="67"/>
        <v>1</v>
      </c>
      <c r="AA169" s="135">
        <f t="shared" si="67"/>
        <v>1</v>
      </c>
      <c r="AB169" s="135">
        <f t="shared" si="67"/>
        <v>1</v>
      </c>
      <c r="AC169" s="135">
        <f t="shared" si="67"/>
        <v>1</v>
      </c>
      <c r="AD169" s="135">
        <f t="shared" si="67"/>
        <v>1</v>
      </c>
      <c r="AE169" s="135">
        <f t="shared" si="67"/>
        <v>1</v>
      </c>
      <c r="AF169" s="135">
        <f t="shared" si="67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65"/>
        <v>0.42</v>
      </c>
      <c r="C170" s="136">
        <v>0.42</v>
      </c>
      <c r="D170" s="135">
        <f t="shared" si="66"/>
        <v>0.42</v>
      </c>
      <c r="E170" s="135">
        <f t="shared" si="66"/>
        <v>0.42</v>
      </c>
      <c r="F170" s="135">
        <f t="shared" si="66"/>
        <v>0.42</v>
      </c>
      <c r="G170" s="135">
        <f t="shared" si="66"/>
        <v>0.42</v>
      </c>
      <c r="H170" s="135">
        <f t="shared" si="66"/>
        <v>0.42</v>
      </c>
      <c r="I170" s="135">
        <f t="shared" si="66"/>
        <v>0.42</v>
      </c>
      <c r="J170" s="135">
        <f t="shared" si="66"/>
        <v>0.42</v>
      </c>
      <c r="K170" s="135">
        <f t="shared" si="66"/>
        <v>0.42</v>
      </c>
      <c r="L170" s="135">
        <f t="shared" si="66"/>
        <v>0.42</v>
      </c>
      <c r="M170" s="135">
        <f t="shared" si="66"/>
        <v>0.42</v>
      </c>
      <c r="N170" s="135">
        <f t="shared" si="66"/>
        <v>0.42</v>
      </c>
      <c r="O170" s="135">
        <f t="shared" si="66"/>
        <v>0.42</v>
      </c>
      <c r="P170" s="135">
        <f t="shared" si="66"/>
        <v>0.42</v>
      </c>
      <c r="Q170" s="135">
        <f t="shared" si="66"/>
        <v>0.42</v>
      </c>
      <c r="R170" s="135">
        <f t="shared" si="66"/>
        <v>0.42</v>
      </c>
      <c r="S170" s="135">
        <f t="shared" si="67"/>
        <v>0.42</v>
      </c>
      <c r="T170" s="135">
        <f t="shared" si="67"/>
        <v>0.42</v>
      </c>
      <c r="U170" s="135">
        <f t="shared" si="67"/>
        <v>0.42</v>
      </c>
      <c r="V170" s="135">
        <f t="shared" si="67"/>
        <v>0.42</v>
      </c>
      <c r="W170" s="135">
        <f t="shared" si="67"/>
        <v>0.42</v>
      </c>
      <c r="X170" s="135">
        <f t="shared" si="67"/>
        <v>0.42</v>
      </c>
      <c r="Y170" s="135">
        <f t="shared" si="67"/>
        <v>0.42</v>
      </c>
      <c r="Z170" s="135">
        <f t="shared" si="67"/>
        <v>0.42</v>
      </c>
      <c r="AA170" s="135">
        <f t="shared" si="67"/>
        <v>0.42</v>
      </c>
      <c r="AB170" s="135">
        <f t="shared" si="67"/>
        <v>0.42</v>
      </c>
      <c r="AC170" s="135">
        <f t="shared" si="67"/>
        <v>0.42</v>
      </c>
      <c r="AD170" s="135">
        <f t="shared" si="67"/>
        <v>0.42</v>
      </c>
      <c r="AE170" s="135">
        <f t="shared" si="67"/>
        <v>0.42</v>
      </c>
      <c r="AF170" s="135">
        <f t="shared" si="67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65"/>
        <v>0.46</v>
      </c>
      <c r="C171" s="136">
        <v>0.46</v>
      </c>
      <c r="D171" s="135">
        <f t="shared" si="66"/>
        <v>0.46</v>
      </c>
      <c r="E171" s="135">
        <f t="shared" si="66"/>
        <v>0.46</v>
      </c>
      <c r="F171" s="135">
        <f t="shared" si="66"/>
        <v>0.46</v>
      </c>
      <c r="G171" s="135">
        <f t="shared" si="66"/>
        <v>0.46</v>
      </c>
      <c r="H171" s="135">
        <f t="shared" si="66"/>
        <v>0.46</v>
      </c>
      <c r="I171" s="135">
        <f t="shared" si="66"/>
        <v>0.46</v>
      </c>
      <c r="J171" s="135">
        <f t="shared" si="66"/>
        <v>0.46</v>
      </c>
      <c r="K171" s="135">
        <f t="shared" si="66"/>
        <v>0.46</v>
      </c>
      <c r="L171" s="135">
        <f t="shared" si="66"/>
        <v>0.46</v>
      </c>
      <c r="M171" s="135">
        <f t="shared" si="66"/>
        <v>0.46</v>
      </c>
      <c r="N171" s="135">
        <f t="shared" si="66"/>
        <v>0.46</v>
      </c>
      <c r="O171" s="135">
        <f t="shared" si="66"/>
        <v>0.46</v>
      </c>
      <c r="P171" s="135">
        <f t="shared" si="66"/>
        <v>0.46</v>
      </c>
      <c r="Q171" s="135">
        <f t="shared" si="66"/>
        <v>0.46</v>
      </c>
      <c r="R171" s="135">
        <f t="shared" si="66"/>
        <v>0.46</v>
      </c>
      <c r="S171" s="135">
        <f t="shared" si="67"/>
        <v>0.46</v>
      </c>
      <c r="T171" s="135">
        <f t="shared" si="67"/>
        <v>0.46</v>
      </c>
      <c r="U171" s="135">
        <f t="shared" si="67"/>
        <v>0.46</v>
      </c>
      <c r="V171" s="135">
        <f t="shared" si="67"/>
        <v>0.46</v>
      </c>
      <c r="W171" s="135">
        <f t="shared" si="67"/>
        <v>0.46</v>
      </c>
      <c r="X171" s="135">
        <f t="shared" si="67"/>
        <v>0.46</v>
      </c>
      <c r="Y171" s="135">
        <f t="shared" si="67"/>
        <v>0.46</v>
      </c>
      <c r="Z171" s="135">
        <f t="shared" si="67"/>
        <v>0.46</v>
      </c>
      <c r="AA171" s="135">
        <f t="shared" si="67"/>
        <v>0.46</v>
      </c>
      <c r="AB171" s="135">
        <f t="shared" si="67"/>
        <v>0.46</v>
      </c>
      <c r="AC171" s="135">
        <f t="shared" si="67"/>
        <v>0.46</v>
      </c>
      <c r="AD171" s="135">
        <f t="shared" si="67"/>
        <v>0.46</v>
      </c>
      <c r="AE171" s="135">
        <f t="shared" si="67"/>
        <v>0.46</v>
      </c>
      <c r="AF171" s="135">
        <f t="shared" si="67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65"/>
        <v>0.85</v>
      </c>
      <c r="C172" s="136">
        <v>0.85</v>
      </c>
      <c r="D172" s="135">
        <f t="shared" si="66"/>
        <v>0.85</v>
      </c>
      <c r="E172" s="135">
        <f t="shared" si="66"/>
        <v>0.85</v>
      </c>
      <c r="F172" s="135">
        <f t="shared" si="66"/>
        <v>0.85</v>
      </c>
      <c r="G172" s="135">
        <f t="shared" si="66"/>
        <v>0.85</v>
      </c>
      <c r="H172" s="135">
        <f t="shared" si="66"/>
        <v>0.85</v>
      </c>
      <c r="I172" s="135">
        <f t="shared" si="66"/>
        <v>0.85</v>
      </c>
      <c r="J172" s="135">
        <f t="shared" si="66"/>
        <v>0.85</v>
      </c>
      <c r="K172" s="135">
        <f t="shared" si="66"/>
        <v>0.85</v>
      </c>
      <c r="L172" s="135">
        <f t="shared" si="66"/>
        <v>0.85</v>
      </c>
      <c r="M172" s="135">
        <f t="shared" si="66"/>
        <v>0.85</v>
      </c>
      <c r="N172" s="135">
        <f t="shared" si="66"/>
        <v>0.85</v>
      </c>
      <c r="O172" s="135">
        <f t="shared" si="66"/>
        <v>0.85</v>
      </c>
      <c r="P172" s="135">
        <f t="shared" si="66"/>
        <v>0.85</v>
      </c>
      <c r="Q172" s="135">
        <f t="shared" si="66"/>
        <v>0.85</v>
      </c>
      <c r="R172" s="135">
        <f t="shared" si="66"/>
        <v>0.85</v>
      </c>
      <c r="S172" s="135">
        <f t="shared" si="67"/>
        <v>0.85</v>
      </c>
      <c r="T172" s="135">
        <f t="shared" si="67"/>
        <v>0.85</v>
      </c>
      <c r="U172" s="135">
        <f t="shared" si="67"/>
        <v>0.85</v>
      </c>
      <c r="V172" s="135">
        <f t="shared" si="67"/>
        <v>0.85</v>
      </c>
      <c r="W172" s="135">
        <f t="shared" si="67"/>
        <v>0.85</v>
      </c>
      <c r="X172" s="135">
        <f t="shared" si="67"/>
        <v>0.85</v>
      </c>
      <c r="Y172" s="135">
        <f t="shared" si="67"/>
        <v>0.85</v>
      </c>
      <c r="Z172" s="135">
        <f t="shared" si="67"/>
        <v>0.85</v>
      </c>
      <c r="AA172" s="135">
        <f t="shared" si="67"/>
        <v>0.85</v>
      </c>
      <c r="AB172" s="135">
        <f t="shared" si="67"/>
        <v>0.85</v>
      </c>
      <c r="AC172" s="135">
        <f t="shared" si="67"/>
        <v>0.85</v>
      </c>
      <c r="AD172" s="135">
        <f t="shared" si="67"/>
        <v>0.85</v>
      </c>
      <c r="AE172" s="135">
        <f t="shared" si="67"/>
        <v>0.85</v>
      </c>
      <c r="AF172" s="135">
        <f t="shared" si="67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65"/>
        <v>0.9</v>
      </c>
      <c r="C173" s="136">
        <v>0.9</v>
      </c>
      <c r="D173" s="135">
        <f t="shared" si="66"/>
        <v>0.9</v>
      </c>
      <c r="E173" s="135">
        <f t="shared" si="66"/>
        <v>0.9</v>
      </c>
      <c r="F173" s="135">
        <f t="shared" si="66"/>
        <v>0.9</v>
      </c>
      <c r="G173" s="135">
        <f t="shared" si="66"/>
        <v>0.9</v>
      </c>
      <c r="H173" s="135">
        <f t="shared" si="66"/>
        <v>0.9</v>
      </c>
      <c r="I173" s="135">
        <f t="shared" si="66"/>
        <v>0.9</v>
      </c>
      <c r="J173" s="135">
        <f t="shared" si="66"/>
        <v>0.9</v>
      </c>
      <c r="K173" s="135">
        <f t="shared" si="66"/>
        <v>0.9</v>
      </c>
      <c r="L173" s="135">
        <f t="shared" si="66"/>
        <v>0.9</v>
      </c>
      <c r="M173" s="135">
        <f t="shared" si="66"/>
        <v>0.9</v>
      </c>
      <c r="N173" s="135">
        <f t="shared" si="66"/>
        <v>0.9</v>
      </c>
      <c r="O173" s="135">
        <f t="shared" si="66"/>
        <v>0.9</v>
      </c>
      <c r="P173" s="135">
        <f t="shared" si="66"/>
        <v>0.9</v>
      </c>
      <c r="Q173" s="135">
        <f t="shared" si="66"/>
        <v>0.9</v>
      </c>
      <c r="R173" s="135">
        <f t="shared" si="66"/>
        <v>0.9</v>
      </c>
      <c r="S173" s="135">
        <f t="shared" si="67"/>
        <v>0.9</v>
      </c>
      <c r="T173" s="135">
        <f t="shared" si="67"/>
        <v>0.9</v>
      </c>
      <c r="U173" s="135">
        <f t="shared" si="67"/>
        <v>0.9</v>
      </c>
      <c r="V173" s="135">
        <f t="shared" si="67"/>
        <v>0.9</v>
      </c>
      <c r="W173" s="135">
        <f t="shared" si="67"/>
        <v>0.9</v>
      </c>
      <c r="X173" s="135">
        <f t="shared" si="67"/>
        <v>0.9</v>
      </c>
      <c r="Y173" s="135">
        <f t="shared" si="67"/>
        <v>0.9</v>
      </c>
      <c r="Z173" s="135">
        <f t="shared" si="67"/>
        <v>0.9</v>
      </c>
      <c r="AA173" s="135">
        <f t="shared" si="67"/>
        <v>0.9</v>
      </c>
      <c r="AB173" s="135">
        <f t="shared" si="67"/>
        <v>0.9</v>
      </c>
      <c r="AC173" s="135">
        <f t="shared" si="67"/>
        <v>0.9</v>
      </c>
      <c r="AD173" s="135">
        <f t="shared" si="67"/>
        <v>0.9</v>
      </c>
      <c r="AE173" s="135">
        <f t="shared" si="67"/>
        <v>0.9</v>
      </c>
      <c r="AF173" s="135">
        <f t="shared" si="67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65"/>
        <v>0.44</v>
      </c>
      <c r="C174" s="136">
        <v>0.44</v>
      </c>
      <c r="D174" s="135">
        <f t="shared" si="66"/>
        <v>0.44</v>
      </c>
      <c r="E174" s="135">
        <f t="shared" si="66"/>
        <v>0.44</v>
      </c>
      <c r="F174" s="135">
        <f t="shared" si="66"/>
        <v>0.44</v>
      </c>
      <c r="G174" s="135">
        <f t="shared" si="66"/>
        <v>0.44</v>
      </c>
      <c r="H174" s="135">
        <f t="shared" si="66"/>
        <v>0.44</v>
      </c>
      <c r="I174" s="135">
        <f t="shared" si="66"/>
        <v>0.44</v>
      </c>
      <c r="J174" s="135">
        <f t="shared" si="66"/>
        <v>0.44</v>
      </c>
      <c r="K174" s="135">
        <f t="shared" si="66"/>
        <v>0.44</v>
      </c>
      <c r="L174" s="135">
        <f t="shared" si="66"/>
        <v>0.44</v>
      </c>
      <c r="M174" s="135">
        <f t="shared" si="66"/>
        <v>0.44</v>
      </c>
      <c r="N174" s="135">
        <f t="shared" si="66"/>
        <v>0.44</v>
      </c>
      <c r="O174" s="135">
        <f t="shared" si="66"/>
        <v>0.44</v>
      </c>
      <c r="P174" s="135">
        <f t="shared" si="66"/>
        <v>0.44</v>
      </c>
      <c r="Q174" s="135">
        <f t="shared" si="66"/>
        <v>0.44</v>
      </c>
      <c r="R174" s="135">
        <f t="shared" si="66"/>
        <v>0.44</v>
      </c>
      <c r="S174" s="135">
        <f t="shared" si="67"/>
        <v>0.44</v>
      </c>
      <c r="T174" s="135">
        <f t="shared" si="67"/>
        <v>0.44</v>
      </c>
      <c r="U174" s="135">
        <f t="shared" si="67"/>
        <v>0.44</v>
      </c>
      <c r="V174" s="135">
        <f t="shared" si="67"/>
        <v>0.44</v>
      </c>
      <c r="W174" s="135">
        <f t="shared" si="67"/>
        <v>0.44</v>
      </c>
      <c r="X174" s="135">
        <f t="shared" si="67"/>
        <v>0.44</v>
      </c>
      <c r="Y174" s="135">
        <f t="shared" si="67"/>
        <v>0.44</v>
      </c>
      <c r="Z174" s="135">
        <f t="shared" si="67"/>
        <v>0.44</v>
      </c>
      <c r="AA174" s="135">
        <f t="shared" si="67"/>
        <v>0.44</v>
      </c>
      <c r="AB174" s="135">
        <f t="shared" si="67"/>
        <v>0.44</v>
      </c>
      <c r="AC174" s="135">
        <f t="shared" si="67"/>
        <v>0.44</v>
      </c>
      <c r="AD174" s="135">
        <f t="shared" si="67"/>
        <v>0.44</v>
      </c>
      <c r="AE174" s="135">
        <f t="shared" si="67"/>
        <v>0.44</v>
      </c>
      <c r="AF174" s="135">
        <f t="shared" si="67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65"/>
        <v>2.1</v>
      </c>
      <c r="C175" s="136">
        <v>2.1</v>
      </c>
      <c r="D175" s="135">
        <f t="shared" si="66"/>
        <v>2.1</v>
      </c>
      <c r="E175" s="135">
        <f t="shared" si="66"/>
        <v>2.1</v>
      </c>
      <c r="F175" s="135">
        <f t="shared" si="66"/>
        <v>2.1</v>
      </c>
      <c r="G175" s="135">
        <f t="shared" si="66"/>
        <v>2.1</v>
      </c>
      <c r="H175" s="135">
        <f t="shared" si="66"/>
        <v>2.1</v>
      </c>
      <c r="I175" s="135">
        <f t="shared" si="66"/>
        <v>2.1</v>
      </c>
      <c r="J175" s="135">
        <f t="shared" si="66"/>
        <v>2.1</v>
      </c>
      <c r="K175" s="135">
        <f t="shared" si="66"/>
        <v>2.1</v>
      </c>
      <c r="L175" s="135">
        <f t="shared" si="66"/>
        <v>2.1</v>
      </c>
      <c r="M175" s="135">
        <f t="shared" si="66"/>
        <v>2.1</v>
      </c>
      <c r="N175" s="135">
        <f t="shared" si="66"/>
        <v>2.1</v>
      </c>
      <c r="O175" s="135">
        <f t="shared" si="66"/>
        <v>2.1</v>
      </c>
      <c r="P175" s="135">
        <f t="shared" si="66"/>
        <v>2.1</v>
      </c>
      <c r="Q175" s="135">
        <f t="shared" si="66"/>
        <v>2.1</v>
      </c>
      <c r="R175" s="135">
        <f t="shared" si="66"/>
        <v>2.1</v>
      </c>
      <c r="S175" s="135">
        <f t="shared" si="67"/>
        <v>2.1</v>
      </c>
      <c r="T175" s="135">
        <f t="shared" si="67"/>
        <v>2.1</v>
      </c>
      <c r="U175" s="135">
        <f t="shared" si="67"/>
        <v>2.1</v>
      </c>
      <c r="V175" s="135">
        <f t="shared" si="67"/>
        <v>2.1</v>
      </c>
      <c r="W175" s="135">
        <f t="shared" si="67"/>
        <v>2.1</v>
      </c>
      <c r="X175" s="135">
        <f t="shared" si="67"/>
        <v>2.1</v>
      </c>
      <c r="Y175" s="135">
        <f t="shared" si="67"/>
        <v>2.1</v>
      </c>
      <c r="Z175" s="135">
        <f t="shared" si="67"/>
        <v>2.1</v>
      </c>
      <c r="AA175" s="135">
        <f t="shared" si="67"/>
        <v>2.1</v>
      </c>
      <c r="AB175" s="135">
        <f t="shared" si="67"/>
        <v>2.1</v>
      </c>
      <c r="AC175" s="135">
        <f t="shared" si="67"/>
        <v>2.1</v>
      </c>
      <c r="AD175" s="135">
        <f t="shared" si="67"/>
        <v>2.1</v>
      </c>
      <c r="AE175" s="135">
        <f t="shared" si="67"/>
        <v>2.1</v>
      </c>
      <c r="AF175" s="135">
        <f t="shared" si="67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65"/>
        <v>0.9</v>
      </c>
      <c r="C176" s="136">
        <v>0.9</v>
      </c>
      <c r="D176" s="135">
        <f t="shared" si="66"/>
        <v>0.9</v>
      </c>
      <c r="E176" s="135">
        <f t="shared" si="66"/>
        <v>0.9</v>
      </c>
      <c r="F176" s="135">
        <f t="shared" si="66"/>
        <v>0.9</v>
      </c>
      <c r="G176" s="135">
        <f t="shared" si="66"/>
        <v>0.9</v>
      </c>
      <c r="H176" s="135">
        <f t="shared" si="66"/>
        <v>0.9</v>
      </c>
      <c r="I176" s="135">
        <f t="shared" si="66"/>
        <v>0.9</v>
      </c>
      <c r="J176" s="135">
        <f t="shared" si="66"/>
        <v>0.9</v>
      </c>
      <c r="K176" s="135">
        <f t="shared" si="66"/>
        <v>0.9</v>
      </c>
      <c r="L176" s="135">
        <f t="shared" si="66"/>
        <v>0.9</v>
      </c>
      <c r="M176" s="135">
        <f t="shared" si="66"/>
        <v>0.9</v>
      </c>
      <c r="N176" s="135">
        <f t="shared" si="66"/>
        <v>0.9</v>
      </c>
      <c r="O176" s="135">
        <f t="shared" si="66"/>
        <v>0.9</v>
      </c>
      <c r="P176" s="135">
        <f t="shared" si="66"/>
        <v>0.9</v>
      </c>
      <c r="Q176" s="135">
        <f t="shared" si="66"/>
        <v>0.9</v>
      </c>
      <c r="R176" s="135">
        <f t="shared" si="66"/>
        <v>0.9</v>
      </c>
      <c r="S176" s="135">
        <f t="shared" si="67"/>
        <v>0.9</v>
      </c>
      <c r="T176" s="135">
        <f t="shared" si="67"/>
        <v>0.9</v>
      </c>
      <c r="U176" s="135">
        <f t="shared" si="67"/>
        <v>0.9</v>
      </c>
      <c r="V176" s="135">
        <f t="shared" si="67"/>
        <v>0.9</v>
      </c>
      <c r="W176" s="135">
        <f t="shared" si="67"/>
        <v>0.9</v>
      </c>
      <c r="X176" s="135">
        <f t="shared" si="67"/>
        <v>0.9</v>
      </c>
      <c r="Y176" s="135">
        <f t="shared" si="67"/>
        <v>0.9</v>
      </c>
      <c r="Z176" s="135">
        <f t="shared" si="67"/>
        <v>0.9</v>
      </c>
      <c r="AA176" s="135">
        <f t="shared" si="67"/>
        <v>0.9</v>
      </c>
      <c r="AB176" s="135">
        <f t="shared" si="67"/>
        <v>0.9</v>
      </c>
      <c r="AC176" s="135">
        <f t="shared" si="67"/>
        <v>0.9</v>
      </c>
      <c r="AD176" s="135">
        <f t="shared" si="67"/>
        <v>0.9</v>
      </c>
      <c r="AE176" s="135">
        <f t="shared" si="67"/>
        <v>0.9</v>
      </c>
      <c r="AF176" s="135">
        <f t="shared" si="67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68">AF178</f>
        <v>0.57999999999999996</v>
      </c>
      <c r="C178" s="136">
        <v>0.57999999999999996</v>
      </c>
      <c r="D178" s="135">
        <f t="shared" ref="D178:S190" si="69">C178</f>
        <v>0.57999999999999996</v>
      </c>
      <c r="E178" s="135">
        <f t="shared" si="69"/>
        <v>0.57999999999999996</v>
      </c>
      <c r="F178" s="135">
        <f t="shared" si="69"/>
        <v>0.57999999999999996</v>
      </c>
      <c r="G178" s="135">
        <f t="shared" si="69"/>
        <v>0.57999999999999996</v>
      </c>
      <c r="H178" s="135">
        <f t="shared" si="69"/>
        <v>0.57999999999999996</v>
      </c>
      <c r="I178" s="135">
        <f t="shared" si="69"/>
        <v>0.57999999999999996</v>
      </c>
      <c r="J178" s="135">
        <f t="shared" si="69"/>
        <v>0.57999999999999996</v>
      </c>
      <c r="K178" s="135">
        <f t="shared" si="69"/>
        <v>0.57999999999999996</v>
      </c>
      <c r="L178" s="135">
        <f t="shared" si="69"/>
        <v>0.57999999999999996</v>
      </c>
      <c r="M178" s="135">
        <f t="shared" si="69"/>
        <v>0.57999999999999996</v>
      </c>
      <c r="N178" s="135">
        <f t="shared" si="69"/>
        <v>0.57999999999999996</v>
      </c>
      <c r="O178" s="135">
        <f t="shared" si="69"/>
        <v>0.57999999999999996</v>
      </c>
      <c r="P178" s="135">
        <f t="shared" si="69"/>
        <v>0.57999999999999996</v>
      </c>
      <c r="Q178" s="135">
        <f t="shared" si="69"/>
        <v>0.57999999999999996</v>
      </c>
      <c r="R178" s="135">
        <f t="shared" si="69"/>
        <v>0.57999999999999996</v>
      </c>
      <c r="S178" s="135">
        <f t="shared" si="69"/>
        <v>0.57999999999999996</v>
      </c>
      <c r="T178" s="135">
        <f t="shared" ref="S178:AF190" si="70">S178</f>
        <v>0.57999999999999996</v>
      </c>
      <c r="U178" s="135">
        <f t="shared" si="70"/>
        <v>0.57999999999999996</v>
      </c>
      <c r="V178" s="135">
        <f t="shared" si="70"/>
        <v>0.57999999999999996</v>
      </c>
      <c r="W178" s="135">
        <f t="shared" si="70"/>
        <v>0.57999999999999996</v>
      </c>
      <c r="X178" s="135">
        <f t="shared" si="70"/>
        <v>0.57999999999999996</v>
      </c>
      <c r="Y178" s="135">
        <f t="shared" si="70"/>
        <v>0.57999999999999996</v>
      </c>
      <c r="Z178" s="135">
        <f t="shared" si="70"/>
        <v>0.57999999999999996</v>
      </c>
      <c r="AA178" s="135">
        <f t="shared" si="70"/>
        <v>0.57999999999999996</v>
      </c>
      <c r="AB178" s="135">
        <f t="shared" si="70"/>
        <v>0.57999999999999996</v>
      </c>
      <c r="AC178" s="135">
        <f t="shared" si="70"/>
        <v>0.57999999999999996</v>
      </c>
      <c r="AD178" s="135">
        <f t="shared" si="70"/>
        <v>0.57999999999999996</v>
      </c>
      <c r="AE178" s="135">
        <f t="shared" si="70"/>
        <v>0.57999999999999996</v>
      </c>
      <c r="AF178" s="135">
        <f t="shared" si="70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68"/>
        <v>0.8</v>
      </c>
      <c r="C179" s="136">
        <v>0.8</v>
      </c>
      <c r="D179" s="135">
        <f t="shared" si="69"/>
        <v>0.8</v>
      </c>
      <c r="E179" s="135">
        <f t="shared" si="69"/>
        <v>0.8</v>
      </c>
      <c r="F179" s="135">
        <f t="shared" si="69"/>
        <v>0.8</v>
      </c>
      <c r="G179" s="135">
        <f t="shared" si="69"/>
        <v>0.8</v>
      </c>
      <c r="H179" s="135">
        <f t="shared" si="69"/>
        <v>0.8</v>
      </c>
      <c r="I179" s="135">
        <f t="shared" si="69"/>
        <v>0.8</v>
      </c>
      <c r="J179" s="135">
        <f t="shared" si="69"/>
        <v>0.8</v>
      </c>
      <c r="K179" s="135">
        <f t="shared" si="69"/>
        <v>0.8</v>
      </c>
      <c r="L179" s="135">
        <f t="shared" si="69"/>
        <v>0.8</v>
      </c>
      <c r="M179" s="135">
        <f t="shared" si="69"/>
        <v>0.8</v>
      </c>
      <c r="N179" s="135">
        <f t="shared" si="69"/>
        <v>0.8</v>
      </c>
      <c r="O179" s="135">
        <f t="shared" si="69"/>
        <v>0.8</v>
      </c>
      <c r="P179" s="135">
        <f t="shared" si="69"/>
        <v>0.8</v>
      </c>
      <c r="Q179" s="135">
        <f t="shared" si="69"/>
        <v>0.8</v>
      </c>
      <c r="R179" s="135">
        <f t="shared" si="69"/>
        <v>0.8</v>
      </c>
      <c r="S179" s="135">
        <f t="shared" si="69"/>
        <v>0.8</v>
      </c>
      <c r="T179" s="135">
        <f t="shared" si="70"/>
        <v>0.8</v>
      </c>
      <c r="U179" s="135">
        <f t="shared" si="70"/>
        <v>0.8</v>
      </c>
      <c r="V179" s="135">
        <f t="shared" si="70"/>
        <v>0.8</v>
      </c>
      <c r="W179" s="135">
        <f t="shared" si="70"/>
        <v>0.8</v>
      </c>
      <c r="X179" s="135">
        <f t="shared" si="70"/>
        <v>0.8</v>
      </c>
      <c r="Y179" s="135">
        <f t="shared" si="70"/>
        <v>0.8</v>
      </c>
      <c r="Z179" s="135">
        <f t="shared" si="70"/>
        <v>0.8</v>
      </c>
      <c r="AA179" s="135">
        <f t="shared" si="70"/>
        <v>0.8</v>
      </c>
      <c r="AB179" s="135">
        <f t="shared" si="70"/>
        <v>0.8</v>
      </c>
      <c r="AC179" s="135">
        <f t="shared" si="70"/>
        <v>0.8</v>
      </c>
      <c r="AD179" s="135">
        <f t="shared" si="70"/>
        <v>0.8</v>
      </c>
      <c r="AE179" s="135">
        <f t="shared" si="70"/>
        <v>0.8</v>
      </c>
      <c r="AF179" s="135">
        <f t="shared" si="70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68"/>
        <v>0</v>
      </c>
      <c r="C180" s="136">
        <v>0</v>
      </c>
      <c r="D180" s="135">
        <f t="shared" si="69"/>
        <v>0</v>
      </c>
      <c r="E180" s="135">
        <f t="shared" si="69"/>
        <v>0</v>
      </c>
      <c r="F180" s="135">
        <f t="shared" si="69"/>
        <v>0</v>
      </c>
      <c r="G180" s="135">
        <f t="shared" si="69"/>
        <v>0</v>
      </c>
      <c r="H180" s="135">
        <f t="shared" si="69"/>
        <v>0</v>
      </c>
      <c r="I180" s="135">
        <f t="shared" si="69"/>
        <v>0</v>
      </c>
      <c r="J180" s="135">
        <f t="shared" si="69"/>
        <v>0</v>
      </c>
      <c r="K180" s="135">
        <f t="shared" si="69"/>
        <v>0</v>
      </c>
      <c r="L180" s="135">
        <f t="shared" si="69"/>
        <v>0</v>
      </c>
      <c r="M180" s="135">
        <f t="shared" si="69"/>
        <v>0</v>
      </c>
      <c r="N180" s="135">
        <f t="shared" si="69"/>
        <v>0</v>
      </c>
      <c r="O180" s="135">
        <f t="shared" si="69"/>
        <v>0</v>
      </c>
      <c r="P180" s="135">
        <f t="shared" si="69"/>
        <v>0</v>
      </c>
      <c r="Q180" s="135">
        <f t="shared" si="69"/>
        <v>0</v>
      </c>
      <c r="R180" s="135">
        <f t="shared" si="69"/>
        <v>0</v>
      </c>
      <c r="S180" s="135">
        <f t="shared" si="69"/>
        <v>0</v>
      </c>
      <c r="T180" s="135">
        <f t="shared" si="70"/>
        <v>0</v>
      </c>
      <c r="U180" s="135">
        <f t="shared" si="70"/>
        <v>0</v>
      </c>
      <c r="V180" s="135">
        <f t="shared" si="70"/>
        <v>0</v>
      </c>
      <c r="W180" s="135">
        <f t="shared" si="70"/>
        <v>0</v>
      </c>
      <c r="X180" s="135">
        <f t="shared" si="70"/>
        <v>0</v>
      </c>
      <c r="Y180" s="135">
        <f t="shared" si="70"/>
        <v>0</v>
      </c>
      <c r="Z180" s="135">
        <f t="shared" si="70"/>
        <v>0</v>
      </c>
      <c r="AA180" s="135">
        <f t="shared" si="70"/>
        <v>0</v>
      </c>
      <c r="AB180" s="135">
        <f t="shared" si="70"/>
        <v>0</v>
      </c>
      <c r="AC180" s="135">
        <f t="shared" si="70"/>
        <v>0</v>
      </c>
      <c r="AD180" s="135">
        <f t="shared" si="70"/>
        <v>0</v>
      </c>
      <c r="AE180" s="135">
        <f t="shared" si="70"/>
        <v>0</v>
      </c>
      <c r="AF180" s="135">
        <f t="shared" si="70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68"/>
        <v>0.6</v>
      </c>
      <c r="C181" s="136">
        <v>0.6</v>
      </c>
      <c r="D181" s="135">
        <f t="shared" si="69"/>
        <v>0.6</v>
      </c>
      <c r="E181" s="135">
        <f t="shared" si="69"/>
        <v>0.6</v>
      </c>
      <c r="F181" s="135">
        <f t="shared" si="69"/>
        <v>0.6</v>
      </c>
      <c r="G181" s="135">
        <f t="shared" si="69"/>
        <v>0.6</v>
      </c>
      <c r="H181" s="135">
        <f t="shared" si="69"/>
        <v>0.6</v>
      </c>
      <c r="I181" s="135">
        <f t="shared" si="69"/>
        <v>0.6</v>
      </c>
      <c r="J181" s="135">
        <f t="shared" si="69"/>
        <v>0.6</v>
      </c>
      <c r="K181" s="135">
        <f t="shared" si="69"/>
        <v>0.6</v>
      </c>
      <c r="L181" s="135">
        <f t="shared" si="69"/>
        <v>0.6</v>
      </c>
      <c r="M181" s="135">
        <f t="shared" si="69"/>
        <v>0.6</v>
      </c>
      <c r="N181" s="135">
        <f t="shared" si="69"/>
        <v>0.6</v>
      </c>
      <c r="O181" s="135">
        <f t="shared" si="69"/>
        <v>0.6</v>
      </c>
      <c r="P181" s="135">
        <f t="shared" si="69"/>
        <v>0.6</v>
      </c>
      <c r="Q181" s="135">
        <f t="shared" si="69"/>
        <v>0.6</v>
      </c>
      <c r="R181" s="135">
        <f t="shared" si="69"/>
        <v>0.6</v>
      </c>
      <c r="S181" s="135">
        <f t="shared" si="69"/>
        <v>0.6</v>
      </c>
      <c r="T181" s="135">
        <f t="shared" si="70"/>
        <v>0.6</v>
      </c>
      <c r="U181" s="135">
        <f t="shared" si="70"/>
        <v>0.6</v>
      </c>
      <c r="V181" s="135">
        <f t="shared" si="70"/>
        <v>0.6</v>
      </c>
      <c r="W181" s="135">
        <f t="shared" si="70"/>
        <v>0.6</v>
      </c>
      <c r="X181" s="135">
        <f t="shared" si="70"/>
        <v>0.6</v>
      </c>
      <c r="Y181" s="135">
        <f t="shared" si="70"/>
        <v>0.6</v>
      </c>
      <c r="Z181" s="135">
        <f t="shared" si="70"/>
        <v>0.6</v>
      </c>
      <c r="AA181" s="135">
        <f t="shared" si="70"/>
        <v>0.6</v>
      </c>
      <c r="AB181" s="135">
        <f t="shared" si="70"/>
        <v>0.6</v>
      </c>
      <c r="AC181" s="135">
        <f t="shared" si="70"/>
        <v>0.6</v>
      </c>
      <c r="AD181" s="135">
        <f t="shared" si="70"/>
        <v>0.6</v>
      </c>
      <c r="AE181" s="135">
        <f t="shared" si="70"/>
        <v>0.6</v>
      </c>
      <c r="AF181" s="135">
        <f t="shared" si="70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68"/>
        <v>0.6</v>
      </c>
      <c r="C182" s="136">
        <v>0.6</v>
      </c>
      <c r="D182" s="135">
        <f t="shared" si="69"/>
        <v>0.6</v>
      </c>
      <c r="E182" s="135">
        <f t="shared" si="69"/>
        <v>0.6</v>
      </c>
      <c r="F182" s="135">
        <f t="shared" si="69"/>
        <v>0.6</v>
      </c>
      <c r="G182" s="135">
        <f t="shared" si="69"/>
        <v>0.6</v>
      </c>
      <c r="H182" s="135">
        <f t="shared" si="69"/>
        <v>0.6</v>
      </c>
      <c r="I182" s="135">
        <f t="shared" si="69"/>
        <v>0.6</v>
      </c>
      <c r="J182" s="135">
        <f t="shared" si="69"/>
        <v>0.6</v>
      </c>
      <c r="K182" s="135">
        <f t="shared" si="69"/>
        <v>0.6</v>
      </c>
      <c r="L182" s="135">
        <f t="shared" si="69"/>
        <v>0.6</v>
      </c>
      <c r="M182" s="135">
        <f t="shared" si="69"/>
        <v>0.6</v>
      </c>
      <c r="N182" s="135">
        <f t="shared" si="69"/>
        <v>0.6</v>
      </c>
      <c r="O182" s="135">
        <f t="shared" si="69"/>
        <v>0.6</v>
      </c>
      <c r="P182" s="135">
        <f t="shared" si="69"/>
        <v>0.6</v>
      </c>
      <c r="Q182" s="135">
        <f t="shared" si="69"/>
        <v>0.6</v>
      </c>
      <c r="R182" s="135">
        <f t="shared" si="69"/>
        <v>0.6</v>
      </c>
      <c r="S182" s="135">
        <f t="shared" si="69"/>
        <v>0.6</v>
      </c>
      <c r="T182" s="135">
        <f t="shared" si="70"/>
        <v>0.6</v>
      </c>
      <c r="U182" s="135">
        <f t="shared" si="70"/>
        <v>0.6</v>
      </c>
      <c r="V182" s="135">
        <f t="shared" si="70"/>
        <v>0.6</v>
      </c>
      <c r="W182" s="135">
        <f t="shared" si="70"/>
        <v>0.6</v>
      </c>
      <c r="X182" s="135">
        <f t="shared" si="70"/>
        <v>0.6</v>
      </c>
      <c r="Y182" s="135">
        <f t="shared" si="70"/>
        <v>0.6</v>
      </c>
      <c r="Z182" s="135">
        <f t="shared" si="70"/>
        <v>0.6</v>
      </c>
      <c r="AA182" s="135">
        <f t="shared" si="70"/>
        <v>0.6</v>
      </c>
      <c r="AB182" s="135">
        <f t="shared" si="70"/>
        <v>0.6</v>
      </c>
      <c r="AC182" s="135">
        <f t="shared" si="70"/>
        <v>0.6</v>
      </c>
      <c r="AD182" s="135">
        <f t="shared" si="70"/>
        <v>0.6</v>
      </c>
      <c r="AE182" s="135">
        <f t="shared" si="70"/>
        <v>0.6</v>
      </c>
      <c r="AF182" s="135">
        <f t="shared" si="70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68"/>
        <v>0.35</v>
      </c>
      <c r="C183" s="136">
        <v>0.35</v>
      </c>
      <c r="D183" s="135">
        <f t="shared" si="69"/>
        <v>0.35</v>
      </c>
      <c r="E183" s="135">
        <f t="shared" si="69"/>
        <v>0.35</v>
      </c>
      <c r="F183" s="135">
        <f t="shared" si="69"/>
        <v>0.35</v>
      </c>
      <c r="G183" s="135">
        <f t="shared" si="69"/>
        <v>0.35</v>
      </c>
      <c r="H183" s="135">
        <f t="shared" si="69"/>
        <v>0.35</v>
      </c>
      <c r="I183" s="135">
        <f t="shared" si="69"/>
        <v>0.35</v>
      </c>
      <c r="J183" s="135">
        <f t="shared" si="69"/>
        <v>0.35</v>
      </c>
      <c r="K183" s="135">
        <f t="shared" si="69"/>
        <v>0.35</v>
      </c>
      <c r="L183" s="135">
        <f t="shared" si="69"/>
        <v>0.35</v>
      </c>
      <c r="M183" s="135">
        <f t="shared" si="69"/>
        <v>0.35</v>
      </c>
      <c r="N183" s="135">
        <f t="shared" si="69"/>
        <v>0.35</v>
      </c>
      <c r="O183" s="135">
        <f t="shared" si="69"/>
        <v>0.35</v>
      </c>
      <c r="P183" s="135">
        <f t="shared" si="69"/>
        <v>0.35</v>
      </c>
      <c r="Q183" s="135">
        <f t="shared" si="69"/>
        <v>0.35</v>
      </c>
      <c r="R183" s="135">
        <f t="shared" si="69"/>
        <v>0.35</v>
      </c>
      <c r="S183" s="135">
        <f t="shared" si="69"/>
        <v>0.35</v>
      </c>
      <c r="T183" s="135">
        <f t="shared" si="70"/>
        <v>0.35</v>
      </c>
      <c r="U183" s="135">
        <f t="shared" si="70"/>
        <v>0.35</v>
      </c>
      <c r="V183" s="135">
        <f t="shared" si="70"/>
        <v>0.35</v>
      </c>
      <c r="W183" s="135">
        <f t="shared" si="70"/>
        <v>0.35</v>
      </c>
      <c r="X183" s="135">
        <f t="shared" si="70"/>
        <v>0.35</v>
      </c>
      <c r="Y183" s="135">
        <f t="shared" si="70"/>
        <v>0.35</v>
      </c>
      <c r="Z183" s="135">
        <f t="shared" si="70"/>
        <v>0.35</v>
      </c>
      <c r="AA183" s="135">
        <f t="shared" si="70"/>
        <v>0.35</v>
      </c>
      <c r="AB183" s="135">
        <f t="shared" si="70"/>
        <v>0.35</v>
      </c>
      <c r="AC183" s="135">
        <f t="shared" si="70"/>
        <v>0.35</v>
      </c>
      <c r="AD183" s="135">
        <f t="shared" si="70"/>
        <v>0.35</v>
      </c>
      <c r="AE183" s="135">
        <f t="shared" si="70"/>
        <v>0.35</v>
      </c>
      <c r="AF183" s="135">
        <f t="shared" si="70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68"/>
        <v>0.28999999999999998</v>
      </c>
      <c r="C184" s="136">
        <v>0.28999999999999998</v>
      </c>
      <c r="D184" s="135">
        <f t="shared" si="69"/>
        <v>0.28999999999999998</v>
      </c>
      <c r="E184" s="135">
        <f t="shared" si="69"/>
        <v>0.28999999999999998</v>
      </c>
      <c r="F184" s="135">
        <f t="shared" si="69"/>
        <v>0.28999999999999998</v>
      </c>
      <c r="G184" s="135">
        <f t="shared" si="69"/>
        <v>0.28999999999999998</v>
      </c>
      <c r="H184" s="135">
        <f t="shared" si="69"/>
        <v>0.28999999999999998</v>
      </c>
      <c r="I184" s="135">
        <f t="shared" si="69"/>
        <v>0.28999999999999998</v>
      </c>
      <c r="J184" s="135">
        <f t="shared" si="69"/>
        <v>0.28999999999999998</v>
      </c>
      <c r="K184" s="135">
        <f t="shared" si="69"/>
        <v>0.28999999999999998</v>
      </c>
      <c r="L184" s="135">
        <f t="shared" si="69"/>
        <v>0.28999999999999998</v>
      </c>
      <c r="M184" s="135">
        <f t="shared" si="69"/>
        <v>0.28999999999999998</v>
      </c>
      <c r="N184" s="135">
        <f t="shared" si="69"/>
        <v>0.28999999999999998</v>
      </c>
      <c r="O184" s="135">
        <f t="shared" si="69"/>
        <v>0.28999999999999998</v>
      </c>
      <c r="P184" s="135">
        <f t="shared" si="69"/>
        <v>0.28999999999999998</v>
      </c>
      <c r="Q184" s="135">
        <f t="shared" si="69"/>
        <v>0.28999999999999998</v>
      </c>
      <c r="R184" s="135">
        <f t="shared" si="69"/>
        <v>0.28999999999999998</v>
      </c>
      <c r="S184" s="135">
        <f t="shared" si="69"/>
        <v>0.28999999999999998</v>
      </c>
      <c r="T184" s="135">
        <f t="shared" si="70"/>
        <v>0.28999999999999998</v>
      </c>
      <c r="U184" s="135">
        <f t="shared" si="70"/>
        <v>0.28999999999999998</v>
      </c>
      <c r="V184" s="135">
        <f t="shared" si="70"/>
        <v>0.28999999999999998</v>
      </c>
      <c r="W184" s="135">
        <f t="shared" si="70"/>
        <v>0.28999999999999998</v>
      </c>
      <c r="X184" s="135">
        <f t="shared" si="70"/>
        <v>0.28999999999999998</v>
      </c>
      <c r="Y184" s="135">
        <f t="shared" si="70"/>
        <v>0.28999999999999998</v>
      </c>
      <c r="Z184" s="135">
        <f t="shared" si="70"/>
        <v>0.28999999999999998</v>
      </c>
      <c r="AA184" s="135">
        <f t="shared" si="70"/>
        <v>0.28999999999999998</v>
      </c>
      <c r="AB184" s="135">
        <f t="shared" si="70"/>
        <v>0.28999999999999998</v>
      </c>
      <c r="AC184" s="135">
        <f t="shared" si="70"/>
        <v>0.28999999999999998</v>
      </c>
      <c r="AD184" s="135">
        <f t="shared" si="70"/>
        <v>0.28999999999999998</v>
      </c>
      <c r="AE184" s="135">
        <f t="shared" si="70"/>
        <v>0.28999999999999998</v>
      </c>
      <c r="AF184" s="135">
        <f t="shared" si="70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68"/>
        <v>0.06</v>
      </c>
      <c r="C185" s="136">
        <v>0.06</v>
      </c>
      <c r="D185" s="135">
        <f t="shared" si="69"/>
        <v>0.06</v>
      </c>
      <c r="E185" s="135">
        <f t="shared" si="69"/>
        <v>0.06</v>
      </c>
      <c r="F185" s="135">
        <f t="shared" si="69"/>
        <v>0.06</v>
      </c>
      <c r="G185" s="135">
        <f t="shared" si="69"/>
        <v>0.06</v>
      </c>
      <c r="H185" s="135">
        <f t="shared" si="69"/>
        <v>0.06</v>
      </c>
      <c r="I185" s="135">
        <f t="shared" si="69"/>
        <v>0.06</v>
      </c>
      <c r="J185" s="135">
        <f t="shared" si="69"/>
        <v>0.06</v>
      </c>
      <c r="K185" s="135">
        <f t="shared" si="69"/>
        <v>0.06</v>
      </c>
      <c r="L185" s="135">
        <f t="shared" si="69"/>
        <v>0.06</v>
      </c>
      <c r="M185" s="135">
        <f t="shared" si="69"/>
        <v>0.06</v>
      </c>
      <c r="N185" s="135">
        <f t="shared" si="69"/>
        <v>0.06</v>
      </c>
      <c r="O185" s="135">
        <f t="shared" si="69"/>
        <v>0.06</v>
      </c>
      <c r="P185" s="135">
        <f t="shared" si="69"/>
        <v>0.06</v>
      </c>
      <c r="Q185" s="135">
        <f t="shared" si="69"/>
        <v>0.06</v>
      </c>
      <c r="R185" s="135">
        <f t="shared" si="69"/>
        <v>0.06</v>
      </c>
      <c r="S185" s="135">
        <f t="shared" si="69"/>
        <v>0.06</v>
      </c>
      <c r="T185" s="135">
        <f t="shared" si="70"/>
        <v>0.06</v>
      </c>
      <c r="U185" s="135">
        <f t="shared" si="70"/>
        <v>0.06</v>
      </c>
      <c r="V185" s="135">
        <f t="shared" si="70"/>
        <v>0.06</v>
      </c>
      <c r="W185" s="135">
        <f t="shared" si="70"/>
        <v>0.06</v>
      </c>
      <c r="X185" s="135">
        <f t="shared" si="70"/>
        <v>0.06</v>
      </c>
      <c r="Y185" s="135">
        <f t="shared" si="70"/>
        <v>0.06</v>
      </c>
      <c r="Z185" s="135">
        <f t="shared" si="70"/>
        <v>0.06</v>
      </c>
      <c r="AA185" s="135">
        <f t="shared" si="70"/>
        <v>0.06</v>
      </c>
      <c r="AB185" s="135">
        <f t="shared" si="70"/>
        <v>0.06</v>
      </c>
      <c r="AC185" s="135">
        <f t="shared" si="70"/>
        <v>0.06</v>
      </c>
      <c r="AD185" s="135">
        <f t="shared" si="70"/>
        <v>0.06</v>
      </c>
      <c r="AE185" s="135">
        <f t="shared" si="70"/>
        <v>0.06</v>
      </c>
      <c r="AF185" s="135">
        <f t="shared" si="70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68"/>
        <v>0.11</v>
      </c>
      <c r="C186" s="136">
        <v>0.11</v>
      </c>
      <c r="D186" s="135">
        <f t="shared" si="69"/>
        <v>0.11</v>
      </c>
      <c r="E186" s="135">
        <f t="shared" si="69"/>
        <v>0.11</v>
      </c>
      <c r="F186" s="135">
        <f t="shared" si="69"/>
        <v>0.11</v>
      </c>
      <c r="G186" s="135">
        <f t="shared" si="69"/>
        <v>0.11</v>
      </c>
      <c r="H186" s="135">
        <f t="shared" si="69"/>
        <v>0.11</v>
      </c>
      <c r="I186" s="135">
        <f t="shared" si="69"/>
        <v>0.11</v>
      </c>
      <c r="J186" s="135">
        <f t="shared" si="69"/>
        <v>0.11</v>
      </c>
      <c r="K186" s="135">
        <f t="shared" si="69"/>
        <v>0.11</v>
      </c>
      <c r="L186" s="135">
        <f t="shared" si="69"/>
        <v>0.11</v>
      </c>
      <c r="M186" s="135">
        <f t="shared" si="69"/>
        <v>0.11</v>
      </c>
      <c r="N186" s="135">
        <f t="shared" si="69"/>
        <v>0.11</v>
      </c>
      <c r="O186" s="135">
        <f t="shared" si="69"/>
        <v>0.11</v>
      </c>
      <c r="P186" s="135">
        <f t="shared" si="69"/>
        <v>0.11</v>
      </c>
      <c r="Q186" s="135">
        <f t="shared" si="69"/>
        <v>0.11</v>
      </c>
      <c r="R186" s="135">
        <f t="shared" si="69"/>
        <v>0.11</v>
      </c>
      <c r="S186" s="135">
        <f t="shared" si="69"/>
        <v>0.11</v>
      </c>
      <c r="T186" s="135">
        <f t="shared" si="70"/>
        <v>0.11</v>
      </c>
      <c r="U186" s="135">
        <f t="shared" si="70"/>
        <v>0.11</v>
      </c>
      <c r="V186" s="135">
        <f t="shared" si="70"/>
        <v>0.11</v>
      </c>
      <c r="W186" s="135">
        <f t="shared" si="70"/>
        <v>0.11</v>
      </c>
      <c r="X186" s="135">
        <f t="shared" si="70"/>
        <v>0.11</v>
      </c>
      <c r="Y186" s="135">
        <f t="shared" si="70"/>
        <v>0.11</v>
      </c>
      <c r="Z186" s="135">
        <f t="shared" si="70"/>
        <v>0.11</v>
      </c>
      <c r="AA186" s="135">
        <f t="shared" si="70"/>
        <v>0.11</v>
      </c>
      <c r="AB186" s="135">
        <f t="shared" si="70"/>
        <v>0.11</v>
      </c>
      <c r="AC186" s="135">
        <f t="shared" si="70"/>
        <v>0.11</v>
      </c>
      <c r="AD186" s="135">
        <f t="shared" si="70"/>
        <v>0.11</v>
      </c>
      <c r="AE186" s="135">
        <f t="shared" si="70"/>
        <v>0.11</v>
      </c>
      <c r="AF186" s="135">
        <f t="shared" si="70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68"/>
        <v>0.1</v>
      </c>
      <c r="C187" s="136">
        <v>0.1</v>
      </c>
      <c r="D187" s="135">
        <f t="shared" si="69"/>
        <v>0.1</v>
      </c>
      <c r="E187" s="135">
        <f t="shared" si="69"/>
        <v>0.1</v>
      </c>
      <c r="F187" s="135">
        <f t="shared" si="69"/>
        <v>0.1</v>
      </c>
      <c r="G187" s="135">
        <f t="shared" si="69"/>
        <v>0.1</v>
      </c>
      <c r="H187" s="135">
        <f t="shared" si="69"/>
        <v>0.1</v>
      </c>
      <c r="I187" s="135">
        <f t="shared" si="69"/>
        <v>0.1</v>
      </c>
      <c r="J187" s="135">
        <f t="shared" si="69"/>
        <v>0.1</v>
      </c>
      <c r="K187" s="135">
        <f t="shared" si="69"/>
        <v>0.1</v>
      </c>
      <c r="L187" s="135">
        <f t="shared" si="69"/>
        <v>0.1</v>
      </c>
      <c r="M187" s="135">
        <f t="shared" si="69"/>
        <v>0.1</v>
      </c>
      <c r="N187" s="135">
        <f t="shared" si="69"/>
        <v>0.1</v>
      </c>
      <c r="O187" s="135">
        <f t="shared" si="69"/>
        <v>0.1</v>
      </c>
      <c r="P187" s="135">
        <f t="shared" si="69"/>
        <v>0.1</v>
      </c>
      <c r="Q187" s="135">
        <f t="shared" si="69"/>
        <v>0.1</v>
      </c>
      <c r="R187" s="135">
        <f t="shared" si="69"/>
        <v>0.1</v>
      </c>
      <c r="S187" s="135">
        <f t="shared" si="70"/>
        <v>0.1</v>
      </c>
      <c r="T187" s="135">
        <f t="shared" si="70"/>
        <v>0.1</v>
      </c>
      <c r="U187" s="135">
        <f t="shared" si="70"/>
        <v>0.1</v>
      </c>
      <c r="V187" s="135">
        <f t="shared" si="70"/>
        <v>0.1</v>
      </c>
      <c r="W187" s="135">
        <f t="shared" si="70"/>
        <v>0.1</v>
      </c>
      <c r="X187" s="135">
        <f t="shared" si="70"/>
        <v>0.1</v>
      </c>
      <c r="Y187" s="135">
        <f t="shared" si="70"/>
        <v>0.1</v>
      </c>
      <c r="Z187" s="135">
        <f t="shared" si="70"/>
        <v>0.1</v>
      </c>
      <c r="AA187" s="135">
        <f t="shared" si="70"/>
        <v>0.1</v>
      </c>
      <c r="AB187" s="135">
        <f t="shared" si="70"/>
        <v>0.1</v>
      </c>
      <c r="AC187" s="135">
        <f t="shared" si="70"/>
        <v>0.1</v>
      </c>
      <c r="AD187" s="135">
        <f t="shared" si="70"/>
        <v>0.1</v>
      </c>
      <c r="AE187" s="135">
        <f t="shared" si="70"/>
        <v>0.1</v>
      </c>
      <c r="AF187" s="135">
        <f t="shared" si="70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68"/>
        <v>0.09</v>
      </c>
      <c r="C188" s="136">
        <v>0.09</v>
      </c>
      <c r="D188" s="135">
        <f t="shared" si="69"/>
        <v>0.09</v>
      </c>
      <c r="E188" s="135">
        <f t="shared" si="69"/>
        <v>0.09</v>
      </c>
      <c r="F188" s="135">
        <f t="shared" si="69"/>
        <v>0.09</v>
      </c>
      <c r="G188" s="135">
        <f t="shared" si="69"/>
        <v>0.09</v>
      </c>
      <c r="H188" s="135">
        <f t="shared" si="69"/>
        <v>0.09</v>
      </c>
      <c r="I188" s="135">
        <f t="shared" si="69"/>
        <v>0.09</v>
      </c>
      <c r="J188" s="135">
        <f t="shared" si="69"/>
        <v>0.09</v>
      </c>
      <c r="K188" s="135">
        <f t="shared" si="69"/>
        <v>0.09</v>
      </c>
      <c r="L188" s="135">
        <f t="shared" si="69"/>
        <v>0.09</v>
      </c>
      <c r="M188" s="135">
        <f t="shared" si="69"/>
        <v>0.09</v>
      </c>
      <c r="N188" s="135">
        <f t="shared" si="69"/>
        <v>0.09</v>
      </c>
      <c r="O188" s="135">
        <f t="shared" si="69"/>
        <v>0.09</v>
      </c>
      <c r="P188" s="135">
        <f t="shared" si="69"/>
        <v>0.09</v>
      </c>
      <c r="Q188" s="135">
        <f t="shared" si="69"/>
        <v>0.09</v>
      </c>
      <c r="R188" s="135">
        <f t="shared" si="69"/>
        <v>0.09</v>
      </c>
      <c r="S188" s="135">
        <f t="shared" si="70"/>
        <v>0.09</v>
      </c>
      <c r="T188" s="135">
        <f t="shared" si="70"/>
        <v>0.09</v>
      </c>
      <c r="U188" s="135">
        <f t="shared" si="70"/>
        <v>0.09</v>
      </c>
      <c r="V188" s="135">
        <f t="shared" si="70"/>
        <v>0.09</v>
      </c>
      <c r="W188" s="135">
        <f t="shared" si="70"/>
        <v>0.09</v>
      </c>
      <c r="X188" s="135">
        <f t="shared" si="70"/>
        <v>0.09</v>
      </c>
      <c r="Y188" s="135">
        <f t="shared" si="70"/>
        <v>0.09</v>
      </c>
      <c r="Z188" s="135">
        <f t="shared" si="70"/>
        <v>0.09</v>
      </c>
      <c r="AA188" s="135">
        <f t="shared" si="70"/>
        <v>0.09</v>
      </c>
      <c r="AB188" s="135">
        <f t="shared" si="70"/>
        <v>0.09</v>
      </c>
      <c r="AC188" s="135">
        <f t="shared" si="70"/>
        <v>0.09</v>
      </c>
      <c r="AD188" s="135">
        <f t="shared" si="70"/>
        <v>0.09</v>
      </c>
      <c r="AE188" s="135">
        <f t="shared" si="70"/>
        <v>0.09</v>
      </c>
      <c r="AF188" s="135">
        <f t="shared" si="70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68"/>
        <v>0.04</v>
      </c>
      <c r="C189" s="52">
        <v>0.04</v>
      </c>
      <c r="D189" s="135">
        <f t="shared" si="69"/>
        <v>0.04</v>
      </c>
      <c r="E189" s="135">
        <f t="shared" si="69"/>
        <v>0.04</v>
      </c>
      <c r="F189" s="135">
        <f t="shared" si="69"/>
        <v>0.04</v>
      </c>
      <c r="G189" s="135">
        <f t="shared" si="69"/>
        <v>0.04</v>
      </c>
      <c r="H189" s="135">
        <f t="shared" si="69"/>
        <v>0.04</v>
      </c>
      <c r="I189" s="135">
        <f t="shared" si="69"/>
        <v>0.04</v>
      </c>
      <c r="J189" s="135">
        <f t="shared" si="69"/>
        <v>0.04</v>
      </c>
      <c r="K189" s="135">
        <f t="shared" si="69"/>
        <v>0.04</v>
      </c>
      <c r="L189" s="135">
        <f t="shared" si="69"/>
        <v>0.04</v>
      </c>
      <c r="M189" s="135">
        <f t="shared" si="69"/>
        <v>0.04</v>
      </c>
      <c r="N189" s="135">
        <f t="shared" si="69"/>
        <v>0.04</v>
      </c>
      <c r="O189" s="135">
        <f t="shared" si="69"/>
        <v>0.04</v>
      </c>
      <c r="P189" s="135">
        <f t="shared" si="69"/>
        <v>0.04</v>
      </c>
      <c r="Q189" s="135">
        <f t="shared" si="69"/>
        <v>0.04</v>
      </c>
      <c r="R189" s="135">
        <f t="shared" si="69"/>
        <v>0.04</v>
      </c>
      <c r="S189" s="135">
        <f t="shared" si="70"/>
        <v>0.04</v>
      </c>
      <c r="T189" s="135">
        <f t="shared" si="70"/>
        <v>0.04</v>
      </c>
      <c r="U189" s="135">
        <f t="shared" si="70"/>
        <v>0.04</v>
      </c>
      <c r="V189" s="135">
        <f t="shared" si="70"/>
        <v>0.04</v>
      </c>
      <c r="W189" s="135">
        <f t="shared" si="70"/>
        <v>0.04</v>
      </c>
      <c r="X189" s="135">
        <f t="shared" si="70"/>
        <v>0.04</v>
      </c>
      <c r="Y189" s="135">
        <f t="shared" si="70"/>
        <v>0.04</v>
      </c>
      <c r="Z189" s="135">
        <f t="shared" si="70"/>
        <v>0.04</v>
      </c>
      <c r="AA189" s="135">
        <f t="shared" si="70"/>
        <v>0.04</v>
      </c>
      <c r="AB189" s="135">
        <f t="shared" si="70"/>
        <v>0.04</v>
      </c>
      <c r="AC189" s="135">
        <f t="shared" si="70"/>
        <v>0.04</v>
      </c>
      <c r="AD189" s="135">
        <f t="shared" si="70"/>
        <v>0.04</v>
      </c>
      <c r="AE189" s="135">
        <f t="shared" si="70"/>
        <v>0.04</v>
      </c>
      <c r="AF189" s="135">
        <f t="shared" si="70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68"/>
        <v>2.3E-2</v>
      </c>
      <c r="C190" s="52">
        <v>2.3E-2</v>
      </c>
      <c r="D190" s="135">
        <f>C190</f>
        <v>2.3E-2</v>
      </c>
      <c r="E190" s="135">
        <f t="shared" si="69"/>
        <v>2.3E-2</v>
      </c>
      <c r="F190" s="135">
        <f t="shared" si="69"/>
        <v>2.3E-2</v>
      </c>
      <c r="G190" s="135">
        <f t="shared" si="69"/>
        <v>2.3E-2</v>
      </c>
      <c r="H190" s="135">
        <f t="shared" si="69"/>
        <v>2.3E-2</v>
      </c>
      <c r="I190" s="135">
        <f t="shared" si="69"/>
        <v>2.3E-2</v>
      </c>
      <c r="J190" s="135">
        <f t="shared" si="69"/>
        <v>2.3E-2</v>
      </c>
      <c r="K190" s="135">
        <f t="shared" si="69"/>
        <v>2.3E-2</v>
      </c>
      <c r="L190" s="135">
        <f t="shared" si="69"/>
        <v>2.3E-2</v>
      </c>
      <c r="M190" s="135">
        <f t="shared" si="69"/>
        <v>2.3E-2</v>
      </c>
      <c r="N190" s="135">
        <f t="shared" si="69"/>
        <v>2.3E-2</v>
      </c>
      <c r="O190" s="135">
        <f t="shared" si="69"/>
        <v>2.3E-2</v>
      </c>
      <c r="P190" s="135">
        <f t="shared" si="69"/>
        <v>2.3E-2</v>
      </c>
      <c r="Q190" s="135">
        <f t="shared" si="69"/>
        <v>2.3E-2</v>
      </c>
      <c r="R190" s="135">
        <f t="shared" si="69"/>
        <v>2.3E-2</v>
      </c>
      <c r="S190" s="135">
        <f t="shared" si="70"/>
        <v>2.3E-2</v>
      </c>
      <c r="T190" s="135">
        <f t="shared" si="70"/>
        <v>2.3E-2</v>
      </c>
      <c r="U190" s="135">
        <f t="shared" si="70"/>
        <v>2.3E-2</v>
      </c>
      <c r="V190" s="135">
        <f t="shared" si="70"/>
        <v>2.3E-2</v>
      </c>
      <c r="W190" s="135">
        <f t="shared" si="70"/>
        <v>2.3E-2</v>
      </c>
      <c r="X190" s="135">
        <f t="shared" si="70"/>
        <v>2.3E-2</v>
      </c>
      <c r="Y190" s="135">
        <f t="shared" si="70"/>
        <v>2.3E-2</v>
      </c>
      <c r="Z190" s="135">
        <f t="shared" si="70"/>
        <v>2.3E-2</v>
      </c>
      <c r="AA190" s="135">
        <f t="shared" si="70"/>
        <v>2.3E-2</v>
      </c>
      <c r="AB190" s="135">
        <f t="shared" si="70"/>
        <v>2.3E-2</v>
      </c>
      <c r="AC190" s="135">
        <f t="shared" si="70"/>
        <v>2.3E-2</v>
      </c>
      <c r="AD190" s="135">
        <f t="shared" si="70"/>
        <v>2.3E-2</v>
      </c>
      <c r="AE190" s="135">
        <f t="shared" si="70"/>
        <v>2.3E-2</v>
      </c>
      <c r="AF190" s="135">
        <f t="shared" si="70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71">SUM(C101:C190)</f>
        <v>194.70600000000002</v>
      </c>
      <c r="D191" s="140">
        <f t="shared" si="71"/>
        <v>194.70600000000002</v>
      </c>
      <c r="E191" s="140">
        <f t="shared" si="71"/>
        <v>194.70600000000002</v>
      </c>
      <c r="F191" s="140">
        <f t="shared" si="71"/>
        <v>194.70600000000002</v>
      </c>
      <c r="G191" s="140">
        <f t="shared" si="71"/>
        <v>194.70600000000002</v>
      </c>
      <c r="H191" s="140">
        <f t="shared" si="71"/>
        <v>194.70600000000002</v>
      </c>
      <c r="I191" s="140">
        <f t="shared" si="71"/>
        <v>194.70600000000002</v>
      </c>
      <c r="J191" s="140">
        <f t="shared" si="71"/>
        <v>192.10600000000005</v>
      </c>
      <c r="K191" s="140">
        <f t="shared" si="71"/>
        <v>192.10600000000005</v>
      </c>
      <c r="L191" s="140">
        <f t="shared" si="71"/>
        <v>192.10600000000005</v>
      </c>
      <c r="M191" s="140">
        <f t="shared" si="71"/>
        <v>192.10600000000005</v>
      </c>
      <c r="N191" s="140">
        <f t="shared" si="71"/>
        <v>192.10600000000005</v>
      </c>
      <c r="O191" s="140">
        <f t="shared" si="71"/>
        <v>192.10600000000005</v>
      </c>
      <c r="P191" s="140">
        <f t="shared" si="71"/>
        <v>192.10600000000005</v>
      </c>
      <c r="Q191" s="140">
        <f t="shared" si="71"/>
        <v>192.10600000000005</v>
      </c>
      <c r="R191" s="140">
        <f t="shared" si="71"/>
        <v>192.10600000000005</v>
      </c>
      <c r="S191" s="140">
        <f t="shared" si="71"/>
        <v>192.10600000000005</v>
      </c>
      <c r="T191" s="140">
        <f t="shared" si="71"/>
        <v>192.10600000000005</v>
      </c>
      <c r="U191" s="140">
        <f t="shared" si="71"/>
        <v>192.10600000000005</v>
      </c>
      <c r="V191" s="140">
        <f t="shared" si="71"/>
        <v>192.10600000000005</v>
      </c>
      <c r="W191" s="140">
        <f t="shared" si="71"/>
        <v>192.10600000000005</v>
      </c>
      <c r="X191" s="140">
        <f t="shared" si="71"/>
        <v>192.10600000000005</v>
      </c>
      <c r="Y191" s="140">
        <f t="shared" si="71"/>
        <v>192.10600000000005</v>
      </c>
      <c r="Z191" s="140">
        <f t="shared" si="71"/>
        <v>192.10600000000005</v>
      </c>
      <c r="AA191" s="140">
        <f t="shared" si="71"/>
        <v>192.10600000000005</v>
      </c>
      <c r="AB191" s="140">
        <f t="shared" si="71"/>
        <v>192.10600000000005</v>
      </c>
      <c r="AC191" s="140">
        <f t="shared" si="71"/>
        <v>192.10600000000005</v>
      </c>
      <c r="AD191" s="140">
        <f t="shared" si="71"/>
        <v>192.10600000000005</v>
      </c>
      <c r="AE191" s="140">
        <f t="shared" si="71"/>
        <v>192.10600000000005</v>
      </c>
      <c r="AF191" s="140">
        <f t="shared" si="71"/>
        <v>192.10600000000005</v>
      </c>
      <c r="AG191" s="141">
        <f t="shared" si="71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72">AF193</f>
        <v>0.3</v>
      </c>
      <c r="C193" s="142">
        <v>0.3</v>
      </c>
      <c r="D193" s="142">
        <f t="shared" ref="D193:S198" si="73">C193</f>
        <v>0.3</v>
      </c>
      <c r="E193" s="142">
        <f t="shared" si="73"/>
        <v>0.3</v>
      </c>
      <c r="F193" s="142">
        <f t="shared" si="73"/>
        <v>0.3</v>
      </c>
      <c r="G193" s="142">
        <f t="shared" si="73"/>
        <v>0.3</v>
      </c>
      <c r="H193" s="142">
        <f t="shared" si="73"/>
        <v>0.3</v>
      </c>
      <c r="I193" s="142">
        <f t="shared" si="73"/>
        <v>0.3</v>
      </c>
      <c r="J193" s="142">
        <f t="shared" si="73"/>
        <v>0.3</v>
      </c>
      <c r="K193" s="142">
        <f t="shared" si="73"/>
        <v>0.3</v>
      </c>
      <c r="L193" s="142">
        <f t="shared" si="73"/>
        <v>0.3</v>
      </c>
      <c r="M193" s="142">
        <f t="shared" si="73"/>
        <v>0.3</v>
      </c>
      <c r="N193" s="142">
        <f t="shared" si="73"/>
        <v>0.3</v>
      </c>
      <c r="O193" s="142">
        <f t="shared" si="73"/>
        <v>0.3</v>
      </c>
      <c r="P193" s="142">
        <f t="shared" si="73"/>
        <v>0.3</v>
      </c>
      <c r="Q193" s="142">
        <f t="shared" si="73"/>
        <v>0.3</v>
      </c>
      <c r="R193" s="142">
        <f t="shared" si="73"/>
        <v>0.3</v>
      </c>
      <c r="S193" s="142">
        <f t="shared" si="73"/>
        <v>0.3</v>
      </c>
      <c r="T193" s="142">
        <f t="shared" ref="T193:AF198" si="74">S193</f>
        <v>0.3</v>
      </c>
      <c r="U193" s="142">
        <f t="shared" si="74"/>
        <v>0.3</v>
      </c>
      <c r="V193" s="142">
        <f t="shared" si="74"/>
        <v>0.3</v>
      </c>
      <c r="W193" s="142">
        <f t="shared" si="74"/>
        <v>0.3</v>
      </c>
      <c r="X193" s="142">
        <f t="shared" si="74"/>
        <v>0.3</v>
      </c>
      <c r="Y193" s="142">
        <f t="shared" si="74"/>
        <v>0.3</v>
      </c>
      <c r="Z193" s="142">
        <f t="shared" si="74"/>
        <v>0.3</v>
      </c>
      <c r="AA193" s="142">
        <f t="shared" si="74"/>
        <v>0.3</v>
      </c>
      <c r="AB193" s="142">
        <f t="shared" si="74"/>
        <v>0.3</v>
      </c>
      <c r="AC193" s="142">
        <f t="shared" si="74"/>
        <v>0.3</v>
      </c>
      <c r="AD193" s="142">
        <f t="shared" si="74"/>
        <v>0.3</v>
      </c>
      <c r="AE193" s="142">
        <f t="shared" si="74"/>
        <v>0.3</v>
      </c>
      <c r="AF193" s="142">
        <f t="shared" si="74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72"/>
        <v>0.4</v>
      </c>
      <c r="C194" s="135">
        <v>0.4</v>
      </c>
      <c r="D194" s="135">
        <f t="shared" si="73"/>
        <v>0.4</v>
      </c>
      <c r="E194" s="135">
        <f t="shared" si="73"/>
        <v>0.4</v>
      </c>
      <c r="F194" s="135">
        <f t="shared" si="73"/>
        <v>0.4</v>
      </c>
      <c r="G194" s="135">
        <f t="shared" si="73"/>
        <v>0.4</v>
      </c>
      <c r="H194" s="135">
        <f t="shared" si="73"/>
        <v>0.4</v>
      </c>
      <c r="I194" s="135">
        <f t="shared" si="73"/>
        <v>0.4</v>
      </c>
      <c r="J194" s="135">
        <f t="shared" si="73"/>
        <v>0.4</v>
      </c>
      <c r="K194" s="135">
        <f t="shared" si="73"/>
        <v>0.4</v>
      </c>
      <c r="L194" s="135">
        <f t="shared" si="73"/>
        <v>0.4</v>
      </c>
      <c r="M194" s="135">
        <f t="shared" si="73"/>
        <v>0.4</v>
      </c>
      <c r="N194" s="135">
        <f t="shared" si="73"/>
        <v>0.4</v>
      </c>
      <c r="O194" s="135">
        <f t="shared" si="73"/>
        <v>0.4</v>
      </c>
      <c r="P194" s="135">
        <f t="shared" si="73"/>
        <v>0.4</v>
      </c>
      <c r="Q194" s="135">
        <f t="shared" si="73"/>
        <v>0.4</v>
      </c>
      <c r="R194" s="135">
        <f t="shared" si="73"/>
        <v>0.4</v>
      </c>
      <c r="S194" s="135">
        <f t="shared" si="73"/>
        <v>0.4</v>
      </c>
      <c r="T194" s="135">
        <f t="shared" si="74"/>
        <v>0.4</v>
      </c>
      <c r="U194" s="135">
        <f t="shared" si="74"/>
        <v>0.4</v>
      </c>
      <c r="V194" s="135">
        <f t="shared" si="74"/>
        <v>0.4</v>
      </c>
      <c r="W194" s="135">
        <f>V194</f>
        <v>0.4</v>
      </c>
      <c r="X194" s="135">
        <f>W194</f>
        <v>0.4</v>
      </c>
      <c r="Y194" s="135">
        <f t="shared" si="74"/>
        <v>0.4</v>
      </c>
      <c r="Z194" s="135">
        <f t="shared" si="74"/>
        <v>0.4</v>
      </c>
      <c r="AA194" s="135">
        <f t="shared" si="74"/>
        <v>0.4</v>
      </c>
      <c r="AB194" s="135">
        <f t="shared" si="74"/>
        <v>0.4</v>
      </c>
      <c r="AC194" s="135">
        <f t="shared" si="74"/>
        <v>0.4</v>
      </c>
      <c r="AD194" s="135">
        <f t="shared" si="74"/>
        <v>0.4</v>
      </c>
      <c r="AE194" s="135">
        <f t="shared" si="74"/>
        <v>0.4</v>
      </c>
      <c r="AF194" s="135">
        <f t="shared" si="74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72"/>
        <v>1.5</v>
      </c>
      <c r="C195" s="135">
        <v>1.5</v>
      </c>
      <c r="D195" s="135">
        <f t="shared" si="73"/>
        <v>1.5</v>
      </c>
      <c r="E195" s="135">
        <f t="shared" si="73"/>
        <v>1.5</v>
      </c>
      <c r="F195" s="135">
        <f t="shared" si="73"/>
        <v>1.5</v>
      </c>
      <c r="G195" s="135">
        <f t="shared" si="73"/>
        <v>1.5</v>
      </c>
      <c r="H195" s="135">
        <f t="shared" si="73"/>
        <v>1.5</v>
      </c>
      <c r="I195" s="135">
        <f t="shared" si="73"/>
        <v>1.5</v>
      </c>
      <c r="J195" s="135">
        <f t="shared" si="73"/>
        <v>1.5</v>
      </c>
      <c r="K195" s="135">
        <f t="shared" si="73"/>
        <v>1.5</v>
      </c>
      <c r="L195" s="135">
        <f t="shared" si="73"/>
        <v>1.5</v>
      </c>
      <c r="M195" s="135">
        <f t="shared" si="73"/>
        <v>1.5</v>
      </c>
      <c r="N195" s="135">
        <f t="shared" si="73"/>
        <v>1.5</v>
      </c>
      <c r="O195" s="135">
        <f t="shared" si="73"/>
        <v>1.5</v>
      </c>
      <c r="P195" s="135">
        <f t="shared" si="73"/>
        <v>1.5</v>
      </c>
      <c r="Q195" s="135">
        <f t="shared" si="73"/>
        <v>1.5</v>
      </c>
      <c r="R195" s="135">
        <f t="shared" si="73"/>
        <v>1.5</v>
      </c>
      <c r="S195" s="135">
        <f t="shared" si="73"/>
        <v>1.5</v>
      </c>
      <c r="T195" s="135">
        <f t="shared" si="74"/>
        <v>1.5</v>
      </c>
      <c r="U195" s="135">
        <f t="shared" si="74"/>
        <v>1.5</v>
      </c>
      <c r="V195" s="135">
        <f t="shared" si="74"/>
        <v>1.5</v>
      </c>
      <c r="W195" s="135">
        <f t="shared" si="74"/>
        <v>1.5</v>
      </c>
      <c r="X195" s="135">
        <f t="shared" si="74"/>
        <v>1.5</v>
      </c>
      <c r="Y195" s="135">
        <f t="shared" si="74"/>
        <v>1.5</v>
      </c>
      <c r="Z195" s="135">
        <f t="shared" si="74"/>
        <v>1.5</v>
      </c>
      <c r="AA195" s="135">
        <f t="shared" si="74"/>
        <v>1.5</v>
      </c>
      <c r="AB195" s="135">
        <f t="shared" si="74"/>
        <v>1.5</v>
      </c>
      <c r="AC195" s="135">
        <f t="shared" si="74"/>
        <v>1.5</v>
      </c>
      <c r="AD195" s="135">
        <f t="shared" si="74"/>
        <v>1.5</v>
      </c>
      <c r="AE195" s="135">
        <f t="shared" si="74"/>
        <v>1.5</v>
      </c>
      <c r="AF195" s="135">
        <f t="shared" si="74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72"/>
        <v>0.3</v>
      </c>
      <c r="C196" s="135">
        <v>0.3</v>
      </c>
      <c r="D196" s="135">
        <f t="shared" si="73"/>
        <v>0.3</v>
      </c>
      <c r="E196" s="135">
        <f t="shared" si="73"/>
        <v>0.3</v>
      </c>
      <c r="F196" s="135">
        <f t="shared" si="73"/>
        <v>0.3</v>
      </c>
      <c r="G196" s="135">
        <f t="shared" si="73"/>
        <v>0.3</v>
      </c>
      <c r="H196" s="135">
        <f t="shared" si="73"/>
        <v>0.3</v>
      </c>
      <c r="I196" s="135">
        <f t="shared" si="73"/>
        <v>0.3</v>
      </c>
      <c r="J196" s="135">
        <f t="shared" si="73"/>
        <v>0.3</v>
      </c>
      <c r="K196" s="135">
        <f t="shared" si="73"/>
        <v>0.3</v>
      </c>
      <c r="L196" s="135">
        <f t="shared" si="73"/>
        <v>0.3</v>
      </c>
      <c r="M196" s="135">
        <f t="shared" si="73"/>
        <v>0.3</v>
      </c>
      <c r="N196" s="135">
        <f t="shared" si="73"/>
        <v>0.3</v>
      </c>
      <c r="O196" s="135">
        <f t="shared" si="73"/>
        <v>0.3</v>
      </c>
      <c r="P196" s="135">
        <f t="shared" si="73"/>
        <v>0.3</v>
      </c>
      <c r="Q196" s="135">
        <f t="shared" si="73"/>
        <v>0.3</v>
      </c>
      <c r="R196" s="135">
        <f t="shared" si="73"/>
        <v>0.3</v>
      </c>
      <c r="S196" s="135">
        <f t="shared" si="73"/>
        <v>0.3</v>
      </c>
      <c r="T196" s="135">
        <f t="shared" si="74"/>
        <v>0.3</v>
      </c>
      <c r="U196" s="135">
        <f t="shared" si="74"/>
        <v>0.3</v>
      </c>
      <c r="V196" s="135">
        <f t="shared" si="74"/>
        <v>0.3</v>
      </c>
      <c r="W196" s="135">
        <f t="shared" si="74"/>
        <v>0.3</v>
      </c>
      <c r="X196" s="135">
        <f t="shared" si="74"/>
        <v>0.3</v>
      </c>
      <c r="Y196" s="135">
        <f t="shared" si="74"/>
        <v>0.3</v>
      </c>
      <c r="Z196" s="135">
        <f t="shared" si="74"/>
        <v>0.3</v>
      </c>
      <c r="AA196" s="135">
        <f t="shared" si="74"/>
        <v>0.3</v>
      </c>
      <c r="AB196" s="135">
        <f t="shared" si="74"/>
        <v>0.3</v>
      </c>
      <c r="AC196" s="135">
        <f t="shared" si="74"/>
        <v>0.3</v>
      </c>
      <c r="AD196" s="135">
        <f t="shared" si="74"/>
        <v>0.3</v>
      </c>
      <c r="AE196" s="135">
        <f t="shared" si="74"/>
        <v>0.3</v>
      </c>
      <c r="AF196" s="135">
        <f t="shared" si="74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72"/>
        <v>0.4</v>
      </c>
      <c r="C197" s="135">
        <v>0.4</v>
      </c>
      <c r="D197" s="135">
        <f t="shared" si="73"/>
        <v>0.4</v>
      </c>
      <c r="E197" s="135">
        <f t="shared" si="73"/>
        <v>0.4</v>
      </c>
      <c r="F197" s="135">
        <f t="shared" si="73"/>
        <v>0.4</v>
      </c>
      <c r="G197" s="135">
        <f t="shared" si="73"/>
        <v>0.4</v>
      </c>
      <c r="H197" s="135">
        <f t="shared" si="73"/>
        <v>0.4</v>
      </c>
      <c r="I197" s="135">
        <f t="shared" si="73"/>
        <v>0.4</v>
      </c>
      <c r="J197" s="135">
        <f t="shared" si="73"/>
        <v>0.4</v>
      </c>
      <c r="K197" s="135">
        <f t="shared" si="73"/>
        <v>0.4</v>
      </c>
      <c r="L197" s="135">
        <f t="shared" si="73"/>
        <v>0.4</v>
      </c>
      <c r="M197" s="135">
        <f t="shared" si="73"/>
        <v>0.4</v>
      </c>
      <c r="N197" s="135">
        <f t="shared" si="73"/>
        <v>0.4</v>
      </c>
      <c r="O197" s="135">
        <f t="shared" si="73"/>
        <v>0.4</v>
      </c>
      <c r="P197" s="135">
        <f t="shared" si="73"/>
        <v>0.4</v>
      </c>
      <c r="Q197" s="135">
        <f t="shared" si="73"/>
        <v>0.4</v>
      </c>
      <c r="R197" s="135">
        <f t="shared" si="73"/>
        <v>0.4</v>
      </c>
      <c r="S197" s="135">
        <f t="shared" si="73"/>
        <v>0.4</v>
      </c>
      <c r="T197" s="135">
        <f t="shared" si="74"/>
        <v>0.4</v>
      </c>
      <c r="U197" s="135">
        <f t="shared" si="74"/>
        <v>0.4</v>
      </c>
      <c r="V197" s="135">
        <f t="shared" si="74"/>
        <v>0.4</v>
      </c>
      <c r="W197" s="135">
        <f t="shared" si="74"/>
        <v>0.4</v>
      </c>
      <c r="X197" s="135">
        <f t="shared" si="74"/>
        <v>0.4</v>
      </c>
      <c r="Y197" s="135">
        <f t="shared" si="74"/>
        <v>0.4</v>
      </c>
      <c r="Z197" s="135">
        <f t="shared" si="74"/>
        <v>0.4</v>
      </c>
      <c r="AA197" s="135">
        <f t="shared" si="74"/>
        <v>0.4</v>
      </c>
      <c r="AB197" s="135">
        <f t="shared" si="74"/>
        <v>0.4</v>
      </c>
      <c r="AC197" s="135">
        <f t="shared" si="74"/>
        <v>0.4</v>
      </c>
      <c r="AD197" s="135">
        <f t="shared" si="74"/>
        <v>0.4</v>
      </c>
      <c r="AE197" s="135">
        <f t="shared" si="74"/>
        <v>0.4</v>
      </c>
      <c r="AF197" s="135">
        <f t="shared" si="74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72"/>
        <v>0.64</v>
      </c>
      <c r="C198" s="145">
        <v>0.64</v>
      </c>
      <c r="D198" s="145">
        <f t="shared" si="73"/>
        <v>0.64</v>
      </c>
      <c r="E198" s="145">
        <f t="shared" si="73"/>
        <v>0.64</v>
      </c>
      <c r="F198" s="145">
        <f t="shared" si="73"/>
        <v>0.64</v>
      </c>
      <c r="G198" s="145">
        <f t="shared" si="73"/>
        <v>0.64</v>
      </c>
      <c r="H198" s="145">
        <f t="shared" si="73"/>
        <v>0.64</v>
      </c>
      <c r="I198" s="145">
        <f t="shared" si="73"/>
        <v>0.64</v>
      </c>
      <c r="J198" s="145">
        <f t="shared" si="73"/>
        <v>0.64</v>
      </c>
      <c r="K198" s="145">
        <f t="shared" si="73"/>
        <v>0.64</v>
      </c>
      <c r="L198" s="145">
        <f t="shared" si="73"/>
        <v>0.64</v>
      </c>
      <c r="M198" s="145">
        <f t="shared" si="73"/>
        <v>0.64</v>
      </c>
      <c r="N198" s="145">
        <f t="shared" si="73"/>
        <v>0.64</v>
      </c>
      <c r="O198" s="145">
        <f t="shared" si="73"/>
        <v>0.64</v>
      </c>
      <c r="P198" s="145">
        <f t="shared" si="73"/>
        <v>0.64</v>
      </c>
      <c r="Q198" s="145">
        <f t="shared" si="73"/>
        <v>0.64</v>
      </c>
      <c r="R198" s="145">
        <f t="shared" si="73"/>
        <v>0.64</v>
      </c>
      <c r="S198" s="145">
        <f t="shared" si="73"/>
        <v>0.64</v>
      </c>
      <c r="T198" s="145">
        <f t="shared" si="74"/>
        <v>0.64</v>
      </c>
      <c r="U198" s="145">
        <f t="shared" si="74"/>
        <v>0.64</v>
      </c>
      <c r="V198" s="145">
        <f t="shared" si="74"/>
        <v>0.64</v>
      </c>
      <c r="W198" s="145">
        <f t="shared" si="74"/>
        <v>0.64</v>
      </c>
      <c r="X198" s="145">
        <f t="shared" si="74"/>
        <v>0.64</v>
      </c>
      <c r="Y198" s="145">
        <f t="shared" si="74"/>
        <v>0.64</v>
      </c>
      <c r="Z198" s="145">
        <f t="shared" si="74"/>
        <v>0.64</v>
      </c>
      <c r="AA198" s="145">
        <f t="shared" si="74"/>
        <v>0.64</v>
      </c>
      <c r="AB198" s="145">
        <f t="shared" si="74"/>
        <v>0.64</v>
      </c>
      <c r="AC198" s="145">
        <f t="shared" si="74"/>
        <v>0.64</v>
      </c>
      <c r="AD198" s="145">
        <f t="shared" si="74"/>
        <v>0.64</v>
      </c>
      <c r="AE198" s="145">
        <f t="shared" si="74"/>
        <v>0.64</v>
      </c>
      <c r="AF198" s="145">
        <f t="shared" si="74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75">SUM(D193:D198)</f>
        <v>3.54</v>
      </c>
      <c r="E199" s="148">
        <f t="shared" si="75"/>
        <v>3.54</v>
      </c>
      <c r="F199" s="148">
        <f t="shared" si="75"/>
        <v>3.54</v>
      </c>
      <c r="G199" s="148">
        <f t="shared" si="75"/>
        <v>3.54</v>
      </c>
      <c r="H199" s="148">
        <f t="shared" si="75"/>
        <v>3.54</v>
      </c>
      <c r="I199" s="148">
        <f t="shared" si="75"/>
        <v>3.54</v>
      </c>
      <c r="J199" s="148">
        <f t="shared" si="75"/>
        <v>3.54</v>
      </c>
      <c r="K199" s="148">
        <f t="shared" si="75"/>
        <v>3.54</v>
      </c>
      <c r="L199" s="148">
        <f t="shared" si="75"/>
        <v>3.54</v>
      </c>
      <c r="M199" s="148">
        <f>SUM(M193:M198)</f>
        <v>3.54</v>
      </c>
      <c r="N199" s="148">
        <f t="shared" ref="N199:S199" si="76">SUM(N193:N198)</f>
        <v>3.54</v>
      </c>
      <c r="O199" s="148">
        <f t="shared" si="76"/>
        <v>3.54</v>
      </c>
      <c r="P199" s="148">
        <f t="shared" si="76"/>
        <v>3.54</v>
      </c>
      <c r="Q199" s="148">
        <f t="shared" si="76"/>
        <v>3.54</v>
      </c>
      <c r="R199" s="148">
        <f t="shared" si="76"/>
        <v>3.54</v>
      </c>
      <c r="S199" s="148">
        <f t="shared" si="76"/>
        <v>3.54</v>
      </c>
      <c r="T199" s="148">
        <f>SUM(T193:T198)</f>
        <v>3.54</v>
      </c>
      <c r="U199" s="148">
        <f t="shared" ref="U199:AG199" si="77">SUM(U193:U198)</f>
        <v>3.54</v>
      </c>
      <c r="V199" s="148">
        <f t="shared" si="77"/>
        <v>3.54</v>
      </c>
      <c r="W199" s="148">
        <f t="shared" si="77"/>
        <v>3.54</v>
      </c>
      <c r="X199" s="148">
        <f t="shared" si="77"/>
        <v>3.54</v>
      </c>
      <c r="Y199" s="148">
        <f t="shared" si="77"/>
        <v>3.54</v>
      </c>
      <c r="Z199" s="148">
        <f t="shared" si="77"/>
        <v>3.54</v>
      </c>
      <c r="AA199" s="148">
        <f t="shared" si="77"/>
        <v>3.54</v>
      </c>
      <c r="AB199" s="148">
        <f t="shared" si="77"/>
        <v>3.54</v>
      </c>
      <c r="AC199" s="148">
        <f t="shared" si="77"/>
        <v>3.54</v>
      </c>
      <c r="AD199" s="148">
        <f t="shared" si="77"/>
        <v>3.54</v>
      </c>
      <c r="AE199" s="148">
        <f t="shared" si="77"/>
        <v>3.54</v>
      </c>
      <c r="AF199" s="148">
        <f t="shared" si="77"/>
        <v>3.54</v>
      </c>
      <c r="AG199" s="149">
        <f t="shared" si="77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1569.34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2078/10/28)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78">B75</f>
        <v>1022.64</v>
      </c>
      <c r="U213" s="173">
        <f t="shared" si="78"/>
        <v>967.93999999999994</v>
      </c>
      <c r="V213" s="173">
        <f t="shared" si="78"/>
        <v>950.33999999999992</v>
      </c>
      <c r="W213" s="173">
        <f t="shared" si="78"/>
        <v>929.33999999999992</v>
      </c>
      <c r="X213" s="173">
        <f t="shared" si="78"/>
        <v>930.93999999999994</v>
      </c>
      <c r="Y213" s="173">
        <f t="shared" si="78"/>
        <v>972.93999999999994</v>
      </c>
      <c r="Z213" s="173">
        <f t="shared" si="78"/>
        <v>1013.64</v>
      </c>
      <c r="AA213" s="173">
        <f t="shared" si="78"/>
        <v>1113.3399999999999</v>
      </c>
      <c r="AB213" s="173">
        <f t="shared" si="78"/>
        <v>1199.04</v>
      </c>
      <c r="AC213" s="173">
        <f t="shared" si="78"/>
        <v>1327.6399999999999</v>
      </c>
      <c r="AD213" s="173">
        <f t="shared" si="78"/>
        <v>1334.94</v>
      </c>
      <c r="AE213" s="173">
        <f t="shared" si="78"/>
        <v>1569.34</v>
      </c>
      <c r="AF213" s="173">
        <f t="shared" si="78"/>
        <v>1523.04</v>
      </c>
      <c r="AG213" s="173">
        <f t="shared" si="78"/>
        <v>1459.94</v>
      </c>
      <c r="AH213" s="173">
        <f t="shared" si="78"/>
        <v>1410.44</v>
      </c>
      <c r="AI213" s="173">
        <f t="shared" si="78"/>
        <v>1278.6199999999999</v>
      </c>
      <c r="AJ213" s="173">
        <f t="shared" si="78"/>
        <v>1233.74</v>
      </c>
      <c r="AK213" s="173">
        <f t="shared" si="78"/>
        <v>1223.6400000000001</v>
      </c>
      <c r="AL213" s="173">
        <f t="shared" si="78"/>
        <v>1233.1399999999999</v>
      </c>
      <c r="AM213" s="173">
        <f t="shared" si="78"/>
        <v>1259.74</v>
      </c>
      <c r="AN213" s="173">
        <f t="shared" si="78"/>
        <v>1264.54</v>
      </c>
      <c r="AO213" s="173">
        <f t="shared" si="78"/>
        <v>1348.44</v>
      </c>
      <c r="AP213" s="173">
        <f t="shared" si="78"/>
        <v>1446.74</v>
      </c>
      <c r="AQ213" s="173">
        <f t="shared" si="78"/>
        <v>1595.74</v>
      </c>
      <c r="AR213" s="173">
        <f t="shared" si="78"/>
        <v>1567.6400000000003</v>
      </c>
      <c r="AS213" s="173">
        <f t="shared" si="78"/>
        <v>1549.54</v>
      </c>
      <c r="AT213" s="173">
        <f t="shared" si="78"/>
        <v>1445.1399999999999</v>
      </c>
      <c r="AU213" s="173">
        <f t="shared" si="78"/>
        <v>1423.2399999999998</v>
      </c>
      <c r="AV213" s="173">
        <f t="shared" si="78"/>
        <v>1443.3400000000001</v>
      </c>
      <c r="AW213" s="173">
        <f t="shared" si="78"/>
        <v>1188.9399999999998</v>
      </c>
      <c r="AX213" s="173">
        <f t="shared" si="78"/>
        <v>1084.74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79">C198</f>
        <v>0.64</v>
      </c>
      <c r="C234" s="176">
        <f t="shared" si="79"/>
        <v>0.64</v>
      </c>
      <c r="D234" s="176">
        <f t="shared" si="79"/>
        <v>0.64</v>
      </c>
      <c r="E234" s="176">
        <f t="shared" si="79"/>
        <v>0.64</v>
      </c>
      <c r="F234" s="176">
        <f t="shared" si="79"/>
        <v>0.64</v>
      </c>
      <c r="G234" s="176">
        <f t="shared" si="79"/>
        <v>0.64</v>
      </c>
      <c r="H234" s="176">
        <f t="shared" si="79"/>
        <v>0.64</v>
      </c>
      <c r="I234" s="176">
        <f t="shared" si="79"/>
        <v>0.64</v>
      </c>
      <c r="J234" s="176">
        <f t="shared" si="79"/>
        <v>0.64</v>
      </c>
      <c r="K234" s="176">
        <f t="shared" si="79"/>
        <v>0.64</v>
      </c>
      <c r="L234" s="176">
        <f t="shared" si="79"/>
        <v>0.64</v>
      </c>
      <c r="M234" s="176">
        <f t="shared" si="79"/>
        <v>0.64</v>
      </c>
      <c r="N234" s="176">
        <f t="shared" si="79"/>
        <v>0.64</v>
      </c>
      <c r="O234" s="176">
        <f t="shared" si="79"/>
        <v>0.64</v>
      </c>
      <c r="P234" s="176">
        <f t="shared" si="79"/>
        <v>0.64</v>
      </c>
      <c r="Q234" s="176">
        <f t="shared" si="79"/>
        <v>0.64</v>
      </c>
      <c r="R234" s="176">
        <f t="shared" si="79"/>
        <v>0.64</v>
      </c>
      <c r="S234" s="176">
        <f t="shared" si="79"/>
        <v>0.64</v>
      </c>
      <c r="T234" s="176">
        <f t="shared" si="79"/>
        <v>0.64</v>
      </c>
      <c r="U234" s="176">
        <f t="shared" si="79"/>
        <v>0.64</v>
      </c>
      <c r="V234" s="176">
        <f t="shared" si="79"/>
        <v>0.64</v>
      </c>
      <c r="W234" s="176">
        <f t="shared" si="79"/>
        <v>0.64</v>
      </c>
      <c r="X234" s="176">
        <f t="shared" si="79"/>
        <v>0.64</v>
      </c>
      <c r="Y234" s="176">
        <f t="shared" si="79"/>
        <v>0.64</v>
      </c>
      <c r="Z234" s="176">
        <f t="shared" si="79"/>
        <v>0.64</v>
      </c>
      <c r="AA234" s="176">
        <f t="shared" si="79"/>
        <v>0.64</v>
      </c>
      <c r="AB234" s="176">
        <f t="shared" si="79"/>
        <v>0.64</v>
      </c>
      <c r="AC234" s="176">
        <f t="shared" si="79"/>
        <v>0.64</v>
      </c>
      <c r="AD234" s="176">
        <f t="shared" si="79"/>
        <v>0.64</v>
      </c>
      <c r="AE234" s="176">
        <f t="shared" si="79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80">IF(C202&lt;100,"",C202-520)</f>
        <v/>
      </c>
      <c r="D235" s="119" t="str">
        <f t="shared" si="80"/>
        <v/>
      </c>
      <c r="E235" s="119" t="str">
        <f t="shared" si="80"/>
        <v/>
      </c>
      <c r="F235" s="119" t="str">
        <f t="shared" si="80"/>
        <v/>
      </c>
      <c r="G235" s="119" t="str">
        <f t="shared" si="80"/>
        <v/>
      </c>
      <c r="H235" s="119" t="str">
        <f t="shared" si="80"/>
        <v/>
      </c>
      <c r="I235" s="119" t="str">
        <f t="shared" si="80"/>
        <v/>
      </c>
      <c r="J235" s="119" t="str">
        <f t="shared" si="80"/>
        <v/>
      </c>
      <c r="K235" s="119" t="str">
        <f t="shared" si="80"/>
        <v/>
      </c>
      <c r="L235" s="119" t="str">
        <f t="shared" si="80"/>
        <v/>
      </c>
      <c r="M235" s="119" t="str">
        <f t="shared" si="80"/>
        <v/>
      </c>
      <c r="N235" s="119" t="str">
        <f t="shared" si="80"/>
        <v/>
      </c>
      <c r="O235" s="119" t="str">
        <f t="shared" si="80"/>
        <v/>
      </c>
      <c r="P235" s="119" t="str">
        <f t="shared" si="80"/>
        <v/>
      </c>
      <c r="Q235" s="119" t="str">
        <f t="shared" si="80"/>
        <v/>
      </c>
      <c r="R235" s="119" t="str">
        <f t="shared" si="80"/>
        <v/>
      </c>
      <c r="S235" s="119" t="str">
        <f t="shared" si="80"/>
        <v/>
      </c>
      <c r="T235" s="119" t="str">
        <f t="shared" si="80"/>
        <v/>
      </c>
      <c r="U235" s="119" t="str">
        <f t="shared" si="80"/>
        <v/>
      </c>
      <c r="V235" s="119" t="str">
        <f t="shared" si="80"/>
        <v/>
      </c>
      <c r="W235" s="119" t="str">
        <f t="shared" si="80"/>
        <v/>
      </c>
      <c r="X235" s="119" t="str">
        <f t="shared" si="80"/>
        <v/>
      </c>
      <c r="Y235" s="119" t="str">
        <f t="shared" si="80"/>
        <v/>
      </c>
      <c r="Z235" s="119" t="str">
        <f t="shared" si="80"/>
        <v/>
      </c>
      <c r="AA235" s="119" t="str">
        <f t="shared" si="80"/>
        <v/>
      </c>
      <c r="AB235" s="119" t="str">
        <f t="shared" si="80"/>
        <v/>
      </c>
      <c r="AC235" s="119" t="str">
        <f t="shared" si="80"/>
        <v/>
      </c>
      <c r="AD235" s="119" t="str">
        <f t="shared" si="80"/>
        <v/>
      </c>
      <c r="AE235" s="119" t="str">
        <f t="shared" si="80"/>
        <v/>
      </c>
      <c r="AF235" s="119" t="str">
        <f t="shared" si="80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81">IF(B203&lt;100,"",B203-620)</f>
        <v/>
      </c>
      <c r="C236" s="119" t="str">
        <f t="shared" si="81"/>
        <v/>
      </c>
      <c r="D236" s="119" t="str">
        <f t="shared" si="81"/>
        <v/>
      </c>
      <c r="E236" s="119" t="str">
        <f t="shared" si="81"/>
        <v/>
      </c>
      <c r="F236" s="119" t="str">
        <f t="shared" si="81"/>
        <v/>
      </c>
      <c r="G236" s="119" t="str">
        <f t="shared" si="81"/>
        <v/>
      </c>
      <c r="H236" s="119" t="str">
        <f t="shared" si="81"/>
        <v/>
      </c>
      <c r="I236" s="119" t="str">
        <f t="shared" si="81"/>
        <v/>
      </c>
      <c r="J236" s="119" t="str">
        <f t="shared" si="81"/>
        <v/>
      </c>
      <c r="K236" s="119" t="str">
        <f t="shared" si="81"/>
        <v/>
      </c>
      <c r="L236" s="119" t="str">
        <f t="shared" si="81"/>
        <v/>
      </c>
      <c r="M236" s="119" t="str">
        <f t="shared" si="81"/>
        <v/>
      </c>
      <c r="N236" s="119" t="str">
        <f t="shared" si="81"/>
        <v/>
      </c>
      <c r="O236" s="119" t="str">
        <f t="shared" si="81"/>
        <v/>
      </c>
      <c r="P236" s="119" t="str">
        <f t="shared" si="81"/>
        <v/>
      </c>
      <c r="Q236" s="119" t="str">
        <f t="shared" si="81"/>
        <v/>
      </c>
      <c r="R236" s="119" t="str">
        <f t="shared" si="81"/>
        <v/>
      </c>
      <c r="S236" s="119" t="str">
        <f t="shared" si="81"/>
        <v/>
      </c>
      <c r="T236" s="119" t="str">
        <f t="shared" si="81"/>
        <v/>
      </c>
      <c r="U236" s="119" t="str">
        <f t="shared" si="81"/>
        <v/>
      </c>
      <c r="V236" s="119" t="str">
        <f t="shared" si="81"/>
        <v/>
      </c>
      <c r="W236" s="119" t="str">
        <f t="shared" si="81"/>
        <v/>
      </c>
      <c r="X236" s="119" t="str">
        <f t="shared" si="81"/>
        <v/>
      </c>
      <c r="Y236" s="119" t="str">
        <f t="shared" si="81"/>
        <v/>
      </c>
      <c r="Z236" s="119" t="str">
        <f t="shared" si="81"/>
        <v/>
      </c>
      <c r="AA236" s="119" t="str">
        <f t="shared" si="81"/>
        <v/>
      </c>
      <c r="AB236" s="119" t="str">
        <f t="shared" si="81"/>
        <v/>
      </c>
      <c r="AC236" s="119" t="str">
        <f t="shared" si="81"/>
        <v/>
      </c>
      <c r="AD236" s="119" t="str">
        <f t="shared" si="81"/>
        <v/>
      </c>
      <c r="AE236" s="119" t="str">
        <f t="shared" si="81"/>
        <v/>
      </c>
      <c r="AF236" s="119" t="str">
        <f t="shared" si="81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82">IF(B204&lt;100,"",B204-330)</f>
        <v/>
      </c>
      <c r="C237" s="119" t="str">
        <f t="shared" si="82"/>
        <v/>
      </c>
      <c r="D237" s="119" t="str">
        <f t="shared" si="82"/>
        <v/>
      </c>
      <c r="E237" s="119" t="str">
        <f t="shared" si="82"/>
        <v/>
      </c>
      <c r="F237" s="119" t="str">
        <f t="shared" si="82"/>
        <v/>
      </c>
      <c r="G237" s="119" t="str">
        <f t="shared" si="82"/>
        <v/>
      </c>
      <c r="H237" s="119" t="str">
        <f t="shared" si="82"/>
        <v/>
      </c>
      <c r="I237" s="119" t="str">
        <f t="shared" si="82"/>
        <v/>
      </c>
      <c r="J237" s="119" t="str">
        <f t="shared" si="82"/>
        <v/>
      </c>
      <c r="K237" s="119" t="str">
        <f t="shared" si="82"/>
        <v/>
      </c>
      <c r="L237" s="119" t="str">
        <f t="shared" si="82"/>
        <v/>
      </c>
      <c r="M237" s="119" t="str">
        <f t="shared" si="82"/>
        <v/>
      </c>
      <c r="N237" s="119" t="str">
        <f t="shared" si="82"/>
        <v/>
      </c>
      <c r="O237" s="119" t="str">
        <f t="shared" si="82"/>
        <v/>
      </c>
      <c r="P237" s="119" t="str">
        <f t="shared" si="82"/>
        <v/>
      </c>
      <c r="Q237" s="119" t="str">
        <f t="shared" si="82"/>
        <v/>
      </c>
      <c r="R237" s="119" t="str">
        <f t="shared" si="82"/>
        <v/>
      </c>
      <c r="S237" s="119" t="str">
        <f t="shared" si="82"/>
        <v/>
      </c>
      <c r="T237" s="119" t="str">
        <f t="shared" si="82"/>
        <v/>
      </c>
      <c r="U237" s="119" t="str">
        <f t="shared" si="82"/>
        <v/>
      </c>
      <c r="V237" s="119" t="str">
        <f t="shared" si="82"/>
        <v/>
      </c>
      <c r="W237" s="119" t="str">
        <f t="shared" si="82"/>
        <v/>
      </c>
      <c r="X237" s="119" t="str">
        <f t="shared" si="82"/>
        <v/>
      </c>
      <c r="Y237" s="119" t="str">
        <f t="shared" si="82"/>
        <v/>
      </c>
      <c r="Z237" s="119" t="str">
        <f t="shared" si="82"/>
        <v/>
      </c>
      <c r="AA237" s="119" t="str">
        <f t="shared" si="82"/>
        <v/>
      </c>
      <c r="AB237" s="119" t="str">
        <f t="shared" si="82"/>
        <v/>
      </c>
      <c r="AC237" s="119" t="str">
        <f t="shared" si="82"/>
        <v/>
      </c>
      <c r="AD237" s="119" t="str">
        <f t="shared" si="82"/>
        <v/>
      </c>
      <c r="AE237" s="119" t="str">
        <f t="shared" si="82"/>
        <v/>
      </c>
      <c r="AF237" s="119" t="str">
        <f t="shared" si="82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83">IF(C205&lt;100,"",C205-1500)</f>
        <v/>
      </c>
      <c r="D238" s="119" t="str">
        <f t="shared" si="83"/>
        <v/>
      </c>
      <c r="E238" s="119" t="str">
        <f t="shared" si="83"/>
        <v/>
      </c>
      <c r="F238" s="119" t="str">
        <f t="shared" si="83"/>
        <v/>
      </c>
      <c r="G238" s="119" t="str">
        <f t="shared" si="83"/>
        <v/>
      </c>
      <c r="H238" s="119" t="str">
        <f t="shared" si="83"/>
        <v/>
      </c>
      <c r="I238" s="119" t="str">
        <f t="shared" si="83"/>
        <v/>
      </c>
      <c r="J238" s="119" t="str">
        <f t="shared" si="83"/>
        <v/>
      </c>
      <c r="K238" s="119" t="str">
        <f t="shared" si="83"/>
        <v/>
      </c>
      <c r="L238" s="119" t="str">
        <f t="shared" si="83"/>
        <v/>
      </c>
      <c r="M238" s="119" t="str">
        <f t="shared" si="83"/>
        <v/>
      </c>
      <c r="N238" s="119" t="str">
        <f t="shared" si="83"/>
        <v/>
      </c>
      <c r="O238" s="119" t="str">
        <f t="shared" si="83"/>
        <v/>
      </c>
      <c r="P238" s="119" t="str">
        <f t="shared" si="83"/>
        <v/>
      </c>
      <c r="Q238" s="119" t="str">
        <f t="shared" si="83"/>
        <v/>
      </c>
      <c r="R238" s="119" t="str">
        <f t="shared" si="83"/>
        <v/>
      </c>
      <c r="S238" s="119" t="str">
        <f t="shared" si="83"/>
        <v/>
      </c>
      <c r="T238" s="119" t="str">
        <f t="shared" si="83"/>
        <v/>
      </c>
      <c r="U238" s="119" t="str">
        <f t="shared" si="83"/>
        <v/>
      </c>
      <c r="V238" s="119" t="str">
        <f t="shared" si="83"/>
        <v/>
      </c>
      <c r="W238" s="119" t="str">
        <f t="shared" si="83"/>
        <v/>
      </c>
      <c r="X238" s="119" t="str">
        <f t="shared" si="83"/>
        <v/>
      </c>
      <c r="Y238" s="119" t="str">
        <f t="shared" si="83"/>
        <v/>
      </c>
      <c r="Z238" s="119" t="str">
        <f t="shared" si="83"/>
        <v/>
      </c>
      <c r="AA238" s="119" t="str">
        <f t="shared" si="83"/>
        <v/>
      </c>
      <c r="AB238" s="119" t="str">
        <f t="shared" si="83"/>
        <v/>
      </c>
      <c r="AC238" s="119" t="str">
        <f t="shared" si="83"/>
        <v/>
      </c>
      <c r="AD238" s="119" t="str">
        <f t="shared" si="83"/>
        <v/>
      </c>
      <c r="AE238" s="119" t="str">
        <f t="shared" si="83"/>
        <v/>
      </c>
      <c r="AF238" s="119" t="str">
        <f t="shared" si="83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65">
      <iconSet iconSet="3TrafficLights2" reverse="1">
        <cfvo type="percent" val="0"/>
        <cfvo type="num" val="1"/>
        <cfvo type="num" val="1"/>
      </iconSet>
    </cfRule>
  </conditionalFormatting>
  <conditionalFormatting sqref="AB81:AF81 C81:R81 C82:AF83 D193:AF199 B193:B199 B9:AF10 B191:AF191 AG73 U212:AF212 T58:W59 U42 V40:Z42 Z43 C57:D67 C56:AF56 M36:N36 M11:R11 M40:U41 M39:S39 M42:S42 C68:AF80 M58:S61 E57:L61 M62:M67 O37:S37 V13:X14 N45:X48 M53:AF55 V11:AF11 Y36:AF36 Y18:AF30 AA40:AF43 X85:AF91 AE94:AF99">
    <cfRule type="expression" dxfId="1453" priority="461">
      <formula>B$9&gt;=20/24</formula>
    </cfRule>
    <cfRule type="expression" dxfId="1452" priority="462">
      <formula>AND(B$9&gt;=14/24,B$9&lt;20/24)</formula>
    </cfRule>
    <cfRule type="expression" dxfId="1451" priority="463">
      <formula>AND(B$9&gt;=8/24,B$9&lt;14/24)</formula>
    </cfRule>
    <cfRule type="expression" dxfId="1450" priority="464">
      <formula>B$9&lt;8/24</formula>
    </cfRule>
  </conditionalFormatting>
  <conditionalFormatting sqref="AL4:AL6">
    <cfRule type="iconSet" priority="460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1449" priority="456">
      <formula>M$9&gt;=20/24</formula>
    </cfRule>
    <cfRule type="expression" dxfId="1448" priority="457">
      <formula>AND(M$9&gt;=14/24,M$9&lt;20/24)</formula>
    </cfRule>
    <cfRule type="expression" dxfId="1447" priority="458">
      <formula>AND(M$9&gt;=8/24,M$9&lt;14/24)</formula>
    </cfRule>
    <cfRule type="expression" dxfId="1446" priority="459">
      <formula>M$9&lt;8/24</formula>
    </cfRule>
  </conditionalFormatting>
  <conditionalFormatting sqref="M43:U43">
    <cfRule type="expression" dxfId="1445" priority="452">
      <formula>M$9&gt;=20/24</formula>
    </cfRule>
    <cfRule type="expression" dxfId="1444" priority="453">
      <formula>AND(M$9&gt;=14/24,M$9&lt;20/24)</formula>
    </cfRule>
    <cfRule type="expression" dxfId="1443" priority="454">
      <formula>AND(M$9&gt;=8/24,M$9&lt;14/24)</formula>
    </cfRule>
    <cfRule type="expression" dxfId="1442" priority="455">
      <formula>M$9&lt;8/24</formula>
    </cfRule>
  </conditionalFormatting>
  <conditionalFormatting sqref="S39:AF39">
    <cfRule type="expression" dxfId="1441" priority="448">
      <formula>S$9&gt;=20/24</formula>
    </cfRule>
    <cfRule type="expression" dxfId="1440" priority="449">
      <formula>AND(S$9&gt;=14/24,S$9&lt;20/24)</formula>
    </cfRule>
    <cfRule type="expression" dxfId="1439" priority="450">
      <formula>AND(S$9&gt;=8/24,S$9&lt;14/24)</formula>
    </cfRule>
    <cfRule type="expression" dxfId="1438" priority="451">
      <formula>S$9&lt;8/24</formula>
    </cfRule>
  </conditionalFormatting>
  <conditionalFormatting sqref="T57:AF57">
    <cfRule type="expression" dxfId="1437" priority="444">
      <formula>T$9&gt;=20/24</formula>
    </cfRule>
    <cfRule type="expression" dxfId="1436" priority="445">
      <formula>AND(T$9&gt;=14/24,T$9&lt;20/24)</formula>
    </cfRule>
    <cfRule type="expression" dxfId="1435" priority="446">
      <formula>AND(T$9&gt;=8/24,T$9&lt;14/24)</formula>
    </cfRule>
    <cfRule type="expression" dxfId="1434" priority="447">
      <formula>T$9&lt;8/24</formula>
    </cfRule>
  </conditionalFormatting>
  <conditionalFormatting sqref="S81:AA81">
    <cfRule type="expression" dxfId="1433" priority="440">
      <formula>S$9&gt;=20/24</formula>
    </cfRule>
    <cfRule type="expression" dxfId="1432" priority="441">
      <formula>AND(S$9&gt;=14/24,S$9&lt;20/24)</formula>
    </cfRule>
    <cfRule type="expression" dxfId="1431" priority="442">
      <formula>AND(S$9&gt;=8/24,S$9&lt;14/24)</formula>
    </cfRule>
    <cfRule type="expression" dxfId="1430" priority="443">
      <formula>S$9&lt;8/24</formula>
    </cfRule>
  </conditionalFormatting>
  <conditionalFormatting sqref="U84:AF84">
    <cfRule type="expression" dxfId="1429" priority="436">
      <formula>U$9&gt;=20/24</formula>
    </cfRule>
    <cfRule type="expression" dxfId="1428" priority="437">
      <formula>AND(U$9&gt;=14/24,U$9&lt;20/24)</formula>
    </cfRule>
    <cfRule type="expression" dxfId="1427" priority="438">
      <formula>AND(U$9&gt;=8/24,U$9&lt;14/24)</formula>
    </cfRule>
    <cfRule type="expression" dxfId="1426" priority="439">
      <formula>U$9&lt;8/24</formula>
    </cfRule>
  </conditionalFormatting>
  <conditionalFormatting sqref="M49:X49">
    <cfRule type="expression" dxfId="1425" priority="432">
      <formula>M$9&gt;=20/24</formula>
    </cfRule>
    <cfRule type="expression" dxfId="1424" priority="433">
      <formula>AND(M$9&gt;=14/24,M$9&lt;20/24)</formula>
    </cfRule>
    <cfRule type="expression" dxfId="1423" priority="434">
      <formula>AND(M$9&gt;=8/24,M$9&lt;14/24)</formula>
    </cfRule>
    <cfRule type="expression" dxfId="1422" priority="435">
      <formula>M$9&lt;8/24</formula>
    </cfRule>
  </conditionalFormatting>
  <conditionalFormatting sqref="M50:X50">
    <cfRule type="expression" dxfId="1421" priority="428">
      <formula>M$9&gt;=20/24</formula>
    </cfRule>
    <cfRule type="expression" dxfId="1420" priority="429">
      <formula>AND(M$9&gt;=14/24,M$9&lt;20/24)</formula>
    </cfRule>
    <cfRule type="expression" dxfId="1419" priority="430">
      <formula>AND(M$9&gt;=8/24,M$9&lt;14/24)</formula>
    </cfRule>
    <cfRule type="expression" dxfId="1418" priority="431">
      <formula>M$9&lt;8/24</formula>
    </cfRule>
  </conditionalFormatting>
  <conditionalFormatting sqref="M45:X48">
    <cfRule type="expression" dxfId="1417" priority="424">
      <formula>M$9&gt;=20/24</formula>
    </cfRule>
    <cfRule type="expression" dxfId="1416" priority="425">
      <formula>AND(M$9&gt;=14/24,M$9&lt;20/24)</formula>
    </cfRule>
    <cfRule type="expression" dxfId="1415" priority="426">
      <formula>AND(M$9&gt;=8/24,M$9&lt;14/24)</formula>
    </cfRule>
    <cfRule type="expression" dxfId="1414" priority="427">
      <formula>M$9&lt;8/24</formula>
    </cfRule>
  </conditionalFormatting>
  <conditionalFormatting sqref="T37:AF37">
    <cfRule type="expression" dxfId="1413" priority="420">
      <formula>T$9&gt;=20/24</formula>
    </cfRule>
    <cfRule type="expression" dxfId="1412" priority="421">
      <formula>AND(T$9&gt;=14/24,T$9&lt;20/24)</formula>
    </cfRule>
    <cfRule type="expression" dxfId="1411" priority="422">
      <formula>AND(T$9&gt;=8/24,T$9&lt;14/24)</formula>
    </cfRule>
    <cfRule type="expression" dxfId="1410" priority="423">
      <formula>T$9&lt;8/24</formula>
    </cfRule>
  </conditionalFormatting>
  <conditionalFormatting sqref="Y31:AF32 Y35:AF35">
    <cfRule type="expression" dxfId="1409" priority="416">
      <formula>Y$9&gt;=20/24</formula>
    </cfRule>
    <cfRule type="expression" dxfId="1408" priority="417">
      <formula>AND(Y$9&gt;=14/24,Y$9&lt;20/24)</formula>
    </cfRule>
    <cfRule type="expression" dxfId="1407" priority="418">
      <formula>AND(Y$9&gt;=8/24,Y$9&lt;14/24)</formula>
    </cfRule>
    <cfRule type="expression" dxfId="1406" priority="419">
      <formula>Y$9&lt;8/24</formula>
    </cfRule>
  </conditionalFormatting>
  <conditionalFormatting sqref="S42:U43 V43:Z43 S45:AF48">
    <cfRule type="expression" dxfId="1405" priority="412">
      <formula>S$9&gt;=20/24</formula>
    </cfRule>
    <cfRule type="expression" dxfId="1404" priority="413">
      <formula>AND(S$9&gt;=14/24,S$9&lt;20/24)</formula>
    </cfRule>
    <cfRule type="expression" dxfId="1403" priority="414">
      <formula>AND(S$9&gt;=8/24,S$9&lt;14/24)</formula>
    </cfRule>
    <cfRule type="expression" dxfId="1402" priority="415">
      <formula>S$9&lt;8/24</formula>
    </cfRule>
  </conditionalFormatting>
  <conditionalFormatting sqref="S49:AF49">
    <cfRule type="expression" dxfId="1401" priority="408">
      <formula>S$9&gt;=20/24</formula>
    </cfRule>
    <cfRule type="expression" dxfId="1400" priority="409">
      <formula>AND(S$9&gt;=14/24,S$9&lt;20/24)</formula>
    </cfRule>
    <cfRule type="expression" dxfId="1399" priority="410">
      <formula>AND(S$9&gt;=8/24,S$9&lt;14/24)</formula>
    </cfRule>
    <cfRule type="expression" dxfId="1398" priority="411">
      <formula>S$9&lt;8/24</formula>
    </cfRule>
  </conditionalFormatting>
  <conditionalFormatting sqref="S50:AF50">
    <cfRule type="expression" dxfId="1397" priority="404">
      <formula>S$9&gt;=20/24</formula>
    </cfRule>
    <cfRule type="expression" dxfId="1396" priority="405">
      <formula>AND(S$9&gt;=14/24,S$9&lt;20/24)</formula>
    </cfRule>
    <cfRule type="expression" dxfId="1395" priority="406">
      <formula>AND(S$9&gt;=8/24,S$9&lt;14/24)</formula>
    </cfRule>
    <cfRule type="expression" dxfId="1394" priority="407">
      <formula>S$9&lt;8/24</formula>
    </cfRule>
  </conditionalFormatting>
  <conditionalFormatting sqref="T60:T61 X60:AF67">
    <cfRule type="expression" dxfId="1393" priority="400">
      <formula>T$9&gt;=20/24</formula>
    </cfRule>
    <cfRule type="expression" dxfId="1392" priority="401">
      <formula>AND(T$9&gt;=14/24,T$9&lt;20/24)</formula>
    </cfRule>
    <cfRule type="expression" dxfId="1391" priority="402">
      <formula>AND(T$9&gt;=8/24,T$9&lt;14/24)</formula>
    </cfRule>
    <cfRule type="expression" dxfId="1390" priority="403">
      <formula>T$9&lt;8/24</formula>
    </cfRule>
  </conditionalFormatting>
  <conditionalFormatting sqref="E62:L62 N62:S67">
    <cfRule type="expression" dxfId="1389" priority="396">
      <formula>E$9&gt;=20/24</formula>
    </cfRule>
    <cfRule type="expression" dxfId="1388" priority="397">
      <formula>AND(E$9&gt;=14/24,E$9&lt;20/24)</formula>
    </cfRule>
    <cfRule type="expression" dxfId="1387" priority="398">
      <formula>AND(E$9&gt;=8/24,E$9&lt;14/24)</formula>
    </cfRule>
    <cfRule type="expression" dxfId="1386" priority="399">
      <formula>E$9&lt;8/24</formula>
    </cfRule>
  </conditionalFormatting>
  <conditionalFormatting sqref="U94:AD97">
    <cfRule type="expression" dxfId="1385" priority="392">
      <formula>U$9&gt;=20/24</formula>
    </cfRule>
    <cfRule type="expression" dxfId="1384" priority="393">
      <formula>AND(U$9&gt;=14/24,U$9&lt;20/24)</formula>
    </cfRule>
    <cfRule type="expression" dxfId="1383" priority="394">
      <formula>AND(U$9&gt;=8/24,U$9&lt;14/24)</formula>
    </cfRule>
    <cfRule type="expression" dxfId="1382" priority="395">
      <formula>U$9&lt;8/24</formula>
    </cfRule>
  </conditionalFormatting>
  <conditionalFormatting sqref="AG51 M34:N37 M11:R32 C38:AF38 E43:E50 C43:D44 C39:E42 O37:AA37 O34:R35 V13:X14 Y34:AA36 C51:AF56 V11:AF11 AB34:AF37 Y18:AF32 F39:AF50">
    <cfRule type="expression" dxfId="1381" priority="391">
      <formula>C11&gt;$AG11</formula>
    </cfRule>
  </conditionalFormatting>
  <conditionalFormatting sqref="A100:A156 A84:A97 A11:A14 A16:A32 A45:A72 A80:A82 A74:A78 A35:A43 A169:A199">
    <cfRule type="expression" dxfId="1380" priority="390">
      <formula>$AH11=0</formula>
    </cfRule>
  </conditionalFormatting>
  <conditionalFormatting sqref="U98:AD98">
    <cfRule type="expression" dxfId="1379" priority="386">
      <formula>U$9&gt;=20/24</formula>
    </cfRule>
    <cfRule type="expression" dxfId="1378" priority="387">
      <formula>AND(U$9&gt;=14/24,U$9&lt;20/24)</formula>
    </cfRule>
    <cfRule type="expression" dxfId="1377" priority="388">
      <formula>AND(U$9&gt;=8/24,U$9&lt;14/24)</formula>
    </cfRule>
    <cfRule type="expression" dxfId="1376" priority="389">
      <formula>U$9&lt;8/24</formula>
    </cfRule>
  </conditionalFormatting>
  <conditionalFormatting sqref="A98">
    <cfRule type="expression" dxfId="1375" priority="385">
      <formula>$AH98=0</formula>
    </cfRule>
  </conditionalFormatting>
  <conditionalFormatting sqref="E63:L67">
    <cfRule type="expression" dxfId="1374" priority="381">
      <formula>E$9&gt;=20/24</formula>
    </cfRule>
    <cfRule type="expression" dxfId="1373" priority="382">
      <formula>AND(E$9&gt;=14/24,E$9&lt;20/24)</formula>
    </cfRule>
    <cfRule type="expression" dxfId="1372" priority="383">
      <formula>AND(E$9&gt;=8/24,E$9&lt;14/24)</formula>
    </cfRule>
    <cfRule type="expression" dxfId="1371" priority="384">
      <formula>E$9&lt;8/24</formula>
    </cfRule>
  </conditionalFormatting>
  <conditionalFormatting sqref="T62:T67">
    <cfRule type="expression" dxfId="1370" priority="377">
      <formula>T$9&gt;=20/24</formula>
    </cfRule>
    <cfRule type="expression" dxfId="1369" priority="378">
      <formula>AND(T$9&gt;=14/24,T$9&lt;20/24)</formula>
    </cfRule>
    <cfRule type="expression" dxfId="1368" priority="379">
      <formula>AND(T$9&gt;=8/24,T$9&lt;14/24)</formula>
    </cfRule>
    <cfRule type="expression" dxfId="1367" priority="380">
      <formula>T$9&lt;8/24</formula>
    </cfRule>
  </conditionalFormatting>
  <conditionalFormatting sqref="AL32">
    <cfRule type="iconSet" priority="376">
      <iconSet iconSet="3TrafficLights2" reverse="1">
        <cfvo type="percent" val="0"/>
        <cfvo type="num" val="1"/>
        <cfvo type="num" val="1"/>
      </iconSet>
    </cfRule>
  </conditionalFormatting>
  <conditionalFormatting sqref="Y34:AF34">
    <cfRule type="expression" dxfId="1366" priority="372">
      <formula>Y$9&gt;=20/24</formula>
    </cfRule>
    <cfRule type="expression" dxfId="1365" priority="373">
      <formula>AND(Y$9&gt;=14/24,Y$9&lt;20/24)</formula>
    </cfRule>
    <cfRule type="expression" dxfId="1364" priority="374">
      <formula>AND(Y$9&gt;=8/24,Y$9&lt;14/24)</formula>
    </cfRule>
    <cfRule type="expression" dxfId="1363" priority="375">
      <formula>Y$9&lt;8/24</formula>
    </cfRule>
  </conditionalFormatting>
  <conditionalFormatting sqref="A34">
    <cfRule type="expression" dxfId="1362" priority="371">
      <formula>$AH34=0</formula>
    </cfRule>
  </conditionalFormatting>
  <conditionalFormatting sqref="A83">
    <cfRule type="expression" dxfId="1361" priority="370">
      <formula>$AH83=0</formula>
    </cfRule>
  </conditionalFormatting>
  <conditionalFormatting sqref="V15:X15">
    <cfRule type="expression" dxfId="1360" priority="366">
      <formula>V$9&gt;=20/24</formula>
    </cfRule>
    <cfRule type="expression" dxfId="1359" priority="367">
      <formula>AND(V$9&gt;=14/24,V$9&lt;20/24)</formula>
    </cfRule>
    <cfRule type="expression" dxfId="1358" priority="368">
      <formula>AND(V$9&gt;=8/24,V$9&lt;14/24)</formula>
    </cfRule>
    <cfRule type="expression" dxfId="1357" priority="369">
      <formula>V$9&lt;8/24</formula>
    </cfRule>
  </conditionalFormatting>
  <conditionalFormatting sqref="V15:X15">
    <cfRule type="expression" dxfId="1356" priority="365">
      <formula>V15&gt;$AG15</formula>
    </cfRule>
  </conditionalFormatting>
  <conditionalFormatting sqref="A15">
    <cfRule type="expression" dxfId="1355" priority="364">
      <formula>$AH15=0</formula>
    </cfRule>
  </conditionalFormatting>
  <conditionalFormatting sqref="A163:A168">
    <cfRule type="expression" dxfId="1354" priority="363">
      <formula>$AH163=0</formula>
    </cfRule>
  </conditionalFormatting>
  <conditionalFormatting sqref="A157:A162">
    <cfRule type="expression" dxfId="1353" priority="362">
      <formula>$AH157=0</formula>
    </cfRule>
  </conditionalFormatting>
  <conditionalFormatting sqref="Z44:AF44">
    <cfRule type="expression" dxfId="1352" priority="358">
      <formula>Z$9&gt;=20/24</formula>
    </cfRule>
    <cfRule type="expression" dxfId="1351" priority="359">
      <formula>AND(Z$9&gt;=14/24,Z$9&lt;20/24)</formula>
    </cfRule>
    <cfRule type="expression" dxfId="1350" priority="360">
      <formula>AND(Z$9&gt;=8/24,Z$9&lt;14/24)</formula>
    </cfRule>
    <cfRule type="expression" dxfId="1349" priority="361">
      <formula>Z$9&lt;8/24</formula>
    </cfRule>
  </conditionalFormatting>
  <conditionalFormatting sqref="M44:X44">
    <cfRule type="expression" dxfId="1348" priority="354">
      <formula>M$9&gt;=20/24</formula>
    </cfRule>
    <cfRule type="expression" dxfId="1347" priority="355">
      <formula>AND(M$9&gt;=14/24,M$9&lt;20/24)</formula>
    </cfRule>
    <cfRule type="expression" dxfId="1346" priority="356">
      <formula>AND(M$9&gt;=8/24,M$9&lt;14/24)</formula>
    </cfRule>
    <cfRule type="expression" dxfId="1345" priority="357">
      <formula>M$9&lt;8/24</formula>
    </cfRule>
  </conditionalFormatting>
  <conditionalFormatting sqref="S44:AF44">
    <cfRule type="expression" dxfId="1344" priority="350">
      <formula>S$9&gt;=20/24</formula>
    </cfRule>
    <cfRule type="expression" dxfId="1343" priority="351">
      <formula>AND(S$9&gt;=14/24,S$9&lt;20/24)</formula>
    </cfRule>
    <cfRule type="expression" dxfId="1342" priority="352">
      <formula>AND(S$9&gt;=8/24,S$9&lt;14/24)</formula>
    </cfRule>
    <cfRule type="expression" dxfId="1341" priority="353">
      <formula>S$9&lt;8/24</formula>
    </cfRule>
  </conditionalFormatting>
  <conditionalFormatting sqref="A44">
    <cfRule type="expression" dxfId="1340" priority="349">
      <formula>$AH44=0</formula>
    </cfRule>
  </conditionalFormatting>
  <conditionalFormatting sqref="A79">
    <cfRule type="expression" dxfId="1339" priority="348">
      <formula>$AH79=0</formula>
    </cfRule>
  </conditionalFormatting>
  <conditionalFormatting sqref="A73">
    <cfRule type="expression" dxfId="1338" priority="347">
      <formula>$AH73=0</formula>
    </cfRule>
  </conditionalFormatting>
  <conditionalFormatting sqref="AL34:AL35 AL7:AL31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337" priority="343">
      <formula>U$9&gt;=20/24</formula>
    </cfRule>
    <cfRule type="expression" dxfId="1336" priority="344">
      <formula>AND(U$9&gt;=14/24,U$9&lt;20/24)</formula>
    </cfRule>
    <cfRule type="expression" dxfId="1335" priority="345">
      <formula>AND(U$9&gt;=8/24,U$9&lt;14/24)</formula>
    </cfRule>
    <cfRule type="expression" dxfId="1334" priority="346">
      <formula>U$9&lt;8/24</formula>
    </cfRule>
  </conditionalFormatting>
  <conditionalFormatting sqref="U85:W91">
    <cfRule type="expression" dxfId="1333" priority="339">
      <formula>U$9&gt;=20/24</formula>
    </cfRule>
    <cfRule type="expression" dxfId="1332" priority="340">
      <formula>AND(U$9&gt;=14/24,U$9&lt;20/24)</formula>
    </cfRule>
    <cfRule type="expression" dxfId="1331" priority="341">
      <formula>AND(U$9&gt;=8/24,U$9&lt;14/24)</formula>
    </cfRule>
    <cfRule type="expression" dxfId="1330" priority="342">
      <formula>U$9&lt;8/24</formula>
    </cfRule>
  </conditionalFormatting>
  <conditionalFormatting sqref="T85:T91 C84:S91">
    <cfRule type="expression" dxfId="1329" priority="335">
      <formula>C$9&gt;=20/24</formula>
    </cfRule>
    <cfRule type="expression" dxfId="1328" priority="336">
      <formula>AND(C$9&gt;=14/24,C$9&lt;20/24)</formula>
    </cfRule>
    <cfRule type="expression" dxfId="1327" priority="337">
      <formula>AND(C$9&gt;=8/24,C$9&lt;14/24)</formula>
    </cfRule>
    <cfRule type="expression" dxfId="1326" priority="338">
      <formula>C$9&lt;8/24</formula>
    </cfRule>
  </conditionalFormatting>
  <conditionalFormatting sqref="T84">
    <cfRule type="expression" dxfId="1325" priority="331">
      <formula>T$9&gt;=20/24</formula>
    </cfRule>
    <cfRule type="expression" dxfId="1324" priority="332">
      <formula>AND(T$9&gt;=14/24,T$9&lt;20/24)</formula>
    </cfRule>
    <cfRule type="expression" dxfId="1323" priority="333">
      <formula>AND(T$9&gt;=8/24,T$9&lt;14/24)</formula>
    </cfRule>
    <cfRule type="expression" dxfId="1322" priority="334">
      <formula>T$9&lt;8/24</formula>
    </cfRule>
  </conditionalFormatting>
  <conditionalFormatting sqref="C94:H97 I95:N97">
    <cfRule type="expression" dxfId="1321" priority="327">
      <formula>C$9&gt;=20/24</formula>
    </cfRule>
    <cfRule type="expression" dxfId="1320" priority="328">
      <formula>AND(C$9&gt;=14/24,C$9&lt;20/24)</formula>
    </cfRule>
    <cfRule type="expression" dxfId="1319" priority="329">
      <formula>AND(C$9&gt;=8/24,C$9&lt;14/24)</formula>
    </cfRule>
    <cfRule type="expression" dxfId="1318" priority="330">
      <formula>C$9&lt;8/24</formula>
    </cfRule>
  </conditionalFormatting>
  <conditionalFormatting sqref="O94:R97">
    <cfRule type="expression" dxfId="1317" priority="323">
      <formula>O$9&gt;=20/24</formula>
    </cfRule>
    <cfRule type="expression" dxfId="1316" priority="324">
      <formula>AND(O$9&gt;=14/24,O$9&lt;20/24)</formula>
    </cfRule>
    <cfRule type="expression" dxfId="1315" priority="325">
      <formula>AND(O$9&gt;=8/24,O$9&lt;14/24)</formula>
    </cfRule>
    <cfRule type="expression" dxfId="1314" priority="326">
      <formula>O$9&lt;8/24</formula>
    </cfRule>
  </conditionalFormatting>
  <conditionalFormatting sqref="S94:T97">
    <cfRule type="expression" dxfId="1313" priority="319">
      <formula>S$9&gt;=20/24</formula>
    </cfRule>
    <cfRule type="expression" dxfId="1312" priority="320">
      <formula>AND(S$9&gt;=14/24,S$9&lt;20/24)</formula>
    </cfRule>
    <cfRule type="expression" dxfId="1311" priority="321">
      <formula>AND(S$9&gt;=8/24,S$9&lt;14/24)</formula>
    </cfRule>
    <cfRule type="expression" dxfId="1310" priority="322">
      <formula>S$9&lt;8/24</formula>
    </cfRule>
  </conditionalFormatting>
  <conditionalFormatting sqref="C98:N98">
    <cfRule type="expression" dxfId="1309" priority="315">
      <formula>C$9&gt;=20/24</formula>
    </cfRule>
    <cfRule type="expression" dxfId="1308" priority="316">
      <formula>AND(C$9&gt;=14/24,C$9&lt;20/24)</formula>
    </cfRule>
    <cfRule type="expression" dxfId="1307" priority="317">
      <formula>AND(C$9&gt;=8/24,C$9&lt;14/24)</formula>
    </cfRule>
    <cfRule type="expression" dxfId="1306" priority="318">
      <formula>C$9&lt;8/24</formula>
    </cfRule>
  </conditionalFormatting>
  <conditionalFormatting sqref="O98:R98">
    <cfRule type="expression" dxfId="1305" priority="311">
      <formula>O$9&gt;=20/24</formula>
    </cfRule>
    <cfRule type="expression" dxfId="1304" priority="312">
      <formula>AND(O$9&gt;=14/24,O$9&lt;20/24)</formula>
    </cfRule>
    <cfRule type="expression" dxfId="1303" priority="313">
      <formula>AND(O$9&gt;=8/24,O$9&lt;14/24)</formula>
    </cfRule>
    <cfRule type="expression" dxfId="1302" priority="314">
      <formula>O$9&lt;8/24</formula>
    </cfRule>
  </conditionalFormatting>
  <conditionalFormatting sqref="S98:T98">
    <cfRule type="expression" dxfId="1301" priority="307">
      <formula>S$9&gt;=20/24</formula>
    </cfRule>
    <cfRule type="expression" dxfId="1300" priority="308">
      <formula>AND(S$9&gt;=14/24,S$9&lt;20/24)</formula>
    </cfRule>
    <cfRule type="expression" dxfId="1299" priority="309">
      <formula>AND(S$9&gt;=8/24,S$9&lt;14/24)</formula>
    </cfRule>
    <cfRule type="expression" dxfId="1298" priority="310">
      <formula>S$9&lt;8/24</formula>
    </cfRule>
  </conditionalFormatting>
  <conditionalFormatting sqref="M94:N94">
    <cfRule type="expression" dxfId="1297" priority="303">
      <formula>M$9&gt;=20/24</formula>
    </cfRule>
    <cfRule type="expression" dxfId="1296" priority="304">
      <formula>AND(M$9&gt;=14/24,M$9&lt;20/24)</formula>
    </cfRule>
    <cfRule type="expression" dxfId="1295" priority="305">
      <formula>AND(M$9&gt;=8/24,M$9&lt;14/24)</formula>
    </cfRule>
    <cfRule type="expression" dxfId="1294" priority="306">
      <formula>M$9&lt;8/24</formula>
    </cfRule>
  </conditionalFormatting>
  <conditionalFormatting sqref="I94:L94">
    <cfRule type="expression" dxfId="1293" priority="299">
      <formula>I$9&gt;=20/24</formula>
    </cfRule>
    <cfRule type="expression" dxfId="1292" priority="300">
      <formula>AND(I$9&gt;=14/24,I$9&lt;20/24)</formula>
    </cfRule>
    <cfRule type="expression" dxfId="1291" priority="301">
      <formula>AND(I$9&gt;=8/24,I$9&lt;14/24)</formula>
    </cfRule>
    <cfRule type="expression" dxfId="1290" priority="302">
      <formula>I$9&lt;8/24</formula>
    </cfRule>
  </conditionalFormatting>
  <conditionalFormatting sqref="U94:W94">
    <cfRule type="expression" dxfId="1289" priority="295">
      <formula>U$9&gt;=20/24</formula>
    </cfRule>
    <cfRule type="expression" dxfId="1288" priority="296">
      <formula>AND(U$9&gt;=14/24,U$9&lt;20/24)</formula>
    </cfRule>
    <cfRule type="expression" dxfId="1287" priority="297">
      <formula>AND(U$9&gt;=8/24,U$9&lt;14/24)</formula>
    </cfRule>
    <cfRule type="expression" dxfId="1286" priority="298">
      <formula>U$9&lt;8/24</formula>
    </cfRule>
  </conditionalFormatting>
  <conditionalFormatting sqref="O94:T94">
    <cfRule type="expression" dxfId="1285" priority="291">
      <formula>O$9&gt;=20/24</formula>
    </cfRule>
    <cfRule type="expression" dxfId="1284" priority="292">
      <formula>AND(O$9&gt;=14/24,O$9&lt;20/24)</formula>
    </cfRule>
    <cfRule type="expression" dxfId="1283" priority="293">
      <formula>AND(O$9&gt;=8/24,O$9&lt;14/24)</formula>
    </cfRule>
    <cfRule type="expression" dxfId="1282" priority="294">
      <formula>O$9&lt;8/24</formula>
    </cfRule>
  </conditionalFormatting>
  <conditionalFormatting sqref="U99:AD99">
    <cfRule type="expression" dxfId="1281" priority="287">
      <formula>U$9&gt;=20/24</formula>
    </cfRule>
    <cfRule type="expression" dxfId="1280" priority="288">
      <formula>AND(U$9&gt;=14/24,U$9&lt;20/24)</formula>
    </cfRule>
    <cfRule type="expression" dxfId="1279" priority="289">
      <formula>AND(U$9&gt;=8/24,U$9&lt;14/24)</formula>
    </cfRule>
    <cfRule type="expression" dxfId="1278" priority="290">
      <formula>U$9&lt;8/24</formula>
    </cfRule>
  </conditionalFormatting>
  <conditionalFormatting sqref="C99:N99">
    <cfRule type="expression" dxfId="1277" priority="283">
      <formula>C$9&gt;=20/24</formula>
    </cfRule>
    <cfRule type="expression" dxfId="1276" priority="284">
      <formula>AND(C$9&gt;=14/24,C$9&lt;20/24)</formula>
    </cfRule>
    <cfRule type="expression" dxfId="1275" priority="285">
      <formula>AND(C$9&gt;=8/24,C$9&lt;14/24)</formula>
    </cfRule>
    <cfRule type="expression" dxfId="1274" priority="286">
      <formula>C$9&lt;8/24</formula>
    </cfRule>
  </conditionalFormatting>
  <conditionalFormatting sqref="O99:R99">
    <cfRule type="expression" dxfId="1273" priority="279">
      <formula>O$9&gt;=20/24</formula>
    </cfRule>
    <cfRule type="expression" dxfId="1272" priority="280">
      <formula>AND(O$9&gt;=14/24,O$9&lt;20/24)</formula>
    </cfRule>
    <cfRule type="expression" dxfId="1271" priority="281">
      <formula>AND(O$9&gt;=8/24,O$9&lt;14/24)</formula>
    </cfRule>
    <cfRule type="expression" dxfId="1270" priority="282">
      <formula>O$9&lt;8/24</formula>
    </cfRule>
  </conditionalFormatting>
  <conditionalFormatting sqref="S99:T99">
    <cfRule type="expression" dxfId="1269" priority="275">
      <formula>S$9&gt;=20/24</formula>
    </cfRule>
    <cfRule type="expression" dxfId="1268" priority="276">
      <formula>AND(S$9&gt;=14/24,S$9&lt;20/24)</formula>
    </cfRule>
    <cfRule type="expression" dxfId="1267" priority="277">
      <formula>AND(S$9&gt;=8/24,S$9&lt;14/24)</formula>
    </cfRule>
    <cfRule type="expression" dxfId="1266" priority="278">
      <formula>S$9&lt;8/24</formula>
    </cfRule>
  </conditionalFormatting>
  <conditionalFormatting sqref="V12:X12 Y12:AF16">
    <cfRule type="expression" dxfId="1265" priority="271">
      <formula>V$9&gt;=20/24</formula>
    </cfRule>
    <cfRule type="expression" dxfId="1264" priority="272">
      <formula>AND(V$9&gt;=14/24,V$9&lt;20/24)</formula>
    </cfRule>
    <cfRule type="expression" dxfId="1263" priority="273">
      <formula>AND(V$9&gt;=8/24,V$9&lt;14/24)</formula>
    </cfRule>
    <cfRule type="expression" dxfId="1262" priority="274">
      <formula>V$9&lt;8/24</formula>
    </cfRule>
  </conditionalFormatting>
  <conditionalFormatting sqref="Y17:AF17">
    <cfRule type="expression" dxfId="1261" priority="267">
      <formula>Y$9&gt;=20/24</formula>
    </cfRule>
    <cfRule type="expression" dxfId="1260" priority="268">
      <formula>AND(Y$9&gt;=14/24,Y$9&lt;20/24)</formula>
    </cfRule>
    <cfRule type="expression" dxfId="1259" priority="269">
      <formula>AND(Y$9&gt;=8/24,Y$9&lt;14/24)</formula>
    </cfRule>
    <cfRule type="expression" dxfId="1258" priority="270">
      <formula>Y$9&lt;8/24</formula>
    </cfRule>
  </conditionalFormatting>
  <conditionalFormatting sqref="V12:X12 Y12:AF13">
    <cfRule type="expression" dxfId="1257" priority="263">
      <formula>V$9&gt;=20/24</formula>
    </cfRule>
    <cfRule type="expression" dxfId="1256" priority="264">
      <formula>AND(V$9&gt;=14/24,V$9&lt;20/24)</formula>
    </cfRule>
    <cfRule type="expression" dxfId="1255" priority="265">
      <formula>AND(V$9&gt;=8/24,V$9&lt;14/24)</formula>
    </cfRule>
    <cfRule type="expression" dxfId="1254" priority="266">
      <formula>V$9&lt;8/24</formula>
    </cfRule>
  </conditionalFormatting>
  <conditionalFormatting sqref="AL3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53" priority="468">
      <formula>C$9&gt;=20/24</formula>
    </cfRule>
    <cfRule type="expression" dxfId="1252" priority="469">
      <formula>AND(C$9&gt;=14/24,C$9&lt;20/24)</formula>
    </cfRule>
    <cfRule type="expression" dxfId="1251" priority="470">
      <formula>AND(C$9&gt;=8/24,C$9&lt;14/24)</formula>
    </cfRule>
    <cfRule type="expression" dxfId="1250" priority="471">
      <formula>C$9&lt;8/24</formula>
    </cfRule>
  </conditionalFormatting>
  <conditionalFormatting sqref="A200">
    <cfRule type="expression" dxfId="1249" priority="472">
      <formula>$AH200=0</formula>
    </cfRule>
  </conditionalFormatting>
  <conditionalFormatting sqref="AG212">
    <cfRule type="expression" dxfId="1248" priority="473">
      <formula>B$9&gt;=20/24</formula>
    </cfRule>
    <cfRule type="expression" dxfId="1247" priority="474">
      <formula>AND(B$9&gt;=14/24,B$9&lt;20/24)</formula>
    </cfRule>
    <cfRule type="expression" dxfId="1246" priority="475">
      <formula>AND(B$9&gt;=8/24,B$9&lt;14/24)</formula>
    </cfRule>
    <cfRule type="expression" dxfId="1245" priority="476">
      <formula>B$9&lt;8/24</formula>
    </cfRule>
  </conditionalFormatting>
  <conditionalFormatting sqref="S8">
    <cfRule type="expression" dxfId="1244" priority="253">
      <formula>U$9&gt;=20/24</formula>
    </cfRule>
    <cfRule type="expression" dxfId="1243" priority="254">
      <formula>AND(U$9&gt;=14/24,U$9&lt;20/24)</formula>
    </cfRule>
    <cfRule type="expression" dxfId="1242" priority="255">
      <formula>AND(U$9&gt;=8/24,U$9&lt;14/24)</formula>
    </cfRule>
    <cfRule type="expression" dxfId="1241" priority="256">
      <formula>U$9&lt;8/24</formula>
    </cfRule>
  </conditionalFormatting>
  <conditionalFormatting sqref="AB8">
    <cfRule type="expression" dxfId="1240" priority="249">
      <formula>AD$9&gt;=20/24</formula>
    </cfRule>
    <cfRule type="expression" dxfId="1239" priority="250">
      <formula>AND(AD$9&gt;=14/24,AD$9&lt;20/24)</formula>
    </cfRule>
    <cfRule type="expression" dxfId="1238" priority="251">
      <formula>AND(AD$9&gt;=8/24,AD$9&lt;14/24)</formula>
    </cfRule>
    <cfRule type="expression" dxfId="1237" priority="252">
      <formula>AD$9&lt;8/24</formula>
    </cfRule>
  </conditionalFormatting>
  <conditionalFormatting sqref="AH212:AX212">
    <cfRule type="expression" dxfId="1236" priority="477">
      <formula>AG$9&gt;=20/24</formula>
    </cfRule>
    <cfRule type="expression" dxfId="1235" priority="478">
      <formula>AND(AG$9&gt;=14/24,AG$9&lt;20/24)</formula>
    </cfRule>
    <cfRule type="expression" dxfId="1234" priority="479">
      <formula>AND(AG$9&gt;=8/24,AG$9&lt;14/24)</formula>
    </cfRule>
    <cfRule type="expression" dxfId="1233" priority="480">
      <formula>AG$9&lt;8/24</formula>
    </cfRule>
  </conditionalFormatting>
  <conditionalFormatting sqref="T212">
    <cfRule type="expression" dxfId="1232" priority="481">
      <formula>AX$9&gt;=20/24</formula>
    </cfRule>
    <cfRule type="expression" dxfId="1231" priority="482">
      <formula>AND(AX$9&gt;=14/24,AX$9&lt;20/24)</formula>
    </cfRule>
    <cfRule type="expression" dxfId="1230" priority="483">
      <formula>AND(AX$9&gt;=8/24,AX$9&lt;14/24)</formula>
    </cfRule>
    <cfRule type="expression" dxfId="1229" priority="484">
      <formula>AX$9&lt;8/24</formula>
    </cfRule>
  </conditionalFormatting>
  <conditionalFormatting sqref="A99">
    <cfRule type="expression" dxfId="1228" priority="248">
      <formula>$AH99=0</formula>
    </cfRule>
  </conditionalFormatting>
  <conditionalFormatting sqref="Y33:AF33">
    <cfRule type="expression" dxfId="1227" priority="244">
      <formula>Y$9&gt;=20/24</formula>
    </cfRule>
    <cfRule type="expression" dxfId="1226" priority="245">
      <formula>AND(Y$9&gt;=14/24,Y$9&lt;20/24)</formula>
    </cfRule>
    <cfRule type="expression" dxfId="1225" priority="246">
      <formula>AND(Y$9&gt;=8/24,Y$9&lt;14/24)</formula>
    </cfRule>
    <cfRule type="expression" dxfId="1224" priority="247">
      <formula>Y$9&lt;8/24</formula>
    </cfRule>
  </conditionalFormatting>
  <conditionalFormatting sqref="M33:R33 Y33:AF33">
    <cfRule type="expression" dxfId="1223" priority="243">
      <formula>M33&gt;$AG33</formula>
    </cfRule>
  </conditionalFormatting>
  <conditionalFormatting sqref="O36:X36">
    <cfRule type="expression" dxfId="1222" priority="239">
      <formula>O$9&gt;=20/24</formula>
    </cfRule>
    <cfRule type="expression" dxfId="1221" priority="240">
      <formula>AND(O$9&gt;=14/24,O$9&lt;20/24)</formula>
    </cfRule>
    <cfRule type="expression" dxfId="1220" priority="241">
      <formula>AND(O$9&gt;=8/24,O$9&lt;14/24)</formula>
    </cfRule>
    <cfRule type="expression" dxfId="1219" priority="242">
      <formula>O$9&lt;8/24</formula>
    </cfRule>
  </conditionalFormatting>
  <conditionalFormatting sqref="O36:X36">
    <cfRule type="expression" dxfId="1218" priority="238">
      <formula>O36&gt;$AG36</formula>
    </cfRule>
  </conditionalFormatting>
  <conditionalFormatting sqref="T11:U11 T13:U13">
    <cfRule type="expression" dxfId="1217" priority="224">
      <formula>T$9&gt;=20/24</formula>
    </cfRule>
    <cfRule type="expression" dxfId="1216" priority="225">
      <formula>AND(T$9&gt;=14/24,T$9&lt;20/24)</formula>
    </cfRule>
    <cfRule type="expression" dxfId="1215" priority="226">
      <formula>AND(T$9&gt;=8/24,T$9&lt;14/24)</formula>
    </cfRule>
    <cfRule type="expression" dxfId="1214" priority="227">
      <formula>T$9&lt;8/24</formula>
    </cfRule>
  </conditionalFormatting>
  <conditionalFormatting sqref="T11:U11 T13:U13">
    <cfRule type="expression" dxfId="1213" priority="223">
      <formula>T11&gt;$AG11</formula>
    </cfRule>
  </conditionalFormatting>
  <conditionalFormatting sqref="T12:U12">
    <cfRule type="expression" dxfId="1212" priority="214">
      <formula>T$9&gt;=20/24</formula>
    </cfRule>
    <cfRule type="expression" dxfId="1211" priority="215">
      <formula>AND(T$9&gt;=14/24,T$9&lt;20/24)</formula>
    </cfRule>
    <cfRule type="expression" dxfId="1210" priority="216">
      <formula>AND(T$9&gt;=8/24,T$9&lt;14/24)</formula>
    </cfRule>
    <cfRule type="expression" dxfId="1209" priority="217">
      <formula>T$9&lt;8/24</formula>
    </cfRule>
  </conditionalFormatting>
  <conditionalFormatting sqref="T12:U12">
    <cfRule type="expression" dxfId="1208" priority="210">
      <formula>T$9&gt;=20/24</formula>
    </cfRule>
    <cfRule type="expression" dxfId="1207" priority="211">
      <formula>AND(T$9&gt;=14/24,T$9&lt;20/24)</formula>
    </cfRule>
    <cfRule type="expression" dxfId="1206" priority="212">
      <formula>AND(T$9&gt;=8/24,T$9&lt;14/24)</formula>
    </cfRule>
    <cfRule type="expression" dxfId="1205" priority="213">
      <formula>T$9&lt;8/24</formula>
    </cfRule>
  </conditionalFormatting>
  <conditionalFormatting sqref="V16:X17">
    <cfRule type="expression" dxfId="1204" priority="183">
      <formula>V$9&gt;=20/24</formula>
    </cfRule>
    <cfRule type="expression" dxfId="1203" priority="184">
      <formula>AND(V$9&gt;=14/24,V$9&lt;20/24)</formula>
    </cfRule>
    <cfRule type="expression" dxfId="1202" priority="185">
      <formula>AND(V$9&gt;=8/24,V$9&lt;14/24)</formula>
    </cfRule>
    <cfRule type="expression" dxfId="1201" priority="186">
      <formula>V$9&lt;8/24</formula>
    </cfRule>
  </conditionalFormatting>
  <conditionalFormatting sqref="V16:X17">
    <cfRule type="expression" dxfId="1200" priority="178">
      <formula>V16&gt;$AG16</formula>
    </cfRule>
  </conditionalFormatting>
  <conditionalFormatting sqref="B42:B43 B53:B61 B68:B91 B94:B99 B36:L36 B11:L11 B18:L30">
    <cfRule type="expression" dxfId="1199" priority="96">
      <formula>B$9&gt;=20/24</formula>
    </cfRule>
    <cfRule type="expression" dxfId="1198" priority="97">
      <formula>AND(B$9&gt;=14/24,B$9&lt;20/24)</formula>
    </cfRule>
    <cfRule type="expression" dxfId="1197" priority="98">
      <formula>AND(B$9&gt;=8/24,B$9&lt;14/24)</formula>
    </cfRule>
    <cfRule type="expression" dxfId="1196" priority="99">
      <formula>B$9&lt;8/24</formula>
    </cfRule>
  </conditionalFormatting>
  <conditionalFormatting sqref="B37:L37">
    <cfRule type="expression" dxfId="1195" priority="92">
      <formula>B$9&gt;=20/24</formula>
    </cfRule>
    <cfRule type="expression" dxfId="1194" priority="93">
      <formula>AND(B$9&gt;=14/24,B$9&lt;20/24)</formula>
    </cfRule>
    <cfRule type="expression" dxfId="1193" priority="94">
      <formula>AND(B$9&gt;=8/24,B$9&lt;14/24)</formula>
    </cfRule>
    <cfRule type="expression" dxfId="1192" priority="95">
      <formula>B$9&lt;8/24</formula>
    </cfRule>
  </conditionalFormatting>
  <conditionalFormatting sqref="B31:L32 B35:L35">
    <cfRule type="expression" dxfId="1191" priority="88">
      <formula>B$9&gt;=20/24</formula>
    </cfRule>
    <cfRule type="expression" dxfId="1190" priority="89">
      <formula>AND(B$9&gt;=14/24,B$9&lt;20/24)</formula>
    </cfRule>
    <cfRule type="expression" dxfId="1189" priority="90">
      <formula>AND(B$9&gt;=8/24,B$9&lt;14/24)</formula>
    </cfRule>
    <cfRule type="expression" dxfId="1188" priority="91">
      <formula>B$9&lt;8/24</formula>
    </cfRule>
  </conditionalFormatting>
  <conditionalFormatting sqref="B45:D48">
    <cfRule type="expression" dxfId="1187" priority="84">
      <formula>B$9&gt;=20/24</formula>
    </cfRule>
    <cfRule type="expression" dxfId="1186" priority="85">
      <formula>AND(B$9&gt;=14/24,B$9&lt;20/24)</formula>
    </cfRule>
    <cfRule type="expression" dxfId="1185" priority="86">
      <formula>AND(B$9&gt;=8/24,B$9&lt;14/24)</formula>
    </cfRule>
    <cfRule type="expression" dxfId="1184" priority="87">
      <formula>B$9&lt;8/24</formula>
    </cfRule>
  </conditionalFormatting>
  <conditionalFormatting sqref="B49:D49">
    <cfRule type="expression" dxfId="1183" priority="80">
      <formula>B$9&gt;=20/24</formula>
    </cfRule>
    <cfRule type="expression" dxfId="1182" priority="81">
      <formula>AND(B$9&gt;=14/24,B$9&lt;20/24)</formula>
    </cfRule>
    <cfRule type="expression" dxfId="1181" priority="82">
      <formula>AND(B$9&gt;=8/24,B$9&lt;14/24)</formula>
    </cfRule>
    <cfRule type="expression" dxfId="1180" priority="83">
      <formula>B$9&lt;8/24</formula>
    </cfRule>
  </conditionalFormatting>
  <conditionalFormatting sqref="B50:D50">
    <cfRule type="expression" dxfId="1179" priority="76">
      <formula>B$9&gt;=20/24</formula>
    </cfRule>
    <cfRule type="expression" dxfId="1178" priority="77">
      <formula>AND(B$9&gt;=14/24,B$9&lt;20/24)</formula>
    </cfRule>
    <cfRule type="expression" dxfId="1177" priority="78">
      <formula>AND(B$9&gt;=8/24,B$9&lt;14/24)</formula>
    </cfRule>
    <cfRule type="expression" dxfId="1176" priority="79">
      <formula>B$9&lt;8/24</formula>
    </cfRule>
  </conditionalFormatting>
  <conditionalFormatting sqref="B62:B67">
    <cfRule type="expression" dxfId="1175" priority="72">
      <formula>B$9&gt;=20/24</formula>
    </cfRule>
    <cfRule type="expression" dxfId="1174" priority="73">
      <formula>AND(B$9&gt;=14/24,B$9&lt;20/24)</formula>
    </cfRule>
    <cfRule type="expression" dxfId="1173" priority="74">
      <formula>AND(B$9&gt;=8/24,B$9&lt;14/24)</formula>
    </cfRule>
    <cfRule type="expression" dxfId="1172" priority="75">
      <formula>B$9&lt;8/24</formula>
    </cfRule>
  </conditionalFormatting>
  <conditionalFormatting sqref="B34:B56 C45:D50 B11:L11 B18:L32 C34:L37">
    <cfRule type="expression" dxfId="1171" priority="71">
      <formula>B11&gt;$AG11</formula>
    </cfRule>
  </conditionalFormatting>
  <conditionalFormatting sqref="B34:L34">
    <cfRule type="expression" dxfId="1170" priority="67">
      <formula>B$9&gt;=20/24</formula>
    </cfRule>
    <cfRule type="expression" dxfId="1169" priority="68">
      <formula>AND(B$9&gt;=14/24,B$9&lt;20/24)</formula>
    </cfRule>
    <cfRule type="expression" dxfId="1168" priority="69">
      <formula>AND(B$9&gt;=8/24,B$9&lt;14/24)</formula>
    </cfRule>
    <cfRule type="expression" dxfId="1167" priority="70">
      <formula>B$9&lt;8/24</formula>
    </cfRule>
  </conditionalFormatting>
  <conditionalFormatting sqref="B44">
    <cfRule type="expression" dxfId="1166" priority="63">
      <formula>B$9&gt;=20/24</formula>
    </cfRule>
    <cfRule type="expression" dxfId="1165" priority="64">
      <formula>AND(B$9&gt;=14/24,B$9&lt;20/24)</formula>
    </cfRule>
    <cfRule type="expression" dxfId="1164" priority="65">
      <formula>AND(B$9&gt;=8/24,B$9&lt;14/24)</formula>
    </cfRule>
    <cfRule type="expression" dxfId="1163" priority="66">
      <formula>B$9&lt;8/24</formula>
    </cfRule>
  </conditionalFormatting>
  <conditionalFormatting sqref="B44">
    <cfRule type="expression" dxfId="1162" priority="59">
      <formula>B$9&gt;=20/24</formula>
    </cfRule>
    <cfRule type="expression" dxfId="1161" priority="60">
      <formula>AND(B$9&gt;=14/24,B$9&lt;20/24)</formula>
    </cfRule>
    <cfRule type="expression" dxfId="1160" priority="61">
      <formula>AND(B$9&gt;=8/24,B$9&lt;14/24)</formula>
    </cfRule>
    <cfRule type="expression" dxfId="1159" priority="62">
      <formula>B$9&lt;8/24</formula>
    </cfRule>
  </conditionalFormatting>
  <conditionalFormatting sqref="B12:L16">
    <cfRule type="expression" dxfId="1158" priority="55">
      <formula>B$9&gt;=20/24</formula>
    </cfRule>
    <cfRule type="expression" dxfId="1157" priority="56">
      <formula>AND(B$9&gt;=14/24,B$9&lt;20/24)</formula>
    </cfRule>
    <cfRule type="expression" dxfId="1156" priority="57">
      <formula>AND(B$9&gt;=8/24,B$9&lt;14/24)</formula>
    </cfRule>
    <cfRule type="expression" dxfId="1155" priority="58">
      <formula>B$9&lt;8/24</formula>
    </cfRule>
  </conditionalFormatting>
  <conditionalFormatting sqref="B17:L17">
    <cfRule type="expression" dxfId="1154" priority="51">
      <formula>B$9&gt;=20/24</formula>
    </cfRule>
    <cfRule type="expression" dxfId="1153" priority="52">
      <formula>AND(B$9&gt;=14/24,B$9&lt;20/24)</formula>
    </cfRule>
    <cfRule type="expression" dxfId="1152" priority="53">
      <formula>AND(B$9&gt;=8/24,B$9&lt;14/24)</formula>
    </cfRule>
    <cfRule type="expression" dxfId="1151" priority="54">
      <formula>B$9&lt;8/24</formula>
    </cfRule>
  </conditionalFormatting>
  <conditionalFormatting sqref="B12:L13">
    <cfRule type="expression" dxfId="1150" priority="47">
      <formula>B$9&gt;=20/24</formula>
    </cfRule>
    <cfRule type="expression" dxfId="1149" priority="48">
      <formula>AND(B$9&gt;=14/24,B$9&lt;20/24)</formula>
    </cfRule>
    <cfRule type="expression" dxfId="1148" priority="49">
      <formula>AND(B$9&gt;=8/24,B$9&lt;14/24)</formula>
    </cfRule>
    <cfRule type="expression" dxfId="1147" priority="50">
      <formula>B$9&lt;8/24</formula>
    </cfRule>
  </conditionalFormatting>
  <conditionalFormatting sqref="B33:L33">
    <cfRule type="expression" dxfId="1146" priority="43">
      <formula>B$9&gt;=20/24</formula>
    </cfRule>
    <cfRule type="expression" dxfId="1145" priority="44">
      <formula>AND(B$9&gt;=14/24,B$9&lt;20/24)</formula>
    </cfRule>
    <cfRule type="expression" dxfId="1144" priority="45">
      <formula>AND(B$9&gt;=8/24,B$9&lt;14/24)</formula>
    </cfRule>
    <cfRule type="expression" dxfId="1143" priority="46">
      <formula>B$9&lt;8/24</formula>
    </cfRule>
  </conditionalFormatting>
  <conditionalFormatting sqref="B33:L33">
    <cfRule type="expression" dxfId="1142" priority="42">
      <formula>B33&gt;$AG33</formula>
    </cfRule>
  </conditionalFormatting>
  <conditionalFormatting sqref="S35:X35">
    <cfRule type="expression" dxfId="1141" priority="38">
      <formula>S$9&gt;=20/24</formula>
    </cfRule>
    <cfRule type="expression" dxfId="1140" priority="39">
      <formula>AND(S$9&gt;=14/24,S$9&lt;20/24)</formula>
    </cfRule>
    <cfRule type="expression" dxfId="1139" priority="40">
      <formula>AND(S$9&gt;=8/24,S$9&lt;14/24)</formula>
    </cfRule>
    <cfRule type="expression" dxfId="1138" priority="41">
      <formula>S$9&lt;8/24</formula>
    </cfRule>
  </conditionalFormatting>
  <conditionalFormatting sqref="S35:X35">
    <cfRule type="expression" dxfId="1137" priority="37">
      <formula>S35&gt;$AG35</formula>
    </cfRule>
  </conditionalFormatting>
  <conditionalFormatting sqref="S12:S13">
    <cfRule type="expression" dxfId="1136" priority="33">
      <formula>S$9&gt;=20/24</formula>
    </cfRule>
    <cfRule type="expression" dxfId="1135" priority="34">
      <formula>AND(S$9&gt;=14/24,S$9&lt;20/24)</formula>
    </cfRule>
    <cfRule type="expression" dxfId="1134" priority="35">
      <formula>AND(S$9&gt;=8/24,S$9&lt;14/24)</formula>
    </cfRule>
    <cfRule type="expression" dxfId="1133" priority="36">
      <formula>S$9&lt;8/24</formula>
    </cfRule>
  </conditionalFormatting>
  <conditionalFormatting sqref="S12:S13">
    <cfRule type="expression" dxfId="1132" priority="32">
      <formula>S12&gt;$AG12</formula>
    </cfRule>
  </conditionalFormatting>
  <conditionalFormatting sqref="S14:U14">
    <cfRule type="expression" dxfId="1131" priority="28">
      <formula>S$9&gt;=20/24</formula>
    </cfRule>
    <cfRule type="expression" dxfId="1130" priority="29">
      <formula>AND(S$9&gt;=14/24,S$9&lt;20/24)</formula>
    </cfRule>
    <cfRule type="expression" dxfId="1129" priority="30">
      <formula>AND(S$9&gt;=8/24,S$9&lt;14/24)</formula>
    </cfRule>
    <cfRule type="expression" dxfId="1128" priority="31">
      <formula>S$9&lt;8/24</formula>
    </cfRule>
  </conditionalFormatting>
  <conditionalFormatting sqref="S14:U14">
    <cfRule type="expression" dxfId="1127" priority="27">
      <formula>S14&gt;$AG14</formula>
    </cfRule>
  </conditionalFormatting>
  <conditionalFormatting sqref="S11">
    <cfRule type="expression" dxfId="1126" priority="23">
      <formula>S$9&gt;=20/24</formula>
    </cfRule>
    <cfRule type="expression" dxfId="1125" priority="24">
      <formula>AND(S$9&gt;=14/24,S$9&lt;20/24)</formula>
    </cfRule>
    <cfRule type="expression" dxfId="1124" priority="25">
      <formula>AND(S$9&gt;=8/24,S$9&lt;14/24)</formula>
    </cfRule>
    <cfRule type="expression" dxfId="1123" priority="26">
      <formula>S$9&lt;8/24</formula>
    </cfRule>
  </conditionalFormatting>
  <conditionalFormatting sqref="S11">
    <cfRule type="expression" dxfId="1122" priority="19">
      <formula>S$9&gt;=20/24</formula>
    </cfRule>
    <cfRule type="expression" dxfId="1121" priority="20">
      <formula>AND(S$9&gt;=14/24,S$9&lt;20/24)</formula>
    </cfRule>
    <cfRule type="expression" dxfId="1120" priority="21">
      <formula>AND(S$9&gt;=8/24,S$9&lt;14/24)</formula>
    </cfRule>
    <cfRule type="expression" dxfId="1119" priority="22">
      <formula>S$9&lt;8/24</formula>
    </cfRule>
  </conditionalFormatting>
  <conditionalFormatting sqref="S15:U31 V18:X31">
    <cfRule type="expression" dxfId="1118" priority="15">
      <formula>S$9&gt;=20/24</formula>
    </cfRule>
    <cfRule type="expression" dxfId="1117" priority="16">
      <formula>AND(S$9&gt;=14/24,S$9&lt;20/24)</formula>
    </cfRule>
    <cfRule type="expression" dxfId="1116" priority="17">
      <formula>AND(S$9&gt;=8/24,S$9&lt;14/24)</formula>
    </cfRule>
    <cfRule type="expression" dxfId="1115" priority="18">
      <formula>S$9&lt;8/24</formula>
    </cfRule>
  </conditionalFormatting>
  <conditionalFormatting sqref="S34:X34">
    <cfRule type="expression" dxfId="1114" priority="11">
      <formula>S$9&gt;=20/24</formula>
    </cfRule>
    <cfRule type="expression" dxfId="1113" priority="12">
      <formula>AND(S$9&gt;=14/24,S$9&lt;20/24)</formula>
    </cfRule>
    <cfRule type="expression" dxfId="1112" priority="13">
      <formula>AND(S$9&gt;=8/24,S$9&lt;14/24)</formula>
    </cfRule>
    <cfRule type="expression" dxfId="1111" priority="14">
      <formula>S$9&lt;8/24</formula>
    </cfRule>
  </conditionalFormatting>
  <conditionalFormatting sqref="S15:U31 V18:X31 S33:X34">
    <cfRule type="expression" dxfId="1110" priority="10">
      <formula>S15&gt;$AG15</formula>
    </cfRule>
  </conditionalFormatting>
  <conditionalFormatting sqref="S33:X33">
    <cfRule type="expression" dxfId="1109" priority="6">
      <formula>S$9&gt;=20/24</formula>
    </cfRule>
    <cfRule type="expression" dxfId="1108" priority="7">
      <formula>AND(S$9&gt;=14/24,S$9&lt;20/24)</formula>
    </cfRule>
    <cfRule type="expression" dxfId="1107" priority="8">
      <formula>AND(S$9&gt;=8/24,S$9&lt;14/24)</formula>
    </cfRule>
    <cfRule type="expression" dxfId="1106" priority="9">
      <formula>S$9&lt;8/24</formula>
    </cfRule>
  </conditionalFormatting>
  <conditionalFormatting sqref="S32:X32">
    <cfRule type="expression" dxfId="1105" priority="2">
      <formula>S$9&gt;=20/24</formula>
    </cfRule>
    <cfRule type="expression" dxfId="1104" priority="3">
      <formula>AND(S$9&gt;=14/24,S$9&lt;20/24)</formula>
    </cfRule>
    <cfRule type="expression" dxfId="1103" priority="4">
      <formula>AND(S$9&gt;=8/24,S$9&lt;14/24)</formula>
    </cfRule>
    <cfRule type="expression" dxfId="1102" priority="5">
      <formula>S$9&lt;8/24</formula>
    </cfRule>
  </conditionalFormatting>
  <conditionalFormatting sqref="S32:X32">
    <cfRule type="expression" dxfId="1101" priority="1">
      <formula>S32&gt;$AG32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8" id="{2B7291E0-F2F8-4A69-A03F-9142F85FC53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D89" activePane="bottomRight" state="frozen"/>
      <selection activeCell="AF88" sqref="AF88"/>
      <selection pane="topRight" activeCell="AF88" sqref="AF88"/>
      <selection pane="bottomLeft" activeCell="AF88" sqref="AF88"/>
      <selection pane="bottomRight" activeCell="R98" sqref="R9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str">
        <f ca="1">"2078/"&amp;"10/"&amp;INT(MID(CELL("filename",D6),FIND("]",CELL("filename",D6))+1,200))</f>
        <v>2078/10/29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453</v>
      </c>
      <c r="C5" s="32">
        <f t="shared" si="0"/>
        <v>454</v>
      </c>
      <c r="D5" s="32">
        <f t="shared" si="0"/>
        <v>403.2</v>
      </c>
      <c r="E5" s="32">
        <f t="shared" si="0"/>
        <v>412.4</v>
      </c>
      <c r="F5" s="32">
        <f t="shared" si="0"/>
        <v>468.9</v>
      </c>
      <c r="G5" s="32">
        <f t="shared" si="0"/>
        <v>465.09999999999997</v>
      </c>
      <c r="H5" s="32">
        <f t="shared" si="0"/>
        <v>500.8</v>
      </c>
      <c r="I5" s="32">
        <f t="shared" si="0"/>
        <v>438.59999999999997</v>
      </c>
      <c r="J5" s="32">
        <f t="shared" si="0"/>
        <v>239.5</v>
      </c>
      <c r="K5" s="32">
        <f t="shared" si="0"/>
        <v>244.10000000000002</v>
      </c>
      <c r="L5" s="32">
        <f t="shared" si="0"/>
        <v>237.89999999999998</v>
      </c>
      <c r="M5" s="32">
        <f t="shared" si="0"/>
        <v>232</v>
      </c>
      <c r="N5" s="32">
        <f t="shared" si="0"/>
        <v>412</v>
      </c>
      <c r="O5" s="32">
        <f t="shared" si="0"/>
        <v>411</v>
      </c>
      <c r="P5" s="32">
        <f t="shared" si="0"/>
        <v>392</v>
      </c>
      <c r="Q5" s="32">
        <f t="shared" si="0"/>
        <v>310</v>
      </c>
      <c r="R5" s="32">
        <f t="shared" si="0"/>
        <v>394.3</v>
      </c>
      <c r="S5" s="32">
        <f t="shared" si="0"/>
        <v>434.1</v>
      </c>
      <c r="T5" s="32">
        <f t="shared" si="0"/>
        <v>455</v>
      </c>
      <c r="U5" s="32">
        <f t="shared" si="0"/>
        <v>282</v>
      </c>
      <c r="V5" s="32">
        <f t="shared" si="0"/>
        <v>280.2</v>
      </c>
      <c r="W5" s="32">
        <f t="shared" si="0"/>
        <v>182.3</v>
      </c>
      <c r="X5" s="32">
        <f t="shared" si="0"/>
        <v>277.29999999999995</v>
      </c>
      <c r="Y5" s="32">
        <f t="shared" si="0"/>
        <v>297.39999999999998</v>
      </c>
      <c r="Z5" s="32">
        <f t="shared" si="0"/>
        <v>278.45</v>
      </c>
      <c r="AA5" s="32">
        <f t="shared" si="0"/>
        <v>278.45</v>
      </c>
      <c r="AB5" s="32">
        <f t="shared" si="0"/>
        <v>447.82000000000005</v>
      </c>
      <c r="AC5" s="32">
        <f t="shared" si="0"/>
        <v>467.12</v>
      </c>
      <c r="AD5" s="32">
        <f t="shared" si="0"/>
        <v>392.54</v>
      </c>
      <c r="AE5" s="32">
        <f t="shared" si="0"/>
        <v>372.6</v>
      </c>
      <c r="AF5" s="32">
        <f>B68</f>
        <v>436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Load=928</v>
      </c>
      <c r="B7" s="37">
        <f>B75</f>
        <v>999.63999999999987</v>
      </c>
      <c r="C7" s="37">
        <f t="shared" ref="C7:AF7" si="1">C75</f>
        <v>986.14</v>
      </c>
      <c r="D7" s="37">
        <f t="shared" si="1"/>
        <v>974.2399999999999</v>
      </c>
      <c r="E7" s="37">
        <f t="shared" si="1"/>
        <v>971.1400000000001</v>
      </c>
      <c r="F7" s="37">
        <f t="shared" si="1"/>
        <v>977.44</v>
      </c>
      <c r="G7" s="37">
        <f t="shared" si="1"/>
        <v>1011.2399999999999</v>
      </c>
      <c r="H7" s="37">
        <f t="shared" si="1"/>
        <v>1040.44</v>
      </c>
      <c r="I7" s="37">
        <f t="shared" si="1"/>
        <v>1111.6399999999999</v>
      </c>
      <c r="J7" s="37">
        <f t="shared" si="1"/>
        <v>1197.4399999999998</v>
      </c>
      <c r="K7" s="37">
        <f t="shared" si="1"/>
        <v>1302.6400000000001</v>
      </c>
      <c r="L7" s="37">
        <f t="shared" si="1"/>
        <v>1361.14</v>
      </c>
      <c r="M7" s="37">
        <f t="shared" si="1"/>
        <v>1390.3400000000001</v>
      </c>
      <c r="N7" s="37">
        <f t="shared" si="1"/>
        <v>1230.04</v>
      </c>
      <c r="O7" s="37">
        <f t="shared" si="1"/>
        <v>1222.04</v>
      </c>
      <c r="P7" s="37">
        <f t="shared" si="1"/>
        <v>1135.04</v>
      </c>
      <c r="Q7" s="37">
        <f t="shared" si="1"/>
        <v>1146.04</v>
      </c>
      <c r="R7" s="37">
        <f t="shared" si="1"/>
        <v>1003.54</v>
      </c>
      <c r="S7" s="37">
        <f t="shared" si="1"/>
        <v>927.54</v>
      </c>
      <c r="T7" s="37">
        <f t="shared" si="1"/>
        <v>981.74</v>
      </c>
      <c r="U7" s="37">
        <f t="shared" si="1"/>
        <v>1065.44</v>
      </c>
      <c r="V7" s="37">
        <f t="shared" si="1"/>
        <v>1094.8399999999999</v>
      </c>
      <c r="W7" s="37">
        <f t="shared" si="1"/>
        <v>1155.54</v>
      </c>
      <c r="X7" s="37">
        <f t="shared" si="1"/>
        <v>1258.7400000000002</v>
      </c>
      <c r="Y7" s="37">
        <f t="shared" si="1"/>
        <v>1504.8400000000001</v>
      </c>
      <c r="Z7" s="37">
        <f t="shared" si="1"/>
        <v>1464.04</v>
      </c>
      <c r="AA7" s="37">
        <f t="shared" si="1"/>
        <v>1424.5900000000001</v>
      </c>
      <c r="AB7" s="37">
        <f t="shared" si="1"/>
        <v>1444.89</v>
      </c>
      <c r="AC7" s="37">
        <f t="shared" si="1"/>
        <v>1315.2600000000002</v>
      </c>
      <c r="AD7" s="37">
        <f t="shared" si="1"/>
        <v>1262.6600000000001</v>
      </c>
      <c r="AE7" s="37">
        <f t="shared" si="1"/>
        <v>1083.28</v>
      </c>
      <c r="AF7" s="37">
        <f t="shared" si="1"/>
        <v>977.04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15</v>
      </c>
      <c r="C11" s="50">
        <v>15</v>
      </c>
      <c r="D11" s="50">
        <v>15</v>
      </c>
      <c r="E11" s="49">
        <v>60</v>
      </c>
      <c r="F11" s="49">
        <v>50</v>
      </c>
      <c r="G11" s="49">
        <v>15</v>
      </c>
      <c r="H11" s="49">
        <v>15</v>
      </c>
      <c r="I11" s="49">
        <v>15</v>
      </c>
      <c r="J11" s="49">
        <v>88.9</v>
      </c>
      <c r="K11" s="49">
        <v>285</v>
      </c>
      <c r="L11" s="49">
        <v>315</v>
      </c>
      <c r="M11" s="50">
        <v>315</v>
      </c>
      <c r="N11" s="50">
        <v>200</v>
      </c>
      <c r="O11" s="50">
        <v>95</v>
      </c>
      <c r="P11" s="50">
        <v>95</v>
      </c>
      <c r="Q11" s="50">
        <v>95</v>
      </c>
      <c r="R11" s="177">
        <v>90</v>
      </c>
      <c r="S11" s="50">
        <v>10</v>
      </c>
      <c r="T11" s="50">
        <v>10</v>
      </c>
      <c r="U11" s="50">
        <v>10</v>
      </c>
      <c r="V11" s="50">
        <v>130</v>
      </c>
      <c r="W11" s="50">
        <v>135</v>
      </c>
      <c r="X11" s="50">
        <v>300</v>
      </c>
      <c r="Y11" s="50">
        <v>370</v>
      </c>
      <c r="Z11" s="51">
        <v>350</v>
      </c>
      <c r="AA11" s="50">
        <v>285</v>
      </c>
      <c r="AB11" s="50">
        <v>330</v>
      </c>
      <c r="AC11" s="50">
        <v>75</v>
      </c>
      <c r="AD11" s="50">
        <v>50</v>
      </c>
      <c r="AE11" s="50">
        <v>45</v>
      </c>
      <c r="AF11" s="49">
        <v>15</v>
      </c>
      <c r="AG11" s="52">
        <v>456</v>
      </c>
      <c r="AH11" s="53">
        <f>MAX(B11:AF11)</f>
        <v>370</v>
      </c>
      <c r="AI11" s="54">
        <f>MIN(B11:AF11)</f>
        <v>10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57">
        <v>32</v>
      </c>
      <c r="C12" s="57">
        <v>32</v>
      </c>
      <c r="D12" s="57">
        <v>32</v>
      </c>
      <c r="E12" s="57">
        <v>32</v>
      </c>
      <c r="F12" s="57">
        <v>32</v>
      </c>
      <c r="G12" s="57">
        <v>32</v>
      </c>
      <c r="H12" s="57">
        <v>32</v>
      </c>
      <c r="I12" s="57">
        <v>32</v>
      </c>
      <c r="J12" s="57">
        <v>32</v>
      </c>
      <c r="K12" s="57">
        <v>32</v>
      </c>
      <c r="L12" s="57">
        <v>32</v>
      </c>
      <c r="M12" s="49">
        <v>32</v>
      </c>
      <c r="N12" s="49">
        <v>32</v>
      </c>
      <c r="O12" s="49">
        <v>32</v>
      </c>
      <c r="P12" s="49">
        <v>32</v>
      </c>
      <c r="Q12" s="49">
        <v>32</v>
      </c>
      <c r="R12" s="49">
        <v>32</v>
      </c>
      <c r="S12" s="57">
        <v>32</v>
      </c>
      <c r="T12" s="57">
        <v>32</v>
      </c>
      <c r="U12" s="57">
        <v>32</v>
      </c>
      <c r="V12" s="57">
        <v>32</v>
      </c>
      <c r="W12" s="57">
        <v>32</v>
      </c>
      <c r="X12" s="57">
        <v>32</v>
      </c>
      <c r="Y12" s="57">
        <v>32</v>
      </c>
      <c r="Z12" s="57">
        <v>32</v>
      </c>
      <c r="AA12" s="57">
        <v>32</v>
      </c>
      <c r="AB12" s="50">
        <v>32</v>
      </c>
      <c r="AC12" s="50">
        <v>33</v>
      </c>
      <c r="AD12" s="50">
        <v>33</v>
      </c>
      <c r="AE12" s="50">
        <v>33</v>
      </c>
      <c r="AF12" s="49">
        <v>33</v>
      </c>
      <c r="AG12" s="58">
        <v>60</v>
      </c>
      <c r="AH12" s="53">
        <f t="shared" ref="AH12:AH75" si="2">MAX(B12:AF12)</f>
        <v>33</v>
      </c>
      <c r="AI12" s="54">
        <f t="shared" ref="AI12:AI75" si="3">MIN(B12:AF12)</f>
        <v>32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57">
        <v>17.899999999999999</v>
      </c>
      <c r="C13" s="57">
        <v>17.899999999999999</v>
      </c>
      <c r="D13" s="57">
        <v>18.7</v>
      </c>
      <c r="E13" s="57">
        <v>18.7</v>
      </c>
      <c r="F13" s="57">
        <v>18.7</v>
      </c>
      <c r="G13" s="57">
        <v>18.7</v>
      </c>
      <c r="H13" s="57">
        <v>18.7</v>
      </c>
      <c r="I13" s="57">
        <v>18.7</v>
      </c>
      <c r="J13" s="57">
        <v>18.7</v>
      </c>
      <c r="K13" s="57">
        <v>18.7</v>
      </c>
      <c r="L13" s="57">
        <v>18.7</v>
      </c>
      <c r="M13" s="57">
        <v>18.7</v>
      </c>
      <c r="N13" s="57">
        <v>18.7</v>
      </c>
      <c r="O13" s="57">
        <v>18.7</v>
      </c>
      <c r="P13" s="57">
        <v>18.7</v>
      </c>
      <c r="Q13" s="57">
        <v>18.7</v>
      </c>
      <c r="R13" s="57">
        <v>18.7</v>
      </c>
      <c r="S13" s="57">
        <v>0</v>
      </c>
      <c r="T13" s="57">
        <v>0</v>
      </c>
      <c r="U13" s="57">
        <v>20</v>
      </c>
      <c r="V13" s="57">
        <v>20</v>
      </c>
      <c r="W13" s="57">
        <v>20</v>
      </c>
      <c r="X13" s="57">
        <v>20</v>
      </c>
      <c r="Y13" s="57">
        <v>19.3</v>
      </c>
      <c r="Z13" s="57">
        <v>19.3</v>
      </c>
      <c r="AA13" s="57">
        <v>19.8</v>
      </c>
      <c r="AB13" s="50">
        <v>19.8</v>
      </c>
      <c r="AC13" s="50">
        <v>16.899999999999999</v>
      </c>
      <c r="AD13" s="50">
        <v>16.899999999999999</v>
      </c>
      <c r="AE13" s="50">
        <v>18.7</v>
      </c>
      <c r="AF13" s="49">
        <v>18.7</v>
      </c>
      <c r="AG13" s="58">
        <v>52.4</v>
      </c>
      <c r="AH13" s="53">
        <f t="shared" si="2"/>
        <v>20</v>
      </c>
      <c r="AI13" s="54">
        <f t="shared" si="3"/>
        <v>0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59">
        <v>34.299999999999997</v>
      </c>
      <c r="C14" s="59">
        <v>34.299999999999997</v>
      </c>
      <c r="D14" s="59">
        <v>34.299999999999997</v>
      </c>
      <c r="E14" s="59">
        <v>34.299999999999997</v>
      </c>
      <c r="F14" s="59">
        <v>34.299999999999997</v>
      </c>
      <c r="G14" s="59">
        <v>34.299999999999997</v>
      </c>
      <c r="H14" s="59">
        <v>34.299999999999997</v>
      </c>
      <c r="I14" s="59">
        <v>34.299999999999997</v>
      </c>
      <c r="J14" s="59">
        <v>38.799999999999997</v>
      </c>
      <c r="K14" s="59">
        <v>38.799999999999997</v>
      </c>
      <c r="L14" s="59">
        <v>38.799999999999997</v>
      </c>
      <c r="M14" s="59">
        <v>38.799999999999997</v>
      </c>
      <c r="N14" s="59">
        <v>38.799999999999997</v>
      </c>
      <c r="O14" s="59">
        <v>38.799999999999997</v>
      </c>
      <c r="P14" s="59">
        <v>38.799999999999997</v>
      </c>
      <c r="Q14" s="59">
        <v>38.799999999999997</v>
      </c>
      <c r="R14" s="59">
        <v>38.799999999999997</v>
      </c>
      <c r="S14" s="59">
        <v>36.299999999999997</v>
      </c>
      <c r="T14" s="59">
        <v>36.299999999999997</v>
      </c>
      <c r="U14" s="59">
        <v>36.6</v>
      </c>
      <c r="V14" s="59">
        <v>36.6</v>
      </c>
      <c r="W14" s="59">
        <v>36.6</v>
      </c>
      <c r="X14" s="59">
        <v>36.6</v>
      </c>
      <c r="Y14" s="59">
        <v>36.799999999999997</v>
      </c>
      <c r="Z14" s="59">
        <v>36.799999999999997</v>
      </c>
      <c r="AA14" s="59">
        <v>36.700000000000003</v>
      </c>
      <c r="AB14" s="50">
        <v>36.700000000000003</v>
      </c>
      <c r="AC14" s="50">
        <v>36.4</v>
      </c>
      <c r="AD14" s="50">
        <v>36.4</v>
      </c>
      <c r="AE14" s="50">
        <v>36.4</v>
      </c>
      <c r="AF14" s="49">
        <v>36.4</v>
      </c>
      <c r="AG14" s="58">
        <v>50</v>
      </c>
      <c r="AH14" s="53">
        <f t="shared" si="2"/>
        <v>38.799999999999997</v>
      </c>
      <c r="AI14" s="54">
        <f t="shared" si="3"/>
        <v>34.299999999999997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59">
        <v>20.399999999999999</v>
      </c>
      <c r="C15" s="59">
        <v>20.399999999999999</v>
      </c>
      <c r="D15" s="59">
        <v>21</v>
      </c>
      <c r="E15" s="59">
        <v>21</v>
      </c>
      <c r="F15" s="59">
        <v>21</v>
      </c>
      <c r="G15" s="59">
        <v>21</v>
      </c>
      <c r="H15" s="59">
        <v>21</v>
      </c>
      <c r="I15" s="59">
        <v>21</v>
      </c>
      <c r="J15" s="59">
        <v>21</v>
      </c>
      <c r="K15" s="59">
        <v>21</v>
      </c>
      <c r="L15" s="59">
        <v>21</v>
      </c>
      <c r="M15" s="59">
        <v>21</v>
      </c>
      <c r="N15" s="59">
        <v>21</v>
      </c>
      <c r="O15" s="59">
        <v>21</v>
      </c>
      <c r="P15" s="59">
        <v>21</v>
      </c>
      <c r="Q15" s="59">
        <v>21</v>
      </c>
      <c r="R15" s="59">
        <v>21</v>
      </c>
      <c r="S15" s="59">
        <v>20</v>
      </c>
      <c r="T15" s="59">
        <v>20</v>
      </c>
      <c r="U15" s="59">
        <v>20</v>
      </c>
      <c r="V15" s="59">
        <v>20</v>
      </c>
      <c r="W15" s="59">
        <v>20</v>
      </c>
      <c r="X15" s="59">
        <v>20</v>
      </c>
      <c r="Y15" s="59">
        <v>22.2</v>
      </c>
      <c r="Z15" s="59">
        <v>22.2</v>
      </c>
      <c r="AA15" s="59">
        <v>22.8</v>
      </c>
      <c r="AB15" s="50">
        <v>22.8</v>
      </c>
      <c r="AC15" s="50">
        <v>22.8</v>
      </c>
      <c r="AD15" s="50">
        <v>22.8</v>
      </c>
      <c r="AE15" s="50">
        <v>22.8</v>
      </c>
      <c r="AF15" s="60">
        <v>22.8</v>
      </c>
      <c r="AG15" s="61">
        <v>45</v>
      </c>
      <c r="AH15" s="53">
        <f t="shared" si="2"/>
        <v>22.8</v>
      </c>
      <c r="AI15" s="54">
        <f t="shared" si="3"/>
        <v>20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62">
        <v>10</v>
      </c>
      <c r="C16" s="62">
        <v>10</v>
      </c>
      <c r="D16" s="62">
        <v>10</v>
      </c>
      <c r="E16" s="62">
        <v>10</v>
      </c>
      <c r="F16" s="62">
        <v>10</v>
      </c>
      <c r="G16" s="62">
        <v>10</v>
      </c>
      <c r="H16" s="62">
        <v>10</v>
      </c>
      <c r="I16" s="62">
        <v>10</v>
      </c>
      <c r="J16" s="62">
        <v>10</v>
      </c>
      <c r="K16" s="62">
        <v>10</v>
      </c>
      <c r="L16" s="62">
        <v>10</v>
      </c>
      <c r="M16" s="62">
        <v>10</v>
      </c>
      <c r="N16" s="62">
        <v>10</v>
      </c>
      <c r="O16" s="62">
        <v>10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50">
        <v>0</v>
      </c>
      <c r="AC16" s="50">
        <v>10</v>
      </c>
      <c r="AD16" s="50">
        <v>10</v>
      </c>
      <c r="AE16" s="50">
        <v>10</v>
      </c>
      <c r="AF16" s="49">
        <v>10</v>
      </c>
      <c r="AG16" s="58">
        <v>45</v>
      </c>
      <c r="AH16" s="53">
        <f t="shared" si="2"/>
        <v>10</v>
      </c>
      <c r="AI16" s="54">
        <f t="shared" si="3"/>
        <v>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59">
        <v>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0">
        <v>0</v>
      </c>
      <c r="AC17" s="50">
        <v>0</v>
      </c>
      <c r="AD17" s="50">
        <v>0</v>
      </c>
      <c r="AE17" s="50">
        <v>0</v>
      </c>
      <c r="AF17" s="49">
        <v>0</v>
      </c>
      <c r="AG17" s="58">
        <v>42</v>
      </c>
      <c r="AH17" s="53">
        <f t="shared" si="2"/>
        <v>0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50">
        <v>7.5</v>
      </c>
      <c r="C18" s="50">
        <v>7.5</v>
      </c>
      <c r="D18" s="50">
        <v>7.5</v>
      </c>
      <c r="E18" s="50">
        <v>7.5</v>
      </c>
      <c r="F18" s="50">
        <v>7.5</v>
      </c>
      <c r="G18" s="50">
        <v>7.5</v>
      </c>
      <c r="H18" s="50">
        <v>7.5</v>
      </c>
      <c r="I18" s="50">
        <v>7.5</v>
      </c>
      <c r="J18" s="50">
        <v>7.5</v>
      </c>
      <c r="K18" s="50">
        <v>7.5</v>
      </c>
      <c r="L18" s="50">
        <v>7.5</v>
      </c>
      <c r="M18" s="50">
        <v>7.5</v>
      </c>
      <c r="N18" s="50">
        <v>7.5</v>
      </c>
      <c r="O18" s="50">
        <v>7.5</v>
      </c>
      <c r="P18" s="50">
        <v>7.5</v>
      </c>
      <c r="Q18" s="50">
        <v>7.5</v>
      </c>
      <c r="R18" s="50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49">
        <v>7.5</v>
      </c>
      <c r="AG18" s="58">
        <v>36</v>
      </c>
      <c r="AH18" s="53">
        <f t="shared" si="2"/>
        <v>7.5</v>
      </c>
      <c r="AI18" s="54">
        <f t="shared" si="3"/>
        <v>7.5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50">
        <v>10.4</v>
      </c>
      <c r="C19" s="50">
        <v>10.4</v>
      </c>
      <c r="D19" s="50">
        <v>9.6</v>
      </c>
      <c r="E19" s="50">
        <v>9.6</v>
      </c>
      <c r="F19" s="50">
        <v>9.6</v>
      </c>
      <c r="G19" s="50">
        <v>9.6</v>
      </c>
      <c r="H19" s="50">
        <v>9.6</v>
      </c>
      <c r="I19" s="50">
        <v>9.6</v>
      </c>
      <c r="J19" s="50">
        <v>9.6</v>
      </c>
      <c r="K19" s="50">
        <v>9.6</v>
      </c>
      <c r="L19" s="50">
        <v>9.6</v>
      </c>
      <c r="M19" s="50">
        <v>9.6</v>
      </c>
      <c r="N19" s="50">
        <v>9.6</v>
      </c>
      <c r="O19" s="50">
        <v>9.6</v>
      </c>
      <c r="P19" s="50">
        <v>9.6</v>
      </c>
      <c r="Q19" s="50">
        <v>9.6</v>
      </c>
      <c r="R19" s="50">
        <v>9.6</v>
      </c>
      <c r="S19" s="50">
        <v>9.6</v>
      </c>
      <c r="T19" s="50">
        <v>9.6</v>
      </c>
      <c r="U19" s="50">
        <v>9.4</v>
      </c>
      <c r="V19" s="50">
        <v>9.4</v>
      </c>
      <c r="W19" s="50">
        <v>9.4</v>
      </c>
      <c r="X19" s="50">
        <v>9.4</v>
      </c>
      <c r="Y19" s="50">
        <v>9.6</v>
      </c>
      <c r="Z19" s="50">
        <v>9.6</v>
      </c>
      <c r="AA19" s="50">
        <v>9.6</v>
      </c>
      <c r="AB19" s="50">
        <v>9.6</v>
      </c>
      <c r="AC19" s="50">
        <v>9.6</v>
      </c>
      <c r="AD19" s="50">
        <v>9.6</v>
      </c>
      <c r="AE19" s="50">
        <v>9.6</v>
      </c>
      <c r="AF19" s="49">
        <v>9.6</v>
      </c>
      <c r="AG19" s="58">
        <v>30</v>
      </c>
      <c r="AH19" s="53">
        <f t="shared" si="2"/>
        <v>10.4</v>
      </c>
      <c r="AI19" s="54">
        <f t="shared" si="3"/>
        <v>9.4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49">
        <v>6.2</v>
      </c>
      <c r="AG20" s="58">
        <v>27</v>
      </c>
      <c r="AH20" s="53">
        <f t="shared" si="2"/>
        <v>6.2</v>
      </c>
      <c r="AI20" s="54">
        <f t="shared" si="3"/>
        <v>6.2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49">
        <v>8.5</v>
      </c>
      <c r="AG21" s="58">
        <v>25</v>
      </c>
      <c r="AH21" s="53">
        <f t="shared" si="2"/>
        <v>8.5</v>
      </c>
      <c r="AI21" s="54">
        <f t="shared" si="3"/>
        <v>8.5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50">
        <v>12</v>
      </c>
      <c r="C22" s="50">
        <v>12</v>
      </c>
      <c r="D22" s="50">
        <v>11.3</v>
      </c>
      <c r="E22" s="50">
        <v>11.3</v>
      </c>
      <c r="F22" s="50">
        <v>11.3</v>
      </c>
      <c r="G22" s="50">
        <v>11.3</v>
      </c>
      <c r="H22" s="50">
        <v>11.3</v>
      </c>
      <c r="I22" s="50">
        <v>11.3</v>
      </c>
      <c r="J22" s="50">
        <v>11.3</v>
      </c>
      <c r="K22" s="50">
        <v>11.3</v>
      </c>
      <c r="L22" s="50">
        <v>11.3</v>
      </c>
      <c r="M22" s="50">
        <v>11.3</v>
      </c>
      <c r="N22" s="50">
        <v>11.3</v>
      </c>
      <c r="O22" s="50">
        <v>11.3</v>
      </c>
      <c r="P22" s="50">
        <v>11.3</v>
      </c>
      <c r="Q22" s="50">
        <v>11.3</v>
      </c>
      <c r="R22" s="50">
        <v>11.3</v>
      </c>
      <c r="S22" s="50">
        <v>10</v>
      </c>
      <c r="T22" s="50">
        <v>9.1</v>
      </c>
      <c r="U22" s="50">
        <v>8.6999999999999993</v>
      </c>
      <c r="V22" s="50">
        <v>8.6999999999999993</v>
      </c>
      <c r="W22" s="50">
        <v>8.6999999999999993</v>
      </c>
      <c r="X22" s="50">
        <v>8.6999999999999993</v>
      </c>
      <c r="Y22" s="50">
        <v>15.7</v>
      </c>
      <c r="Z22" s="50">
        <v>15.7</v>
      </c>
      <c r="AA22" s="50">
        <v>15.7</v>
      </c>
      <c r="AB22" s="50">
        <v>15.7</v>
      </c>
      <c r="AC22" s="50">
        <v>12</v>
      </c>
      <c r="AD22" s="50">
        <v>12</v>
      </c>
      <c r="AE22" s="50">
        <v>12</v>
      </c>
      <c r="AF22" s="50">
        <v>12</v>
      </c>
      <c r="AG22" s="58">
        <v>25</v>
      </c>
      <c r="AH22" s="53">
        <f t="shared" si="2"/>
        <v>15.7</v>
      </c>
      <c r="AI22" s="54">
        <f t="shared" si="3"/>
        <v>8.6999999999999993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50">
        <v>10.7</v>
      </c>
      <c r="C23" s="50">
        <v>10.7</v>
      </c>
      <c r="D23" s="50">
        <v>10.7</v>
      </c>
      <c r="E23" s="50">
        <v>10.7</v>
      </c>
      <c r="F23" s="50">
        <v>10.7</v>
      </c>
      <c r="G23" s="50">
        <v>10.7</v>
      </c>
      <c r="H23" s="50">
        <v>10.7</v>
      </c>
      <c r="I23" s="50">
        <v>10.7</v>
      </c>
      <c r="J23" s="50">
        <v>10.7</v>
      </c>
      <c r="K23" s="50">
        <v>10.7</v>
      </c>
      <c r="L23" s="50">
        <v>10.7</v>
      </c>
      <c r="M23" s="50">
        <v>10.7</v>
      </c>
      <c r="N23" s="50">
        <v>10.7</v>
      </c>
      <c r="O23" s="50">
        <v>10.7</v>
      </c>
      <c r="P23" s="50">
        <v>10.7</v>
      </c>
      <c r="Q23" s="50">
        <v>10.7</v>
      </c>
      <c r="R23" s="50">
        <v>10.7</v>
      </c>
      <c r="S23" s="50">
        <v>10.7</v>
      </c>
      <c r="T23" s="50">
        <v>10.7</v>
      </c>
      <c r="U23" s="50">
        <v>10.7</v>
      </c>
      <c r="V23" s="50">
        <v>10.7</v>
      </c>
      <c r="W23" s="50">
        <v>10.7</v>
      </c>
      <c r="X23" s="50">
        <v>10.7</v>
      </c>
      <c r="Y23" s="50">
        <v>10.7</v>
      </c>
      <c r="Z23" s="50">
        <v>10.7</v>
      </c>
      <c r="AA23" s="50">
        <v>10.7</v>
      </c>
      <c r="AB23" s="50">
        <v>10.7</v>
      </c>
      <c r="AC23" s="50">
        <v>10.7</v>
      </c>
      <c r="AD23" s="50">
        <v>10.7</v>
      </c>
      <c r="AE23" s="50">
        <v>13.1</v>
      </c>
      <c r="AF23" s="49">
        <v>13.1</v>
      </c>
      <c r="AG23" s="58">
        <v>25</v>
      </c>
      <c r="AH23" s="53">
        <f t="shared" si="2"/>
        <v>13.1</v>
      </c>
      <c r="AI23" s="54">
        <f t="shared" si="3"/>
        <v>10.7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50">
        <v>9</v>
      </c>
      <c r="C24" s="50">
        <v>9</v>
      </c>
      <c r="D24" s="50">
        <v>9</v>
      </c>
      <c r="E24" s="50">
        <v>9</v>
      </c>
      <c r="F24" s="50">
        <v>9</v>
      </c>
      <c r="G24" s="50">
        <v>9</v>
      </c>
      <c r="H24" s="50">
        <v>9</v>
      </c>
      <c r="I24" s="50">
        <v>9</v>
      </c>
      <c r="J24" s="50">
        <v>9</v>
      </c>
      <c r="K24" s="50">
        <v>9</v>
      </c>
      <c r="L24" s="50">
        <v>9</v>
      </c>
      <c r="M24" s="50">
        <v>10.1</v>
      </c>
      <c r="N24" s="50">
        <v>10.1</v>
      </c>
      <c r="O24" s="50">
        <v>10.1</v>
      </c>
      <c r="P24" s="50">
        <v>10.1</v>
      </c>
      <c r="Q24" s="50">
        <v>10.1</v>
      </c>
      <c r="R24" s="50">
        <v>10.1</v>
      </c>
      <c r="S24" s="50">
        <v>10.1</v>
      </c>
      <c r="T24" s="50">
        <v>10.1</v>
      </c>
      <c r="U24" s="50">
        <v>10.1</v>
      </c>
      <c r="V24" s="50">
        <v>10.1</v>
      </c>
      <c r="W24" s="50">
        <v>10.1</v>
      </c>
      <c r="X24" s="50">
        <v>10.1</v>
      </c>
      <c r="Y24" s="50">
        <v>9</v>
      </c>
      <c r="Z24" s="50">
        <v>9</v>
      </c>
      <c r="AA24" s="50">
        <v>9</v>
      </c>
      <c r="AB24" s="50">
        <v>9</v>
      </c>
      <c r="AC24" s="50">
        <v>9</v>
      </c>
      <c r="AD24" s="50">
        <v>9</v>
      </c>
      <c r="AE24" s="50">
        <v>9</v>
      </c>
      <c r="AF24" s="49">
        <v>9</v>
      </c>
      <c r="AG24" s="58">
        <v>25</v>
      </c>
      <c r="AH24" s="53">
        <f t="shared" si="2"/>
        <v>10.1</v>
      </c>
      <c r="AI24" s="54">
        <f t="shared" si="3"/>
        <v>9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49">
        <v>8</v>
      </c>
      <c r="AG25" s="58">
        <v>24.2</v>
      </c>
      <c r="AH25" s="53">
        <f t="shared" si="2"/>
        <v>8</v>
      </c>
      <c r="AI25" s="54">
        <f t="shared" si="3"/>
        <v>8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49">
        <v>6.2</v>
      </c>
      <c r="AG26" s="58">
        <v>20</v>
      </c>
      <c r="AH26" s="53">
        <f t="shared" si="2"/>
        <v>6.2</v>
      </c>
      <c r="AI26" s="54">
        <f t="shared" si="3"/>
        <v>6.2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50">
        <v>4.5</v>
      </c>
      <c r="C27" s="50">
        <v>4.5</v>
      </c>
      <c r="D27" s="50">
        <v>4.5</v>
      </c>
      <c r="E27" s="50">
        <v>4.5</v>
      </c>
      <c r="F27" s="50">
        <v>4.5</v>
      </c>
      <c r="G27" s="50">
        <v>4.5</v>
      </c>
      <c r="H27" s="50">
        <v>4.5</v>
      </c>
      <c r="I27" s="50">
        <v>4.5</v>
      </c>
      <c r="J27" s="50">
        <v>4.5</v>
      </c>
      <c r="K27" s="50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8">
        <v>23.5</v>
      </c>
      <c r="AH27" s="53">
        <f t="shared" si="2"/>
        <v>4.5</v>
      </c>
      <c r="AI27" s="54">
        <f t="shared" si="3"/>
        <v>4.5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49">
        <v>0</v>
      </c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49">
        <v>4</v>
      </c>
      <c r="AG29" s="58">
        <v>22.1</v>
      </c>
      <c r="AH29" s="53">
        <f t="shared" si="2"/>
        <v>4</v>
      </c>
      <c r="AI29" s="54">
        <f t="shared" si="3"/>
        <v>4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49">
        <v>12</v>
      </c>
      <c r="AG30" s="58">
        <v>22.1</v>
      </c>
      <c r="AH30" s="53">
        <f t="shared" si="2"/>
        <v>12</v>
      </c>
      <c r="AI30" s="54">
        <f t="shared" si="3"/>
        <v>12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60">
        <v>6</v>
      </c>
      <c r="AG31" s="61">
        <v>22</v>
      </c>
      <c r="AH31" s="53">
        <f t="shared" si="2"/>
        <v>6</v>
      </c>
      <c r="AI31" s="54">
        <f t="shared" si="3"/>
        <v>6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60">
        <v>0</v>
      </c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50">
        <v>0</v>
      </c>
      <c r="C33" s="50">
        <v>0</v>
      </c>
      <c r="D33" s="50">
        <v>3</v>
      </c>
      <c r="E33" s="50">
        <v>3</v>
      </c>
      <c r="F33" s="50">
        <v>3</v>
      </c>
      <c r="G33" s="50">
        <v>3</v>
      </c>
      <c r="H33" s="50">
        <v>3</v>
      </c>
      <c r="I33" s="50">
        <v>3</v>
      </c>
      <c r="J33" s="50">
        <v>3</v>
      </c>
      <c r="K33" s="50">
        <v>3</v>
      </c>
      <c r="L33" s="50">
        <v>3</v>
      </c>
      <c r="M33" s="50">
        <v>3</v>
      </c>
      <c r="N33" s="50">
        <v>3</v>
      </c>
      <c r="O33" s="50">
        <v>3</v>
      </c>
      <c r="P33" s="50">
        <v>3</v>
      </c>
      <c r="Q33" s="50">
        <v>3</v>
      </c>
      <c r="R33" s="50">
        <v>3</v>
      </c>
      <c r="S33" s="50">
        <v>3</v>
      </c>
      <c r="T33" s="50">
        <v>3</v>
      </c>
      <c r="U33" s="50">
        <v>3</v>
      </c>
      <c r="V33" s="50">
        <v>3</v>
      </c>
      <c r="W33" s="50">
        <v>3</v>
      </c>
      <c r="X33" s="50">
        <v>3</v>
      </c>
      <c r="Y33" s="50">
        <v>3</v>
      </c>
      <c r="Z33" s="50">
        <v>3</v>
      </c>
      <c r="AA33" s="50">
        <v>3</v>
      </c>
      <c r="AB33" s="50">
        <v>3</v>
      </c>
      <c r="AC33" s="50">
        <v>3</v>
      </c>
      <c r="AD33" s="50">
        <v>3</v>
      </c>
      <c r="AE33" s="50">
        <v>3</v>
      </c>
      <c r="AF33" s="50">
        <v>3</v>
      </c>
      <c r="AG33" s="66">
        <v>11</v>
      </c>
      <c r="AH33" s="53">
        <f t="shared" si="2"/>
        <v>3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60">
        <v>4.2</v>
      </c>
      <c r="AG34" s="66">
        <v>20</v>
      </c>
      <c r="AH34" s="53">
        <f t="shared" si="2"/>
        <v>4.2</v>
      </c>
      <c r="AI34" s="54">
        <f t="shared" si="3"/>
        <v>4.2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60">
        <v>0</v>
      </c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>
        <v>160</v>
      </c>
      <c r="C36" s="60">
        <v>160</v>
      </c>
      <c r="D36" s="60">
        <v>160</v>
      </c>
      <c r="E36" s="60">
        <v>160</v>
      </c>
      <c r="F36" s="60">
        <v>160</v>
      </c>
      <c r="G36" s="60">
        <v>160</v>
      </c>
      <c r="H36" s="60">
        <v>160</v>
      </c>
      <c r="I36" s="60">
        <v>160</v>
      </c>
      <c r="J36" s="60">
        <v>160</v>
      </c>
      <c r="K36" s="60">
        <v>160</v>
      </c>
      <c r="L36" s="60">
        <v>160</v>
      </c>
      <c r="M36" s="60">
        <v>160</v>
      </c>
      <c r="N36" s="60">
        <v>160</v>
      </c>
      <c r="O36" s="60">
        <v>160</v>
      </c>
      <c r="P36" s="60">
        <v>160</v>
      </c>
      <c r="Q36" s="60">
        <v>160</v>
      </c>
      <c r="R36" s="60">
        <v>160</v>
      </c>
      <c r="S36" s="60">
        <v>160</v>
      </c>
      <c r="T36" s="60">
        <v>160</v>
      </c>
      <c r="U36" s="60">
        <v>160</v>
      </c>
      <c r="V36" s="60">
        <v>160</v>
      </c>
      <c r="W36" s="60">
        <v>160</v>
      </c>
      <c r="X36" s="60">
        <v>160</v>
      </c>
      <c r="Y36" s="60">
        <v>160</v>
      </c>
      <c r="Z36" s="60">
        <v>160</v>
      </c>
      <c r="AA36" s="60">
        <v>160</v>
      </c>
      <c r="AB36" s="60">
        <v>160</v>
      </c>
      <c r="AC36" s="60">
        <v>160</v>
      </c>
      <c r="AD36" s="60">
        <v>160</v>
      </c>
      <c r="AE36" s="60">
        <v>160</v>
      </c>
      <c r="AF36" s="60">
        <v>160</v>
      </c>
      <c r="AG36" s="66">
        <v>85</v>
      </c>
      <c r="AH36" s="53">
        <f t="shared" si="2"/>
        <v>160</v>
      </c>
      <c r="AI36" s="54">
        <f t="shared" si="3"/>
        <v>160</v>
      </c>
      <c r="AK36" s="55"/>
    </row>
    <row r="37" spans="1:88" ht="15.75" thickBot="1" x14ac:dyDescent="0.3">
      <c r="A37" s="68" t="s">
        <v>45</v>
      </c>
      <c r="B37" s="69">
        <f>11.1+27.1</f>
        <v>38.200000000000003</v>
      </c>
      <c r="C37" s="69">
        <f>11.1+27.1</f>
        <v>38.200000000000003</v>
      </c>
      <c r="D37" s="69">
        <v>42.5</v>
      </c>
      <c r="E37" s="69">
        <v>40</v>
      </c>
      <c r="F37" s="69">
        <v>41.6</v>
      </c>
      <c r="G37" s="69">
        <v>41.6</v>
      </c>
      <c r="H37" s="69">
        <v>40.299999999999997</v>
      </c>
      <c r="I37" s="69">
        <v>40.299999999999997</v>
      </c>
      <c r="J37" s="69">
        <v>40.299999999999997</v>
      </c>
      <c r="K37" s="69">
        <v>40.299999999999997</v>
      </c>
      <c r="L37" s="69">
        <v>40.299999999999997</v>
      </c>
      <c r="M37" s="69">
        <v>40.299999999999997</v>
      </c>
      <c r="N37" s="69">
        <v>40.299999999999997</v>
      </c>
      <c r="O37" s="69">
        <v>40.299999999999997</v>
      </c>
      <c r="P37" s="69">
        <v>39.6</v>
      </c>
      <c r="Q37" s="69">
        <v>39.6</v>
      </c>
      <c r="R37" s="69">
        <v>43.6</v>
      </c>
      <c r="S37" s="69">
        <f>12+28.2</f>
        <v>40.200000000000003</v>
      </c>
      <c r="T37" s="69">
        <f>12.4+28.1</f>
        <v>40.5</v>
      </c>
      <c r="U37" s="69">
        <f>12.2+27.8</f>
        <v>40</v>
      </c>
      <c r="V37" s="69">
        <f>12.3+28.4</f>
        <v>40.700000000000003</v>
      </c>
      <c r="W37" s="69">
        <f>12.2+28.2</f>
        <v>40.4</v>
      </c>
      <c r="X37" s="69">
        <f>10.6+24</f>
        <v>34.6</v>
      </c>
      <c r="Y37" s="69">
        <v>30.1</v>
      </c>
      <c r="Z37" s="69">
        <f>8.9+20.1</f>
        <v>29</v>
      </c>
      <c r="AA37" s="69">
        <f>10.3+23.3</f>
        <v>33.6</v>
      </c>
      <c r="AB37" s="69">
        <v>36.299999999999997</v>
      </c>
      <c r="AC37" s="69">
        <f>28.4+11.4</f>
        <v>39.799999999999997</v>
      </c>
      <c r="AD37" s="69">
        <v>40.5</v>
      </c>
      <c r="AE37" s="69">
        <f>28.9+11.9</f>
        <v>40.799999999999997</v>
      </c>
      <c r="AF37" s="60">
        <f>26.8+10.8</f>
        <v>37.6</v>
      </c>
      <c r="AG37" s="66">
        <v>240</v>
      </c>
      <c r="AH37" s="53">
        <f t="shared" si="2"/>
        <v>43.6</v>
      </c>
      <c r="AI37" s="54">
        <f t="shared" si="3"/>
        <v>29</v>
      </c>
      <c r="AK37" s="55"/>
    </row>
    <row r="38" spans="1:88" ht="15.75" thickBot="1" x14ac:dyDescent="0.3">
      <c r="A38" s="70" t="s">
        <v>46</v>
      </c>
      <c r="B38" s="71">
        <f t="shared" ref="B38" si="4">SUM(B11:B36)</f>
        <v>398.79999999999995</v>
      </c>
      <c r="C38" s="71">
        <f t="shared" ref="C38:AF38" si="5">SUM(C11:C36)</f>
        <v>398.79999999999995</v>
      </c>
      <c r="D38" s="71">
        <f t="shared" si="5"/>
        <v>401.69999999999993</v>
      </c>
      <c r="E38" s="71">
        <f t="shared" si="5"/>
        <v>446.7</v>
      </c>
      <c r="F38" s="71">
        <f t="shared" si="5"/>
        <v>436.7</v>
      </c>
      <c r="G38" s="71">
        <f t="shared" si="5"/>
        <v>401.69999999999993</v>
      </c>
      <c r="H38" s="71">
        <f t="shared" si="5"/>
        <v>401.69999999999993</v>
      </c>
      <c r="I38" s="71">
        <f t="shared" si="5"/>
        <v>401.69999999999993</v>
      </c>
      <c r="J38" s="71">
        <f t="shared" si="5"/>
        <v>480.09999999999997</v>
      </c>
      <c r="K38" s="71">
        <f t="shared" si="5"/>
        <v>676.2</v>
      </c>
      <c r="L38" s="71">
        <f t="shared" si="5"/>
        <v>706.2</v>
      </c>
      <c r="M38" s="71">
        <f t="shared" si="5"/>
        <v>707.30000000000007</v>
      </c>
      <c r="N38" s="71">
        <f t="shared" si="5"/>
        <v>592.29999999999995</v>
      </c>
      <c r="O38" s="71">
        <f t="shared" si="5"/>
        <v>487.29999999999995</v>
      </c>
      <c r="P38" s="71">
        <f t="shared" si="5"/>
        <v>477.3</v>
      </c>
      <c r="Q38" s="71">
        <f t="shared" si="5"/>
        <v>477.3</v>
      </c>
      <c r="R38" s="71">
        <f t="shared" si="5"/>
        <v>472.29999999999995</v>
      </c>
      <c r="S38" s="71">
        <f t="shared" si="5"/>
        <v>368.79999999999995</v>
      </c>
      <c r="T38" s="71">
        <f t="shared" si="5"/>
        <v>367.9</v>
      </c>
      <c r="U38" s="71">
        <f t="shared" si="5"/>
        <v>387.59999999999991</v>
      </c>
      <c r="V38" s="71">
        <f t="shared" si="5"/>
        <v>507.59999999999997</v>
      </c>
      <c r="W38" s="71">
        <f t="shared" si="5"/>
        <v>512.59999999999991</v>
      </c>
      <c r="X38" s="71">
        <f t="shared" si="5"/>
        <v>677.6</v>
      </c>
      <c r="Y38" s="71">
        <f t="shared" si="5"/>
        <v>755.4000000000002</v>
      </c>
      <c r="Z38" s="71">
        <f t="shared" si="5"/>
        <v>735.40000000000009</v>
      </c>
      <c r="AA38" s="71">
        <f t="shared" si="5"/>
        <v>671.4</v>
      </c>
      <c r="AB38" s="71">
        <f t="shared" si="5"/>
        <v>716.40000000000009</v>
      </c>
      <c r="AC38" s="71">
        <f t="shared" si="5"/>
        <v>465.5</v>
      </c>
      <c r="AD38" s="71">
        <f t="shared" si="5"/>
        <v>440.49999999999994</v>
      </c>
      <c r="AE38" s="71">
        <f t="shared" si="5"/>
        <v>439.7</v>
      </c>
      <c r="AF38" s="71">
        <f t="shared" si="5"/>
        <v>409.69999999999993</v>
      </c>
      <c r="AG38" s="66">
        <f>SUM(AG11:AG37)</f>
        <v>1492.8299999999997</v>
      </c>
      <c r="AH38" s="53">
        <f t="shared" si="2"/>
        <v>755.4000000000002</v>
      </c>
      <c r="AI38" s="54">
        <f t="shared" si="3"/>
        <v>367.9</v>
      </c>
      <c r="AK38" s="55"/>
    </row>
    <row r="39" spans="1:88" x14ac:dyDescent="0.25">
      <c r="A39" s="56" t="s">
        <v>47</v>
      </c>
      <c r="B39" s="50">
        <v>30.5</v>
      </c>
      <c r="C39" s="5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30</v>
      </c>
      <c r="I39" s="60">
        <v>41.3</v>
      </c>
      <c r="J39" s="60">
        <v>83.6</v>
      </c>
      <c r="K39" s="60">
        <v>146</v>
      </c>
      <c r="L39" s="60">
        <v>142.80000000000001</v>
      </c>
      <c r="M39" s="50">
        <v>143</v>
      </c>
      <c r="N39" s="50">
        <v>130</v>
      </c>
      <c r="O39" s="50">
        <v>117</v>
      </c>
      <c r="P39" s="50">
        <v>61</v>
      </c>
      <c r="Q39" s="50">
        <v>95</v>
      </c>
      <c r="R39" s="50">
        <v>61.5</v>
      </c>
      <c r="S39" s="50">
        <v>36.6</v>
      </c>
      <c r="T39" s="50">
        <v>49.5</v>
      </c>
      <c r="U39" s="50">
        <v>70</v>
      </c>
      <c r="V39" s="50">
        <v>90.3</v>
      </c>
      <c r="W39" s="50">
        <v>131.4</v>
      </c>
      <c r="X39" s="50">
        <v>145.6</v>
      </c>
      <c r="Y39" s="50">
        <v>145.9</v>
      </c>
      <c r="Z39" s="50">
        <v>145.69999999999999</v>
      </c>
      <c r="AA39" s="50">
        <v>145.4</v>
      </c>
      <c r="AB39" s="50">
        <v>145.19999999999999</v>
      </c>
      <c r="AC39" s="50">
        <v>121.4</v>
      </c>
      <c r="AD39" s="50">
        <v>121.2</v>
      </c>
      <c r="AE39" s="50">
        <v>71.3</v>
      </c>
      <c r="AF39" s="49">
        <v>48.6</v>
      </c>
      <c r="AG39" s="61">
        <v>144</v>
      </c>
      <c r="AH39" s="53">
        <f t="shared" si="2"/>
        <v>146</v>
      </c>
      <c r="AI39" s="54">
        <f t="shared" si="3"/>
        <v>0</v>
      </c>
      <c r="AK39" s="55"/>
    </row>
    <row r="40" spans="1:88" x14ac:dyDescent="0.25">
      <c r="A40" s="65" t="s">
        <v>48</v>
      </c>
      <c r="B40" s="72">
        <v>0</v>
      </c>
      <c r="C40" s="72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21.6</v>
      </c>
      <c r="J40" s="60">
        <v>35.9</v>
      </c>
      <c r="K40" s="60">
        <v>65</v>
      </c>
      <c r="L40" s="60">
        <v>60</v>
      </c>
      <c r="M40" s="72">
        <v>69.2</v>
      </c>
      <c r="N40" s="72">
        <v>60</v>
      </c>
      <c r="O40" s="72">
        <v>44</v>
      </c>
      <c r="P40" s="72">
        <v>25</v>
      </c>
      <c r="Q40" s="72">
        <v>46</v>
      </c>
      <c r="R40" s="72">
        <v>43</v>
      </c>
      <c r="S40" s="72">
        <v>23</v>
      </c>
      <c r="T40" s="72">
        <v>34.799999999999997</v>
      </c>
      <c r="U40" s="72">
        <v>34.799999999999997</v>
      </c>
      <c r="V40" s="72">
        <v>63.2</v>
      </c>
      <c r="W40" s="72">
        <v>59.2</v>
      </c>
      <c r="X40" s="72">
        <v>69</v>
      </c>
      <c r="Y40" s="72">
        <v>70</v>
      </c>
      <c r="Z40" s="72">
        <v>0</v>
      </c>
      <c r="AA40" s="72">
        <v>44.9</v>
      </c>
      <c r="AB40" s="72">
        <v>60.8</v>
      </c>
      <c r="AC40" s="72">
        <v>60.9</v>
      </c>
      <c r="AD40" s="72">
        <v>49.1</v>
      </c>
      <c r="AE40" s="72">
        <v>35</v>
      </c>
      <c r="AF40" s="60">
        <v>22.3</v>
      </c>
      <c r="AG40" s="66">
        <v>70</v>
      </c>
      <c r="AH40" s="53">
        <f t="shared" si="2"/>
        <v>70</v>
      </c>
      <c r="AI40" s="54">
        <f t="shared" si="3"/>
        <v>0</v>
      </c>
      <c r="AK40" s="55"/>
    </row>
    <row r="41" spans="1:88" x14ac:dyDescent="0.25">
      <c r="A41" s="65" t="s">
        <v>49</v>
      </c>
      <c r="B41" s="72">
        <v>33.700000000000003</v>
      </c>
      <c r="C41" s="72">
        <v>33.700000000000003</v>
      </c>
      <c r="D41" s="60">
        <v>16.899999999999999</v>
      </c>
      <c r="E41" s="60">
        <v>22.6</v>
      </c>
      <c r="F41" s="60">
        <v>33</v>
      </c>
      <c r="G41" s="60">
        <v>33.299999999999997</v>
      </c>
      <c r="H41" s="60">
        <v>36</v>
      </c>
      <c r="I41" s="60">
        <v>33.6</v>
      </c>
      <c r="J41" s="60">
        <v>46.6</v>
      </c>
      <c r="K41" s="60">
        <v>55.3</v>
      </c>
      <c r="L41" s="60">
        <v>56.9</v>
      </c>
      <c r="M41" s="72">
        <v>62.2</v>
      </c>
      <c r="N41" s="72">
        <v>60</v>
      </c>
      <c r="O41" s="72">
        <v>33</v>
      </c>
      <c r="P41" s="72">
        <v>33</v>
      </c>
      <c r="Q41" s="72">
        <v>22</v>
      </c>
      <c r="R41" s="72">
        <v>0</v>
      </c>
      <c r="S41" s="72">
        <v>0</v>
      </c>
      <c r="T41" s="72">
        <v>0</v>
      </c>
      <c r="U41" s="72">
        <v>23.4</v>
      </c>
      <c r="V41" s="72">
        <v>44.6</v>
      </c>
      <c r="W41" s="72">
        <v>62.4</v>
      </c>
      <c r="X41" s="72">
        <v>64.5</v>
      </c>
      <c r="Y41" s="72">
        <v>68.900000000000006</v>
      </c>
      <c r="Z41" s="72">
        <v>67.8</v>
      </c>
      <c r="AA41" s="72">
        <v>67.3</v>
      </c>
      <c r="AB41" s="72">
        <v>67.3</v>
      </c>
      <c r="AC41" s="72">
        <v>67.400000000000006</v>
      </c>
      <c r="AD41" s="72">
        <v>54.4</v>
      </c>
      <c r="AE41" s="72">
        <v>46.6</v>
      </c>
      <c r="AF41" s="60">
        <v>22.9</v>
      </c>
      <c r="AG41" s="66">
        <v>69</v>
      </c>
      <c r="AH41" s="53">
        <f t="shared" si="2"/>
        <v>68.900000000000006</v>
      </c>
      <c r="AI41" s="54">
        <f t="shared" si="3"/>
        <v>0</v>
      </c>
      <c r="AK41" s="55"/>
    </row>
    <row r="42" spans="1:88" x14ac:dyDescent="0.25">
      <c r="A42" s="65" t="s">
        <v>50</v>
      </c>
      <c r="B42" s="72">
        <v>50.9</v>
      </c>
      <c r="C42" s="72">
        <v>50.9</v>
      </c>
      <c r="D42" s="60">
        <v>51.9</v>
      </c>
      <c r="E42" s="60">
        <v>48.9</v>
      </c>
      <c r="F42" s="60">
        <v>46</v>
      </c>
      <c r="G42" s="60">
        <v>48</v>
      </c>
      <c r="H42" s="60">
        <v>48.3</v>
      </c>
      <c r="I42" s="60">
        <v>48.3</v>
      </c>
      <c r="J42" s="60">
        <v>48.3</v>
      </c>
      <c r="K42" s="60">
        <v>48.3</v>
      </c>
      <c r="L42" s="60">
        <v>48.3</v>
      </c>
      <c r="M42" s="72">
        <v>50.4</v>
      </c>
      <c r="N42" s="72">
        <v>50.4</v>
      </c>
      <c r="O42" s="72">
        <v>50.4</v>
      </c>
      <c r="P42" s="72">
        <v>50.4</v>
      </c>
      <c r="Q42" s="72">
        <v>50.4</v>
      </c>
      <c r="R42" s="72">
        <v>50.4</v>
      </c>
      <c r="S42" s="72">
        <v>48.1</v>
      </c>
      <c r="T42" s="72">
        <v>46.1</v>
      </c>
      <c r="U42" s="72">
        <v>45.3</v>
      </c>
      <c r="V42" s="72">
        <v>47.8</v>
      </c>
      <c r="W42" s="72">
        <v>47.4</v>
      </c>
      <c r="X42" s="72">
        <v>47.4</v>
      </c>
      <c r="Y42" s="72">
        <v>50.4</v>
      </c>
      <c r="Z42" s="72">
        <v>50.4</v>
      </c>
      <c r="AA42" s="72">
        <v>50.4</v>
      </c>
      <c r="AB42" s="72">
        <v>48.1</v>
      </c>
      <c r="AC42" s="72">
        <v>47.8</v>
      </c>
      <c r="AD42" s="72">
        <v>48.3</v>
      </c>
      <c r="AE42" s="72">
        <v>48.8</v>
      </c>
      <c r="AF42" s="60">
        <v>51.6</v>
      </c>
      <c r="AG42" s="66">
        <v>60</v>
      </c>
      <c r="AH42" s="53">
        <f t="shared" si="2"/>
        <v>51.9</v>
      </c>
      <c r="AI42" s="54">
        <f t="shared" si="3"/>
        <v>45.3</v>
      </c>
      <c r="AK42" s="55"/>
    </row>
    <row r="43" spans="1:88" x14ac:dyDescent="0.25">
      <c r="A43" s="65" t="s">
        <v>51</v>
      </c>
      <c r="B43" s="72">
        <v>0</v>
      </c>
      <c r="C43" s="72">
        <v>0</v>
      </c>
      <c r="D43" s="60">
        <v>0</v>
      </c>
      <c r="E43" s="60">
        <v>0</v>
      </c>
      <c r="F43" s="60">
        <v>0</v>
      </c>
      <c r="G43" s="60">
        <v>10</v>
      </c>
      <c r="H43" s="60">
        <v>10</v>
      </c>
      <c r="I43" s="60">
        <v>15</v>
      </c>
      <c r="J43" s="60">
        <v>15</v>
      </c>
      <c r="K43" s="60">
        <v>23</v>
      </c>
      <c r="L43" s="60">
        <v>30</v>
      </c>
      <c r="M43" s="50">
        <v>30</v>
      </c>
      <c r="N43" s="50">
        <v>15</v>
      </c>
      <c r="O43" s="50">
        <v>10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13</v>
      </c>
      <c r="X43" s="50">
        <v>23</v>
      </c>
      <c r="Y43" s="50">
        <v>29</v>
      </c>
      <c r="Z43" s="50">
        <v>29</v>
      </c>
      <c r="AA43" s="50">
        <v>29</v>
      </c>
      <c r="AB43" s="72">
        <v>25</v>
      </c>
      <c r="AC43" s="72">
        <v>15</v>
      </c>
      <c r="AD43" s="72">
        <v>10</v>
      </c>
      <c r="AE43" s="72">
        <v>0</v>
      </c>
      <c r="AF43" s="60">
        <v>0</v>
      </c>
      <c r="AG43" s="66">
        <v>30</v>
      </c>
      <c r="AH43" s="53">
        <f t="shared" si="2"/>
        <v>30</v>
      </c>
      <c r="AI43" s="54">
        <f t="shared" si="3"/>
        <v>0</v>
      </c>
      <c r="AK43" s="55"/>
    </row>
    <row r="44" spans="1:88" x14ac:dyDescent="0.25">
      <c r="A44" s="65" t="s">
        <v>52</v>
      </c>
      <c r="B44" s="50">
        <v>0</v>
      </c>
      <c r="C44" s="5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0">
        <v>0</v>
      </c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60">
        <v>16</v>
      </c>
      <c r="AG45" s="66">
        <v>24</v>
      </c>
      <c r="AH45" s="53">
        <f t="shared" si="2"/>
        <v>16</v>
      </c>
      <c r="AI45" s="54">
        <f t="shared" si="3"/>
        <v>16</v>
      </c>
      <c r="AK45" s="55"/>
    </row>
    <row r="46" spans="1:88" x14ac:dyDescent="0.25">
      <c r="A46" s="65" t="s">
        <v>54</v>
      </c>
      <c r="B46" s="50">
        <v>4.2</v>
      </c>
      <c r="C46" s="50">
        <v>4.2</v>
      </c>
      <c r="D46" s="50">
        <v>4.2</v>
      </c>
      <c r="E46" s="50">
        <v>4.2</v>
      </c>
      <c r="F46" s="50">
        <v>3.8</v>
      </c>
      <c r="G46" s="50">
        <v>3.8</v>
      </c>
      <c r="H46" s="50">
        <v>3.8</v>
      </c>
      <c r="I46" s="50">
        <v>3.8</v>
      </c>
      <c r="J46" s="50">
        <v>3.8</v>
      </c>
      <c r="K46" s="50">
        <v>3.8</v>
      </c>
      <c r="L46" s="50">
        <v>3.8</v>
      </c>
      <c r="M46" s="50">
        <v>3.8</v>
      </c>
      <c r="N46" s="50">
        <v>3.8</v>
      </c>
      <c r="O46" s="50">
        <v>3.8</v>
      </c>
      <c r="P46" s="50">
        <v>3.8</v>
      </c>
      <c r="Q46" s="50">
        <v>3.8</v>
      </c>
      <c r="R46" s="50">
        <v>3.8</v>
      </c>
      <c r="S46" s="50">
        <v>3.8</v>
      </c>
      <c r="T46" s="50">
        <v>3.8</v>
      </c>
      <c r="U46" s="50">
        <v>3.8</v>
      </c>
      <c r="V46" s="50">
        <v>3.8</v>
      </c>
      <c r="W46" s="50">
        <v>3.8</v>
      </c>
      <c r="X46" s="50">
        <v>3.8</v>
      </c>
      <c r="Y46" s="50">
        <v>3.8</v>
      </c>
      <c r="Z46" s="50">
        <v>3.8</v>
      </c>
      <c r="AA46" s="50">
        <v>3.8</v>
      </c>
      <c r="AB46" s="50">
        <v>3.8</v>
      </c>
      <c r="AC46" s="50">
        <v>3.8</v>
      </c>
      <c r="AD46" s="50">
        <v>3.8</v>
      </c>
      <c r="AE46" s="50">
        <v>3.8</v>
      </c>
      <c r="AF46" s="60">
        <v>3.8</v>
      </c>
      <c r="AG46" s="66">
        <v>15</v>
      </c>
      <c r="AH46" s="53">
        <f t="shared" si="2"/>
        <v>4.2</v>
      </c>
      <c r="AI46" s="54">
        <f t="shared" si="3"/>
        <v>3.8</v>
      </c>
      <c r="AK46" s="55"/>
      <c r="AL46" s="73"/>
      <c r="AO46" s="73"/>
    </row>
    <row r="47" spans="1:88" s="73" customFormat="1" x14ac:dyDescent="0.25">
      <c r="A47" s="65" t="s">
        <v>55</v>
      </c>
      <c r="B47" s="50">
        <v>12</v>
      </c>
      <c r="C47" s="50">
        <v>12</v>
      </c>
      <c r="D47" s="50">
        <v>12</v>
      </c>
      <c r="E47" s="50">
        <v>12</v>
      </c>
      <c r="F47" s="50">
        <v>12</v>
      </c>
      <c r="G47" s="50">
        <v>12</v>
      </c>
      <c r="H47" s="50">
        <v>12</v>
      </c>
      <c r="I47" s="50">
        <v>12</v>
      </c>
      <c r="J47" s="50">
        <v>12</v>
      </c>
      <c r="K47" s="50">
        <v>12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60">
        <v>12</v>
      </c>
      <c r="AG47" s="66">
        <v>14.1</v>
      </c>
      <c r="AH47" s="53">
        <f t="shared" si="2"/>
        <v>12</v>
      </c>
      <c r="AI47" s="54">
        <f t="shared" si="3"/>
        <v>12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50">
        <v>5.2</v>
      </c>
      <c r="C48" s="50">
        <v>5.2</v>
      </c>
      <c r="D48" s="50">
        <v>5.2</v>
      </c>
      <c r="E48" s="50">
        <v>5.2</v>
      </c>
      <c r="F48" s="50">
        <v>5.2</v>
      </c>
      <c r="G48" s="50">
        <v>5.2</v>
      </c>
      <c r="H48" s="50">
        <v>5.2</v>
      </c>
      <c r="I48" s="50">
        <v>5.2</v>
      </c>
      <c r="J48" s="50">
        <v>5.2</v>
      </c>
      <c r="K48" s="50">
        <v>5.2</v>
      </c>
      <c r="L48" s="50">
        <v>5.2</v>
      </c>
      <c r="M48" s="50">
        <v>5.2</v>
      </c>
      <c r="N48" s="50">
        <v>5.2</v>
      </c>
      <c r="O48" s="50">
        <v>5.2</v>
      </c>
      <c r="P48" s="50">
        <v>5.2</v>
      </c>
      <c r="Q48" s="50">
        <v>5.2</v>
      </c>
      <c r="R48" s="50">
        <v>5.2</v>
      </c>
      <c r="S48" s="50">
        <v>5.2</v>
      </c>
      <c r="T48" s="50">
        <v>5.2</v>
      </c>
      <c r="U48" s="50">
        <v>5.2</v>
      </c>
      <c r="V48" s="50">
        <v>5.2</v>
      </c>
      <c r="W48" s="50">
        <v>5.2</v>
      </c>
      <c r="X48" s="50">
        <v>5.2</v>
      </c>
      <c r="Y48" s="50">
        <v>5.2</v>
      </c>
      <c r="Z48" s="50">
        <v>5.2</v>
      </c>
      <c r="AA48" s="50">
        <v>5.2</v>
      </c>
      <c r="AB48" s="50">
        <v>5.2</v>
      </c>
      <c r="AC48" s="50">
        <v>5.2</v>
      </c>
      <c r="AD48" s="50">
        <v>5.2</v>
      </c>
      <c r="AE48" s="50">
        <v>5.2</v>
      </c>
      <c r="AF48" s="60">
        <v>5.2</v>
      </c>
      <c r="AG48" s="66">
        <v>14</v>
      </c>
      <c r="AH48" s="53">
        <f t="shared" si="2"/>
        <v>5.2</v>
      </c>
      <c r="AI48" s="54">
        <f t="shared" si="3"/>
        <v>5.2</v>
      </c>
      <c r="AK48" s="55"/>
    </row>
    <row r="49" spans="1:37" x14ac:dyDescent="0.25">
      <c r="A49" s="65" t="s">
        <v>57</v>
      </c>
      <c r="B49" s="50">
        <v>5.3</v>
      </c>
      <c r="C49" s="50">
        <v>5.3</v>
      </c>
      <c r="D49" s="50">
        <v>5.3</v>
      </c>
      <c r="E49" s="50">
        <v>5.3</v>
      </c>
      <c r="F49" s="50">
        <v>5.3</v>
      </c>
      <c r="G49" s="50">
        <v>5.3</v>
      </c>
      <c r="H49" s="50">
        <v>5.3</v>
      </c>
      <c r="I49" s="50">
        <v>5.3</v>
      </c>
      <c r="J49" s="50">
        <v>5.3</v>
      </c>
      <c r="K49" s="50">
        <v>5.3</v>
      </c>
      <c r="L49" s="50">
        <v>5.3</v>
      </c>
      <c r="M49" s="50">
        <v>5.3</v>
      </c>
      <c r="N49" s="50">
        <v>5.3</v>
      </c>
      <c r="O49" s="50">
        <v>5.3</v>
      </c>
      <c r="P49" s="50">
        <v>5.3</v>
      </c>
      <c r="Q49" s="50">
        <v>5.3</v>
      </c>
      <c r="R49" s="50">
        <v>5.3</v>
      </c>
      <c r="S49" s="50">
        <v>5.3</v>
      </c>
      <c r="T49" s="50">
        <v>5.3</v>
      </c>
      <c r="U49" s="50">
        <v>5.3</v>
      </c>
      <c r="V49" s="50">
        <v>5.3</v>
      </c>
      <c r="W49" s="50">
        <v>5.3</v>
      </c>
      <c r="X49" s="50">
        <v>5.3</v>
      </c>
      <c r="Y49" s="50">
        <v>5.3</v>
      </c>
      <c r="Z49" s="50">
        <v>5.3</v>
      </c>
      <c r="AA49" s="50">
        <v>5.3</v>
      </c>
      <c r="AB49" s="50">
        <v>5.3</v>
      </c>
      <c r="AC49" s="50">
        <v>5.3</v>
      </c>
      <c r="AD49" s="50">
        <v>5.3</v>
      </c>
      <c r="AE49" s="50">
        <v>5.3</v>
      </c>
      <c r="AF49" s="60">
        <v>5.3</v>
      </c>
      <c r="AG49" s="66">
        <v>10.050000000000001</v>
      </c>
      <c r="AH49" s="53">
        <f t="shared" si="2"/>
        <v>5.3</v>
      </c>
      <c r="AI49" s="54">
        <f t="shared" si="3"/>
        <v>5.3</v>
      </c>
      <c r="AK49" s="55"/>
    </row>
    <row r="50" spans="1:37" x14ac:dyDescent="0.25">
      <c r="A50" s="65" t="s">
        <v>58</v>
      </c>
      <c r="B50" s="50">
        <v>3.5</v>
      </c>
      <c r="C50" s="50">
        <v>3.5</v>
      </c>
      <c r="D50" s="50">
        <v>3.5</v>
      </c>
      <c r="E50" s="50">
        <v>3.5</v>
      </c>
      <c r="F50" s="50">
        <v>3.5</v>
      </c>
      <c r="G50" s="50">
        <v>3.5</v>
      </c>
      <c r="H50" s="50">
        <v>3.5</v>
      </c>
      <c r="I50" s="50">
        <v>3.5</v>
      </c>
      <c r="J50" s="50">
        <v>3.5</v>
      </c>
      <c r="K50" s="50">
        <v>3.5</v>
      </c>
      <c r="L50" s="50">
        <v>3.5</v>
      </c>
      <c r="M50" s="50">
        <v>3.5</v>
      </c>
      <c r="N50" s="50">
        <v>3.5</v>
      </c>
      <c r="O50" s="50">
        <v>3.5</v>
      </c>
      <c r="P50" s="50">
        <v>3.5</v>
      </c>
      <c r="Q50" s="50">
        <v>3.5</v>
      </c>
      <c r="R50" s="50">
        <v>3.5</v>
      </c>
      <c r="S50" s="50">
        <v>3.5</v>
      </c>
      <c r="T50" s="50">
        <v>3.5</v>
      </c>
      <c r="U50" s="50">
        <v>3.5</v>
      </c>
      <c r="V50" s="50">
        <v>3.5</v>
      </c>
      <c r="W50" s="50">
        <v>3.5</v>
      </c>
      <c r="X50" s="50">
        <v>3.5</v>
      </c>
      <c r="Y50" s="50">
        <v>3.5</v>
      </c>
      <c r="Z50" s="50">
        <v>3.5</v>
      </c>
      <c r="AA50" s="50">
        <v>3.5</v>
      </c>
      <c r="AB50" s="50">
        <v>3.5</v>
      </c>
      <c r="AC50" s="50">
        <v>3.5</v>
      </c>
      <c r="AD50" s="50">
        <v>3.5</v>
      </c>
      <c r="AE50" s="50">
        <v>3.5</v>
      </c>
      <c r="AF50" s="60">
        <v>3.5</v>
      </c>
      <c r="AG50" s="66">
        <v>6.2</v>
      </c>
      <c r="AH50" s="53">
        <f t="shared" si="2"/>
        <v>3.5</v>
      </c>
      <c r="AI50" s="54">
        <f t="shared" si="3"/>
        <v>3.5</v>
      </c>
      <c r="AK50" s="55"/>
    </row>
    <row r="51" spans="1:37" ht="15.75" thickBot="1" x14ac:dyDescent="0.3">
      <c r="A51" s="67" t="s">
        <v>59</v>
      </c>
      <c r="B51" s="75">
        <f t="shared" ref="B51" si="6"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7">U199</f>
        <v>3.54</v>
      </c>
      <c r="V51" s="75">
        <f t="shared" si="7"/>
        <v>3.54</v>
      </c>
      <c r="W51" s="75">
        <f t="shared" si="7"/>
        <v>3.54</v>
      </c>
      <c r="X51" s="75">
        <f t="shared" si="7"/>
        <v>3.54</v>
      </c>
      <c r="Y51" s="75">
        <v>3.54</v>
      </c>
      <c r="Z51" s="75">
        <v>3.54</v>
      </c>
      <c r="AA51" s="75">
        <f t="shared" si="7"/>
        <v>3.54</v>
      </c>
      <c r="AB51" s="75">
        <f t="shared" si="7"/>
        <v>3.54</v>
      </c>
      <c r="AC51" s="75">
        <f t="shared" si="7"/>
        <v>3.54</v>
      </c>
      <c r="AD51" s="75">
        <f t="shared" si="7"/>
        <v>3.54</v>
      </c>
      <c r="AE51" s="75">
        <f t="shared" si="7"/>
        <v>3.54</v>
      </c>
      <c r="AF51" s="75">
        <f t="shared" si="7"/>
        <v>3.54</v>
      </c>
      <c r="AG51" s="75">
        <f t="shared" si="7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 t="shared" ref="B52" si="8">SUM(B39:B51)</f>
        <v>164.83999999999997</v>
      </c>
      <c r="C52" s="71">
        <f t="shared" ref="C52:AF52" si="9">SUM(C39:C51)</f>
        <v>134.34</v>
      </c>
      <c r="D52" s="71">
        <f t="shared" si="9"/>
        <v>118.54</v>
      </c>
      <c r="E52" s="71">
        <f t="shared" si="9"/>
        <v>121.24000000000001</v>
      </c>
      <c r="F52" s="71">
        <f t="shared" si="9"/>
        <v>128.34</v>
      </c>
      <c r="G52" s="71">
        <f t="shared" si="9"/>
        <v>140.63999999999999</v>
      </c>
      <c r="H52" s="71">
        <f t="shared" si="9"/>
        <v>173.64000000000001</v>
      </c>
      <c r="I52" s="71">
        <f t="shared" si="9"/>
        <v>209.14000000000001</v>
      </c>
      <c r="J52" s="71">
        <f t="shared" si="9"/>
        <v>278.74</v>
      </c>
      <c r="K52" s="71">
        <f t="shared" si="9"/>
        <v>386.94000000000005</v>
      </c>
      <c r="L52" s="71">
        <f t="shared" si="9"/>
        <v>387.34000000000003</v>
      </c>
      <c r="M52" s="71">
        <f t="shared" si="9"/>
        <v>404.14</v>
      </c>
      <c r="N52" s="71">
        <f t="shared" si="9"/>
        <v>364.74</v>
      </c>
      <c r="O52" s="71">
        <f t="shared" si="9"/>
        <v>303.74</v>
      </c>
      <c r="P52" s="71">
        <f t="shared" si="9"/>
        <v>218.74</v>
      </c>
      <c r="Q52" s="71">
        <f t="shared" si="9"/>
        <v>262.74000000000007</v>
      </c>
      <c r="R52" s="71">
        <f t="shared" si="9"/>
        <v>204.24</v>
      </c>
      <c r="S52" s="71">
        <f t="shared" si="9"/>
        <v>157.04</v>
      </c>
      <c r="T52" s="71">
        <f t="shared" si="9"/>
        <v>179.74</v>
      </c>
      <c r="U52" s="71">
        <f t="shared" si="9"/>
        <v>222.84</v>
      </c>
      <c r="V52" s="71">
        <f t="shared" si="9"/>
        <v>305.24</v>
      </c>
      <c r="W52" s="71">
        <f t="shared" si="9"/>
        <v>362.74000000000007</v>
      </c>
      <c r="X52" s="71">
        <f t="shared" si="9"/>
        <v>398.84000000000003</v>
      </c>
      <c r="Y52" s="71">
        <f t="shared" si="9"/>
        <v>413.54</v>
      </c>
      <c r="Z52" s="71">
        <f t="shared" si="9"/>
        <v>342.24</v>
      </c>
      <c r="AA52" s="71">
        <f t="shared" si="9"/>
        <v>386.34000000000003</v>
      </c>
      <c r="AB52" s="71">
        <f t="shared" si="9"/>
        <v>395.74000000000007</v>
      </c>
      <c r="AC52" s="71">
        <f t="shared" si="9"/>
        <v>361.84000000000003</v>
      </c>
      <c r="AD52" s="71">
        <f t="shared" si="9"/>
        <v>332.34000000000003</v>
      </c>
      <c r="AE52" s="71">
        <f t="shared" si="9"/>
        <v>251.04</v>
      </c>
      <c r="AF52" s="71">
        <f t="shared" si="9"/>
        <v>194.74</v>
      </c>
      <c r="AG52" s="76">
        <f>SUM(AG39:AG51)</f>
        <v>489.91</v>
      </c>
      <c r="AH52" s="53">
        <f t="shared" si="2"/>
        <v>413.54</v>
      </c>
      <c r="AI52" s="54">
        <f t="shared" si="3"/>
        <v>118.54</v>
      </c>
      <c r="AK52" s="55"/>
    </row>
    <row r="53" spans="1:37" x14ac:dyDescent="0.25">
      <c r="A53" s="56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60">
        <v>13.9</v>
      </c>
      <c r="M53" s="77">
        <v>25.1</v>
      </c>
      <c r="N53" s="77">
        <v>25.1</v>
      </c>
      <c r="O53" s="77">
        <v>10</v>
      </c>
      <c r="P53" s="77">
        <v>14</v>
      </c>
      <c r="Q53" s="50">
        <v>14</v>
      </c>
      <c r="R53" s="50">
        <v>10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40</v>
      </c>
      <c r="Z53" s="50">
        <v>53.4</v>
      </c>
      <c r="AA53" s="50">
        <v>53.9</v>
      </c>
      <c r="AB53" s="50">
        <v>30</v>
      </c>
      <c r="AC53" s="50">
        <v>20</v>
      </c>
      <c r="AD53" s="50">
        <v>14</v>
      </c>
      <c r="AE53" s="50">
        <v>0</v>
      </c>
      <c r="AF53" s="50">
        <v>0</v>
      </c>
      <c r="AG53" s="61">
        <v>60</v>
      </c>
      <c r="AH53" s="53">
        <f t="shared" si="2"/>
        <v>53.9</v>
      </c>
      <c r="AI53" s="54">
        <f t="shared" si="3"/>
        <v>0</v>
      </c>
      <c r="AK53" s="55"/>
    </row>
    <row r="54" spans="1:37" x14ac:dyDescent="0.25">
      <c r="A54" s="65" t="s">
        <v>62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60">
        <v>6.6</v>
      </c>
      <c r="M54" s="77">
        <v>12.2</v>
      </c>
      <c r="N54" s="77">
        <v>12.2</v>
      </c>
      <c r="O54" s="77">
        <v>6</v>
      </c>
      <c r="P54" s="77">
        <v>10</v>
      </c>
      <c r="Q54" s="72">
        <v>0</v>
      </c>
      <c r="R54" s="72">
        <v>5</v>
      </c>
      <c r="S54" s="50">
        <v>5.4</v>
      </c>
      <c r="T54" s="50">
        <v>0</v>
      </c>
      <c r="U54" s="50">
        <v>0</v>
      </c>
      <c r="V54" s="72">
        <v>0</v>
      </c>
      <c r="W54" s="72">
        <v>0</v>
      </c>
      <c r="X54" s="72">
        <v>0</v>
      </c>
      <c r="Y54" s="72">
        <v>13.6</v>
      </c>
      <c r="Z54" s="72">
        <v>26.1</v>
      </c>
      <c r="AA54" s="72">
        <v>25.3</v>
      </c>
      <c r="AB54" s="72">
        <v>17.8</v>
      </c>
      <c r="AC54" s="72">
        <v>14.7</v>
      </c>
      <c r="AD54" s="72">
        <v>6.4</v>
      </c>
      <c r="AE54" s="72">
        <v>0</v>
      </c>
      <c r="AF54" s="50">
        <v>0</v>
      </c>
      <c r="AG54" s="66">
        <v>32</v>
      </c>
      <c r="AH54" s="53">
        <f t="shared" si="2"/>
        <v>26.1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>
        <v>0</v>
      </c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9">
        <v>3</v>
      </c>
      <c r="M55" s="80">
        <v>3.7</v>
      </c>
      <c r="N55" s="80">
        <v>3.7</v>
      </c>
      <c r="O55" s="80">
        <v>3</v>
      </c>
      <c r="P55" s="80">
        <v>4</v>
      </c>
      <c r="Q55" s="78">
        <v>0</v>
      </c>
      <c r="R55" s="78">
        <v>2</v>
      </c>
      <c r="S55" s="50">
        <v>2</v>
      </c>
      <c r="T55" s="50">
        <v>0</v>
      </c>
      <c r="U55" s="50">
        <v>0</v>
      </c>
      <c r="V55" s="78">
        <v>0</v>
      </c>
      <c r="W55" s="78">
        <v>0</v>
      </c>
      <c r="X55" s="78">
        <v>0</v>
      </c>
      <c r="Y55" s="78">
        <v>5</v>
      </c>
      <c r="Z55" s="78">
        <v>9.5</v>
      </c>
      <c r="AA55" s="78">
        <v>9.1999999999999993</v>
      </c>
      <c r="AB55" s="78">
        <v>6.5</v>
      </c>
      <c r="AC55" s="78">
        <v>5.4</v>
      </c>
      <c r="AD55" s="78">
        <v>2.2999999999999998</v>
      </c>
      <c r="AE55" s="78">
        <v>0</v>
      </c>
      <c r="AF55" s="50">
        <v>0</v>
      </c>
      <c r="AG55" s="81">
        <v>14</v>
      </c>
      <c r="AH55" s="53">
        <f t="shared" si="2"/>
        <v>9.5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 t="shared" ref="B56" si="10">SUM(B53:B55)</f>
        <v>0</v>
      </c>
      <c r="C56" s="71">
        <f>SUM(C53:C55)</f>
        <v>0</v>
      </c>
      <c r="D56" s="71">
        <f t="shared" ref="D56:AF56" si="11">SUM(D53:D55)</f>
        <v>0</v>
      </c>
      <c r="E56" s="71">
        <f t="shared" si="11"/>
        <v>0</v>
      </c>
      <c r="F56" s="71">
        <f t="shared" si="11"/>
        <v>0</v>
      </c>
      <c r="G56" s="71">
        <f t="shared" si="11"/>
        <v>0</v>
      </c>
      <c r="H56" s="71">
        <f t="shared" si="11"/>
        <v>0</v>
      </c>
      <c r="I56" s="71">
        <f t="shared" si="11"/>
        <v>0</v>
      </c>
      <c r="J56" s="71">
        <f t="shared" si="11"/>
        <v>0</v>
      </c>
      <c r="K56" s="71">
        <f t="shared" si="11"/>
        <v>0</v>
      </c>
      <c r="L56" s="71">
        <f t="shared" si="11"/>
        <v>23.5</v>
      </c>
      <c r="M56" s="71">
        <f t="shared" si="11"/>
        <v>41</v>
      </c>
      <c r="N56" s="71">
        <f t="shared" si="11"/>
        <v>41</v>
      </c>
      <c r="O56" s="71">
        <f t="shared" si="11"/>
        <v>19</v>
      </c>
      <c r="P56" s="71">
        <f t="shared" si="11"/>
        <v>28</v>
      </c>
      <c r="Q56" s="71">
        <f t="shared" si="11"/>
        <v>14</v>
      </c>
      <c r="R56" s="71">
        <f t="shared" si="11"/>
        <v>17</v>
      </c>
      <c r="S56" s="71">
        <f t="shared" si="11"/>
        <v>7.4</v>
      </c>
      <c r="T56" s="71">
        <f t="shared" si="11"/>
        <v>0</v>
      </c>
      <c r="U56" s="71">
        <f t="shared" si="11"/>
        <v>0</v>
      </c>
      <c r="V56" s="71">
        <f t="shared" si="11"/>
        <v>0</v>
      </c>
      <c r="W56" s="71">
        <f t="shared" si="11"/>
        <v>0</v>
      </c>
      <c r="X56" s="71">
        <f t="shared" si="11"/>
        <v>0</v>
      </c>
      <c r="Y56" s="71">
        <f t="shared" si="11"/>
        <v>58.6</v>
      </c>
      <c r="Z56" s="71">
        <f t="shared" si="11"/>
        <v>89</v>
      </c>
      <c r="AA56" s="71">
        <f t="shared" si="11"/>
        <v>88.4</v>
      </c>
      <c r="AB56" s="71">
        <f t="shared" si="11"/>
        <v>54.3</v>
      </c>
      <c r="AC56" s="71">
        <f t="shared" si="11"/>
        <v>40.1</v>
      </c>
      <c r="AD56" s="71">
        <f t="shared" si="11"/>
        <v>22.7</v>
      </c>
      <c r="AE56" s="71">
        <f t="shared" si="11"/>
        <v>0</v>
      </c>
      <c r="AF56" s="71">
        <f t="shared" si="11"/>
        <v>0</v>
      </c>
      <c r="AG56" s="76">
        <f>SUM(AG53:AG55)</f>
        <v>106</v>
      </c>
      <c r="AH56" s="53">
        <f t="shared" si="2"/>
        <v>89</v>
      </c>
      <c r="AI56" s="54">
        <f t="shared" si="3"/>
        <v>0</v>
      </c>
      <c r="AK56" s="55"/>
    </row>
    <row r="57" spans="1:37" x14ac:dyDescent="0.25">
      <c r="A57" s="56" t="s">
        <v>65</v>
      </c>
      <c r="B57" s="50">
        <v>70</v>
      </c>
      <c r="C57" s="50">
        <v>77</v>
      </c>
      <c r="D57" s="50">
        <v>79</v>
      </c>
      <c r="E57" s="50">
        <v>79.2</v>
      </c>
      <c r="F57" s="50">
        <v>79.400000000000006</v>
      </c>
      <c r="G57" s="50">
        <v>74.900000000000006</v>
      </c>
      <c r="H57" s="50">
        <v>70.900000000000006</v>
      </c>
      <c r="I57" s="50">
        <v>72</v>
      </c>
      <c r="J57" s="50">
        <v>70</v>
      </c>
      <c r="K57" s="50">
        <v>70.8</v>
      </c>
      <c r="L57" s="50">
        <v>71.5</v>
      </c>
      <c r="M57" s="50">
        <v>73</v>
      </c>
      <c r="N57" s="50">
        <v>70</v>
      </c>
      <c r="O57" s="50">
        <v>64</v>
      </c>
      <c r="P57" s="50">
        <v>73</v>
      </c>
      <c r="Q57" s="50">
        <v>70</v>
      </c>
      <c r="R57" s="50">
        <v>63</v>
      </c>
      <c r="S57" s="50">
        <v>58</v>
      </c>
      <c r="T57" s="50">
        <v>68</v>
      </c>
      <c r="U57" s="50">
        <v>63</v>
      </c>
      <c r="V57" s="50">
        <v>60</v>
      </c>
      <c r="W57" s="50">
        <v>67</v>
      </c>
      <c r="X57" s="50">
        <v>66</v>
      </c>
      <c r="Y57" s="50">
        <v>80</v>
      </c>
      <c r="Z57" s="50">
        <v>78.599999999999994</v>
      </c>
      <c r="AA57" s="50">
        <v>67.95</v>
      </c>
      <c r="AB57" s="50">
        <v>67.95</v>
      </c>
      <c r="AC57" s="50">
        <v>71.42</v>
      </c>
      <c r="AD57" s="50">
        <v>70.22</v>
      </c>
      <c r="AE57" s="50">
        <v>74.239999999999995</v>
      </c>
      <c r="AF57" s="50">
        <v>68.599999999999994</v>
      </c>
      <c r="AG57" s="61"/>
      <c r="AH57" s="53">
        <f t="shared" si="2"/>
        <v>80</v>
      </c>
      <c r="AI57" s="54">
        <f t="shared" si="3"/>
        <v>58</v>
      </c>
      <c r="AK57" s="55"/>
    </row>
    <row r="58" spans="1:37" x14ac:dyDescent="0.25">
      <c r="A58" s="65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2">
        <v>0</v>
      </c>
      <c r="Y58" s="82">
        <v>0</v>
      </c>
      <c r="Z58" s="82">
        <v>0</v>
      </c>
      <c r="AA58" s="8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>
        <v>360</v>
      </c>
      <c r="C59" s="72">
        <v>370</v>
      </c>
      <c r="D59" s="72">
        <v>375</v>
      </c>
      <c r="E59" s="72">
        <v>317</v>
      </c>
      <c r="F59" s="72">
        <v>325</v>
      </c>
      <c r="G59" s="72">
        <v>344</v>
      </c>
      <c r="H59" s="50">
        <v>345</v>
      </c>
      <c r="I59" s="50">
        <v>378</v>
      </c>
      <c r="J59" s="50">
        <v>328.4</v>
      </c>
      <c r="K59" s="50">
        <v>37</v>
      </c>
      <c r="L59" s="50">
        <v>43.9</v>
      </c>
      <c r="M59" s="72">
        <v>48</v>
      </c>
      <c r="N59" s="72">
        <v>60</v>
      </c>
      <c r="O59" s="72">
        <v>253</v>
      </c>
      <c r="P59" s="72">
        <v>257</v>
      </c>
      <c r="Q59" s="72">
        <v>225</v>
      </c>
      <c r="R59" s="72">
        <v>147</v>
      </c>
      <c r="S59" s="72">
        <v>283</v>
      </c>
      <c r="T59" s="72">
        <v>354.1</v>
      </c>
      <c r="U59" s="72">
        <v>380</v>
      </c>
      <c r="V59" s="72">
        <v>210</v>
      </c>
      <c r="W59" s="72">
        <v>201.2</v>
      </c>
      <c r="X59" s="83">
        <v>56</v>
      </c>
      <c r="Y59" s="83">
        <v>111.2</v>
      </c>
      <c r="Z59" s="83">
        <v>75.400000000000006</v>
      </c>
      <c r="AA59" s="83">
        <v>69</v>
      </c>
      <c r="AB59" s="72">
        <v>69</v>
      </c>
      <c r="AC59" s="72">
        <v>313.8</v>
      </c>
      <c r="AD59" s="72">
        <v>318.8</v>
      </c>
      <c r="AE59" s="72">
        <v>318.3</v>
      </c>
      <c r="AF59" s="72">
        <v>304</v>
      </c>
      <c r="AG59" s="84"/>
      <c r="AH59" s="53">
        <f t="shared" si="2"/>
        <v>380</v>
      </c>
      <c r="AI59" s="54">
        <f t="shared" si="3"/>
        <v>37</v>
      </c>
      <c r="AK59" s="55"/>
    </row>
    <row r="60" spans="1:37" x14ac:dyDescent="0.25">
      <c r="A60" s="65" t="s">
        <v>68</v>
      </c>
      <c r="B60" s="72">
        <v>0</v>
      </c>
      <c r="C60" s="72">
        <v>0</v>
      </c>
      <c r="D60" s="57">
        <v>0</v>
      </c>
      <c r="E60" s="57">
        <v>7</v>
      </c>
      <c r="F60" s="57">
        <v>8</v>
      </c>
      <c r="G60" s="57">
        <v>50</v>
      </c>
      <c r="H60" s="57">
        <v>49.2</v>
      </c>
      <c r="I60" s="57">
        <v>50.8</v>
      </c>
      <c r="J60" s="57">
        <v>40.200000000000003</v>
      </c>
      <c r="K60" s="57">
        <v>51.2</v>
      </c>
      <c r="L60" s="57">
        <v>59.2</v>
      </c>
      <c r="M60" s="72">
        <v>43.7</v>
      </c>
      <c r="N60" s="72">
        <v>42</v>
      </c>
      <c r="O60" s="72">
        <v>40</v>
      </c>
      <c r="P60" s="72">
        <v>36</v>
      </c>
      <c r="Q60" s="72">
        <v>40</v>
      </c>
      <c r="R60" s="72">
        <v>38</v>
      </c>
      <c r="S60" s="72">
        <v>41.3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60.8</v>
      </c>
      <c r="AA60" s="72">
        <v>59.6</v>
      </c>
      <c r="AB60" s="72">
        <v>59.6</v>
      </c>
      <c r="AC60" s="72">
        <v>0</v>
      </c>
      <c r="AD60" s="72">
        <v>0</v>
      </c>
      <c r="AE60" s="72">
        <v>0</v>
      </c>
      <c r="AF60" s="57">
        <v>0</v>
      </c>
      <c r="AG60" s="84"/>
      <c r="AH60" s="53">
        <f t="shared" si="2"/>
        <v>60.8</v>
      </c>
      <c r="AI60" s="54">
        <f t="shared" si="3"/>
        <v>0</v>
      </c>
      <c r="AK60" s="55"/>
    </row>
    <row r="61" spans="1:37" x14ac:dyDescent="0.25">
      <c r="A61" s="65" t="s">
        <v>69</v>
      </c>
      <c r="B61" s="50">
        <v>0</v>
      </c>
      <c r="C61" s="50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80.5</v>
      </c>
      <c r="L61" s="57">
        <v>69.5</v>
      </c>
      <c r="M61" s="50">
        <v>73.2</v>
      </c>
      <c r="N61" s="50">
        <v>60</v>
      </c>
      <c r="O61" s="50">
        <v>55</v>
      </c>
      <c r="P61" s="50">
        <v>33</v>
      </c>
      <c r="Q61" s="50">
        <v>45</v>
      </c>
      <c r="R61" s="50">
        <v>50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60.3</v>
      </c>
      <c r="Y61" s="50">
        <v>86.1</v>
      </c>
      <c r="Z61" s="50">
        <v>76.599999999999994</v>
      </c>
      <c r="AA61" s="50">
        <v>81.900000000000006</v>
      </c>
      <c r="AB61" s="50">
        <v>81.900000000000006</v>
      </c>
      <c r="AC61" s="50">
        <v>62.6</v>
      </c>
      <c r="AD61" s="50">
        <v>78.099999999999994</v>
      </c>
      <c r="AE61" s="50">
        <v>0</v>
      </c>
      <c r="AF61" s="57">
        <v>0</v>
      </c>
      <c r="AG61" s="84"/>
      <c r="AH61" s="53">
        <f t="shared" si="2"/>
        <v>86.1</v>
      </c>
      <c r="AI61" s="54">
        <f t="shared" si="3"/>
        <v>0</v>
      </c>
      <c r="AK61" s="55"/>
    </row>
    <row r="62" spans="1:37" x14ac:dyDescent="0.25">
      <c r="A62" s="65" t="s">
        <v>70</v>
      </c>
      <c r="B62" s="59">
        <v>6</v>
      </c>
      <c r="C62" s="59">
        <v>6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6</v>
      </c>
      <c r="AA62" s="59">
        <v>0</v>
      </c>
      <c r="AB62" s="59">
        <v>0</v>
      </c>
      <c r="AC62" s="59">
        <v>0</v>
      </c>
      <c r="AD62" s="59">
        <v>0</v>
      </c>
      <c r="AE62" s="50">
        <v>0</v>
      </c>
      <c r="AF62" s="57">
        <v>0</v>
      </c>
      <c r="AG62" s="84"/>
      <c r="AH62" s="53">
        <f t="shared" si="2"/>
        <v>6</v>
      </c>
      <c r="AI62" s="54">
        <f t="shared" si="3"/>
        <v>0</v>
      </c>
      <c r="AK62" s="55"/>
    </row>
    <row r="63" spans="1:37" x14ac:dyDescent="0.25">
      <c r="A63" s="65" t="s">
        <v>71</v>
      </c>
      <c r="B63" s="59">
        <v>0</v>
      </c>
      <c r="C63" s="59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0">
        <v>0</v>
      </c>
      <c r="AF63" s="57">
        <v>0</v>
      </c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9">
        <v>0</v>
      </c>
      <c r="C64" s="59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9">
        <v>0</v>
      </c>
      <c r="AD64" s="59">
        <v>0</v>
      </c>
      <c r="AE64" s="50">
        <v>0</v>
      </c>
      <c r="AF64" s="57">
        <v>0</v>
      </c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9">
        <v>0</v>
      </c>
      <c r="C65" s="59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9">
        <v>0</v>
      </c>
      <c r="AD65" s="59">
        <v>0</v>
      </c>
      <c r="AE65" s="50">
        <v>0</v>
      </c>
      <c r="AF65" s="57">
        <v>0</v>
      </c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59">
        <v>0</v>
      </c>
      <c r="C66" s="59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72">
        <v>0</v>
      </c>
      <c r="N66" s="72">
        <v>0</v>
      </c>
      <c r="O66" s="72">
        <v>0</v>
      </c>
      <c r="P66" s="72">
        <v>12</v>
      </c>
      <c r="Q66" s="72">
        <v>12</v>
      </c>
      <c r="R66" s="72">
        <v>12</v>
      </c>
      <c r="S66" s="72">
        <v>12</v>
      </c>
      <c r="T66" s="62">
        <v>12</v>
      </c>
      <c r="U66" s="62">
        <v>12</v>
      </c>
      <c r="V66" s="62">
        <v>12</v>
      </c>
      <c r="W66" s="62">
        <v>12</v>
      </c>
      <c r="X66" s="62">
        <v>0</v>
      </c>
      <c r="Y66" s="62">
        <v>0</v>
      </c>
      <c r="Z66" s="62">
        <v>0</v>
      </c>
      <c r="AA66" s="62">
        <v>0</v>
      </c>
      <c r="AB66" s="57">
        <v>0</v>
      </c>
      <c r="AC66" s="59">
        <v>0</v>
      </c>
      <c r="AD66" s="59">
        <v>0</v>
      </c>
      <c r="AE66" s="50">
        <v>0</v>
      </c>
      <c r="AF66" s="57">
        <v>0</v>
      </c>
      <c r="AG66" s="86"/>
      <c r="AH66" s="53">
        <f t="shared" si="2"/>
        <v>12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59">
        <v>0</v>
      </c>
      <c r="C67" s="59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59">
        <v>0</v>
      </c>
      <c r="AD67" s="59">
        <v>0</v>
      </c>
      <c r="AE67" s="50">
        <v>0</v>
      </c>
      <c r="AF67" s="57">
        <v>0</v>
      </c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 t="shared" ref="B68" si="12">SUM(B57:B67)</f>
        <v>436</v>
      </c>
      <c r="C68" s="71">
        <f>SUM(C57:C67)</f>
        <v>453</v>
      </c>
      <c r="D68" s="71">
        <f t="shared" ref="D68:AF68" si="13">SUM(D57:D67)</f>
        <v>454</v>
      </c>
      <c r="E68" s="71">
        <f t="shared" si="13"/>
        <v>403.2</v>
      </c>
      <c r="F68" s="71">
        <f t="shared" si="13"/>
        <v>412.4</v>
      </c>
      <c r="G68" s="71">
        <f t="shared" si="13"/>
        <v>468.9</v>
      </c>
      <c r="H68" s="71">
        <f t="shared" si="13"/>
        <v>465.09999999999997</v>
      </c>
      <c r="I68" s="71">
        <f t="shared" si="13"/>
        <v>500.8</v>
      </c>
      <c r="J68" s="71">
        <f t="shared" si="13"/>
        <v>438.59999999999997</v>
      </c>
      <c r="K68" s="71">
        <f t="shared" si="13"/>
        <v>239.5</v>
      </c>
      <c r="L68" s="71">
        <f t="shared" si="13"/>
        <v>244.10000000000002</v>
      </c>
      <c r="M68" s="71">
        <f t="shared" si="13"/>
        <v>237.89999999999998</v>
      </c>
      <c r="N68" s="71">
        <f t="shared" si="13"/>
        <v>232</v>
      </c>
      <c r="O68" s="71">
        <f t="shared" si="13"/>
        <v>412</v>
      </c>
      <c r="P68" s="71">
        <f t="shared" si="13"/>
        <v>411</v>
      </c>
      <c r="Q68" s="71">
        <f t="shared" si="13"/>
        <v>392</v>
      </c>
      <c r="R68" s="71">
        <f t="shared" si="13"/>
        <v>310</v>
      </c>
      <c r="S68" s="71">
        <f t="shared" si="13"/>
        <v>394.3</v>
      </c>
      <c r="T68" s="71">
        <f t="shared" si="13"/>
        <v>434.1</v>
      </c>
      <c r="U68" s="71">
        <f t="shared" si="13"/>
        <v>455</v>
      </c>
      <c r="V68" s="71">
        <f t="shared" si="13"/>
        <v>282</v>
      </c>
      <c r="W68" s="71">
        <f t="shared" si="13"/>
        <v>280.2</v>
      </c>
      <c r="X68" s="71">
        <f t="shared" si="13"/>
        <v>182.3</v>
      </c>
      <c r="Y68" s="71">
        <f t="shared" si="13"/>
        <v>277.29999999999995</v>
      </c>
      <c r="Z68" s="71">
        <f t="shared" si="13"/>
        <v>297.39999999999998</v>
      </c>
      <c r="AA68" s="71">
        <f t="shared" si="13"/>
        <v>278.45</v>
      </c>
      <c r="AB68" s="71">
        <f t="shared" si="13"/>
        <v>278.45</v>
      </c>
      <c r="AC68" s="71">
        <f t="shared" si="13"/>
        <v>447.82000000000005</v>
      </c>
      <c r="AD68" s="71">
        <f t="shared" si="13"/>
        <v>467.12</v>
      </c>
      <c r="AE68" s="71">
        <f t="shared" si="13"/>
        <v>392.54</v>
      </c>
      <c r="AF68" s="71">
        <f t="shared" si="13"/>
        <v>372.6</v>
      </c>
      <c r="AG68" s="76">
        <f>SUM(AG57:AG67)</f>
        <v>0</v>
      </c>
      <c r="AH68" s="53">
        <f t="shared" si="2"/>
        <v>500.8</v>
      </c>
      <c r="AI68" s="54">
        <f t="shared" si="3"/>
        <v>182.3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 t="shared" ref="B72" si="14">SUM(B69:B71)</f>
        <v>0</v>
      </c>
      <c r="C72" s="71">
        <f>SUM(C69:C71)</f>
        <v>0</v>
      </c>
      <c r="D72" s="71">
        <f t="shared" ref="D72:AF72" si="15">SUM(D69:D71)</f>
        <v>0</v>
      </c>
      <c r="E72" s="71">
        <f t="shared" si="15"/>
        <v>0</v>
      </c>
      <c r="F72" s="71">
        <f t="shared" si="15"/>
        <v>0</v>
      </c>
      <c r="G72" s="71">
        <f t="shared" si="15"/>
        <v>0</v>
      </c>
      <c r="H72" s="71">
        <f t="shared" si="15"/>
        <v>0</v>
      </c>
      <c r="I72" s="71">
        <f t="shared" si="15"/>
        <v>0</v>
      </c>
      <c r="J72" s="71">
        <f t="shared" si="15"/>
        <v>0</v>
      </c>
      <c r="K72" s="71">
        <f t="shared" si="15"/>
        <v>0</v>
      </c>
      <c r="L72" s="71">
        <f t="shared" si="15"/>
        <v>0</v>
      </c>
      <c r="M72" s="71">
        <f t="shared" si="15"/>
        <v>0</v>
      </c>
      <c r="N72" s="71">
        <f t="shared" si="15"/>
        <v>0</v>
      </c>
      <c r="O72" s="71">
        <f t="shared" si="15"/>
        <v>0</v>
      </c>
      <c r="P72" s="71">
        <f t="shared" si="15"/>
        <v>0</v>
      </c>
      <c r="Q72" s="71">
        <f t="shared" si="15"/>
        <v>0</v>
      </c>
      <c r="R72" s="71">
        <f t="shared" si="15"/>
        <v>0</v>
      </c>
      <c r="S72" s="71">
        <f t="shared" si="15"/>
        <v>0</v>
      </c>
      <c r="T72" s="71">
        <f t="shared" si="15"/>
        <v>0</v>
      </c>
      <c r="U72" s="71">
        <f t="shared" si="15"/>
        <v>0</v>
      </c>
      <c r="V72" s="71">
        <f t="shared" si="15"/>
        <v>0</v>
      </c>
      <c r="W72" s="71">
        <f t="shared" si="15"/>
        <v>0</v>
      </c>
      <c r="X72" s="71">
        <f t="shared" si="15"/>
        <v>0</v>
      </c>
      <c r="Y72" s="71">
        <f t="shared" si="15"/>
        <v>0</v>
      </c>
      <c r="Z72" s="71">
        <f t="shared" si="15"/>
        <v>0</v>
      </c>
      <c r="AA72" s="71">
        <f t="shared" si="15"/>
        <v>0</v>
      </c>
      <c r="AB72" s="71">
        <f t="shared" si="15"/>
        <v>0</v>
      </c>
      <c r="AC72" s="71">
        <f t="shared" si="15"/>
        <v>0</v>
      </c>
      <c r="AD72" s="71">
        <f t="shared" si="15"/>
        <v>0</v>
      </c>
      <c r="AE72" s="71">
        <f t="shared" si="15"/>
        <v>0</v>
      </c>
      <c r="AF72" s="71">
        <f t="shared" si="15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 t="shared" ref="B73" si="16">B68+B56+B52+B38+B72</f>
        <v>999.63999999999987</v>
      </c>
      <c r="C73" s="88">
        <f>C68+C56+C52+C38+C72</f>
        <v>986.14</v>
      </c>
      <c r="D73" s="88">
        <f t="shared" ref="D73:AG73" si="17">D68+D56+D52+D38+D72</f>
        <v>974.2399999999999</v>
      </c>
      <c r="E73" s="88">
        <f t="shared" si="17"/>
        <v>971.1400000000001</v>
      </c>
      <c r="F73" s="88">
        <f t="shared" si="17"/>
        <v>977.44</v>
      </c>
      <c r="G73" s="88">
        <f t="shared" si="17"/>
        <v>1011.2399999999999</v>
      </c>
      <c r="H73" s="88">
        <f t="shared" si="17"/>
        <v>1040.44</v>
      </c>
      <c r="I73" s="88">
        <f t="shared" si="17"/>
        <v>1111.6399999999999</v>
      </c>
      <c r="J73" s="88">
        <f t="shared" si="17"/>
        <v>1197.4399999999998</v>
      </c>
      <c r="K73" s="88">
        <f t="shared" si="17"/>
        <v>1302.6400000000001</v>
      </c>
      <c r="L73" s="88">
        <f t="shared" si="17"/>
        <v>1361.14</v>
      </c>
      <c r="M73" s="88">
        <f t="shared" si="17"/>
        <v>1390.3400000000001</v>
      </c>
      <c r="N73" s="88">
        <f t="shared" si="17"/>
        <v>1230.04</v>
      </c>
      <c r="O73" s="88">
        <f t="shared" si="17"/>
        <v>1222.04</v>
      </c>
      <c r="P73" s="88">
        <f t="shared" si="17"/>
        <v>1135.04</v>
      </c>
      <c r="Q73" s="88">
        <f t="shared" si="17"/>
        <v>1146.04</v>
      </c>
      <c r="R73" s="88">
        <f t="shared" si="17"/>
        <v>1003.54</v>
      </c>
      <c r="S73" s="88">
        <f t="shared" si="17"/>
        <v>927.54</v>
      </c>
      <c r="T73" s="88">
        <f t="shared" si="17"/>
        <v>981.74</v>
      </c>
      <c r="U73" s="88">
        <f t="shared" si="17"/>
        <v>1065.44</v>
      </c>
      <c r="V73" s="88">
        <f t="shared" si="17"/>
        <v>1094.8399999999999</v>
      </c>
      <c r="W73" s="88">
        <f t="shared" si="17"/>
        <v>1155.54</v>
      </c>
      <c r="X73" s="88">
        <f t="shared" si="17"/>
        <v>1258.7400000000002</v>
      </c>
      <c r="Y73" s="88">
        <f t="shared" si="17"/>
        <v>1504.8400000000001</v>
      </c>
      <c r="Z73" s="88">
        <f t="shared" si="17"/>
        <v>1464.04</v>
      </c>
      <c r="AA73" s="88">
        <f t="shared" si="17"/>
        <v>1424.5900000000001</v>
      </c>
      <c r="AB73" s="88">
        <f t="shared" si="17"/>
        <v>1444.89</v>
      </c>
      <c r="AC73" s="88">
        <f t="shared" si="17"/>
        <v>1315.2600000000002</v>
      </c>
      <c r="AD73" s="88">
        <f t="shared" si="17"/>
        <v>1262.6600000000001</v>
      </c>
      <c r="AE73" s="88">
        <f t="shared" si="17"/>
        <v>1083.28</v>
      </c>
      <c r="AF73" s="88">
        <f t="shared" si="17"/>
        <v>977.04</v>
      </c>
      <c r="AG73" s="88">
        <f t="shared" si="17"/>
        <v>2144.14</v>
      </c>
      <c r="AH73" s="53">
        <f t="shared" si="2"/>
        <v>1504.8400000000001</v>
      </c>
      <c r="AI73" s="54">
        <f t="shared" si="3"/>
        <v>927.54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 t="shared" ref="B75" si="18">B72+B68+B56+B52+B38+B74</f>
        <v>999.63999999999987</v>
      </c>
      <c r="C75" s="88">
        <f>C73+C74</f>
        <v>986.14</v>
      </c>
      <c r="D75" s="88">
        <f t="shared" ref="D75:AF75" si="19">D72+D68+D56+D52+D38+D74</f>
        <v>974.2399999999999</v>
      </c>
      <c r="E75" s="88">
        <f t="shared" si="19"/>
        <v>971.1400000000001</v>
      </c>
      <c r="F75" s="88">
        <f t="shared" si="19"/>
        <v>977.44</v>
      </c>
      <c r="G75" s="88">
        <f t="shared" si="19"/>
        <v>1011.2399999999999</v>
      </c>
      <c r="H75" s="88">
        <f t="shared" si="19"/>
        <v>1040.44</v>
      </c>
      <c r="I75" s="88">
        <f t="shared" si="19"/>
        <v>1111.6399999999999</v>
      </c>
      <c r="J75" s="88">
        <f t="shared" si="19"/>
        <v>1197.4399999999998</v>
      </c>
      <c r="K75" s="88">
        <f t="shared" si="19"/>
        <v>1302.6400000000001</v>
      </c>
      <c r="L75" s="88">
        <f t="shared" si="19"/>
        <v>1361.14</v>
      </c>
      <c r="M75" s="88">
        <f t="shared" si="19"/>
        <v>1390.3400000000001</v>
      </c>
      <c r="N75" s="88">
        <f t="shared" si="19"/>
        <v>1230.04</v>
      </c>
      <c r="O75" s="88">
        <f t="shared" si="19"/>
        <v>1222.04</v>
      </c>
      <c r="P75" s="88">
        <f t="shared" si="19"/>
        <v>1135.04</v>
      </c>
      <c r="Q75" s="88">
        <f t="shared" si="19"/>
        <v>1146.04</v>
      </c>
      <c r="R75" s="88">
        <f t="shared" si="19"/>
        <v>1003.54</v>
      </c>
      <c r="S75" s="88">
        <f t="shared" si="19"/>
        <v>927.54</v>
      </c>
      <c r="T75" s="88">
        <f t="shared" si="19"/>
        <v>981.74</v>
      </c>
      <c r="U75" s="88">
        <f t="shared" si="19"/>
        <v>1065.44</v>
      </c>
      <c r="V75" s="88">
        <f t="shared" si="19"/>
        <v>1094.8399999999999</v>
      </c>
      <c r="W75" s="88">
        <f t="shared" si="19"/>
        <v>1155.54</v>
      </c>
      <c r="X75" s="88">
        <f t="shared" si="19"/>
        <v>1258.7400000000002</v>
      </c>
      <c r="Y75" s="88">
        <f t="shared" si="19"/>
        <v>1504.8400000000001</v>
      </c>
      <c r="Z75" s="88">
        <f t="shared" si="19"/>
        <v>1464.04</v>
      </c>
      <c r="AA75" s="88">
        <f t="shared" si="19"/>
        <v>1424.5900000000001</v>
      </c>
      <c r="AB75" s="88">
        <f t="shared" si="19"/>
        <v>1444.89</v>
      </c>
      <c r="AC75" s="88">
        <f t="shared" si="19"/>
        <v>1315.2600000000002</v>
      </c>
      <c r="AD75" s="88">
        <f t="shared" si="19"/>
        <v>1262.6600000000001</v>
      </c>
      <c r="AE75" s="88">
        <f t="shared" si="19"/>
        <v>1083.28</v>
      </c>
      <c r="AF75" s="88">
        <f t="shared" si="19"/>
        <v>977.04</v>
      </c>
      <c r="AG75" s="76">
        <f>AG72+AG68+AG56+AG52+AG38+AG74</f>
        <v>2144.14</v>
      </c>
      <c r="AH75" s="53">
        <f t="shared" si="2"/>
        <v>1504.8400000000001</v>
      </c>
      <c r="AI75" s="54">
        <f t="shared" si="3"/>
        <v>927.54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 t="shared" ref="B76" si="20">IF(B60&lt;0,B60*-1,0)</f>
        <v>0</v>
      </c>
      <c r="C76" s="57">
        <f>IF(C60&lt;0,C60*-1,0)</f>
        <v>0</v>
      </c>
      <c r="D76" s="57">
        <f t="shared" ref="D76:AF76" si="21">IF(D60&lt;0,D60*-1,0)</f>
        <v>0</v>
      </c>
      <c r="E76" s="57">
        <f t="shared" si="21"/>
        <v>0</v>
      </c>
      <c r="F76" s="57">
        <f t="shared" si="21"/>
        <v>0</v>
      </c>
      <c r="G76" s="57">
        <f t="shared" si="21"/>
        <v>0</v>
      </c>
      <c r="H76" s="57">
        <f t="shared" si="21"/>
        <v>0</v>
      </c>
      <c r="I76" s="57">
        <f t="shared" si="21"/>
        <v>0</v>
      </c>
      <c r="J76" s="57">
        <f t="shared" si="21"/>
        <v>0</v>
      </c>
      <c r="K76" s="57">
        <f t="shared" si="21"/>
        <v>0</v>
      </c>
      <c r="L76" s="57">
        <f t="shared" si="21"/>
        <v>0</v>
      </c>
      <c r="M76" s="57">
        <f t="shared" si="21"/>
        <v>0</v>
      </c>
      <c r="N76" s="57">
        <f t="shared" si="21"/>
        <v>0</v>
      </c>
      <c r="O76" s="57">
        <f t="shared" si="21"/>
        <v>0</v>
      </c>
      <c r="P76" s="57">
        <f t="shared" si="21"/>
        <v>0</v>
      </c>
      <c r="Q76" s="57">
        <f t="shared" si="21"/>
        <v>0</v>
      </c>
      <c r="R76" s="57">
        <f t="shared" si="21"/>
        <v>0</v>
      </c>
      <c r="S76" s="57">
        <f t="shared" si="21"/>
        <v>0</v>
      </c>
      <c r="T76" s="57">
        <f t="shared" si="21"/>
        <v>0</v>
      </c>
      <c r="U76" s="57">
        <f t="shared" si="21"/>
        <v>0</v>
      </c>
      <c r="V76" s="57">
        <f t="shared" si="21"/>
        <v>0</v>
      </c>
      <c r="W76" s="57">
        <f t="shared" si="21"/>
        <v>0</v>
      </c>
      <c r="X76" s="57">
        <f t="shared" si="21"/>
        <v>0</v>
      </c>
      <c r="Y76" s="57">
        <f t="shared" si="21"/>
        <v>0</v>
      </c>
      <c r="Z76" s="57">
        <f t="shared" si="21"/>
        <v>0</v>
      </c>
      <c r="AA76" s="57">
        <f t="shared" si="21"/>
        <v>0</v>
      </c>
      <c r="AB76" s="57">
        <f t="shared" si="21"/>
        <v>0</v>
      </c>
      <c r="AC76" s="57">
        <f t="shared" si="21"/>
        <v>0</v>
      </c>
      <c r="AD76" s="57">
        <f t="shared" si="21"/>
        <v>0</v>
      </c>
      <c r="AE76" s="57">
        <f t="shared" si="21"/>
        <v>0</v>
      </c>
      <c r="AF76" s="57">
        <f t="shared" si="21"/>
        <v>0</v>
      </c>
      <c r="AG76" s="61"/>
      <c r="AH76" s="53">
        <f t="shared" ref="AH76:AH91" si="22">MAX(B76:AF76)</f>
        <v>0</v>
      </c>
      <c r="AI76" s="54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 t="shared" ref="B77" si="24">IF(B58&lt;0,B58*-1,0)</f>
        <v>0</v>
      </c>
      <c r="C77" s="57">
        <f>IF(C58&lt;0,C58*-1,0)</f>
        <v>0</v>
      </c>
      <c r="D77" s="57">
        <f t="shared" ref="D77:AF77" si="25">IF(D58&lt;0,D58*-1,0)</f>
        <v>0</v>
      </c>
      <c r="E77" s="57">
        <f t="shared" si="25"/>
        <v>0</v>
      </c>
      <c r="F77" s="57">
        <f t="shared" si="25"/>
        <v>0</v>
      </c>
      <c r="G77" s="57">
        <f t="shared" si="25"/>
        <v>0</v>
      </c>
      <c r="H77" s="57">
        <f t="shared" si="25"/>
        <v>0</v>
      </c>
      <c r="I77" s="57">
        <f t="shared" si="25"/>
        <v>0</v>
      </c>
      <c r="J77" s="57">
        <f t="shared" si="25"/>
        <v>0</v>
      </c>
      <c r="K77" s="57">
        <f t="shared" si="25"/>
        <v>0</v>
      </c>
      <c r="L77" s="57">
        <f t="shared" si="25"/>
        <v>0</v>
      </c>
      <c r="M77" s="57">
        <f t="shared" si="25"/>
        <v>0</v>
      </c>
      <c r="N77" s="57">
        <f t="shared" si="25"/>
        <v>0</v>
      </c>
      <c r="O77" s="57">
        <f t="shared" si="25"/>
        <v>0</v>
      </c>
      <c r="P77" s="57">
        <f t="shared" si="25"/>
        <v>0</v>
      </c>
      <c r="Q77" s="57">
        <f t="shared" si="25"/>
        <v>0</v>
      </c>
      <c r="R77" s="57">
        <f t="shared" si="25"/>
        <v>0</v>
      </c>
      <c r="S77" s="57">
        <f t="shared" si="25"/>
        <v>0</v>
      </c>
      <c r="T77" s="57">
        <f t="shared" si="25"/>
        <v>0</v>
      </c>
      <c r="U77" s="57">
        <f t="shared" si="25"/>
        <v>0</v>
      </c>
      <c r="V77" s="57">
        <f t="shared" si="25"/>
        <v>0</v>
      </c>
      <c r="W77" s="57">
        <f t="shared" si="25"/>
        <v>0</v>
      </c>
      <c r="X77" s="57">
        <f t="shared" si="25"/>
        <v>0</v>
      </c>
      <c r="Y77" s="57">
        <f t="shared" si="25"/>
        <v>0</v>
      </c>
      <c r="Z77" s="57">
        <f t="shared" si="25"/>
        <v>0</v>
      </c>
      <c r="AA77" s="57">
        <f t="shared" si="25"/>
        <v>0</v>
      </c>
      <c r="AB77" s="57">
        <f t="shared" si="25"/>
        <v>0</v>
      </c>
      <c r="AC77" s="57">
        <f t="shared" si="25"/>
        <v>0</v>
      </c>
      <c r="AD77" s="57">
        <f t="shared" si="25"/>
        <v>0</v>
      </c>
      <c r="AE77" s="57">
        <f t="shared" si="25"/>
        <v>0</v>
      </c>
      <c r="AF77" s="57">
        <f t="shared" si="25"/>
        <v>0</v>
      </c>
      <c r="AG77" s="66"/>
      <c r="AH77" s="53">
        <f t="shared" si="22"/>
        <v>0</v>
      </c>
      <c r="AI77" s="54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 t="shared" ref="B78" si="26">IF(B61&lt;0,B61*-1,0)</f>
        <v>0</v>
      </c>
      <c r="C78" s="57">
        <f>IF(C61&lt;0,C61*-1,0)</f>
        <v>0</v>
      </c>
      <c r="D78" s="57">
        <f t="shared" ref="D78:AF78" si="27">IF(D61&lt;0,D61*-1,0)</f>
        <v>0</v>
      </c>
      <c r="E78" s="57">
        <f t="shared" si="27"/>
        <v>0</v>
      </c>
      <c r="F78" s="57">
        <f t="shared" si="27"/>
        <v>0</v>
      </c>
      <c r="G78" s="57">
        <f t="shared" si="27"/>
        <v>0</v>
      </c>
      <c r="H78" s="57">
        <f t="shared" si="27"/>
        <v>0</v>
      </c>
      <c r="I78" s="57">
        <f t="shared" si="27"/>
        <v>0</v>
      </c>
      <c r="J78" s="57">
        <f t="shared" si="27"/>
        <v>0</v>
      </c>
      <c r="K78" s="57">
        <f t="shared" si="27"/>
        <v>0</v>
      </c>
      <c r="L78" s="57">
        <f t="shared" si="27"/>
        <v>0</v>
      </c>
      <c r="M78" s="57">
        <f t="shared" si="27"/>
        <v>0</v>
      </c>
      <c r="N78" s="57">
        <f t="shared" si="27"/>
        <v>0</v>
      </c>
      <c r="O78" s="57">
        <f t="shared" si="27"/>
        <v>0</v>
      </c>
      <c r="P78" s="57">
        <f t="shared" si="27"/>
        <v>0</v>
      </c>
      <c r="Q78" s="57">
        <f t="shared" si="27"/>
        <v>0</v>
      </c>
      <c r="R78" s="57">
        <f t="shared" si="27"/>
        <v>0</v>
      </c>
      <c r="S78" s="57">
        <f t="shared" si="27"/>
        <v>0</v>
      </c>
      <c r="T78" s="57">
        <f t="shared" si="27"/>
        <v>0</v>
      </c>
      <c r="U78" s="57">
        <f t="shared" si="27"/>
        <v>0</v>
      </c>
      <c r="V78" s="57">
        <f t="shared" si="27"/>
        <v>0</v>
      </c>
      <c r="W78" s="57">
        <f t="shared" si="27"/>
        <v>0</v>
      </c>
      <c r="X78" s="57">
        <f t="shared" si="27"/>
        <v>0</v>
      </c>
      <c r="Y78" s="57">
        <f t="shared" si="27"/>
        <v>0</v>
      </c>
      <c r="Z78" s="57">
        <f t="shared" si="27"/>
        <v>0</v>
      </c>
      <c r="AA78" s="57">
        <f t="shared" si="27"/>
        <v>0</v>
      </c>
      <c r="AB78" s="57">
        <f t="shared" si="27"/>
        <v>0</v>
      </c>
      <c r="AC78" s="57">
        <f t="shared" si="27"/>
        <v>0</v>
      </c>
      <c r="AD78" s="57">
        <f t="shared" si="27"/>
        <v>0</v>
      </c>
      <c r="AE78" s="57">
        <f t="shared" si="27"/>
        <v>0</v>
      </c>
      <c r="AF78" s="57">
        <f t="shared" si="27"/>
        <v>0</v>
      </c>
      <c r="AG78" s="91"/>
      <c r="AH78" s="53">
        <f t="shared" si="22"/>
        <v>0</v>
      </c>
      <c r="AI78" s="54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 t="shared" ref="B79" si="28">IF(B59&lt;0,B59*-1,0)</f>
        <v>0</v>
      </c>
      <c r="C79" s="57">
        <f>IF(C59&lt;0,C59*-1,0)</f>
        <v>0</v>
      </c>
      <c r="D79" s="57">
        <f t="shared" ref="D79:AF79" si="29">IF(D59&lt;0,D59*-1,0)</f>
        <v>0</v>
      </c>
      <c r="E79" s="57">
        <f t="shared" si="29"/>
        <v>0</v>
      </c>
      <c r="F79" s="57">
        <f t="shared" si="29"/>
        <v>0</v>
      </c>
      <c r="G79" s="57">
        <f t="shared" si="29"/>
        <v>0</v>
      </c>
      <c r="H79" s="57">
        <f t="shared" si="29"/>
        <v>0</v>
      </c>
      <c r="I79" s="57">
        <f t="shared" si="29"/>
        <v>0</v>
      </c>
      <c r="J79" s="57">
        <f t="shared" si="29"/>
        <v>0</v>
      </c>
      <c r="K79" s="57">
        <f t="shared" si="29"/>
        <v>0</v>
      </c>
      <c r="L79" s="57">
        <f t="shared" si="29"/>
        <v>0</v>
      </c>
      <c r="M79" s="57">
        <f t="shared" si="29"/>
        <v>0</v>
      </c>
      <c r="N79" s="57">
        <f t="shared" si="29"/>
        <v>0</v>
      </c>
      <c r="O79" s="57">
        <f t="shared" si="29"/>
        <v>0</v>
      </c>
      <c r="P79" s="57">
        <f t="shared" si="29"/>
        <v>0</v>
      </c>
      <c r="Q79" s="57">
        <f t="shared" si="29"/>
        <v>0</v>
      </c>
      <c r="R79" s="57">
        <f t="shared" si="29"/>
        <v>0</v>
      </c>
      <c r="S79" s="57">
        <f t="shared" si="29"/>
        <v>0</v>
      </c>
      <c r="T79" s="57">
        <f t="shared" si="29"/>
        <v>0</v>
      </c>
      <c r="U79" s="57">
        <f t="shared" si="29"/>
        <v>0</v>
      </c>
      <c r="V79" s="57">
        <f t="shared" si="29"/>
        <v>0</v>
      </c>
      <c r="W79" s="57">
        <f t="shared" si="29"/>
        <v>0</v>
      </c>
      <c r="X79" s="57">
        <f t="shared" si="29"/>
        <v>0</v>
      </c>
      <c r="Y79" s="57">
        <f t="shared" si="29"/>
        <v>0</v>
      </c>
      <c r="Z79" s="57">
        <f t="shared" si="29"/>
        <v>0</v>
      </c>
      <c r="AA79" s="57">
        <f t="shared" si="29"/>
        <v>0</v>
      </c>
      <c r="AB79" s="57">
        <f t="shared" si="29"/>
        <v>0</v>
      </c>
      <c r="AC79" s="57">
        <f t="shared" si="29"/>
        <v>0</v>
      </c>
      <c r="AD79" s="57">
        <f t="shared" si="29"/>
        <v>0</v>
      </c>
      <c r="AE79" s="57">
        <f t="shared" si="29"/>
        <v>0</v>
      </c>
      <c r="AF79" s="57">
        <f t="shared" si="29"/>
        <v>0</v>
      </c>
      <c r="AG79" s="91"/>
      <c r="AH79" s="53">
        <f t="shared" si="22"/>
        <v>0</v>
      </c>
      <c r="AI79" s="54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 t="shared" ref="B80" si="30">IF(B57&lt;0,B57*-1,0)</f>
        <v>0</v>
      </c>
      <c r="C80" s="57">
        <f>IF(C57&lt;0,C57*-1,0)</f>
        <v>0</v>
      </c>
      <c r="D80" s="57">
        <f t="shared" ref="D80:AF80" si="31">IF(D57&lt;0,D57*-1,0)</f>
        <v>0</v>
      </c>
      <c r="E80" s="57">
        <f t="shared" si="31"/>
        <v>0</v>
      </c>
      <c r="F80" s="57">
        <f t="shared" si="31"/>
        <v>0</v>
      </c>
      <c r="G80" s="57">
        <f t="shared" si="31"/>
        <v>0</v>
      </c>
      <c r="H80" s="57">
        <f t="shared" si="31"/>
        <v>0</v>
      </c>
      <c r="I80" s="57">
        <f t="shared" si="31"/>
        <v>0</v>
      </c>
      <c r="J80" s="57">
        <f t="shared" si="31"/>
        <v>0</v>
      </c>
      <c r="K80" s="57">
        <f t="shared" si="31"/>
        <v>0</v>
      </c>
      <c r="L80" s="57">
        <f t="shared" si="31"/>
        <v>0</v>
      </c>
      <c r="M80" s="57">
        <f t="shared" si="31"/>
        <v>0</v>
      </c>
      <c r="N80" s="57">
        <f t="shared" si="31"/>
        <v>0</v>
      </c>
      <c r="O80" s="57">
        <f t="shared" si="31"/>
        <v>0</v>
      </c>
      <c r="P80" s="57">
        <f t="shared" si="31"/>
        <v>0</v>
      </c>
      <c r="Q80" s="57">
        <f t="shared" si="31"/>
        <v>0</v>
      </c>
      <c r="R80" s="57">
        <f t="shared" si="31"/>
        <v>0</v>
      </c>
      <c r="S80" s="57">
        <f t="shared" si="31"/>
        <v>0</v>
      </c>
      <c r="T80" s="57">
        <f t="shared" si="31"/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f t="shared" si="31"/>
        <v>0</v>
      </c>
      <c r="AA80" s="57">
        <f t="shared" si="31"/>
        <v>0</v>
      </c>
      <c r="AB80" s="57">
        <f t="shared" si="31"/>
        <v>0</v>
      </c>
      <c r="AC80" s="57">
        <f t="shared" si="31"/>
        <v>0</v>
      </c>
      <c r="AD80" s="57">
        <f t="shared" si="31"/>
        <v>0</v>
      </c>
      <c r="AE80" s="57">
        <f t="shared" si="31"/>
        <v>0</v>
      </c>
      <c r="AF80" s="57">
        <f t="shared" si="31"/>
        <v>0</v>
      </c>
      <c r="AG80" s="91"/>
      <c r="AH80" s="53">
        <f t="shared" si="22"/>
        <v>0</v>
      </c>
      <c r="AI80" s="54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22"/>
        <v>0</v>
      </c>
      <c r="AI81" s="54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 t="shared" ref="B82" si="32">SUM(B76:B81)</f>
        <v>0</v>
      </c>
      <c r="C82" s="71">
        <f t="shared" ref="C82:AG82" si="33">SUM(C76:C81)</f>
        <v>0</v>
      </c>
      <c r="D82" s="71">
        <f t="shared" si="33"/>
        <v>0</v>
      </c>
      <c r="E82" s="71">
        <f t="shared" si="33"/>
        <v>0</v>
      </c>
      <c r="F82" s="71">
        <f t="shared" si="33"/>
        <v>0</v>
      </c>
      <c r="G82" s="71">
        <f t="shared" si="33"/>
        <v>0</v>
      </c>
      <c r="H82" s="71">
        <f t="shared" si="33"/>
        <v>0</v>
      </c>
      <c r="I82" s="71">
        <f t="shared" si="33"/>
        <v>0</v>
      </c>
      <c r="J82" s="71">
        <f t="shared" si="33"/>
        <v>0</v>
      </c>
      <c r="K82" s="71">
        <f t="shared" si="33"/>
        <v>0</v>
      </c>
      <c r="L82" s="71">
        <f t="shared" si="33"/>
        <v>0</v>
      </c>
      <c r="M82" s="71">
        <f t="shared" si="33"/>
        <v>0</v>
      </c>
      <c r="N82" s="71">
        <f t="shared" si="33"/>
        <v>0</v>
      </c>
      <c r="O82" s="71">
        <f t="shared" si="33"/>
        <v>0</v>
      </c>
      <c r="P82" s="71">
        <f t="shared" si="33"/>
        <v>0</v>
      </c>
      <c r="Q82" s="71">
        <f t="shared" si="33"/>
        <v>0</v>
      </c>
      <c r="R82" s="71">
        <f t="shared" si="33"/>
        <v>0</v>
      </c>
      <c r="S82" s="71">
        <f t="shared" si="33"/>
        <v>0</v>
      </c>
      <c r="T82" s="71">
        <f t="shared" si="33"/>
        <v>0</v>
      </c>
      <c r="U82" s="71">
        <f t="shared" si="33"/>
        <v>0</v>
      </c>
      <c r="V82" s="71">
        <f t="shared" si="33"/>
        <v>0</v>
      </c>
      <c r="W82" s="71">
        <f t="shared" si="33"/>
        <v>0</v>
      </c>
      <c r="X82" s="71">
        <f t="shared" si="33"/>
        <v>0</v>
      </c>
      <c r="Y82" s="71">
        <f t="shared" si="33"/>
        <v>0</v>
      </c>
      <c r="Z82" s="71">
        <f t="shared" si="33"/>
        <v>0</v>
      </c>
      <c r="AA82" s="71">
        <f t="shared" si="33"/>
        <v>0</v>
      </c>
      <c r="AB82" s="71">
        <f t="shared" si="33"/>
        <v>0</v>
      </c>
      <c r="AC82" s="71">
        <f t="shared" si="33"/>
        <v>0</v>
      </c>
      <c r="AD82" s="71">
        <f t="shared" si="33"/>
        <v>0</v>
      </c>
      <c r="AE82" s="71">
        <f t="shared" si="33"/>
        <v>0</v>
      </c>
      <c r="AF82" s="71">
        <f t="shared" si="33"/>
        <v>0</v>
      </c>
      <c r="AG82" s="76">
        <f t="shared" si="33"/>
        <v>0</v>
      </c>
      <c r="AH82" s="53">
        <f t="shared" si="22"/>
        <v>0</v>
      </c>
      <c r="AI82" s="54">
        <f t="shared" si="23"/>
        <v>0</v>
      </c>
      <c r="AK82" s="55"/>
    </row>
    <row r="83" spans="1:88" s="1" customFormat="1" ht="15.75" thickBot="1" x14ac:dyDescent="0.3">
      <c r="A83" s="70" t="s">
        <v>88</v>
      </c>
      <c r="B83" s="71">
        <f t="shared" ref="B83" si="34">SUM(B70:B82)</f>
        <v>1999.2799999999997</v>
      </c>
      <c r="C83" s="71">
        <f t="shared" ref="C83:AG83" si="35">SUM(C70:C82)</f>
        <v>1972.28</v>
      </c>
      <c r="D83" s="71">
        <f t="shared" si="35"/>
        <v>1948.4799999999998</v>
      </c>
      <c r="E83" s="71">
        <f t="shared" si="35"/>
        <v>1942.2800000000002</v>
      </c>
      <c r="F83" s="71">
        <f t="shared" si="35"/>
        <v>1954.88</v>
      </c>
      <c r="G83" s="71">
        <f t="shared" si="35"/>
        <v>2022.4799999999998</v>
      </c>
      <c r="H83" s="71">
        <f t="shared" si="35"/>
        <v>2080.88</v>
      </c>
      <c r="I83" s="71">
        <f t="shared" si="35"/>
        <v>2223.2799999999997</v>
      </c>
      <c r="J83" s="71">
        <f t="shared" si="35"/>
        <v>2394.8799999999997</v>
      </c>
      <c r="K83" s="71">
        <f t="shared" si="35"/>
        <v>2605.2800000000002</v>
      </c>
      <c r="L83" s="71">
        <f t="shared" si="35"/>
        <v>2722.28</v>
      </c>
      <c r="M83" s="71">
        <f t="shared" si="35"/>
        <v>2780.6800000000003</v>
      </c>
      <c r="N83" s="71">
        <f t="shared" si="35"/>
        <v>2460.08</v>
      </c>
      <c r="O83" s="71">
        <f t="shared" si="35"/>
        <v>2444.08</v>
      </c>
      <c r="P83" s="71">
        <f t="shared" si="35"/>
        <v>2270.08</v>
      </c>
      <c r="Q83" s="71">
        <f t="shared" si="35"/>
        <v>2292.08</v>
      </c>
      <c r="R83" s="71">
        <f t="shared" si="35"/>
        <v>2007.08</v>
      </c>
      <c r="S83" s="71">
        <f t="shared" si="35"/>
        <v>1855.08</v>
      </c>
      <c r="T83" s="71">
        <f t="shared" si="35"/>
        <v>1963.48</v>
      </c>
      <c r="U83" s="71">
        <f t="shared" si="35"/>
        <v>2130.88</v>
      </c>
      <c r="V83" s="71">
        <f t="shared" si="35"/>
        <v>2189.6799999999998</v>
      </c>
      <c r="W83" s="71">
        <f t="shared" si="35"/>
        <v>2311.08</v>
      </c>
      <c r="X83" s="71">
        <f t="shared" si="35"/>
        <v>2517.4800000000005</v>
      </c>
      <c r="Y83" s="71">
        <f t="shared" si="35"/>
        <v>3009.6800000000003</v>
      </c>
      <c r="Z83" s="71">
        <f t="shared" si="35"/>
        <v>2928.08</v>
      </c>
      <c r="AA83" s="71">
        <f t="shared" si="35"/>
        <v>2849.1800000000003</v>
      </c>
      <c r="AB83" s="71">
        <f t="shared" si="35"/>
        <v>2889.78</v>
      </c>
      <c r="AC83" s="71">
        <f t="shared" si="35"/>
        <v>2630.5200000000004</v>
      </c>
      <c r="AD83" s="71">
        <f t="shared" si="35"/>
        <v>2525.3200000000002</v>
      </c>
      <c r="AE83" s="71">
        <f t="shared" si="35"/>
        <v>2166.56</v>
      </c>
      <c r="AF83" s="71">
        <f t="shared" si="35"/>
        <v>1954.08</v>
      </c>
      <c r="AG83" s="76">
        <f t="shared" si="35"/>
        <v>4360.08</v>
      </c>
      <c r="AH83" s="53">
        <f t="shared" si="22"/>
        <v>3009.6800000000003</v>
      </c>
      <c r="AI83" s="54">
        <f t="shared" si="23"/>
        <v>1855.08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5">
        <v>50.02</v>
      </c>
      <c r="C84" s="95">
        <v>49.98</v>
      </c>
      <c r="D84" s="95">
        <v>49.99</v>
      </c>
      <c r="E84" s="95">
        <v>49.975999999999999</v>
      </c>
      <c r="F84" s="95">
        <v>50</v>
      </c>
      <c r="G84" s="95">
        <v>49.965000000000003</v>
      </c>
      <c r="H84" s="95">
        <v>49.9</v>
      </c>
      <c r="I84" s="95">
        <v>50.031999999999996</v>
      </c>
      <c r="J84" s="95">
        <v>50.012</v>
      </c>
      <c r="K84" s="95">
        <v>49.585000000000001</v>
      </c>
      <c r="L84" s="95">
        <v>49.917999999999999</v>
      </c>
      <c r="M84" s="95">
        <v>50.040999999999997</v>
      </c>
      <c r="N84" s="95">
        <v>50.040999999999997</v>
      </c>
      <c r="O84" s="95">
        <v>50.094999999999999</v>
      </c>
      <c r="P84" s="95">
        <v>50.064999999999998</v>
      </c>
      <c r="Q84" s="95">
        <v>49.926000000000002</v>
      </c>
      <c r="R84" s="95">
        <v>49.997999999999998</v>
      </c>
      <c r="S84" s="95">
        <v>50.042999999999999</v>
      </c>
      <c r="T84" s="95">
        <v>49.91</v>
      </c>
      <c r="U84" s="95">
        <v>50.107999999999997</v>
      </c>
      <c r="V84" s="95">
        <v>49.987000000000002</v>
      </c>
      <c r="W84" s="95">
        <v>50.033000000000001</v>
      </c>
      <c r="X84" s="95">
        <v>50.058</v>
      </c>
      <c r="Y84" s="95">
        <v>50.02</v>
      </c>
      <c r="Z84" s="95">
        <v>49.892000000000003</v>
      </c>
      <c r="AA84" s="95">
        <v>50.040999999999997</v>
      </c>
      <c r="AB84" s="95">
        <v>50.040999999999997</v>
      </c>
      <c r="AC84" s="95">
        <v>50.037999999999997</v>
      </c>
      <c r="AD84" s="95">
        <v>50.058999999999997</v>
      </c>
      <c r="AE84" s="95">
        <v>50.005000000000003</v>
      </c>
      <c r="AF84" s="95">
        <v>50.002000000000002</v>
      </c>
      <c r="AG84" s="96"/>
      <c r="AH84" s="53">
        <f t="shared" si="22"/>
        <v>50.107999999999997</v>
      </c>
      <c r="AI84" s="54">
        <f t="shared" si="23"/>
        <v>49.585000000000001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9">
        <v>124.5</v>
      </c>
      <c r="C85" s="99">
        <v>125.2</v>
      </c>
      <c r="D85" s="72">
        <v>124</v>
      </c>
      <c r="E85" s="72">
        <v>124</v>
      </c>
      <c r="F85" s="72">
        <v>125</v>
      </c>
      <c r="G85" s="72">
        <v>125</v>
      </c>
      <c r="H85" s="72">
        <v>125</v>
      </c>
      <c r="I85" s="72">
        <v>124</v>
      </c>
      <c r="J85" s="72">
        <v>124.6</v>
      </c>
      <c r="K85" s="72">
        <v>125</v>
      </c>
      <c r="L85" s="72">
        <v>124.8</v>
      </c>
      <c r="M85" s="72">
        <v>124.7</v>
      </c>
      <c r="N85" s="72">
        <v>124.7</v>
      </c>
      <c r="O85" s="72">
        <v>125.5</v>
      </c>
      <c r="P85" s="72">
        <v>126.5</v>
      </c>
      <c r="Q85" s="72">
        <v>127.1</v>
      </c>
      <c r="R85" s="72">
        <v>127.5</v>
      </c>
      <c r="S85" s="72">
        <v>124.4</v>
      </c>
      <c r="T85" s="72">
        <v>122.5</v>
      </c>
      <c r="U85" s="72">
        <v>123.6</v>
      </c>
      <c r="V85" s="72">
        <v>124.7</v>
      </c>
      <c r="W85" s="99">
        <v>125.5</v>
      </c>
      <c r="X85" s="99">
        <v>126.1</v>
      </c>
      <c r="Y85" s="99">
        <v>123.7</v>
      </c>
      <c r="Z85" s="99">
        <v>126.9</v>
      </c>
      <c r="AA85" s="99">
        <v>128.19999999999999</v>
      </c>
      <c r="AB85" s="72">
        <v>128.19999999999999</v>
      </c>
      <c r="AC85" s="72">
        <v>126.1</v>
      </c>
      <c r="AD85" s="72">
        <v>127.3</v>
      </c>
      <c r="AE85" s="72">
        <v>125.6</v>
      </c>
      <c r="AF85" s="72">
        <v>126.5</v>
      </c>
      <c r="AG85" s="100"/>
      <c r="AH85" s="53">
        <f t="shared" si="22"/>
        <v>128.19999999999999</v>
      </c>
      <c r="AI85" s="54">
        <f t="shared" si="23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9">
        <v>128.80000000000001</v>
      </c>
      <c r="C86" s="99">
        <v>129.9</v>
      </c>
      <c r="D86" s="72">
        <v>128</v>
      </c>
      <c r="E86" s="72">
        <v>128</v>
      </c>
      <c r="F86" s="72">
        <v>129</v>
      </c>
      <c r="G86" s="72">
        <v>129.6</v>
      </c>
      <c r="H86" s="72">
        <v>129</v>
      </c>
      <c r="I86" s="72">
        <v>128</v>
      </c>
      <c r="J86" s="72">
        <v>128</v>
      </c>
      <c r="K86" s="72">
        <v>128</v>
      </c>
      <c r="L86" s="72">
        <v>127</v>
      </c>
      <c r="M86" s="72">
        <v>126.9</v>
      </c>
      <c r="N86" s="72">
        <v>126.9</v>
      </c>
      <c r="O86" s="72">
        <v>127.8</v>
      </c>
      <c r="P86" s="72">
        <v>128.9</v>
      </c>
      <c r="Q86" s="72">
        <v>129.69999999999999</v>
      </c>
      <c r="R86" s="72">
        <v>130.4</v>
      </c>
      <c r="S86" s="72">
        <v>127.9</v>
      </c>
      <c r="T86" s="72">
        <v>126.3</v>
      </c>
      <c r="U86" s="72">
        <v>128</v>
      </c>
      <c r="V86" s="72">
        <v>128</v>
      </c>
      <c r="W86" s="99">
        <v>128.19999999999999</v>
      </c>
      <c r="X86" s="99">
        <v>127.8</v>
      </c>
      <c r="Y86" s="99">
        <v>126.2</v>
      </c>
      <c r="Z86" s="99">
        <v>128.4</v>
      </c>
      <c r="AA86" s="99">
        <v>129.5</v>
      </c>
      <c r="AB86" s="72">
        <v>129.5</v>
      </c>
      <c r="AC86" s="72">
        <v>128.5</v>
      </c>
      <c r="AD86" s="72">
        <v>129.80000000000001</v>
      </c>
      <c r="AE86" s="72">
        <v>128.9</v>
      </c>
      <c r="AF86" s="72">
        <v>130.19999999999999</v>
      </c>
      <c r="AG86" s="100"/>
      <c r="AH86" s="53">
        <f t="shared" si="22"/>
        <v>130.4</v>
      </c>
      <c r="AI86" s="54">
        <f t="shared" si="23"/>
        <v>126.2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9">
        <v>129.69999999999999</v>
      </c>
      <c r="C87" s="99">
        <v>129.69999999999999</v>
      </c>
      <c r="D87" s="72">
        <v>130</v>
      </c>
      <c r="E87" s="72">
        <v>130</v>
      </c>
      <c r="F87" s="72">
        <v>130</v>
      </c>
      <c r="G87" s="72">
        <v>130</v>
      </c>
      <c r="H87" s="72">
        <v>129</v>
      </c>
      <c r="I87" s="72">
        <v>128</v>
      </c>
      <c r="J87" s="72">
        <v>126.4</v>
      </c>
      <c r="K87" s="72">
        <v>128</v>
      </c>
      <c r="L87" s="72">
        <v>128</v>
      </c>
      <c r="M87" s="72">
        <v>129.1</v>
      </c>
      <c r="N87" s="72">
        <v>129.1</v>
      </c>
      <c r="O87" s="72">
        <v>129.4</v>
      </c>
      <c r="P87" s="72">
        <v>130.80000000000001</v>
      </c>
      <c r="Q87" s="72">
        <v>130.80000000000001</v>
      </c>
      <c r="R87" s="72">
        <v>128.5</v>
      </c>
      <c r="S87" s="72">
        <v>128.5</v>
      </c>
      <c r="T87" s="72">
        <v>128</v>
      </c>
      <c r="U87" s="72">
        <v>129</v>
      </c>
      <c r="V87" s="72">
        <v>128.69999999999999</v>
      </c>
      <c r="W87" s="72">
        <v>127.5</v>
      </c>
      <c r="X87" s="99">
        <v>128.5</v>
      </c>
      <c r="Y87" s="99">
        <v>126.5</v>
      </c>
      <c r="Z87" s="99">
        <v>129.69999999999999</v>
      </c>
      <c r="AA87" s="99">
        <v>130.80000000000001</v>
      </c>
      <c r="AB87" s="72">
        <v>130.80000000000001</v>
      </c>
      <c r="AC87" s="72">
        <v>131.6</v>
      </c>
      <c r="AD87" s="72">
        <v>130.5</v>
      </c>
      <c r="AE87" s="72">
        <v>132.80000000000001</v>
      </c>
      <c r="AF87" s="72">
        <v>130.69999999999999</v>
      </c>
      <c r="AG87" s="100"/>
      <c r="AH87" s="53">
        <f t="shared" si="22"/>
        <v>132.80000000000001</v>
      </c>
      <c r="AI87" s="54">
        <f t="shared" si="23"/>
        <v>126.4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9">
        <v>133</v>
      </c>
      <c r="C88" s="99">
        <v>132.69999999999999</v>
      </c>
      <c r="D88" s="72">
        <v>133</v>
      </c>
      <c r="E88" s="72">
        <v>133</v>
      </c>
      <c r="F88" s="72">
        <v>133</v>
      </c>
      <c r="G88" s="72">
        <v>133</v>
      </c>
      <c r="H88" s="72">
        <v>132</v>
      </c>
      <c r="I88" s="72">
        <v>131</v>
      </c>
      <c r="J88" s="72">
        <v>129</v>
      </c>
      <c r="K88" s="72">
        <v>129</v>
      </c>
      <c r="L88" s="72">
        <v>131.6</v>
      </c>
      <c r="M88" s="72">
        <v>133.19999999999999</v>
      </c>
      <c r="N88" s="72">
        <v>133.19999999999999</v>
      </c>
      <c r="O88" s="72">
        <v>132.9</v>
      </c>
      <c r="P88" s="72">
        <v>134</v>
      </c>
      <c r="Q88" s="72">
        <v>134</v>
      </c>
      <c r="R88" s="72">
        <v>131.1</v>
      </c>
      <c r="S88" s="72">
        <v>130.30000000000001</v>
      </c>
      <c r="T88" s="72">
        <v>131.1</v>
      </c>
      <c r="U88" s="72">
        <v>132</v>
      </c>
      <c r="V88" s="72">
        <v>131.4</v>
      </c>
      <c r="W88" s="72">
        <v>130.4</v>
      </c>
      <c r="X88" s="99">
        <v>130.30000000000001</v>
      </c>
      <c r="Y88" s="99">
        <v>130.6</v>
      </c>
      <c r="Z88" s="99">
        <v>132.19999999999999</v>
      </c>
      <c r="AA88" s="99">
        <v>134.1</v>
      </c>
      <c r="AB88" s="72">
        <v>134.1</v>
      </c>
      <c r="AC88" s="72">
        <v>135.9</v>
      </c>
      <c r="AD88" s="72">
        <v>133</v>
      </c>
      <c r="AE88" s="72">
        <v>135.19999999999999</v>
      </c>
      <c r="AF88" s="72">
        <v>133.30000000000001</v>
      </c>
      <c r="AG88" s="100"/>
      <c r="AH88" s="53">
        <f t="shared" si="22"/>
        <v>135.9</v>
      </c>
      <c r="AI88" s="54">
        <f t="shared" si="23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99">
        <v>129.80000000000001</v>
      </c>
      <c r="C89" s="99">
        <v>127.3</v>
      </c>
      <c r="D89" s="103">
        <v>125</v>
      </c>
      <c r="E89" s="103">
        <v>126.7</v>
      </c>
      <c r="F89" s="103">
        <v>130</v>
      </c>
      <c r="G89" s="103">
        <v>130.5</v>
      </c>
      <c r="H89" s="103">
        <v>133</v>
      </c>
      <c r="I89" s="103">
        <v>131</v>
      </c>
      <c r="J89" s="103">
        <v>132.9</v>
      </c>
      <c r="K89" s="103">
        <v>134</v>
      </c>
      <c r="L89" s="103">
        <v>132</v>
      </c>
      <c r="M89" s="103">
        <v>134.30000000000001</v>
      </c>
      <c r="N89" s="103">
        <v>134.30000000000001</v>
      </c>
      <c r="O89" s="103">
        <v>133</v>
      </c>
      <c r="P89" s="103">
        <v>132.9</v>
      </c>
      <c r="Q89" s="103">
        <v>135.9</v>
      </c>
      <c r="R89" s="103">
        <v>132.6</v>
      </c>
      <c r="S89" s="103">
        <v>129.1</v>
      </c>
      <c r="T89" s="103">
        <v>48.8</v>
      </c>
      <c r="U89" s="103">
        <v>134.5</v>
      </c>
      <c r="V89" s="103">
        <v>135.19999999999999</v>
      </c>
      <c r="W89" s="103">
        <v>133.30000000000001</v>
      </c>
      <c r="X89" s="99">
        <v>134.1</v>
      </c>
      <c r="Y89" s="99">
        <v>134.6</v>
      </c>
      <c r="Z89" s="99">
        <v>133.30000000000001</v>
      </c>
      <c r="AA89" s="99">
        <v>133.5</v>
      </c>
      <c r="AB89" s="103">
        <v>133.5</v>
      </c>
      <c r="AC89" s="103">
        <v>133</v>
      </c>
      <c r="AD89" s="103">
        <v>133.4</v>
      </c>
      <c r="AE89" s="103">
        <v>132</v>
      </c>
      <c r="AF89" s="103">
        <v>132.6</v>
      </c>
      <c r="AG89" s="104"/>
      <c r="AH89" s="53">
        <f t="shared" si="22"/>
        <v>135.9</v>
      </c>
      <c r="AI89" s="54">
        <f t="shared" si="23"/>
        <v>48.8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9">
        <v>134.19999999999999</v>
      </c>
      <c r="C90" s="99">
        <v>133</v>
      </c>
      <c r="D90" s="72">
        <v>134</v>
      </c>
      <c r="E90" s="72">
        <v>135</v>
      </c>
      <c r="F90" s="72">
        <v>135</v>
      </c>
      <c r="G90" s="72">
        <v>134</v>
      </c>
      <c r="H90" s="72">
        <v>134</v>
      </c>
      <c r="I90" s="72">
        <v>131</v>
      </c>
      <c r="J90" s="72">
        <v>134</v>
      </c>
      <c r="K90" s="72">
        <v>134</v>
      </c>
      <c r="L90" s="72">
        <v>132.5</v>
      </c>
      <c r="M90" s="72">
        <v>129.80000000000001</v>
      </c>
      <c r="N90" s="72">
        <v>129.80000000000001</v>
      </c>
      <c r="O90" s="72">
        <v>139.6</v>
      </c>
      <c r="P90" s="72">
        <v>133.19999999999999</v>
      </c>
      <c r="Q90" s="72">
        <v>134.19999999999999</v>
      </c>
      <c r="R90" s="72">
        <v>136</v>
      </c>
      <c r="S90" s="72">
        <v>134.5</v>
      </c>
      <c r="T90" s="72">
        <v>136.4</v>
      </c>
      <c r="U90" s="72">
        <v>134</v>
      </c>
      <c r="V90" s="72">
        <v>133.6</v>
      </c>
      <c r="W90" s="72">
        <v>137.6</v>
      </c>
      <c r="X90" s="99">
        <v>130.1</v>
      </c>
      <c r="Y90" s="99">
        <v>134.6</v>
      </c>
      <c r="Z90" s="99">
        <v>135.80000000000001</v>
      </c>
      <c r="AA90" s="99">
        <v>134.19999999999999</v>
      </c>
      <c r="AB90" s="72">
        <v>134.19999999999999</v>
      </c>
      <c r="AC90" s="72">
        <v>134.9</v>
      </c>
      <c r="AD90" s="72">
        <v>136.69999999999999</v>
      </c>
      <c r="AE90" s="72">
        <v>133</v>
      </c>
      <c r="AF90" s="72">
        <v>137.5</v>
      </c>
      <c r="AG90" s="100"/>
      <c r="AH90" s="53">
        <f t="shared" si="22"/>
        <v>139.6</v>
      </c>
      <c r="AI90" s="54">
        <f t="shared" si="23"/>
        <v>129.80000000000001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6">
        <v>65</v>
      </c>
      <c r="C91" s="106">
        <v>65.900000000000006</v>
      </c>
      <c r="D91" s="106">
        <v>64.900000000000006</v>
      </c>
      <c r="E91" s="106">
        <v>65</v>
      </c>
      <c r="F91" s="106">
        <v>65.5</v>
      </c>
      <c r="G91" s="106">
        <v>65.7</v>
      </c>
      <c r="H91" s="106">
        <v>65.400000000000006</v>
      </c>
      <c r="I91" s="106">
        <v>64.7</v>
      </c>
      <c r="J91" s="106">
        <v>64.7</v>
      </c>
      <c r="K91" s="106">
        <v>64.7</v>
      </c>
      <c r="L91" s="106">
        <v>64.3</v>
      </c>
      <c r="M91" s="106">
        <v>64.2</v>
      </c>
      <c r="N91" s="106">
        <v>64.2</v>
      </c>
      <c r="O91" s="106">
        <v>64.7</v>
      </c>
      <c r="P91" s="106">
        <v>65.3</v>
      </c>
      <c r="Q91" s="106">
        <v>65.7</v>
      </c>
      <c r="R91" s="106">
        <v>66.3</v>
      </c>
      <c r="S91" s="106">
        <v>64.2</v>
      </c>
      <c r="T91" s="106">
        <v>64.400000000000006</v>
      </c>
      <c r="U91" s="106">
        <v>65</v>
      </c>
      <c r="V91" s="106">
        <v>65.3</v>
      </c>
      <c r="W91" s="106">
        <v>65</v>
      </c>
      <c r="X91" s="106">
        <v>64.7</v>
      </c>
      <c r="Y91" s="106">
        <v>63.9</v>
      </c>
      <c r="Z91" s="106">
        <v>64.900000000000006</v>
      </c>
      <c r="AA91" s="106">
        <v>65.3</v>
      </c>
      <c r="AB91" s="106">
        <v>65.3</v>
      </c>
      <c r="AC91" s="106">
        <v>65.3</v>
      </c>
      <c r="AD91" s="106">
        <v>66</v>
      </c>
      <c r="AE91" s="106">
        <v>65.7</v>
      </c>
      <c r="AF91" s="106">
        <v>65.900000000000006</v>
      </c>
      <c r="AG91" s="107"/>
      <c r="AH91" s="53">
        <f t="shared" si="22"/>
        <v>66.3</v>
      </c>
      <c r="AI91" s="54">
        <f t="shared" si="23"/>
        <v>63.9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200.23999999999995</v>
      </c>
      <c r="C93" s="113">
        <f>SUM(C15,C18,C21:C22,C42,C44:C45,C47,C49,C94:C97,C102,C108,C114,C123,C125,C137,C144,C147:C148,C155,C157,C159,C163:C165,C167:C169,C174,C180:C181,C183:C185,C193,C198)</f>
        <v>185.83999999999997</v>
      </c>
      <c r="D93" s="113">
        <f t="shared" ref="D93:AF93" si="36">SUM(D15,D18,D21:D22,D42,D44:D45,D47,D49,D94:D97,D102,D108,D114,D123,D125,D137,D144,D147:D148,D155,D157,D159,D163:D165,D167:D169,D174,D180:D181,D183:D185,D193,D198)</f>
        <v>181.23999999999995</v>
      </c>
      <c r="E93" s="113">
        <f t="shared" si="36"/>
        <v>179.43999999999997</v>
      </c>
      <c r="F93" s="113">
        <f t="shared" si="36"/>
        <v>183.33999999999997</v>
      </c>
      <c r="G93" s="112">
        <f t="shared" si="36"/>
        <v>210.53999999999996</v>
      </c>
      <c r="H93" s="112">
        <f t="shared" si="36"/>
        <v>223.23999999999998</v>
      </c>
      <c r="I93" s="112">
        <f t="shared" si="36"/>
        <v>255.94</v>
      </c>
      <c r="J93" s="112">
        <f t="shared" si="36"/>
        <v>282.64000000000004</v>
      </c>
      <c r="K93" s="112">
        <f t="shared" si="36"/>
        <v>329.14000000000004</v>
      </c>
      <c r="L93" s="112">
        <f t="shared" si="36"/>
        <v>350.64000000000004</v>
      </c>
      <c r="M93" s="112">
        <f t="shared" si="36"/>
        <v>387.94000000000005</v>
      </c>
      <c r="N93" s="112">
        <f t="shared" si="36"/>
        <v>380.84000000000003</v>
      </c>
      <c r="O93" s="112">
        <f t="shared" si="36"/>
        <v>375.34000000000003</v>
      </c>
      <c r="P93" s="112">
        <f t="shared" si="36"/>
        <v>351.84000000000003</v>
      </c>
      <c r="Q93" s="112">
        <f t="shared" si="36"/>
        <v>307.84000000000003</v>
      </c>
      <c r="R93" s="112">
        <f t="shared" si="36"/>
        <v>291.34000000000003</v>
      </c>
      <c r="S93" s="112">
        <f t="shared" si="36"/>
        <v>267.64</v>
      </c>
      <c r="T93" s="112">
        <f t="shared" si="36"/>
        <v>268.64</v>
      </c>
      <c r="U93" s="112">
        <f t="shared" si="36"/>
        <v>270.03999999999996</v>
      </c>
      <c r="V93" s="112">
        <f t="shared" si="36"/>
        <v>299.44000000000005</v>
      </c>
      <c r="W93" s="112">
        <f t="shared" si="36"/>
        <v>317.14000000000004</v>
      </c>
      <c r="X93" s="112">
        <f t="shared" si="36"/>
        <v>364.44000000000005</v>
      </c>
      <c r="Y93" s="112">
        <f t="shared" si="36"/>
        <v>440.04000000000008</v>
      </c>
      <c r="Z93" s="112">
        <f t="shared" si="36"/>
        <v>437.84000000000003</v>
      </c>
      <c r="AA93" s="112">
        <f t="shared" si="36"/>
        <v>430.94000000000005</v>
      </c>
      <c r="AB93" s="112">
        <f t="shared" si="36"/>
        <v>428.64000000000004</v>
      </c>
      <c r="AC93" s="112">
        <f t="shared" si="36"/>
        <v>388.04000000000008</v>
      </c>
      <c r="AD93" s="112">
        <f t="shared" si="36"/>
        <v>369.04000000000008</v>
      </c>
      <c r="AE93" s="112">
        <f t="shared" si="36"/>
        <v>369.54000000000008</v>
      </c>
      <c r="AF93" s="112">
        <f t="shared" si="36"/>
        <v>225.04000000000002</v>
      </c>
      <c r="AG93" s="114"/>
      <c r="AH93" s="53">
        <f>MAX(C93:AF93)</f>
        <v>440.04000000000008</v>
      </c>
      <c r="AI93" s="54">
        <f>MIN(C93:AF93)</f>
        <v>179.43999999999997</v>
      </c>
    </row>
    <row r="94" spans="1:88" x14ac:dyDescent="0.25">
      <c r="A94" s="115" t="s">
        <v>98</v>
      </c>
      <c r="B94" s="118">
        <v>-20.399999999999999</v>
      </c>
      <c r="C94" s="57">
        <v>-31.5</v>
      </c>
      <c r="D94" s="57">
        <v>-39.9</v>
      </c>
      <c r="E94" s="57">
        <v>-36.9</v>
      </c>
      <c r="F94" s="57">
        <v>-29.2</v>
      </c>
      <c r="G94" s="117">
        <v>-14.2</v>
      </c>
      <c r="H94" s="117">
        <v>-5.4</v>
      </c>
      <c r="I94" s="117">
        <v>3.1</v>
      </c>
      <c r="J94" s="117">
        <v>25.8</v>
      </c>
      <c r="K94" s="117">
        <v>60.9</v>
      </c>
      <c r="L94" s="117">
        <v>53.6</v>
      </c>
      <c r="M94" s="118">
        <v>58</v>
      </c>
      <c r="N94" s="117">
        <v>45</v>
      </c>
      <c r="O94" s="117">
        <v>32.5</v>
      </c>
      <c r="P94" s="117">
        <v>22</v>
      </c>
      <c r="Q94" s="117">
        <v>21</v>
      </c>
      <c r="R94" s="117">
        <v>18</v>
      </c>
      <c r="S94" s="117">
        <v>7.3</v>
      </c>
      <c r="T94" s="117">
        <v>-7.9</v>
      </c>
      <c r="U94" s="118">
        <v>4.2</v>
      </c>
      <c r="V94" s="118">
        <v>31.2</v>
      </c>
      <c r="W94" s="118">
        <v>51.1</v>
      </c>
      <c r="X94" s="117">
        <v>56.5</v>
      </c>
      <c r="Y94" s="117">
        <v>42.5</v>
      </c>
      <c r="Z94" s="117">
        <v>33.700000000000003</v>
      </c>
      <c r="AA94" s="117">
        <v>59.8</v>
      </c>
      <c r="AB94" s="118">
        <v>59.8</v>
      </c>
      <c r="AC94" s="118">
        <v>46.2</v>
      </c>
      <c r="AD94" s="118">
        <v>37.700000000000003</v>
      </c>
      <c r="AE94" s="118">
        <v>37.700000000000003</v>
      </c>
      <c r="AF94" s="118">
        <v>-0.7</v>
      </c>
      <c r="AG94" s="119">
        <v>75</v>
      </c>
      <c r="AH94" s="53">
        <f t="shared" ref="AH94:AH99" si="37">IF(ABS(MAX(C94:AF94))&gt;ABS(MIN(C94:AF94)),MAX(C94:AF94),MIN(C94:AF94))</f>
        <v>60.9</v>
      </c>
      <c r="AI94" s="120">
        <f t="shared" ref="AI94:AI99" si="38">INDEX($C$9:$AF$9,1,MATCH(AH94,C94:AF94,0))</f>
        <v>0.29166666666666669</v>
      </c>
    </row>
    <row r="95" spans="1:88" x14ac:dyDescent="0.25">
      <c r="A95" s="121" t="s">
        <v>99</v>
      </c>
      <c r="B95" s="72">
        <f>-15.5-17</f>
        <v>-32.5</v>
      </c>
      <c r="C95" s="59">
        <f>-16-17.8</f>
        <v>-33.799999999999997</v>
      </c>
      <c r="D95" s="59">
        <v>-35.700000000000003</v>
      </c>
      <c r="E95" s="59">
        <v>-36.700000000000003</v>
      </c>
      <c r="F95" s="59">
        <v>-34.700000000000003</v>
      </c>
      <c r="G95" s="59">
        <v>-28.4</v>
      </c>
      <c r="H95" s="59">
        <v>-24</v>
      </c>
      <c r="I95" s="59">
        <v>-13.1</v>
      </c>
      <c r="J95" s="59">
        <v>-10.6</v>
      </c>
      <c r="K95" s="59">
        <v>11.2</v>
      </c>
      <c r="L95" s="59">
        <v>22.5</v>
      </c>
      <c r="M95" s="59">
        <v>35.6</v>
      </c>
      <c r="N95" s="59">
        <v>37</v>
      </c>
      <c r="O95" s="59">
        <v>39</v>
      </c>
      <c r="P95" s="59">
        <v>37</v>
      </c>
      <c r="Q95" s="59">
        <v>28</v>
      </c>
      <c r="R95" s="59">
        <v>-9</v>
      </c>
      <c r="S95" s="59">
        <v>3.3</v>
      </c>
      <c r="T95" s="59">
        <v>4.7</v>
      </c>
      <c r="U95" s="59">
        <v>2</v>
      </c>
      <c r="V95" s="59">
        <v>2</v>
      </c>
      <c r="W95" s="59">
        <v>5.8</v>
      </c>
      <c r="X95" s="59">
        <v>54</v>
      </c>
      <c r="Y95" s="59">
        <v>80</v>
      </c>
      <c r="Z95" s="59">
        <v>83.1</v>
      </c>
      <c r="AA95" s="59">
        <v>54.8</v>
      </c>
      <c r="AB95" s="72">
        <v>54.8</v>
      </c>
      <c r="AC95" s="72">
        <v>48</v>
      </c>
      <c r="AD95" s="72">
        <v>41.8</v>
      </c>
      <c r="AE95" s="72">
        <v>41.8</v>
      </c>
      <c r="AF95" s="72">
        <v>-21.7</v>
      </c>
      <c r="AG95" s="119">
        <v>240</v>
      </c>
      <c r="AH95" s="53">
        <f t="shared" si="37"/>
        <v>83.1</v>
      </c>
      <c r="AI95" s="120">
        <f t="shared" si="38"/>
        <v>0.79166666666666663</v>
      </c>
    </row>
    <row r="96" spans="1:88" x14ac:dyDescent="0.25">
      <c r="A96" s="121" t="s">
        <v>100</v>
      </c>
      <c r="B96" s="72">
        <v>-10.8</v>
      </c>
      <c r="C96" s="59">
        <v>-7</v>
      </c>
      <c r="D96" s="59">
        <v>-12.3</v>
      </c>
      <c r="E96" s="59">
        <v>-10.3</v>
      </c>
      <c r="F96" s="59">
        <v>-12.6</v>
      </c>
      <c r="G96" s="59">
        <v>-5.3</v>
      </c>
      <c r="H96" s="59">
        <v>-3.5</v>
      </c>
      <c r="I96" s="59">
        <v>-2.5</v>
      </c>
      <c r="J96" s="59">
        <v>-1.8</v>
      </c>
      <c r="K96" s="59">
        <v>2</v>
      </c>
      <c r="L96" s="59">
        <v>13.6</v>
      </c>
      <c r="M96" s="59">
        <v>22.5</v>
      </c>
      <c r="N96" s="59">
        <v>22</v>
      </c>
      <c r="O96" s="59">
        <v>20</v>
      </c>
      <c r="P96" s="59">
        <v>19</v>
      </c>
      <c r="Q96" s="59">
        <v>14</v>
      </c>
      <c r="R96" s="59">
        <v>-3</v>
      </c>
      <c r="S96" s="59">
        <v>3.2</v>
      </c>
      <c r="T96" s="59">
        <v>3.4</v>
      </c>
      <c r="U96" s="59">
        <v>-2.7</v>
      </c>
      <c r="V96" s="59">
        <v>3.9</v>
      </c>
      <c r="W96" s="59">
        <v>8.4</v>
      </c>
      <c r="X96" s="59">
        <v>33.1</v>
      </c>
      <c r="Y96" s="59">
        <v>56.3</v>
      </c>
      <c r="Z96" s="59">
        <v>61.1</v>
      </c>
      <c r="AA96" s="59">
        <v>61.3</v>
      </c>
      <c r="AB96" s="72">
        <v>61.3</v>
      </c>
      <c r="AC96" s="72">
        <v>22.7</v>
      </c>
      <c r="AD96" s="72">
        <v>20.8</v>
      </c>
      <c r="AE96" s="72">
        <v>20.8</v>
      </c>
      <c r="AF96" s="72">
        <v>-4.3</v>
      </c>
      <c r="AG96" s="119">
        <v>60</v>
      </c>
      <c r="AH96" s="53">
        <f t="shared" si="37"/>
        <v>61.3</v>
      </c>
      <c r="AI96" s="120">
        <f t="shared" si="38"/>
        <v>0.8125</v>
      </c>
    </row>
    <row r="97" spans="1:37" x14ac:dyDescent="0.25">
      <c r="A97" s="123" t="s">
        <v>101</v>
      </c>
      <c r="B97" s="125">
        <v>96.5</v>
      </c>
      <c r="C97" s="62">
        <v>90.7</v>
      </c>
      <c r="D97" s="62">
        <v>100.8</v>
      </c>
      <c r="E97" s="62">
        <v>98</v>
      </c>
      <c r="F97" s="62">
        <v>97.4</v>
      </c>
      <c r="G97" s="62">
        <v>94</v>
      </c>
      <c r="H97" s="62">
        <v>91.4</v>
      </c>
      <c r="I97" s="62">
        <v>103.7</v>
      </c>
      <c r="J97" s="62">
        <v>104.5</v>
      </c>
      <c r="K97" s="62">
        <v>90.3</v>
      </c>
      <c r="L97" s="62">
        <v>96.2</v>
      </c>
      <c r="M97" s="62">
        <v>105</v>
      </c>
      <c r="N97" s="62">
        <v>110</v>
      </c>
      <c r="O97" s="62">
        <v>117</v>
      </c>
      <c r="P97" s="62">
        <v>107</v>
      </c>
      <c r="Q97" s="62">
        <v>78</v>
      </c>
      <c r="R97" s="62">
        <v>118.5</v>
      </c>
      <c r="S97" s="62">
        <v>91.6</v>
      </c>
      <c r="T97" s="62">
        <v>109.1</v>
      </c>
      <c r="U97" s="62">
        <v>108.4</v>
      </c>
      <c r="V97" s="62">
        <v>101.7</v>
      </c>
      <c r="W97" s="62">
        <v>91.6</v>
      </c>
      <c r="X97" s="62">
        <v>60.6</v>
      </c>
      <c r="Y97" s="62">
        <v>88.8</v>
      </c>
      <c r="Z97" s="62">
        <v>87.5</v>
      </c>
      <c r="AA97" s="62">
        <v>82</v>
      </c>
      <c r="AB97" s="125">
        <v>82</v>
      </c>
      <c r="AC97" s="125">
        <v>104.4</v>
      </c>
      <c r="AD97" s="125">
        <v>101.5</v>
      </c>
      <c r="AE97" s="125">
        <v>101.5</v>
      </c>
      <c r="AF97" s="125">
        <v>81.2</v>
      </c>
      <c r="AG97" s="126">
        <v>120</v>
      </c>
      <c r="AH97" s="53">
        <f t="shared" si="37"/>
        <v>118.5</v>
      </c>
      <c r="AI97" s="120">
        <f t="shared" si="38"/>
        <v>0.54166666666666696</v>
      </c>
    </row>
    <row r="98" spans="1:37" x14ac:dyDescent="0.25">
      <c r="A98" s="123" t="s">
        <v>102</v>
      </c>
      <c r="B98" s="125">
        <v>101.2</v>
      </c>
      <c r="C98" s="62">
        <v>105</v>
      </c>
      <c r="D98" s="62">
        <v>105</v>
      </c>
      <c r="E98" s="62">
        <v>98.4</v>
      </c>
      <c r="F98" s="62">
        <v>98.6</v>
      </c>
      <c r="G98" s="62">
        <v>94.1</v>
      </c>
      <c r="H98" s="62">
        <v>91.7</v>
      </c>
      <c r="I98" s="62">
        <v>99.4</v>
      </c>
      <c r="J98" s="62">
        <v>98</v>
      </c>
      <c r="K98" s="62">
        <v>50.4</v>
      </c>
      <c r="L98" s="62">
        <v>56</v>
      </c>
      <c r="M98" s="62">
        <v>59</v>
      </c>
      <c r="N98" s="62">
        <v>65</v>
      </c>
      <c r="O98" s="62">
        <v>75</v>
      </c>
      <c r="P98" s="62">
        <v>71</v>
      </c>
      <c r="Q98" s="62">
        <v>72</v>
      </c>
      <c r="R98" s="62">
        <v>40</v>
      </c>
      <c r="S98" s="62">
        <v>82.9</v>
      </c>
      <c r="T98" s="62">
        <v>96.1</v>
      </c>
      <c r="U98" s="62">
        <v>101.4</v>
      </c>
      <c r="V98" s="62">
        <v>87.5</v>
      </c>
      <c r="W98" s="62">
        <v>80.2</v>
      </c>
      <c r="X98" s="62">
        <v>73.400000000000006</v>
      </c>
      <c r="Y98" s="62">
        <v>100.6</v>
      </c>
      <c r="Z98" s="62">
        <v>86.9</v>
      </c>
      <c r="AA98" s="62">
        <v>56.3</v>
      </c>
      <c r="AB98" s="125">
        <v>56.3</v>
      </c>
      <c r="AC98" s="125">
        <v>74.099999999999994</v>
      </c>
      <c r="AD98" s="125">
        <v>75.7</v>
      </c>
      <c r="AE98" s="125">
        <v>75.7</v>
      </c>
      <c r="AF98" s="125">
        <v>80.900000000000006</v>
      </c>
      <c r="AG98" s="126"/>
      <c r="AH98" s="53">
        <f t="shared" si="37"/>
        <v>105</v>
      </c>
      <c r="AI98" s="120">
        <f t="shared" si="38"/>
        <v>4.1666666666666664E-2</v>
      </c>
    </row>
    <row r="99" spans="1:37" ht="15.75" thickBot="1" x14ac:dyDescent="0.3">
      <c r="A99" s="123" t="s">
        <v>103</v>
      </c>
      <c r="B99" s="125">
        <v>66.2</v>
      </c>
      <c r="C99" s="62">
        <v>80.099999999999994</v>
      </c>
      <c r="D99" s="62">
        <v>80</v>
      </c>
      <c r="E99" s="62">
        <v>81</v>
      </c>
      <c r="F99" s="62">
        <v>74.400000000000006</v>
      </c>
      <c r="G99" s="62">
        <v>49.9</v>
      </c>
      <c r="H99" s="62">
        <v>39.700000000000003</v>
      </c>
      <c r="I99" s="62">
        <v>41.5</v>
      </c>
      <c r="J99" s="62">
        <v>31.3</v>
      </c>
      <c r="K99" s="62">
        <v>11.2</v>
      </c>
      <c r="L99" s="62">
        <v>17.7</v>
      </c>
      <c r="M99" s="62">
        <v>15.5</v>
      </c>
      <c r="N99" s="62">
        <v>18</v>
      </c>
      <c r="O99" s="62">
        <v>20</v>
      </c>
      <c r="P99" s="62">
        <v>28</v>
      </c>
      <c r="Q99" s="62">
        <v>12</v>
      </c>
      <c r="R99" s="62">
        <v>20</v>
      </c>
      <c r="S99" s="62">
        <v>4.5999999999999996</v>
      </c>
      <c r="T99" s="62">
        <v>49.6</v>
      </c>
      <c r="U99" s="62">
        <v>44.6</v>
      </c>
      <c r="V99" s="62">
        <v>34.6</v>
      </c>
      <c r="W99" s="62">
        <v>21.3</v>
      </c>
      <c r="X99" s="62">
        <v>20</v>
      </c>
      <c r="Y99" s="62">
        <v>36.4</v>
      </c>
      <c r="Z99" s="62">
        <v>9.6</v>
      </c>
      <c r="AA99" s="62">
        <v>12.5</v>
      </c>
      <c r="AB99" s="125">
        <v>12.5</v>
      </c>
      <c r="AC99" s="125">
        <v>43.2</v>
      </c>
      <c r="AD99" s="125">
        <v>35.4</v>
      </c>
      <c r="AE99" s="125">
        <v>35.4</v>
      </c>
      <c r="AF99" s="125">
        <v>49.2</v>
      </c>
      <c r="AG99" s="127"/>
      <c r="AH99" s="53">
        <f t="shared" si="37"/>
        <v>81</v>
      </c>
      <c r="AI99" s="120">
        <f t="shared" si="38"/>
        <v>0.125</v>
      </c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39">AF101</f>
        <v>9.9</v>
      </c>
      <c r="C101" s="52">
        <v>9.9</v>
      </c>
      <c r="D101" s="133">
        <f t="shared" ref="D101:S106" si="40">C101</f>
        <v>9.9</v>
      </c>
      <c r="E101" s="133">
        <f t="shared" si="40"/>
        <v>9.9</v>
      </c>
      <c r="F101" s="133">
        <f t="shared" si="40"/>
        <v>9.9</v>
      </c>
      <c r="G101" s="133">
        <f t="shared" si="40"/>
        <v>9.9</v>
      </c>
      <c r="H101" s="133">
        <f t="shared" si="40"/>
        <v>9.9</v>
      </c>
      <c r="I101" s="133">
        <f t="shared" si="40"/>
        <v>9.9</v>
      </c>
      <c r="J101" s="133">
        <f t="shared" si="40"/>
        <v>9.9</v>
      </c>
      <c r="K101" s="133">
        <f t="shared" si="40"/>
        <v>9.9</v>
      </c>
      <c r="L101" s="133">
        <f t="shared" si="40"/>
        <v>9.9</v>
      </c>
      <c r="M101" s="133">
        <f t="shared" si="40"/>
        <v>9.9</v>
      </c>
      <c r="N101" s="133">
        <f t="shared" si="40"/>
        <v>9.9</v>
      </c>
      <c r="O101" s="133">
        <f t="shared" si="40"/>
        <v>9.9</v>
      </c>
      <c r="P101" s="133">
        <f t="shared" si="40"/>
        <v>9.9</v>
      </c>
      <c r="Q101" s="133">
        <f t="shared" si="40"/>
        <v>9.9</v>
      </c>
      <c r="R101" s="133">
        <f t="shared" si="40"/>
        <v>9.9</v>
      </c>
      <c r="S101" s="133">
        <f t="shared" si="40"/>
        <v>9.9</v>
      </c>
      <c r="T101" s="133">
        <f t="shared" ref="T101:AF106" si="41">S101</f>
        <v>9.9</v>
      </c>
      <c r="U101" s="133">
        <f t="shared" si="41"/>
        <v>9.9</v>
      </c>
      <c r="V101" s="133">
        <f t="shared" si="41"/>
        <v>9.9</v>
      </c>
      <c r="W101" s="133">
        <f t="shared" si="41"/>
        <v>9.9</v>
      </c>
      <c r="X101" s="133">
        <f t="shared" si="41"/>
        <v>9.9</v>
      </c>
      <c r="Y101" s="133">
        <f t="shared" si="41"/>
        <v>9.9</v>
      </c>
      <c r="Z101" s="133">
        <f t="shared" si="41"/>
        <v>9.9</v>
      </c>
      <c r="AA101" s="133">
        <f t="shared" si="41"/>
        <v>9.9</v>
      </c>
      <c r="AB101" s="133">
        <f t="shared" si="41"/>
        <v>9.9</v>
      </c>
      <c r="AC101" s="133">
        <f t="shared" si="41"/>
        <v>9.9</v>
      </c>
      <c r="AD101" s="133">
        <f t="shared" si="41"/>
        <v>9.9</v>
      </c>
      <c r="AE101" s="133">
        <f t="shared" si="41"/>
        <v>9.9</v>
      </c>
      <c r="AF101" s="133">
        <f t="shared" si="41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39"/>
        <v>9.6</v>
      </c>
      <c r="C102" s="136">
        <v>9.6</v>
      </c>
      <c r="D102" s="135">
        <f t="shared" si="40"/>
        <v>9.6</v>
      </c>
      <c r="E102" s="135">
        <f t="shared" si="40"/>
        <v>9.6</v>
      </c>
      <c r="F102" s="135">
        <f t="shared" si="40"/>
        <v>9.6</v>
      </c>
      <c r="G102" s="135">
        <f t="shared" si="40"/>
        <v>9.6</v>
      </c>
      <c r="H102" s="135">
        <f t="shared" si="40"/>
        <v>9.6</v>
      </c>
      <c r="I102" s="135">
        <f t="shared" si="40"/>
        <v>9.6</v>
      </c>
      <c r="J102" s="135">
        <f t="shared" si="40"/>
        <v>9.6</v>
      </c>
      <c r="K102" s="135">
        <f t="shared" si="40"/>
        <v>9.6</v>
      </c>
      <c r="L102" s="135">
        <f t="shared" si="40"/>
        <v>9.6</v>
      </c>
      <c r="M102" s="135">
        <f t="shared" si="40"/>
        <v>9.6</v>
      </c>
      <c r="N102" s="135">
        <f t="shared" si="40"/>
        <v>9.6</v>
      </c>
      <c r="O102" s="135">
        <f t="shared" si="40"/>
        <v>9.6</v>
      </c>
      <c r="P102" s="135">
        <f t="shared" si="40"/>
        <v>9.6</v>
      </c>
      <c r="Q102" s="135">
        <f t="shared" si="40"/>
        <v>9.6</v>
      </c>
      <c r="R102" s="135">
        <f t="shared" si="40"/>
        <v>9.6</v>
      </c>
      <c r="S102" s="135">
        <f t="shared" si="40"/>
        <v>9.6</v>
      </c>
      <c r="T102" s="135">
        <f t="shared" si="41"/>
        <v>9.6</v>
      </c>
      <c r="U102" s="135">
        <f t="shared" si="41"/>
        <v>9.6</v>
      </c>
      <c r="V102" s="135">
        <f t="shared" si="41"/>
        <v>9.6</v>
      </c>
      <c r="W102" s="135">
        <f t="shared" si="41"/>
        <v>9.6</v>
      </c>
      <c r="X102" s="135">
        <f t="shared" si="41"/>
        <v>9.6</v>
      </c>
      <c r="Y102" s="135">
        <f t="shared" si="41"/>
        <v>9.6</v>
      </c>
      <c r="Z102" s="135">
        <f t="shared" si="41"/>
        <v>9.6</v>
      </c>
      <c r="AA102" s="135">
        <f t="shared" si="41"/>
        <v>9.6</v>
      </c>
      <c r="AB102" s="135">
        <f t="shared" si="41"/>
        <v>9.6</v>
      </c>
      <c r="AC102" s="135">
        <f t="shared" si="41"/>
        <v>9.6</v>
      </c>
      <c r="AD102" s="135">
        <f t="shared" si="41"/>
        <v>9.6</v>
      </c>
      <c r="AE102" s="135">
        <f t="shared" si="41"/>
        <v>9.6</v>
      </c>
      <c r="AF102" s="135">
        <f t="shared" si="41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39"/>
        <v>9.98</v>
      </c>
      <c r="C103" s="136">
        <v>9.98</v>
      </c>
      <c r="D103" s="135">
        <f t="shared" si="40"/>
        <v>9.98</v>
      </c>
      <c r="E103" s="135">
        <f t="shared" si="40"/>
        <v>9.98</v>
      </c>
      <c r="F103" s="135">
        <f t="shared" si="40"/>
        <v>9.98</v>
      </c>
      <c r="G103" s="135">
        <f t="shared" si="40"/>
        <v>9.98</v>
      </c>
      <c r="H103" s="135">
        <f t="shared" si="40"/>
        <v>9.98</v>
      </c>
      <c r="I103" s="135">
        <f t="shared" si="40"/>
        <v>9.98</v>
      </c>
      <c r="J103" s="135">
        <f t="shared" si="40"/>
        <v>9.98</v>
      </c>
      <c r="K103" s="135">
        <f t="shared" si="40"/>
        <v>9.98</v>
      </c>
      <c r="L103" s="135">
        <f t="shared" si="40"/>
        <v>9.98</v>
      </c>
      <c r="M103" s="135">
        <f t="shared" si="40"/>
        <v>9.98</v>
      </c>
      <c r="N103" s="135">
        <f t="shared" si="40"/>
        <v>9.98</v>
      </c>
      <c r="O103" s="135">
        <f t="shared" si="40"/>
        <v>9.98</v>
      </c>
      <c r="P103" s="135">
        <f t="shared" si="40"/>
        <v>9.98</v>
      </c>
      <c r="Q103" s="135">
        <f t="shared" si="40"/>
        <v>9.98</v>
      </c>
      <c r="R103" s="135">
        <f t="shared" si="40"/>
        <v>9.98</v>
      </c>
      <c r="S103" s="135">
        <f t="shared" si="40"/>
        <v>9.98</v>
      </c>
      <c r="T103" s="135">
        <f t="shared" si="41"/>
        <v>9.98</v>
      </c>
      <c r="U103" s="135">
        <f t="shared" si="41"/>
        <v>9.98</v>
      </c>
      <c r="V103" s="135">
        <f t="shared" si="41"/>
        <v>9.98</v>
      </c>
      <c r="W103" s="135">
        <f t="shared" si="41"/>
        <v>9.98</v>
      </c>
      <c r="X103" s="135">
        <f t="shared" si="41"/>
        <v>9.98</v>
      </c>
      <c r="Y103" s="135">
        <f t="shared" si="41"/>
        <v>9.98</v>
      </c>
      <c r="Z103" s="135">
        <f t="shared" si="41"/>
        <v>9.98</v>
      </c>
      <c r="AA103" s="135">
        <f t="shared" si="41"/>
        <v>9.98</v>
      </c>
      <c r="AB103" s="135">
        <f t="shared" si="41"/>
        <v>9.98</v>
      </c>
      <c r="AC103" s="135">
        <f t="shared" si="41"/>
        <v>9.98</v>
      </c>
      <c r="AD103" s="135">
        <f t="shared" si="41"/>
        <v>9.98</v>
      </c>
      <c r="AE103" s="135">
        <f t="shared" si="41"/>
        <v>9.98</v>
      </c>
      <c r="AF103" s="135">
        <f t="shared" si="41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39"/>
        <v>9.1</v>
      </c>
      <c r="C104" s="136">
        <v>9.1</v>
      </c>
      <c r="D104" s="135">
        <f t="shared" si="40"/>
        <v>9.1</v>
      </c>
      <c r="E104" s="135">
        <f t="shared" si="40"/>
        <v>9.1</v>
      </c>
      <c r="F104" s="135">
        <f t="shared" si="40"/>
        <v>9.1</v>
      </c>
      <c r="G104" s="135">
        <f t="shared" si="40"/>
        <v>9.1</v>
      </c>
      <c r="H104" s="135">
        <f t="shared" si="40"/>
        <v>9.1</v>
      </c>
      <c r="I104" s="135">
        <f t="shared" si="40"/>
        <v>9.1</v>
      </c>
      <c r="J104" s="135">
        <f t="shared" si="40"/>
        <v>9.1</v>
      </c>
      <c r="K104" s="135">
        <f t="shared" si="40"/>
        <v>9.1</v>
      </c>
      <c r="L104" s="135">
        <f t="shared" si="40"/>
        <v>9.1</v>
      </c>
      <c r="M104" s="135">
        <f t="shared" si="40"/>
        <v>9.1</v>
      </c>
      <c r="N104" s="135">
        <f t="shared" si="40"/>
        <v>9.1</v>
      </c>
      <c r="O104" s="135">
        <f t="shared" si="40"/>
        <v>9.1</v>
      </c>
      <c r="P104" s="135">
        <f t="shared" si="40"/>
        <v>9.1</v>
      </c>
      <c r="Q104" s="135">
        <f t="shared" si="40"/>
        <v>9.1</v>
      </c>
      <c r="R104" s="135">
        <f t="shared" si="40"/>
        <v>9.1</v>
      </c>
      <c r="S104" s="135">
        <f t="shared" si="40"/>
        <v>9.1</v>
      </c>
      <c r="T104" s="135">
        <f t="shared" si="41"/>
        <v>9.1</v>
      </c>
      <c r="U104" s="135">
        <f t="shared" si="41"/>
        <v>9.1</v>
      </c>
      <c r="V104" s="135">
        <f t="shared" si="41"/>
        <v>9.1</v>
      </c>
      <c r="W104" s="135">
        <f t="shared" si="41"/>
        <v>9.1</v>
      </c>
      <c r="X104" s="135">
        <f t="shared" si="41"/>
        <v>9.1</v>
      </c>
      <c r="Y104" s="135">
        <f t="shared" si="41"/>
        <v>9.1</v>
      </c>
      <c r="Z104" s="135">
        <f t="shared" si="41"/>
        <v>9.1</v>
      </c>
      <c r="AA104" s="135">
        <f t="shared" si="41"/>
        <v>9.1</v>
      </c>
      <c r="AB104" s="135">
        <f t="shared" si="41"/>
        <v>9.1</v>
      </c>
      <c r="AC104" s="135">
        <f t="shared" si="41"/>
        <v>9.1</v>
      </c>
      <c r="AD104" s="135">
        <f t="shared" si="41"/>
        <v>9.1</v>
      </c>
      <c r="AE104" s="135">
        <f t="shared" si="41"/>
        <v>9.1</v>
      </c>
      <c r="AF104" s="135">
        <f t="shared" si="41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39"/>
        <v>9.18</v>
      </c>
      <c r="C105" s="136">
        <v>9.18</v>
      </c>
      <c r="D105" s="135">
        <f t="shared" si="40"/>
        <v>9.18</v>
      </c>
      <c r="E105" s="135">
        <f t="shared" si="40"/>
        <v>9.18</v>
      </c>
      <c r="F105" s="135">
        <f t="shared" si="40"/>
        <v>9.18</v>
      </c>
      <c r="G105" s="135">
        <f t="shared" si="40"/>
        <v>9.18</v>
      </c>
      <c r="H105" s="135">
        <f t="shared" si="40"/>
        <v>9.18</v>
      </c>
      <c r="I105" s="135">
        <f t="shared" si="40"/>
        <v>9.18</v>
      </c>
      <c r="J105" s="135">
        <f t="shared" si="40"/>
        <v>9.18</v>
      </c>
      <c r="K105" s="135">
        <f t="shared" si="40"/>
        <v>9.18</v>
      </c>
      <c r="L105" s="135">
        <f t="shared" si="40"/>
        <v>9.18</v>
      </c>
      <c r="M105" s="135">
        <f t="shared" si="40"/>
        <v>9.18</v>
      </c>
      <c r="N105" s="135">
        <f t="shared" si="40"/>
        <v>9.18</v>
      </c>
      <c r="O105" s="135">
        <f t="shared" si="40"/>
        <v>9.18</v>
      </c>
      <c r="P105" s="135">
        <f t="shared" si="40"/>
        <v>9.18</v>
      </c>
      <c r="Q105" s="135">
        <f t="shared" si="40"/>
        <v>9.18</v>
      </c>
      <c r="R105" s="135">
        <f t="shared" si="40"/>
        <v>9.18</v>
      </c>
      <c r="S105" s="135">
        <f t="shared" si="40"/>
        <v>9.18</v>
      </c>
      <c r="T105" s="135">
        <f t="shared" si="41"/>
        <v>9.18</v>
      </c>
      <c r="U105" s="135">
        <f t="shared" si="41"/>
        <v>9.18</v>
      </c>
      <c r="V105" s="135">
        <f t="shared" si="41"/>
        <v>9.18</v>
      </c>
      <c r="W105" s="135">
        <f t="shared" si="41"/>
        <v>9.18</v>
      </c>
      <c r="X105" s="135">
        <f t="shared" si="41"/>
        <v>9.18</v>
      </c>
      <c r="Y105" s="135">
        <f t="shared" si="41"/>
        <v>9.18</v>
      </c>
      <c r="Z105" s="135">
        <f t="shared" si="41"/>
        <v>9.18</v>
      </c>
      <c r="AA105" s="135">
        <f t="shared" si="41"/>
        <v>9.18</v>
      </c>
      <c r="AB105" s="135">
        <f t="shared" si="41"/>
        <v>9.18</v>
      </c>
      <c r="AC105" s="135">
        <f t="shared" si="41"/>
        <v>9.18</v>
      </c>
      <c r="AD105" s="135">
        <f t="shared" si="41"/>
        <v>9.18</v>
      </c>
      <c r="AE105" s="135">
        <f t="shared" si="41"/>
        <v>9.18</v>
      </c>
      <c r="AF105" s="135">
        <f t="shared" si="41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39"/>
        <v>7</v>
      </c>
      <c r="C106" s="136">
        <v>7</v>
      </c>
      <c r="D106" s="135">
        <f t="shared" si="40"/>
        <v>7</v>
      </c>
      <c r="E106" s="135">
        <f t="shared" si="40"/>
        <v>7</v>
      </c>
      <c r="F106" s="135">
        <f t="shared" si="40"/>
        <v>7</v>
      </c>
      <c r="G106" s="135">
        <f t="shared" si="40"/>
        <v>7</v>
      </c>
      <c r="H106" s="135">
        <f t="shared" si="40"/>
        <v>7</v>
      </c>
      <c r="I106" s="135">
        <f t="shared" si="40"/>
        <v>7</v>
      </c>
      <c r="J106" s="135">
        <f t="shared" si="40"/>
        <v>7</v>
      </c>
      <c r="K106" s="135">
        <f t="shared" si="40"/>
        <v>7</v>
      </c>
      <c r="L106" s="135">
        <f t="shared" si="40"/>
        <v>7</v>
      </c>
      <c r="M106" s="135">
        <f t="shared" si="40"/>
        <v>7</v>
      </c>
      <c r="N106" s="135">
        <f t="shared" si="40"/>
        <v>7</v>
      </c>
      <c r="O106" s="135">
        <f t="shared" si="40"/>
        <v>7</v>
      </c>
      <c r="P106" s="135">
        <f t="shared" si="40"/>
        <v>7</v>
      </c>
      <c r="Q106" s="135">
        <f t="shared" si="40"/>
        <v>7</v>
      </c>
      <c r="R106" s="135">
        <f t="shared" si="40"/>
        <v>7</v>
      </c>
      <c r="S106" s="135">
        <f t="shared" si="40"/>
        <v>7</v>
      </c>
      <c r="T106" s="135">
        <f t="shared" si="41"/>
        <v>7</v>
      </c>
      <c r="U106" s="135">
        <f t="shared" si="41"/>
        <v>7</v>
      </c>
      <c r="V106" s="135">
        <f t="shared" si="41"/>
        <v>7</v>
      </c>
      <c r="W106" s="135">
        <f t="shared" si="41"/>
        <v>7</v>
      </c>
      <c r="X106" s="135">
        <f t="shared" si="41"/>
        <v>7</v>
      </c>
      <c r="Y106" s="135">
        <f t="shared" si="41"/>
        <v>7</v>
      </c>
      <c r="Z106" s="135">
        <f t="shared" si="41"/>
        <v>7</v>
      </c>
      <c r="AA106" s="135">
        <f t="shared" si="41"/>
        <v>7</v>
      </c>
      <c r="AB106" s="135">
        <f t="shared" si="41"/>
        <v>7</v>
      </c>
      <c r="AC106" s="135">
        <f t="shared" si="41"/>
        <v>7</v>
      </c>
      <c r="AD106" s="135">
        <f t="shared" si="41"/>
        <v>7</v>
      </c>
      <c r="AE106" s="135">
        <f t="shared" si="41"/>
        <v>7</v>
      </c>
      <c r="AF106" s="135">
        <f t="shared" si="41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42">C108</f>
        <v>2.25</v>
      </c>
      <c r="E108" s="135">
        <f t="shared" si="42"/>
        <v>2.25</v>
      </c>
      <c r="F108" s="135">
        <f t="shared" si="42"/>
        <v>2.25</v>
      </c>
      <c r="G108" s="135">
        <f t="shared" si="42"/>
        <v>2.25</v>
      </c>
      <c r="H108" s="135">
        <f t="shared" si="42"/>
        <v>2.25</v>
      </c>
      <c r="I108" s="135">
        <f t="shared" si="42"/>
        <v>2.25</v>
      </c>
      <c r="J108" s="135">
        <f t="shared" si="42"/>
        <v>2.25</v>
      </c>
      <c r="K108" s="135">
        <f t="shared" si="42"/>
        <v>2.25</v>
      </c>
      <c r="L108" s="135">
        <f t="shared" si="42"/>
        <v>2.25</v>
      </c>
      <c r="M108" s="135">
        <f t="shared" si="42"/>
        <v>2.25</v>
      </c>
      <c r="N108" s="135">
        <f t="shared" si="42"/>
        <v>2.25</v>
      </c>
      <c r="O108" s="135">
        <f t="shared" si="42"/>
        <v>2.25</v>
      </c>
      <c r="P108" s="135">
        <f t="shared" si="42"/>
        <v>2.25</v>
      </c>
      <c r="Q108" s="135">
        <f t="shared" si="42"/>
        <v>2.25</v>
      </c>
      <c r="R108" s="135">
        <f t="shared" si="42"/>
        <v>2.25</v>
      </c>
      <c r="S108" s="135">
        <f t="shared" si="42"/>
        <v>2.25</v>
      </c>
      <c r="T108" s="135">
        <f t="shared" ref="T108:AF109" si="43">S108</f>
        <v>2.25</v>
      </c>
      <c r="U108" s="135">
        <f t="shared" si="43"/>
        <v>2.25</v>
      </c>
      <c r="V108" s="135">
        <f t="shared" si="43"/>
        <v>2.25</v>
      </c>
      <c r="W108" s="135">
        <f t="shared" si="43"/>
        <v>2.25</v>
      </c>
      <c r="X108" s="135">
        <f t="shared" si="43"/>
        <v>2.25</v>
      </c>
      <c r="Y108" s="135">
        <f t="shared" si="43"/>
        <v>2.25</v>
      </c>
      <c r="Z108" s="135">
        <f t="shared" si="43"/>
        <v>2.25</v>
      </c>
      <c r="AA108" s="135">
        <f t="shared" si="43"/>
        <v>2.25</v>
      </c>
      <c r="AB108" s="135">
        <f t="shared" si="43"/>
        <v>2.25</v>
      </c>
      <c r="AC108" s="135">
        <f t="shared" si="43"/>
        <v>2.25</v>
      </c>
      <c r="AD108" s="135">
        <f t="shared" si="43"/>
        <v>2.25</v>
      </c>
      <c r="AE108" s="135">
        <f t="shared" si="43"/>
        <v>2.25</v>
      </c>
      <c r="AF108" s="135">
        <f t="shared" si="43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42"/>
        <v>1.64</v>
      </c>
      <c r="E109" s="135">
        <f t="shared" si="42"/>
        <v>1.64</v>
      </c>
      <c r="F109" s="135">
        <f t="shared" si="42"/>
        <v>1.64</v>
      </c>
      <c r="G109" s="135">
        <f t="shared" si="42"/>
        <v>1.64</v>
      </c>
      <c r="H109" s="135">
        <f t="shared" si="42"/>
        <v>1.64</v>
      </c>
      <c r="I109" s="135">
        <f t="shared" si="42"/>
        <v>1.64</v>
      </c>
      <c r="J109" s="135">
        <f t="shared" si="42"/>
        <v>1.64</v>
      </c>
      <c r="K109" s="135">
        <f t="shared" si="42"/>
        <v>1.64</v>
      </c>
      <c r="L109" s="135">
        <f t="shared" si="42"/>
        <v>1.64</v>
      </c>
      <c r="M109" s="135">
        <f t="shared" si="42"/>
        <v>1.64</v>
      </c>
      <c r="N109" s="135">
        <f t="shared" si="42"/>
        <v>1.64</v>
      </c>
      <c r="O109" s="135">
        <f t="shared" si="42"/>
        <v>1.64</v>
      </c>
      <c r="P109" s="135">
        <f t="shared" si="42"/>
        <v>1.64</v>
      </c>
      <c r="Q109" s="135">
        <f t="shared" si="42"/>
        <v>1.64</v>
      </c>
      <c r="R109" s="135">
        <f t="shared" si="42"/>
        <v>1.64</v>
      </c>
      <c r="S109" s="135">
        <f t="shared" si="42"/>
        <v>1.64</v>
      </c>
      <c r="T109" s="135">
        <f t="shared" si="43"/>
        <v>1.64</v>
      </c>
      <c r="U109" s="135">
        <f t="shared" si="43"/>
        <v>1.64</v>
      </c>
      <c r="V109" s="135">
        <f t="shared" si="43"/>
        <v>1.64</v>
      </c>
      <c r="W109" s="135">
        <f t="shared" si="43"/>
        <v>1.64</v>
      </c>
      <c r="X109" s="135">
        <f t="shared" si="43"/>
        <v>1.64</v>
      </c>
      <c r="Y109" s="135">
        <f t="shared" si="43"/>
        <v>1.64</v>
      </c>
      <c r="Z109" s="135">
        <f t="shared" si="43"/>
        <v>1.64</v>
      </c>
      <c r="AA109" s="135">
        <f t="shared" si="43"/>
        <v>1.64</v>
      </c>
      <c r="AB109" s="135">
        <f t="shared" si="43"/>
        <v>1.64</v>
      </c>
      <c r="AC109" s="135">
        <f t="shared" si="43"/>
        <v>1.64</v>
      </c>
      <c r="AD109" s="135">
        <f t="shared" si="43"/>
        <v>1.64</v>
      </c>
      <c r="AE109" s="135">
        <f t="shared" si="43"/>
        <v>1.64</v>
      </c>
      <c r="AF109" s="135">
        <f t="shared" si="43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44">AF111</f>
        <v>1.62</v>
      </c>
      <c r="C111" s="136">
        <v>1.62</v>
      </c>
      <c r="D111" s="135">
        <f t="shared" ref="D111:S118" si="45">C111</f>
        <v>1.62</v>
      </c>
      <c r="E111" s="135">
        <f t="shared" si="45"/>
        <v>1.62</v>
      </c>
      <c r="F111" s="135">
        <f t="shared" si="45"/>
        <v>1.62</v>
      </c>
      <c r="G111" s="135">
        <f t="shared" si="45"/>
        <v>1.62</v>
      </c>
      <c r="H111" s="135">
        <f t="shared" si="45"/>
        <v>1.62</v>
      </c>
      <c r="I111" s="135">
        <f t="shared" si="45"/>
        <v>1.62</v>
      </c>
      <c r="J111" s="135">
        <f t="shared" si="45"/>
        <v>1.62</v>
      </c>
      <c r="K111" s="135">
        <f t="shared" si="45"/>
        <v>1.62</v>
      </c>
      <c r="L111" s="135">
        <f t="shared" si="45"/>
        <v>1.62</v>
      </c>
      <c r="M111" s="135">
        <f t="shared" si="45"/>
        <v>1.62</v>
      </c>
      <c r="N111" s="135">
        <f t="shared" si="45"/>
        <v>1.62</v>
      </c>
      <c r="O111" s="135">
        <f t="shared" si="45"/>
        <v>1.62</v>
      </c>
      <c r="P111" s="135">
        <f t="shared" si="45"/>
        <v>1.62</v>
      </c>
      <c r="Q111" s="135">
        <f t="shared" si="45"/>
        <v>1.62</v>
      </c>
      <c r="R111" s="135">
        <f t="shared" si="45"/>
        <v>1.62</v>
      </c>
      <c r="S111" s="135">
        <f t="shared" si="45"/>
        <v>1.62</v>
      </c>
      <c r="T111" s="135">
        <f t="shared" ref="T111:AF126" si="46">S111</f>
        <v>1.62</v>
      </c>
      <c r="U111" s="135">
        <f t="shared" si="46"/>
        <v>1.62</v>
      </c>
      <c r="V111" s="135">
        <f t="shared" si="46"/>
        <v>1.62</v>
      </c>
      <c r="W111" s="135">
        <f t="shared" si="46"/>
        <v>1.62</v>
      </c>
      <c r="X111" s="135">
        <f t="shared" si="46"/>
        <v>1.62</v>
      </c>
      <c r="Y111" s="135">
        <f t="shared" si="46"/>
        <v>1.62</v>
      </c>
      <c r="Z111" s="135">
        <f t="shared" si="46"/>
        <v>1.62</v>
      </c>
      <c r="AA111" s="135">
        <f t="shared" si="46"/>
        <v>1.62</v>
      </c>
      <c r="AB111" s="135">
        <f t="shared" si="46"/>
        <v>1.62</v>
      </c>
      <c r="AC111" s="135">
        <f t="shared" si="46"/>
        <v>1.62</v>
      </c>
      <c r="AD111" s="135">
        <f t="shared" si="46"/>
        <v>1.62</v>
      </c>
      <c r="AE111" s="135">
        <f t="shared" si="46"/>
        <v>1.62</v>
      </c>
      <c r="AF111" s="135">
        <f t="shared" si="46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44"/>
        <v>8.36</v>
      </c>
      <c r="C112" s="136">
        <v>8.36</v>
      </c>
      <c r="D112" s="135">
        <f t="shared" si="45"/>
        <v>8.36</v>
      </c>
      <c r="E112" s="135">
        <f t="shared" si="45"/>
        <v>8.36</v>
      </c>
      <c r="F112" s="135">
        <f t="shared" si="45"/>
        <v>8.36</v>
      </c>
      <c r="G112" s="135">
        <f t="shared" si="45"/>
        <v>8.36</v>
      </c>
      <c r="H112" s="135">
        <f t="shared" si="45"/>
        <v>8.36</v>
      </c>
      <c r="I112" s="135">
        <f t="shared" si="45"/>
        <v>8.36</v>
      </c>
      <c r="J112" s="135">
        <f t="shared" si="45"/>
        <v>8.36</v>
      </c>
      <c r="K112" s="135">
        <f t="shared" si="45"/>
        <v>8.36</v>
      </c>
      <c r="L112" s="135">
        <f t="shared" si="45"/>
        <v>8.36</v>
      </c>
      <c r="M112" s="135">
        <f t="shared" si="45"/>
        <v>8.36</v>
      </c>
      <c r="N112" s="135">
        <f t="shared" si="45"/>
        <v>8.36</v>
      </c>
      <c r="O112" s="135">
        <f t="shared" si="45"/>
        <v>8.36</v>
      </c>
      <c r="P112" s="135">
        <f t="shared" si="45"/>
        <v>8.36</v>
      </c>
      <c r="Q112" s="135">
        <f t="shared" si="45"/>
        <v>8.36</v>
      </c>
      <c r="R112" s="135">
        <f t="shared" si="45"/>
        <v>8.36</v>
      </c>
      <c r="S112" s="135">
        <f t="shared" si="45"/>
        <v>8.36</v>
      </c>
      <c r="T112" s="135">
        <f t="shared" si="46"/>
        <v>8.36</v>
      </c>
      <c r="U112" s="135">
        <f t="shared" si="46"/>
        <v>8.36</v>
      </c>
      <c r="V112" s="135">
        <f t="shared" si="46"/>
        <v>8.36</v>
      </c>
      <c r="W112" s="135">
        <f t="shared" si="46"/>
        <v>8.36</v>
      </c>
      <c r="X112" s="135">
        <f t="shared" si="46"/>
        <v>8.36</v>
      </c>
      <c r="Y112" s="135">
        <f t="shared" si="46"/>
        <v>8.36</v>
      </c>
      <c r="Z112" s="135">
        <f t="shared" si="46"/>
        <v>8.36</v>
      </c>
      <c r="AA112" s="135">
        <f t="shared" si="46"/>
        <v>8.36</v>
      </c>
      <c r="AB112" s="135">
        <f t="shared" si="46"/>
        <v>8.36</v>
      </c>
      <c r="AC112" s="135">
        <f t="shared" si="46"/>
        <v>8.36</v>
      </c>
      <c r="AD112" s="135">
        <f t="shared" si="46"/>
        <v>8.36</v>
      </c>
      <c r="AE112" s="135">
        <f t="shared" si="46"/>
        <v>8.36</v>
      </c>
      <c r="AF112" s="135">
        <f t="shared" si="46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44"/>
        <v>5.4</v>
      </c>
      <c r="C113" s="136">
        <v>8</v>
      </c>
      <c r="D113" s="135">
        <f t="shared" si="45"/>
        <v>8</v>
      </c>
      <c r="E113" s="135">
        <f t="shared" si="45"/>
        <v>8</v>
      </c>
      <c r="F113" s="135">
        <f t="shared" si="45"/>
        <v>8</v>
      </c>
      <c r="G113" s="135">
        <f t="shared" si="45"/>
        <v>8</v>
      </c>
      <c r="H113" s="135">
        <f t="shared" si="45"/>
        <v>8</v>
      </c>
      <c r="I113" s="135">
        <f t="shared" si="45"/>
        <v>8</v>
      </c>
      <c r="J113" s="135">
        <v>5.4</v>
      </c>
      <c r="K113" s="135">
        <f t="shared" si="45"/>
        <v>5.4</v>
      </c>
      <c r="L113" s="135">
        <f t="shared" si="45"/>
        <v>5.4</v>
      </c>
      <c r="M113" s="135">
        <f t="shared" si="45"/>
        <v>5.4</v>
      </c>
      <c r="N113" s="135">
        <f t="shared" si="45"/>
        <v>5.4</v>
      </c>
      <c r="O113" s="135">
        <f t="shared" si="45"/>
        <v>5.4</v>
      </c>
      <c r="P113" s="135">
        <f t="shared" si="45"/>
        <v>5.4</v>
      </c>
      <c r="Q113" s="135">
        <f t="shared" si="45"/>
        <v>5.4</v>
      </c>
      <c r="R113" s="135">
        <f t="shared" si="45"/>
        <v>5.4</v>
      </c>
      <c r="S113" s="135">
        <f t="shared" si="45"/>
        <v>5.4</v>
      </c>
      <c r="T113" s="135">
        <f t="shared" si="46"/>
        <v>5.4</v>
      </c>
      <c r="U113" s="135">
        <f t="shared" si="46"/>
        <v>5.4</v>
      </c>
      <c r="V113" s="135">
        <f t="shared" si="46"/>
        <v>5.4</v>
      </c>
      <c r="W113" s="135">
        <f t="shared" si="46"/>
        <v>5.4</v>
      </c>
      <c r="X113" s="135">
        <f t="shared" si="46"/>
        <v>5.4</v>
      </c>
      <c r="Y113" s="135">
        <f t="shared" si="46"/>
        <v>5.4</v>
      </c>
      <c r="Z113" s="135">
        <f t="shared" si="46"/>
        <v>5.4</v>
      </c>
      <c r="AA113" s="135">
        <f t="shared" si="46"/>
        <v>5.4</v>
      </c>
      <c r="AB113" s="135">
        <f t="shared" si="46"/>
        <v>5.4</v>
      </c>
      <c r="AC113" s="135">
        <f t="shared" si="46"/>
        <v>5.4</v>
      </c>
      <c r="AD113" s="135">
        <f t="shared" si="46"/>
        <v>5.4</v>
      </c>
      <c r="AE113" s="135">
        <f t="shared" si="46"/>
        <v>5.4</v>
      </c>
      <c r="AF113" s="135">
        <f t="shared" si="46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44"/>
        <v>6.57</v>
      </c>
      <c r="C114" s="136">
        <v>6.57</v>
      </c>
      <c r="D114" s="135">
        <f t="shared" si="45"/>
        <v>6.57</v>
      </c>
      <c r="E114" s="135">
        <f t="shared" si="45"/>
        <v>6.57</v>
      </c>
      <c r="F114" s="135">
        <f t="shared" si="45"/>
        <v>6.57</v>
      </c>
      <c r="G114" s="135">
        <f t="shared" si="45"/>
        <v>6.57</v>
      </c>
      <c r="H114" s="135">
        <f t="shared" si="45"/>
        <v>6.57</v>
      </c>
      <c r="I114" s="135">
        <f t="shared" si="45"/>
        <v>6.57</v>
      </c>
      <c r="J114" s="135">
        <f t="shared" si="45"/>
        <v>6.57</v>
      </c>
      <c r="K114" s="135">
        <f t="shared" si="45"/>
        <v>6.57</v>
      </c>
      <c r="L114" s="135">
        <f t="shared" si="45"/>
        <v>6.57</v>
      </c>
      <c r="M114" s="135">
        <f t="shared" si="45"/>
        <v>6.57</v>
      </c>
      <c r="N114" s="135">
        <f t="shared" si="45"/>
        <v>6.57</v>
      </c>
      <c r="O114" s="135">
        <f t="shared" si="45"/>
        <v>6.57</v>
      </c>
      <c r="P114" s="135">
        <f t="shared" si="45"/>
        <v>6.57</v>
      </c>
      <c r="Q114" s="135">
        <f t="shared" si="45"/>
        <v>6.57</v>
      </c>
      <c r="R114" s="135">
        <f t="shared" si="45"/>
        <v>6.57</v>
      </c>
      <c r="S114" s="135">
        <f t="shared" si="45"/>
        <v>6.57</v>
      </c>
      <c r="T114" s="135">
        <f t="shared" si="46"/>
        <v>6.57</v>
      </c>
      <c r="U114" s="135">
        <f t="shared" si="46"/>
        <v>6.57</v>
      </c>
      <c r="V114" s="135">
        <f t="shared" si="46"/>
        <v>6.57</v>
      </c>
      <c r="W114" s="135">
        <f t="shared" si="46"/>
        <v>6.57</v>
      </c>
      <c r="X114" s="135">
        <f t="shared" si="46"/>
        <v>6.57</v>
      </c>
      <c r="Y114" s="135">
        <f t="shared" si="46"/>
        <v>6.57</v>
      </c>
      <c r="Z114" s="135">
        <f t="shared" si="46"/>
        <v>6.57</v>
      </c>
      <c r="AA114" s="135">
        <f t="shared" si="46"/>
        <v>6.57</v>
      </c>
      <c r="AB114" s="135">
        <f t="shared" si="46"/>
        <v>6.57</v>
      </c>
      <c r="AC114" s="135">
        <f t="shared" si="46"/>
        <v>6.57</v>
      </c>
      <c r="AD114" s="135">
        <f t="shared" si="46"/>
        <v>6.57</v>
      </c>
      <c r="AE114" s="135">
        <f t="shared" si="46"/>
        <v>6.57</v>
      </c>
      <c r="AF114" s="135">
        <f t="shared" si="46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44"/>
        <v>3.43</v>
      </c>
      <c r="C115" s="136">
        <v>3.43</v>
      </c>
      <c r="D115" s="135">
        <f t="shared" si="45"/>
        <v>3.43</v>
      </c>
      <c r="E115" s="135">
        <f t="shared" si="45"/>
        <v>3.43</v>
      </c>
      <c r="F115" s="135">
        <f t="shared" si="45"/>
        <v>3.43</v>
      </c>
      <c r="G115" s="135">
        <f t="shared" si="45"/>
        <v>3.43</v>
      </c>
      <c r="H115" s="135">
        <f t="shared" si="45"/>
        <v>3.43</v>
      </c>
      <c r="I115" s="135">
        <f t="shared" si="45"/>
        <v>3.43</v>
      </c>
      <c r="J115" s="135">
        <f t="shared" si="45"/>
        <v>3.43</v>
      </c>
      <c r="K115" s="135">
        <f t="shared" si="45"/>
        <v>3.43</v>
      </c>
      <c r="L115" s="135">
        <f t="shared" si="45"/>
        <v>3.43</v>
      </c>
      <c r="M115" s="135">
        <f t="shared" si="45"/>
        <v>3.43</v>
      </c>
      <c r="N115" s="135">
        <f t="shared" si="45"/>
        <v>3.43</v>
      </c>
      <c r="O115" s="135">
        <f t="shared" si="45"/>
        <v>3.43</v>
      </c>
      <c r="P115" s="135">
        <f t="shared" si="45"/>
        <v>3.43</v>
      </c>
      <c r="Q115" s="135">
        <f t="shared" si="45"/>
        <v>3.43</v>
      </c>
      <c r="R115" s="135">
        <f t="shared" si="45"/>
        <v>3.43</v>
      </c>
      <c r="S115" s="135">
        <f t="shared" si="45"/>
        <v>3.43</v>
      </c>
      <c r="T115" s="135">
        <f t="shared" si="46"/>
        <v>3.43</v>
      </c>
      <c r="U115" s="135">
        <f t="shared" si="46"/>
        <v>3.43</v>
      </c>
      <c r="V115" s="135">
        <f t="shared" si="46"/>
        <v>3.43</v>
      </c>
      <c r="W115" s="135">
        <f t="shared" si="46"/>
        <v>3.43</v>
      </c>
      <c r="X115" s="135">
        <f t="shared" si="46"/>
        <v>3.43</v>
      </c>
      <c r="Y115" s="135">
        <f t="shared" si="46"/>
        <v>3.43</v>
      </c>
      <c r="Z115" s="135">
        <f t="shared" si="46"/>
        <v>3.43</v>
      </c>
      <c r="AA115" s="135">
        <f t="shared" si="46"/>
        <v>3.43</v>
      </c>
      <c r="AB115" s="135">
        <f t="shared" si="46"/>
        <v>3.43</v>
      </c>
      <c r="AC115" s="135">
        <f t="shared" si="46"/>
        <v>3.43</v>
      </c>
      <c r="AD115" s="135">
        <f t="shared" si="46"/>
        <v>3.43</v>
      </c>
      <c r="AE115" s="135">
        <f t="shared" si="46"/>
        <v>3.43</v>
      </c>
      <c r="AF115" s="135">
        <f t="shared" si="46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44"/>
        <v>2.96</v>
      </c>
      <c r="C116" s="136">
        <v>2.96</v>
      </c>
      <c r="D116" s="135">
        <f t="shared" si="45"/>
        <v>2.96</v>
      </c>
      <c r="E116" s="135">
        <f t="shared" si="45"/>
        <v>2.96</v>
      </c>
      <c r="F116" s="135">
        <f t="shared" si="45"/>
        <v>2.96</v>
      </c>
      <c r="G116" s="135">
        <f t="shared" si="45"/>
        <v>2.96</v>
      </c>
      <c r="H116" s="135">
        <f t="shared" si="45"/>
        <v>2.96</v>
      </c>
      <c r="I116" s="135">
        <f t="shared" si="45"/>
        <v>2.96</v>
      </c>
      <c r="J116" s="135">
        <f t="shared" si="45"/>
        <v>2.96</v>
      </c>
      <c r="K116" s="135">
        <f t="shared" si="45"/>
        <v>2.96</v>
      </c>
      <c r="L116" s="135">
        <f t="shared" si="45"/>
        <v>2.96</v>
      </c>
      <c r="M116" s="135">
        <f t="shared" si="45"/>
        <v>2.96</v>
      </c>
      <c r="N116" s="135">
        <f t="shared" si="45"/>
        <v>2.96</v>
      </c>
      <c r="O116" s="135">
        <f t="shared" si="45"/>
        <v>2.96</v>
      </c>
      <c r="P116" s="135">
        <f t="shared" si="45"/>
        <v>2.96</v>
      </c>
      <c r="Q116" s="135">
        <f t="shared" si="45"/>
        <v>2.96</v>
      </c>
      <c r="R116" s="135">
        <f t="shared" si="45"/>
        <v>2.96</v>
      </c>
      <c r="S116" s="135">
        <f t="shared" si="45"/>
        <v>2.96</v>
      </c>
      <c r="T116" s="135">
        <f t="shared" si="46"/>
        <v>2.96</v>
      </c>
      <c r="U116" s="135">
        <f t="shared" si="46"/>
        <v>2.96</v>
      </c>
      <c r="V116" s="135">
        <f t="shared" si="46"/>
        <v>2.96</v>
      </c>
      <c r="W116" s="135">
        <f t="shared" si="46"/>
        <v>2.96</v>
      </c>
      <c r="X116" s="135">
        <f t="shared" si="46"/>
        <v>2.96</v>
      </c>
      <c r="Y116" s="135">
        <f t="shared" si="46"/>
        <v>2.96</v>
      </c>
      <c r="Z116" s="135">
        <f t="shared" si="46"/>
        <v>2.96</v>
      </c>
      <c r="AA116" s="135">
        <f t="shared" si="46"/>
        <v>2.96</v>
      </c>
      <c r="AB116" s="135">
        <f t="shared" si="46"/>
        <v>2.96</v>
      </c>
      <c r="AC116" s="135">
        <f t="shared" si="46"/>
        <v>2.96</v>
      </c>
      <c r="AD116" s="135">
        <f t="shared" si="46"/>
        <v>2.96</v>
      </c>
      <c r="AE116" s="135">
        <f t="shared" si="46"/>
        <v>2.96</v>
      </c>
      <c r="AF116" s="135">
        <f t="shared" si="46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44"/>
        <v>8</v>
      </c>
      <c r="C117" s="136">
        <v>8</v>
      </c>
      <c r="D117" s="135">
        <f t="shared" si="45"/>
        <v>8</v>
      </c>
      <c r="E117" s="135">
        <f t="shared" si="45"/>
        <v>8</v>
      </c>
      <c r="F117" s="135">
        <f t="shared" si="45"/>
        <v>8</v>
      </c>
      <c r="G117" s="135">
        <f t="shared" si="45"/>
        <v>8</v>
      </c>
      <c r="H117" s="135">
        <f t="shared" si="45"/>
        <v>8</v>
      </c>
      <c r="I117" s="135">
        <f t="shared" si="45"/>
        <v>8</v>
      </c>
      <c r="J117" s="135">
        <f t="shared" si="45"/>
        <v>8</v>
      </c>
      <c r="K117" s="135">
        <f t="shared" si="45"/>
        <v>8</v>
      </c>
      <c r="L117" s="135">
        <f t="shared" si="45"/>
        <v>8</v>
      </c>
      <c r="M117" s="135">
        <f t="shared" si="45"/>
        <v>8</v>
      </c>
      <c r="N117" s="135">
        <f t="shared" si="45"/>
        <v>8</v>
      </c>
      <c r="O117" s="135">
        <f t="shared" si="45"/>
        <v>8</v>
      </c>
      <c r="P117" s="135">
        <f t="shared" si="45"/>
        <v>8</v>
      </c>
      <c r="Q117" s="135">
        <f t="shared" si="45"/>
        <v>8</v>
      </c>
      <c r="R117" s="135">
        <f t="shared" si="45"/>
        <v>8</v>
      </c>
      <c r="S117" s="135">
        <f t="shared" si="45"/>
        <v>8</v>
      </c>
      <c r="T117" s="135">
        <f t="shared" si="46"/>
        <v>8</v>
      </c>
      <c r="U117" s="135">
        <f t="shared" si="46"/>
        <v>8</v>
      </c>
      <c r="V117" s="135">
        <f t="shared" si="46"/>
        <v>8</v>
      </c>
      <c r="W117" s="135">
        <f t="shared" si="46"/>
        <v>8</v>
      </c>
      <c r="X117" s="135">
        <f t="shared" si="46"/>
        <v>8</v>
      </c>
      <c r="Y117" s="135">
        <f t="shared" si="46"/>
        <v>8</v>
      </c>
      <c r="Z117" s="135">
        <f t="shared" si="46"/>
        <v>8</v>
      </c>
      <c r="AA117" s="135">
        <f t="shared" si="46"/>
        <v>8</v>
      </c>
      <c r="AB117" s="135">
        <f t="shared" si="46"/>
        <v>8</v>
      </c>
      <c r="AC117" s="135">
        <f t="shared" si="46"/>
        <v>8</v>
      </c>
      <c r="AD117" s="135">
        <f t="shared" si="46"/>
        <v>8</v>
      </c>
      <c r="AE117" s="135">
        <f t="shared" si="46"/>
        <v>8</v>
      </c>
      <c r="AF117" s="135">
        <f t="shared" si="46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44"/>
        <v>7</v>
      </c>
      <c r="C118" s="136">
        <v>7</v>
      </c>
      <c r="D118" s="135">
        <f>C118</f>
        <v>7</v>
      </c>
      <c r="E118" s="135">
        <f t="shared" si="45"/>
        <v>7</v>
      </c>
      <c r="F118" s="135">
        <f t="shared" si="45"/>
        <v>7</v>
      </c>
      <c r="G118" s="135">
        <f t="shared" si="45"/>
        <v>7</v>
      </c>
      <c r="H118" s="135">
        <f t="shared" si="45"/>
        <v>7</v>
      </c>
      <c r="I118" s="135">
        <f t="shared" si="45"/>
        <v>7</v>
      </c>
      <c r="J118" s="135">
        <f t="shared" si="45"/>
        <v>7</v>
      </c>
      <c r="K118" s="135">
        <f t="shared" si="45"/>
        <v>7</v>
      </c>
      <c r="L118" s="135">
        <f t="shared" si="45"/>
        <v>7</v>
      </c>
      <c r="M118" s="135">
        <f t="shared" si="45"/>
        <v>7</v>
      </c>
      <c r="N118" s="135">
        <f t="shared" si="45"/>
        <v>7</v>
      </c>
      <c r="O118" s="135">
        <f t="shared" si="45"/>
        <v>7</v>
      </c>
      <c r="P118" s="135">
        <f t="shared" si="45"/>
        <v>7</v>
      </c>
      <c r="Q118" s="135">
        <f t="shared" si="45"/>
        <v>7</v>
      </c>
      <c r="R118" s="135">
        <f t="shared" si="45"/>
        <v>7</v>
      </c>
      <c r="S118" s="135">
        <f t="shared" si="45"/>
        <v>7</v>
      </c>
      <c r="T118" s="135">
        <f t="shared" si="46"/>
        <v>7</v>
      </c>
      <c r="U118" s="135">
        <f t="shared" si="46"/>
        <v>7</v>
      </c>
      <c r="V118" s="135">
        <f t="shared" si="46"/>
        <v>7</v>
      </c>
      <c r="W118" s="135">
        <f t="shared" si="46"/>
        <v>7</v>
      </c>
      <c r="X118" s="135">
        <f t="shared" si="46"/>
        <v>7</v>
      </c>
      <c r="Y118" s="135">
        <f t="shared" si="46"/>
        <v>7</v>
      </c>
      <c r="Z118" s="135">
        <f t="shared" si="46"/>
        <v>7</v>
      </c>
      <c r="AA118" s="135">
        <f t="shared" si="46"/>
        <v>7</v>
      </c>
      <c r="AB118" s="135">
        <f t="shared" si="46"/>
        <v>7</v>
      </c>
      <c r="AC118" s="135">
        <f t="shared" si="46"/>
        <v>7</v>
      </c>
      <c r="AD118" s="135">
        <f t="shared" si="46"/>
        <v>7</v>
      </c>
      <c r="AE118" s="135">
        <f t="shared" si="46"/>
        <v>7</v>
      </c>
      <c r="AF118" s="135">
        <f t="shared" si="46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44"/>
        <v>3.47</v>
      </c>
      <c r="C119" s="136">
        <v>3.47</v>
      </c>
      <c r="D119" s="135">
        <f t="shared" ref="D119:S128" si="47">C119</f>
        <v>3.47</v>
      </c>
      <c r="E119" s="135">
        <f t="shared" si="47"/>
        <v>3.47</v>
      </c>
      <c r="F119" s="135">
        <f t="shared" si="47"/>
        <v>3.47</v>
      </c>
      <c r="G119" s="135">
        <f t="shared" si="47"/>
        <v>3.47</v>
      </c>
      <c r="H119" s="135">
        <f t="shared" si="47"/>
        <v>3.47</v>
      </c>
      <c r="I119" s="135">
        <f t="shared" si="47"/>
        <v>3.47</v>
      </c>
      <c r="J119" s="135">
        <f t="shared" si="47"/>
        <v>3.47</v>
      </c>
      <c r="K119" s="135">
        <f t="shared" si="47"/>
        <v>3.47</v>
      </c>
      <c r="L119" s="135">
        <f t="shared" si="47"/>
        <v>3.47</v>
      </c>
      <c r="M119" s="135">
        <f t="shared" si="47"/>
        <v>3.47</v>
      </c>
      <c r="N119" s="135">
        <f t="shared" si="47"/>
        <v>3.47</v>
      </c>
      <c r="O119" s="135">
        <f t="shared" si="47"/>
        <v>3.47</v>
      </c>
      <c r="P119" s="135">
        <f t="shared" si="47"/>
        <v>3.47</v>
      </c>
      <c r="Q119" s="135">
        <f t="shared" si="47"/>
        <v>3.47</v>
      </c>
      <c r="R119" s="135">
        <f t="shared" si="47"/>
        <v>3.47</v>
      </c>
      <c r="S119" s="135">
        <f t="shared" si="47"/>
        <v>3.47</v>
      </c>
      <c r="T119" s="135">
        <f t="shared" si="46"/>
        <v>3.47</v>
      </c>
      <c r="U119" s="135">
        <f t="shared" si="46"/>
        <v>3.47</v>
      </c>
      <c r="V119" s="135">
        <f t="shared" si="46"/>
        <v>3.47</v>
      </c>
      <c r="W119" s="135">
        <f t="shared" si="46"/>
        <v>3.47</v>
      </c>
      <c r="X119" s="135">
        <f t="shared" si="46"/>
        <v>3.47</v>
      </c>
      <c r="Y119" s="135">
        <f t="shared" si="46"/>
        <v>3.47</v>
      </c>
      <c r="Z119" s="135">
        <f t="shared" si="46"/>
        <v>3.47</v>
      </c>
      <c r="AA119" s="135">
        <f t="shared" si="46"/>
        <v>3.47</v>
      </c>
      <c r="AB119" s="135">
        <f t="shared" si="46"/>
        <v>3.47</v>
      </c>
      <c r="AC119" s="135">
        <f t="shared" si="46"/>
        <v>3.47</v>
      </c>
      <c r="AD119" s="135">
        <f t="shared" si="46"/>
        <v>3.47</v>
      </c>
      <c r="AE119" s="135">
        <f t="shared" si="46"/>
        <v>3.47</v>
      </c>
      <c r="AF119" s="135">
        <f t="shared" si="46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44"/>
        <v>2.1</v>
      </c>
      <c r="C120" s="136">
        <v>2.1</v>
      </c>
      <c r="D120" s="135">
        <f t="shared" si="47"/>
        <v>2.1</v>
      </c>
      <c r="E120" s="135">
        <f t="shared" si="47"/>
        <v>2.1</v>
      </c>
      <c r="F120" s="135">
        <f t="shared" si="47"/>
        <v>2.1</v>
      </c>
      <c r="G120" s="135">
        <f t="shared" si="47"/>
        <v>2.1</v>
      </c>
      <c r="H120" s="135">
        <f t="shared" si="47"/>
        <v>2.1</v>
      </c>
      <c r="I120" s="135">
        <f t="shared" si="47"/>
        <v>2.1</v>
      </c>
      <c r="J120" s="135">
        <f t="shared" si="47"/>
        <v>2.1</v>
      </c>
      <c r="K120" s="135">
        <f t="shared" si="47"/>
        <v>2.1</v>
      </c>
      <c r="L120" s="135">
        <f t="shared" si="47"/>
        <v>2.1</v>
      </c>
      <c r="M120" s="135">
        <f t="shared" si="47"/>
        <v>2.1</v>
      </c>
      <c r="N120" s="135">
        <f t="shared" si="47"/>
        <v>2.1</v>
      </c>
      <c r="O120" s="135">
        <f t="shared" si="47"/>
        <v>2.1</v>
      </c>
      <c r="P120" s="135">
        <f t="shared" si="47"/>
        <v>2.1</v>
      </c>
      <c r="Q120" s="135">
        <f t="shared" si="47"/>
        <v>2.1</v>
      </c>
      <c r="R120" s="135">
        <f t="shared" si="47"/>
        <v>2.1</v>
      </c>
      <c r="S120" s="135">
        <f t="shared" si="47"/>
        <v>2.1</v>
      </c>
      <c r="T120" s="135">
        <f t="shared" si="46"/>
        <v>2.1</v>
      </c>
      <c r="U120" s="135">
        <f t="shared" si="46"/>
        <v>2.1</v>
      </c>
      <c r="V120" s="135">
        <f t="shared" si="46"/>
        <v>2.1</v>
      </c>
      <c r="W120" s="135">
        <f t="shared" si="46"/>
        <v>2.1</v>
      </c>
      <c r="X120" s="135">
        <f t="shared" si="46"/>
        <v>2.1</v>
      </c>
      <c r="Y120" s="135">
        <f t="shared" si="46"/>
        <v>2.1</v>
      </c>
      <c r="Z120" s="135">
        <f t="shared" si="46"/>
        <v>2.1</v>
      </c>
      <c r="AA120" s="135">
        <f t="shared" si="46"/>
        <v>2.1</v>
      </c>
      <c r="AB120" s="135">
        <f t="shared" si="46"/>
        <v>2.1</v>
      </c>
      <c r="AC120" s="135">
        <f t="shared" si="46"/>
        <v>2.1</v>
      </c>
      <c r="AD120" s="135">
        <f t="shared" si="46"/>
        <v>2.1</v>
      </c>
      <c r="AE120" s="135">
        <f t="shared" si="46"/>
        <v>2.1</v>
      </c>
      <c r="AF120" s="135">
        <f t="shared" si="46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44"/>
        <v>9.3000000000000007</v>
      </c>
      <c r="C121" s="136">
        <v>9.3000000000000007</v>
      </c>
      <c r="D121" s="135">
        <f t="shared" si="47"/>
        <v>9.3000000000000007</v>
      </c>
      <c r="E121" s="135">
        <f t="shared" si="47"/>
        <v>9.3000000000000007</v>
      </c>
      <c r="F121" s="135">
        <f t="shared" si="47"/>
        <v>9.3000000000000007</v>
      </c>
      <c r="G121" s="135">
        <f t="shared" si="47"/>
        <v>9.3000000000000007</v>
      </c>
      <c r="H121" s="135">
        <f t="shared" si="47"/>
        <v>9.3000000000000007</v>
      </c>
      <c r="I121" s="135">
        <f t="shared" si="47"/>
        <v>9.3000000000000007</v>
      </c>
      <c r="J121" s="135">
        <f t="shared" si="47"/>
        <v>9.3000000000000007</v>
      </c>
      <c r="K121" s="135">
        <f t="shared" si="47"/>
        <v>9.3000000000000007</v>
      </c>
      <c r="L121" s="135">
        <f t="shared" si="47"/>
        <v>9.3000000000000007</v>
      </c>
      <c r="M121" s="135">
        <f t="shared" si="47"/>
        <v>9.3000000000000007</v>
      </c>
      <c r="N121" s="135">
        <f t="shared" si="47"/>
        <v>9.3000000000000007</v>
      </c>
      <c r="O121" s="135">
        <f t="shared" si="47"/>
        <v>9.3000000000000007</v>
      </c>
      <c r="P121" s="135">
        <f t="shared" si="47"/>
        <v>9.3000000000000007</v>
      </c>
      <c r="Q121" s="135">
        <f t="shared" si="47"/>
        <v>9.3000000000000007</v>
      </c>
      <c r="R121" s="135">
        <f t="shared" si="47"/>
        <v>9.3000000000000007</v>
      </c>
      <c r="S121" s="135">
        <f t="shared" si="47"/>
        <v>9.3000000000000007</v>
      </c>
      <c r="T121" s="135">
        <f t="shared" si="46"/>
        <v>9.3000000000000007</v>
      </c>
      <c r="U121" s="135">
        <f t="shared" si="46"/>
        <v>9.3000000000000007</v>
      </c>
      <c r="V121" s="135">
        <f t="shared" si="46"/>
        <v>9.3000000000000007</v>
      </c>
      <c r="W121" s="135">
        <f t="shared" si="46"/>
        <v>9.3000000000000007</v>
      </c>
      <c r="X121" s="135">
        <f t="shared" si="46"/>
        <v>9.3000000000000007</v>
      </c>
      <c r="Y121" s="135">
        <f t="shared" si="46"/>
        <v>9.3000000000000007</v>
      </c>
      <c r="Z121" s="135">
        <f t="shared" si="46"/>
        <v>9.3000000000000007</v>
      </c>
      <c r="AA121" s="135">
        <f t="shared" si="46"/>
        <v>9.3000000000000007</v>
      </c>
      <c r="AB121" s="135">
        <f t="shared" si="46"/>
        <v>9.3000000000000007</v>
      </c>
      <c r="AC121" s="135">
        <f t="shared" si="46"/>
        <v>9.3000000000000007</v>
      </c>
      <c r="AD121" s="135">
        <f t="shared" si="46"/>
        <v>9.3000000000000007</v>
      </c>
      <c r="AE121" s="135">
        <f t="shared" si="46"/>
        <v>9.3000000000000007</v>
      </c>
      <c r="AF121" s="135">
        <f t="shared" si="46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44"/>
        <v>0</v>
      </c>
      <c r="C122" s="136">
        <v>0</v>
      </c>
      <c r="D122" s="135">
        <f t="shared" si="47"/>
        <v>0</v>
      </c>
      <c r="E122" s="135">
        <f t="shared" si="47"/>
        <v>0</v>
      </c>
      <c r="F122" s="135">
        <f t="shared" si="47"/>
        <v>0</v>
      </c>
      <c r="G122" s="135">
        <f t="shared" si="47"/>
        <v>0</v>
      </c>
      <c r="H122" s="135">
        <f t="shared" si="47"/>
        <v>0</v>
      </c>
      <c r="I122" s="135">
        <f t="shared" si="47"/>
        <v>0</v>
      </c>
      <c r="J122" s="135">
        <f t="shared" si="47"/>
        <v>0</v>
      </c>
      <c r="K122" s="135">
        <f t="shared" si="47"/>
        <v>0</v>
      </c>
      <c r="L122" s="135">
        <f t="shared" si="47"/>
        <v>0</v>
      </c>
      <c r="M122" s="135">
        <f t="shared" si="47"/>
        <v>0</v>
      </c>
      <c r="N122" s="135">
        <f t="shared" si="47"/>
        <v>0</v>
      </c>
      <c r="O122" s="135">
        <f t="shared" si="47"/>
        <v>0</v>
      </c>
      <c r="P122" s="135">
        <f t="shared" si="47"/>
        <v>0</v>
      </c>
      <c r="Q122" s="135">
        <f t="shared" si="47"/>
        <v>0</v>
      </c>
      <c r="R122" s="135">
        <f t="shared" si="47"/>
        <v>0</v>
      </c>
      <c r="S122" s="135">
        <f t="shared" si="47"/>
        <v>0</v>
      </c>
      <c r="T122" s="135">
        <f t="shared" si="46"/>
        <v>0</v>
      </c>
      <c r="U122" s="135">
        <f t="shared" si="46"/>
        <v>0</v>
      </c>
      <c r="V122" s="135">
        <f t="shared" si="46"/>
        <v>0</v>
      </c>
      <c r="W122" s="135">
        <f t="shared" si="46"/>
        <v>0</v>
      </c>
      <c r="X122" s="135">
        <f t="shared" si="46"/>
        <v>0</v>
      </c>
      <c r="Y122" s="135">
        <f t="shared" si="46"/>
        <v>0</v>
      </c>
      <c r="Z122" s="135">
        <f t="shared" si="46"/>
        <v>0</v>
      </c>
      <c r="AA122" s="135">
        <f t="shared" si="46"/>
        <v>0</v>
      </c>
      <c r="AB122" s="135">
        <f t="shared" si="46"/>
        <v>0</v>
      </c>
      <c r="AC122" s="135">
        <f t="shared" si="46"/>
        <v>0</v>
      </c>
      <c r="AD122" s="135">
        <f t="shared" si="46"/>
        <v>0</v>
      </c>
      <c r="AE122" s="135">
        <f t="shared" si="46"/>
        <v>0</v>
      </c>
      <c r="AF122" s="135">
        <f t="shared" si="46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44"/>
        <v>0</v>
      </c>
      <c r="C123" s="136">
        <v>0</v>
      </c>
      <c r="D123" s="135">
        <f t="shared" si="47"/>
        <v>0</v>
      </c>
      <c r="E123" s="135">
        <f t="shared" si="47"/>
        <v>0</v>
      </c>
      <c r="F123" s="135">
        <f t="shared" si="47"/>
        <v>0</v>
      </c>
      <c r="G123" s="135">
        <f t="shared" si="47"/>
        <v>0</v>
      </c>
      <c r="H123" s="135">
        <f t="shared" si="47"/>
        <v>0</v>
      </c>
      <c r="I123" s="135">
        <f t="shared" si="47"/>
        <v>0</v>
      </c>
      <c r="J123" s="135">
        <f t="shared" si="47"/>
        <v>0</v>
      </c>
      <c r="K123" s="135">
        <f t="shared" si="47"/>
        <v>0</v>
      </c>
      <c r="L123" s="135">
        <f t="shared" si="47"/>
        <v>0</v>
      </c>
      <c r="M123" s="135">
        <f t="shared" si="47"/>
        <v>0</v>
      </c>
      <c r="N123" s="135">
        <f t="shared" si="47"/>
        <v>0</v>
      </c>
      <c r="O123" s="135">
        <f t="shared" si="47"/>
        <v>0</v>
      </c>
      <c r="P123" s="135">
        <f t="shared" si="47"/>
        <v>0</v>
      </c>
      <c r="Q123" s="135">
        <f t="shared" si="47"/>
        <v>0</v>
      </c>
      <c r="R123" s="135">
        <f t="shared" si="47"/>
        <v>0</v>
      </c>
      <c r="S123" s="135">
        <f t="shared" si="47"/>
        <v>0</v>
      </c>
      <c r="T123" s="135">
        <f t="shared" si="46"/>
        <v>0</v>
      </c>
      <c r="U123" s="135">
        <f t="shared" si="46"/>
        <v>0</v>
      </c>
      <c r="V123" s="135">
        <f t="shared" si="46"/>
        <v>0</v>
      </c>
      <c r="W123" s="135">
        <f t="shared" si="46"/>
        <v>0</v>
      </c>
      <c r="X123" s="135">
        <f t="shared" si="46"/>
        <v>0</v>
      </c>
      <c r="Y123" s="135">
        <f t="shared" si="46"/>
        <v>0</v>
      </c>
      <c r="Z123" s="135">
        <f t="shared" si="46"/>
        <v>0</v>
      </c>
      <c r="AA123" s="135">
        <f t="shared" si="46"/>
        <v>0</v>
      </c>
      <c r="AB123" s="135">
        <f t="shared" si="46"/>
        <v>0</v>
      </c>
      <c r="AC123" s="135">
        <f t="shared" si="46"/>
        <v>0</v>
      </c>
      <c r="AD123" s="135">
        <f t="shared" si="46"/>
        <v>0</v>
      </c>
      <c r="AE123" s="135">
        <f t="shared" si="46"/>
        <v>0</v>
      </c>
      <c r="AF123" s="135">
        <f t="shared" si="46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44"/>
        <v>5</v>
      </c>
      <c r="C124" s="136">
        <v>5</v>
      </c>
      <c r="D124" s="135">
        <f t="shared" si="47"/>
        <v>5</v>
      </c>
      <c r="E124" s="135">
        <f t="shared" si="47"/>
        <v>5</v>
      </c>
      <c r="F124" s="135">
        <f t="shared" si="47"/>
        <v>5</v>
      </c>
      <c r="G124" s="135">
        <f t="shared" si="47"/>
        <v>5</v>
      </c>
      <c r="H124" s="135">
        <f t="shared" si="47"/>
        <v>5</v>
      </c>
      <c r="I124" s="135">
        <f t="shared" si="47"/>
        <v>5</v>
      </c>
      <c r="J124" s="135">
        <f t="shared" si="47"/>
        <v>5</v>
      </c>
      <c r="K124" s="135">
        <f t="shared" si="47"/>
        <v>5</v>
      </c>
      <c r="L124" s="135">
        <f t="shared" si="47"/>
        <v>5</v>
      </c>
      <c r="M124" s="135">
        <f t="shared" si="47"/>
        <v>5</v>
      </c>
      <c r="N124" s="135">
        <f t="shared" si="47"/>
        <v>5</v>
      </c>
      <c r="O124" s="135">
        <f t="shared" si="47"/>
        <v>5</v>
      </c>
      <c r="P124" s="135">
        <f t="shared" si="47"/>
        <v>5</v>
      </c>
      <c r="Q124" s="135">
        <f t="shared" si="47"/>
        <v>5</v>
      </c>
      <c r="R124" s="135">
        <f t="shared" si="47"/>
        <v>5</v>
      </c>
      <c r="S124" s="135">
        <f t="shared" si="47"/>
        <v>5</v>
      </c>
      <c r="T124" s="135">
        <f t="shared" si="46"/>
        <v>5</v>
      </c>
      <c r="U124" s="135">
        <f t="shared" si="46"/>
        <v>5</v>
      </c>
      <c r="V124" s="135">
        <f t="shared" si="46"/>
        <v>5</v>
      </c>
      <c r="W124" s="135">
        <f t="shared" si="46"/>
        <v>5</v>
      </c>
      <c r="X124" s="135">
        <f t="shared" si="46"/>
        <v>5</v>
      </c>
      <c r="Y124" s="135">
        <f t="shared" si="46"/>
        <v>5</v>
      </c>
      <c r="Z124" s="135">
        <f t="shared" si="46"/>
        <v>5</v>
      </c>
      <c r="AA124" s="135">
        <f t="shared" si="46"/>
        <v>5</v>
      </c>
      <c r="AB124" s="135">
        <f t="shared" si="46"/>
        <v>5</v>
      </c>
      <c r="AC124" s="135">
        <f t="shared" si="46"/>
        <v>5</v>
      </c>
      <c r="AD124" s="135">
        <f t="shared" si="46"/>
        <v>5</v>
      </c>
      <c r="AE124" s="135">
        <f t="shared" si="46"/>
        <v>5</v>
      </c>
      <c r="AF124" s="135">
        <f t="shared" si="46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44"/>
        <v>1</v>
      </c>
      <c r="C125" s="136">
        <v>1</v>
      </c>
      <c r="D125" s="135">
        <f t="shared" si="47"/>
        <v>1</v>
      </c>
      <c r="E125" s="135">
        <f t="shared" si="47"/>
        <v>1</v>
      </c>
      <c r="F125" s="135">
        <f t="shared" si="47"/>
        <v>1</v>
      </c>
      <c r="G125" s="135">
        <f t="shared" si="47"/>
        <v>1</v>
      </c>
      <c r="H125" s="135">
        <f t="shared" si="47"/>
        <v>1</v>
      </c>
      <c r="I125" s="135">
        <f t="shared" si="47"/>
        <v>1</v>
      </c>
      <c r="J125" s="135">
        <f t="shared" si="47"/>
        <v>1</v>
      </c>
      <c r="K125" s="135">
        <f t="shared" si="47"/>
        <v>1</v>
      </c>
      <c r="L125" s="135">
        <f t="shared" si="47"/>
        <v>1</v>
      </c>
      <c r="M125" s="135">
        <f t="shared" si="47"/>
        <v>1</v>
      </c>
      <c r="N125" s="135">
        <f t="shared" si="47"/>
        <v>1</v>
      </c>
      <c r="O125" s="135">
        <f t="shared" si="47"/>
        <v>1</v>
      </c>
      <c r="P125" s="135">
        <f t="shared" si="47"/>
        <v>1</v>
      </c>
      <c r="Q125" s="135">
        <f t="shared" si="47"/>
        <v>1</v>
      </c>
      <c r="R125" s="135">
        <f t="shared" si="47"/>
        <v>1</v>
      </c>
      <c r="S125" s="135">
        <f t="shared" si="47"/>
        <v>1</v>
      </c>
      <c r="T125" s="135">
        <f t="shared" si="46"/>
        <v>1</v>
      </c>
      <c r="U125" s="135">
        <f t="shared" si="46"/>
        <v>1</v>
      </c>
      <c r="V125" s="135">
        <f t="shared" si="46"/>
        <v>1</v>
      </c>
      <c r="W125" s="135">
        <f t="shared" si="46"/>
        <v>1</v>
      </c>
      <c r="X125" s="135">
        <f t="shared" si="46"/>
        <v>1</v>
      </c>
      <c r="Y125" s="135">
        <f t="shared" si="46"/>
        <v>1</v>
      </c>
      <c r="Z125" s="135">
        <f t="shared" si="46"/>
        <v>1</v>
      </c>
      <c r="AA125" s="135">
        <f t="shared" si="46"/>
        <v>1</v>
      </c>
      <c r="AB125" s="135">
        <f t="shared" si="46"/>
        <v>1</v>
      </c>
      <c r="AC125" s="135">
        <f t="shared" si="46"/>
        <v>1</v>
      </c>
      <c r="AD125" s="135">
        <f t="shared" si="46"/>
        <v>1</v>
      </c>
      <c r="AE125" s="135">
        <f t="shared" si="46"/>
        <v>1</v>
      </c>
      <c r="AF125" s="135">
        <f t="shared" si="46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44"/>
        <v>1.58</v>
      </c>
      <c r="C126" s="136">
        <v>1.58</v>
      </c>
      <c r="D126" s="135">
        <f t="shared" si="47"/>
        <v>1.58</v>
      </c>
      <c r="E126" s="135">
        <f t="shared" si="47"/>
        <v>1.58</v>
      </c>
      <c r="F126" s="135">
        <f t="shared" si="47"/>
        <v>1.58</v>
      </c>
      <c r="G126" s="135">
        <f t="shared" si="47"/>
        <v>1.58</v>
      </c>
      <c r="H126" s="135">
        <f t="shared" si="47"/>
        <v>1.58</v>
      </c>
      <c r="I126" s="135">
        <f t="shared" si="47"/>
        <v>1.58</v>
      </c>
      <c r="J126" s="135">
        <f t="shared" si="47"/>
        <v>1.58</v>
      </c>
      <c r="K126" s="135">
        <f t="shared" si="47"/>
        <v>1.58</v>
      </c>
      <c r="L126" s="135">
        <f t="shared" si="47"/>
        <v>1.58</v>
      </c>
      <c r="M126" s="135">
        <f t="shared" si="47"/>
        <v>1.58</v>
      </c>
      <c r="N126" s="135">
        <f t="shared" si="47"/>
        <v>1.58</v>
      </c>
      <c r="O126" s="135">
        <f t="shared" si="47"/>
        <v>1.58</v>
      </c>
      <c r="P126" s="135">
        <f t="shared" si="47"/>
        <v>1.58</v>
      </c>
      <c r="Q126" s="135">
        <f t="shared" si="47"/>
        <v>1.58</v>
      </c>
      <c r="R126" s="135">
        <f t="shared" si="47"/>
        <v>1.58</v>
      </c>
      <c r="S126" s="135">
        <f t="shared" si="47"/>
        <v>1.58</v>
      </c>
      <c r="T126" s="135">
        <f t="shared" si="46"/>
        <v>1.58</v>
      </c>
      <c r="U126" s="135">
        <f t="shared" si="46"/>
        <v>1.58</v>
      </c>
      <c r="V126" s="135">
        <f t="shared" si="46"/>
        <v>1.58</v>
      </c>
      <c r="W126" s="135">
        <f t="shared" si="46"/>
        <v>1.58</v>
      </c>
      <c r="X126" s="135">
        <f t="shared" si="46"/>
        <v>1.58</v>
      </c>
      <c r="Y126" s="135">
        <f t="shared" si="46"/>
        <v>1.58</v>
      </c>
      <c r="Z126" s="135">
        <f t="shared" si="46"/>
        <v>1.58</v>
      </c>
      <c r="AA126" s="135">
        <f t="shared" si="46"/>
        <v>1.58</v>
      </c>
      <c r="AB126" s="135">
        <f t="shared" si="46"/>
        <v>1.58</v>
      </c>
      <c r="AC126" s="135">
        <f t="shared" si="46"/>
        <v>1.58</v>
      </c>
      <c r="AD126" s="135">
        <f t="shared" si="46"/>
        <v>1.58</v>
      </c>
      <c r="AE126" s="135">
        <f t="shared" si="46"/>
        <v>1.58</v>
      </c>
      <c r="AF126" s="135">
        <f t="shared" si="46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44"/>
        <v>1.46</v>
      </c>
      <c r="C127" s="136">
        <v>1.46</v>
      </c>
      <c r="D127" s="135">
        <f t="shared" si="47"/>
        <v>1.46</v>
      </c>
      <c r="E127" s="135">
        <f t="shared" si="47"/>
        <v>1.46</v>
      </c>
      <c r="F127" s="135">
        <f t="shared" si="47"/>
        <v>1.46</v>
      </c>
      <c r="G127" s="135">
        <f t="shared" si="47"/>
        <v>1.46</v>
      </c>
      <c r="H127" s="135">
        <f t="shared" si="47"/>
        <v>1.46</v>
      </c>
      <c r="I127" s="135">
        <f t="shared" si="47"/>
        <v>1.46</v>
      </c>
      <c r="J127" s="135">
        <f t="shared" si="47"/>
        <v>1.46</v>
      </c>
      <c r="K127" s="135">
        <f t="shared" si="47"/>
        <v>1.46</v>
      </c>
      <c r="L127" s="135">
        <f t="shared" si="47"/>
        <v>1.46</v>
      </c>
      <c r="M127" s="135">
        <f t="shared" si="47"/>
        <v>1.46</v>
      </c>
      <c r="N127" s="135">
        <f t="shared" si="47"/>
        <v>1.46</v>
      </c>
      <c r="O127" s="135">
        <f t="shared" si="47"/>
        <v>1.46</v>
      </c>
      <c r="P127" s="135">
        <f t="shared" si="47"/>
        <v>1.46</v>
      </c>
      <c r="Q127" s="135">
        <f t="shared" si="47"/>
        <v>1.46</v>
      </c>
      <c r="R127" s="135">
        <f t="shared" si="47"/>
        <v>1.46</v>
      </c>
      <c r="S127" s="135">
        <f t="shared" si="47"/>
        <v>1.46</v>
      </c>
      <c r="T127" s="135">
        <f t="shared" ref="T127:AF128" si="48">S127</f>
        <v>1.46</v>
      </c>
      <c r="U127" s="135">
        <f t="shared" si="48"/>
        <v>1.46</v>
      </c>
      <c r="V127" s="135">
        <f t="shared" si="48"/>
        <v>1.46</v>
      </c>
      <c r="W127" s="135">
        <f t="shared" si="48"/>
        <v>1.46</v>
      </c>
      <c r="X127" s="135">
        <f t="shared" si="48"/>
        <v>1.46</v>
      </c>
      <c r="Y127" s="135">
        <f t="shared" si="48"/>
        <v>1.46</v>
      </c>
      <c r="Z127" s="135">
        <f t="shared" si="48"/>
        <v>1.46</v>
      </c>
      <c r="AA127" s="135">
        <f t="shared" si="48"/>
        <v>1.46</v>
      </c>
      <c r="AB127" s="135">
        <f t="shared" si="48"/>
        <v>1.46</v>
      </c>
      <c r="AC127" s="135">
        <f t="shared" si="48"/>
        <v>1.46</v>
      </c>
      <c r="AD127" s="135">
        <f t="shared" si="48"/>
        <v>1.46</v>
      </c>
      <c r="AE127" s="135">
        <f t="shared" si="48"/>
        <v>1.46</v>
      </c>
      <c r="AF127" s="135">
        <f t="shared" si="48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44"/>
        <v>1.48</v>
      </c>
      <c r="C128" s="136">
        <v>1.48</v>
      </c>
      <c r="D128" s="135">
        <f t="shared" si="47"/>
        <v>1.48</v>
      </c>
      <c r="E128" s="135">
        <f t="shared" si="47"/>
        <v>1.48</v>
      </c>
      <c r="F128" s="135">
        <f t="shared" si="47"/>
        <v>1.48</v>
      </c>
      <c r="G128" s="135">
        <f t="shared" si="47"/>
        <v>1.48</v>
      </c>
      <c r="H128" s="135">
        <f t="shared" si="47"/>
        <v>1.48</v>
      </c>
      <c r="I128" s="135">
        <f t="shared" si="47"/>
        <v>1.48</v>
      </c>
      <c r="J128" s="135">
        <f t="shared" si="47"/>
        <v>1.48</v>
      </c>
      <c r="K128" s="135">
        <f t="shared" si="47"/>
        <v>1.48</v>
      </c>
      <c r="L128" s="135">
        <f t="shared" si="47"/>
        <v>1.48</v>
      </c>
      <c r="M128" s="135">
        <f t="shared" si="47"/>
        <v>1.48</v>
      </c>
      <c r="N128" s="135">
        <f t="shared" si="47"/>
        <v>1.48</v>
      </c>
      <c r="O128" s="135">
        <f t="shared" si="47"/>
        <v>1.48</v>
      </c>
      <c r="P128" s="135">
        <f t="shared" si="47"/>
        <v>1.48</v>
      </c>
      <c r="Q128" s="135">
        <f t="shared" si="47"/>
        <v>1.48</v>
      </c>
      <c r="R128" s="135">
        <f t="shared" si="47"/>
        <v>1.48</v>
      </c>
      <c r="S128" s="135">
        <f t="shared" si="47"/>
        <v>1.48</v>
      </c>
      <c r="T128" s="135">
        <f t="shared" si="48"/>
        <v>1.48</v>
      </c>
      <c r="U128" s="135">
        <f t="shared" si="48"/>
        <v>1.48</v>
      </c>
      <c r="V128" s="135">
        <f t="shared" si="48"/>
        <v>1.48</v>
      </c>
      <c r="W128" s="135">
        <f t="shared" si="48"/>
        <v>1.48</v>
      </c>
      <c r="X128" s="135">
        <f t="shared" si="48"/>
        <v>1.48</v>
      </c>
      <c r="Y128" s="135">
        <f t="shared" si="48"/>
        <v>1.48</v>
      </c>
      <c r="Z128" s="135">
        <f t="shared" si="48"/>
        <v>1.48</v>
      </c>
      <c r="AA128" s="135">
        <f t="shared" si="48"/>
        <v>1.48</v>
      </c>
      <c r="AB128" s="135">
        <f t="shared" si="48"/>
        <v>1.48</v>
      </c>
      <c r="AC128" s="135">
        <f t="shared" si="48"/>
        <v>1.48</v>
      </c>
      <c r="AD128" s="135">
        <f t="shared" si="48"/>
        <v>1.48</v>
      </c>
      <c r="AE128" s="135">
        <f t="shared" si="48"/>
        <v>1.48</v>
      </c>
      <c r="AF128" s="135">
        <f t="shared" si="48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49">AF130</f>
        <v>2.2000000000000002</v>
      </c>
      <c r="C130" s="136">
        <v>2.2000000000000002</v>
      </c>
      <c r="D130" s="135">
        <f t="shared" ref="D130:S137" si="50">C130</f>
        <v>2.2000000000000002</v>
      </c>
      <c r="E130" s="135">
        <f t="shared" si="50"/>
        <v>2.2000000000000002</v>
      </c>
      <c r="F130" s="135">
        <f t="shared" si="50"/>
        <v>2.2000000000000002</v>
      </c>
      <c r="G130" s="135">
        <f t="shared" si="50"/>
        <v>2.2000000000000002</v>
      </c>
      <c r="H130" s="135">
        <f t="shared" si="50"/>
        <v>2.2000000000000002</v>
      </c>
      <c r="I130" s="135">
        <f t="shared" si="50"/>
        <v>2.2000000000000002</v>
      </c>
      <c r="J130" s="135">
        <f t="shared" si="50"/>
        <v>2.2000000000000002</v>
      </c>
      <c r="K130" s="135">
        <f t="shared" si="50"/>
        <v>2.2000000000000002</v>
      </c>
      <c r="L130" s="135">
        <f t="shared" si="50"/>
        <v>2.2000000000000002</v>
      </c>
      <c r="M130" s="135">
        <f t="shared" si="50"/>
        <v>2.2000000000000002</v>
      </c>
      <c r="N130" s="135">
        <f t="shared" si="50"/>
        <v>2.2000000000000002</v>
      </c>
      <c r="O130" s="135">
        <f t="shared" si="50"/>
        <v>2.2000000000000002</v>
      </c>
      <c r="P130" s="135">
        <f t="shared" si="50"/>
        <v>2.2000000000000002</v>
      </c>
      <c r="Q130" s="135">
        <f t="shared" si="50"/>
        <v>2.2000000000000002</v>
      </c>
      <c r="R130" s="135">
        <f t="shared" si="50"/>
        <v>2.2000000000000002</v>
      </c>
      <c r="S130" s="135">
        <f t="shared" si="50"/>
        <v>2.2000000000000002</v>
      </c>
      <c r="T130" s="135">
        <f t="shared" ref="T130:AF137" si="51">S130</f>
        <v>2.2000000000000002</v>
      </c>
      <c r="U130" s="135">
        <f t="shared" si="51"/>
        <v>2.2000000000000002</v>
      </c>
      <c r="V130" s="135">
        <f t="shared" si="51"/>
        <v>2.2000000000000002</v>
      </c>
      <c r="W130" s="135">
        <f t="shared" si="51"/>
        <v>2.2000000000000002</v>
      </c>
      <c r="X130" s="135">
        <f t="shared" si="51"/>
        <v>2.2000000000000002</v>
      </c>
      <c r="Y130" s="135">
        <f t="shared" si="51"/>
        <v>2.2000000000000002</v>
      </c>
      <c r="Z130" s="135">
        <f t="shared" si="51"/>
        <v>2.2000000000000002</v>
      </c>
      <c r="AA130" s="135">
        <f t="shared" si="51"/>
        <v>2.2000000000000002</v>
      </c>
      <c r="AB130" s="135">
        <f t="shared" si="51"/>
        <v>2.2000000000000002</v>
      </c>
      <c r="AC130" s="135">
        <f t="shared" si="51"/>
        <v>2.2000000000000002</v>
      </c>
      <c r="AD130" s="135">
        <f t="shared" si="51"/>
        <v>2.2000000000000002</v>
      </c>
      <c r="AE130" s="135">
        <f t="shared" si="51"/>
        <v>2.2000000000000002</v>
      </c>
      <c r="AF130" s="135">
        <f t="shared" si="51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49"/>
        <v>2</v>
      </c>
      <c r="C131" s="136">
        <v>2</v>
      </c>
      <c r="D131" s="135">
        <f t="shared" si="50"/>
        <v>2</v>
      </c>
      <c r="E131" s="135">
        <f t="shared" si="50"/>
        <v>2</v>
      </c>
      <c r="F131" s="135">
        <f t="shared" si="50"/>
        <v>2</v>
      </c>
      <c r="G131" s="135">
        <f t="shared" si="50"/>
        <v>2</v>
      </c>
      <c r="H131" s="135">
        <f t="shared" si="50"/>
        <v>2</v>
      </c>
      <c r="I131" s="135">
        <f t="shared" si="50"/>
        <v>2</v>
      </c>
      <c r="J131" s="135">
        <f t="shared" si="50"/>
        <v>2</v>
      </c>
      <c r="K131" s="135">
        <f t="shared" si="50"/>
        <v>2</v>
      </c>
      <c r="L131" s="135">
        <f t="shared" si="50"/>
        <v>2</v>
      </c>
      <c r="M131" s="135">
        <f t="shared" si="50"/>
        <v>2</v>
      </c>
      <c r="N131" s="135">
        <f t="shared" si="50"/>
        <v>2</v>
      </c>
      <c r="O131" s="135">
        <f t="shared" si="50"/>
        <v>2</v>
      </c>
      <c r="P131" s="135">
        <f t="shared" si="50"/>
        <v>2</v>
      </c>
      <c r="Q131" s="135">
        <f t="shared" si="50"/>
        <v>2</v>
      </c>
      <c r="R131" s="135">
        <f t="shared" si="50"/>
        <v>2</v>
      </c>
      <c r="S131" s="135">
        <f t="shared" si="50"/>
        <v>2</v>
      </c>
      <c r="T131" s="135">
        <f t="shared" si="51"/>
        <v>2</v>
      </c>
      <c r="U131" s="135">
        <f t="shared" si="51"/>
        <v>2</v>
      </c>
      <c r="V131" s="135">
        <f t="shared" si="51"/>
        <v>2</v>
      </c>
      <c r="W131" s="135">
        <f t="shared" si="51"/>
        <v>2</v>
      </c>
      <c r="X131" s="135">
        <f t="shared" si="51"/>
        <v>2</v>
      </c>
      <c r="Y131" s="135">
        <f t="shared" si="51"/>
        <v>2</v>
      </c>
      <c r="Z131" s="135">
        <f t="shared" si="51"/>
        <v>2</v>
      </c>
      <c r="AA131" s="135">
        <f t="shared" si="51"/>
        <v>2</v>
      </c>
      <c r="AB131" s="135">
        <f t="shared" si="51"/>
        <v>2</v>
      </c>
      <c r="AC131" s="135">
        <f t="shared" si="51"/>
        <v>2</v>
      </c>
      <c r="AD131" s="135">
        <f t="shared" si="51"/>
        <v>2</v>
      </c>
      <c r="AE131" s="135">
        <f t="shared" si="51"/>
        <v>2</v>
      </c>
      <c r="AF131" s="135">
        <f t="shared" si="51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49"/>
        <v>1.25</v>
      </c>
      <c r="C132" s="136">
        <v>1.25</v>
      </c>
      <c r="D132" s="135">
        <f t="shared" si="50"/>
        <v>1.25</v>
      </c>
      <c r="E132" s="135">
        <f t="shared" si="50"/>
        <v>1.25</v>
      </c>
      <c r="F132" s="135">
        <f t="shared" si="50"/>
        <v>1.25</v>
      </c>
      <c r="G132" s="135">
        <f t="shared" si="50"/>
        <v>1.25</v>
      </c>
      <c r="H132" s="135">
        <f t="shared" si="50"/>
        <v>1.25</v>
      </c>
      <c r="I132" s="135">
        <f t="shared" si="50"/>
        <v>1.25</v>
      </c>
      <c r="J132" s="135">
        <f t="shared" si="50"/>
        <v>1.25</v>
      </c>
      <c r="K132" s="135">
        <f t="shared" si="50"/>
        <v>1.25</v>
      </c>
      <c r="L132" s="135">
        <f t="shared" si="50"/>
        <v>1.25</v>
      </c>
      <c r="M132" s="135">
        <f t="shared" si="50"/>
        <v>1.25</v>
      </c>
      <c r="N132" s="135">
        <f t="shared" si="50"/>
        <v>1.25</v>
      </c>
      <c r="O132" s="135">
        <f t="shared" si="50"/>
        <v>1.25</v>
      </c>
      <c r="P132" s="135">
        <f t="shared" si="50"/>
        <v>1.25</v>
      </c>
      <c r="Q132" s="135">
        <f t="shared" si="50"/>
        <v>1.25</v>
      </c>
      <c r="R132" s="135">
        <f t="shared" si="50"/>
        <v>1.25</v>
      </c>
      <c r="S132" s="135">
        <f t="shared" si="50"/>
        <v>1.25</v>
      </c>
      <c r="T132" s="135">
        <f t="shared" si="51"/>
        <v>1.25</v>
      </c>
      <c r="U132" s="135">
        <f t="shared" si="51"/>
        <v>1.25</v>
      </c>
      <c r="V132" s="135">
        <f t="shared" si="51"/>
        <v>1.25</v>
      </c>
      <c r="W132" s="135">
        <f t="shared" si="51"/>
        <v>1.25</v>
      </c>
      <c r="X132" s="135">
        <f t="shared" si="51"/>
        <v>1.25</v>
      </c>
      <c r="Y132" s="135">
        <f t="shared" si="51"/>
        <v>1.25</v>
      </c>
      <c r="Z132" s="135">
        <f t="shared" si="51"/>
        <v>1.25</v>
      </c>
      <c r="AA132" s="135">
        <f t="shared" si="51"/>
        <v>1.25</v>
      </c>
      <c r="AB132" s="135">
        <f t="shared" si="51"/>
        <v>1.25</v>
      </c>
      <c r="AC132" s="135">
        <f t="shared" si="51"/>
        <v>1.25</v>
      </c>
      <c r="AD132" s="135">
        <f t="shared" si="51"/>
        <v>1.25</v>
      </c>
      <c r="AE132" s="135">
        <f t="shared" si="51"/>
        <v>1.25</v>
      </c>
      <c r="AF132" s="135">
        <f t="shared" si="51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49"/>
        <v>1.1499999999999999</v>
      </c>
      <c r="C133" s="136">
        <v>1.1499999999999999</v>
      </c>
      <c r="D133" s="135">
        <f t="shared" si="50"/>
        <v>1.1499999999999999</v>
      </c>
      <c r="E133" s="135">
        <f t="shared" si="50"/>
        <v>1.1499999999999999</v>
      </c>
      <c r="F133" s="135">
        <f t="shared" si="50"/>
        <v>1.1499999999999999</v>
      </c>
      <c r="G133" s="135">
        <f t="shared" si="50"/>
        <v>1.1499999999999999</v>
      </c>
      <c r="H133" s="135">
        <f t="shared" si="50"/>
        <v>1.1499999999999999</v>
      </c>
      <c r="I133" s="135">
        <f t="shared" si="50"/>
        <v>1.1499999999999999</v>
      </c>
      <c r="J133" s="135">
        <f t="shared" si="50"/>
        <v>1.1499999999999999</v>
      </c>
      <c r="K133" s="135">
        <f t="shared" si="50"/>
        <v>1.1499999999999999</v>
      </c>
      <c r="L133" s="135">
        <f t="shared" si="50"/>
        <v>1.1499999999999999</v>
      </c>
      <c r="M133" s="135">
        <f t="shared" si="50"/>
        <v>1.1499999999999999</v>
      </c>
      <c r="N133" s="135">
        <f t="shared" si="50"/>
        <v>1.1499999999999999</v>
      </c>
      <c r="O133" s="135">
        <f t="shared" si="50"/>
        <v>1.1499999999999999</v>
      </c>
      <c r="P133" s="135">
        <f t="shared" si="50"/>
        <v>1.1499999999999999</v>
      </c>
      <c r="Q133" s="135">
        <f t="shared" si="50"/>
        <v>1.1499999999999999</v>
      </c>
      <c r="R133" s="135">
        <f t="shared" si="50"/>
        <v>1.1499999999999999</v>
      </c>
      <c r="S133" s="135">
        <f t="shared" si="50"/>
        <v>1.1499999999999999</v>
      </c>
      <c r="T133" s="135">
        <f t="shared" si="51"/>
        <v>1.1499999999999999</v>
      </c>
      <c r="U133" s="135">
        <f t="shared" si="51"/>
        <v>1.1499999999999999</v>
      </c>
      <c r="V133" s="135">
        <f t="shared" si="51"/>
        <v>1.1499999999999999</v>
      </c>
      <c r="W133" s="135">
        <f t="shared" si="51"/>
        <v>1.1499999999999999</v>
      </c>
      <c r="X133" s="135">
        <f t="shared" si="51"/>
        <v>1.1499999999999999</v>
      </c>
      <c r="Y133" s="135">
        <f t="shared" si="51"/>
        <v>1.1499999999999999</v>
      </c>
      <c r="Z133" s="135">
        <f t="shared" si="51"/>
        <v>1.1499999999999999</v>
      </c>
      <c r="AA133" s="135">
        <f t="shared" si="51"/>
        <v>1.1499999999999999</v>
      </c>
      <c r="AB133" s="135">
        <f t="shared" si="51"/>
        <v>1.1499999999999999</v>
      </c>
      <c r="AC133" s="135">
        <f t="shared" si="51"/>
        <v>1.1499999999999999</v>
      </c>
      <c r="AD133" s="135">
        <f t="shared" si="51"/>
        <v>1.1499999999999999</v>
      </c>
      <c r="AE133" s="135">
        <f t="shared" si="51"/>
        <v>1.1499999999999999</v>
      </c>
      <c r="AF133" s="135">
        <f t="shared" si="51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49"/>
        <v>2.133</v>
      </c>
      <c r="C134" s="136">
        <v>2.133</v>
      </c>
      <c r="D134" s="135">
        <f t="shared" si="50"/>
        <v>2.133</v>
      </c>
      <c r="E134" s="135">
        <f t="shared" si="50"/>
        <v>2.133</v>
      </c>
      <c r="F134" s="135">
        <f t="shared" si="50"/>
        <v>2.133</v>
      </c>
      <c r="G134" s="135">
        <f t="shared" si="50"/>
        <v>2.133</v>
      </c>
      <c r="H134" s="135">
        <f t="shared" si="50"/>
        <v>2.133</v>
      </c>
      <c r="I134" s="135">
        <f t="shared" si="50"/>
        <v>2.133</v>
      </c>
      <c r="J134" s="135">
        <f t="shared" si="50"/>
        <v>2.133</v>
      </c>
      <c r="K134" s="135">
        <f t="shared" si="50"/>
        <v>2.133</v>
      </c>
      <c r="L134" s="135">
        <f t="shared" si="50"/>
        <v>2.133</v>
      </c>
      <c r="M134" s="135">
        <f t="shared" si="50"/>
        <v>2.133</v>
      </c>
      <c r="N134" s="135">
        <f t="shared" si="50"/>
        <v>2.133</v>
      </c>
      <c r="O134" s="135">
        <f t="shared" si="50"/>
        <v>2.133</v>
      </c>
      <c r="P134" s="135">
        <f t="shared" si="50"/>
        <v>2.133</v>
      </c>
      <c r="Q134" s="135">
        <f t="shared" si="50"/>
        <v>2.133</v>
      </c>
      <c r="R134" s="135">
        <f t="shared" si="50"/>
        <v>2.133</v>
      </c>
      <c r="S134" s="135">
        <f t="shared" si="50"/>
        <v>2.133</v>
      </c>
      <c r="T134" s="135">
        <f t="shared" si="51"/>
        <v>2.133</v>
      </c>
      <c r="U134" s="135">
        <f t="shared" si="51"/>
        <v>2.133</v>
      </c>
      <c r="V134" s="135">
        <f t="shared" si="51"/>
        <v>2.133</v>
      </c>
      <c r="W134" s="135">
        <f t="shared" si="51"/>
        <v>2.133</v>
      </c>
      <c r="X134" s="135">
        <f t="shared" si="51"/>
        <v>2.133</v>
      </c>
      <c r="Y134" s="135">
        <f t="shared" si="51"/>
        <v>2.133</v>
      </c>
      <c r="Z134" s="135">
        <f t="shared" si="51"/>
        <v>2.133</v>
      </c>
      <c r="AA134" s="135">
        <f t="shared" si="51"/>
        <v>2.133</v>
      </c>
      <c r="AB134" s="135">
        <f t="shared" si="51"/>
        <v>2.133</v>
      </c>
      <c r="AC134" s="135">
        <f t="shared" si="51"/>
        <v>2.133</v>
      </c>
      <c r="AD134" s="135">
        <f t="shared" si="51"/>
        <v>2.133</v>
      </c>
      <c r="AE134" s="135">
        <f t="shared" si="51"/>
        <v>2.133</v>
      </c>
      <c r="AF134" s="135">
        <f t="shared" si="51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49"/>
        <v>2.09</v>
      </c>
      <c r="C135" s="136">
        <v>2.09</v>
      </c>
      <c r="D135" s="135">
        <f t="shared" si="50"/>
        <v>2.09</v>
      </c>
      <c r="E135" s="135">
        <f t="shared" si="50"/>
        <v>2.09</v>
      </c>
      <c r="F135" s="135">
        <f t="shared" si="50"/>
        <v>2.09</v>
      </c>
      <c r="G135" s="135">
        <f t="shared" si="50"/>
        <v>2.09</v>
      </c>
      <c r="H135" s="135">
        <f t="shared" si="50"/>
        <v>2.09</v>
      </c>
      <c r="I135" s="135">
        <f t="shared" si="50"/>
        <v>2.09</v>
      </c>
      <c r="J135" s="135">
        <f t="shared" si="50"/>
        <v>2.09</v>
      </c>
      <c r="K135" s="135">
        <f t="shared" si="50"/>
        <v>2.09</v>
      </c>
      <c r="L135" s="135">
        <f t="shared" si="50"/>
        <v>2.09</v>
      </c>
      <c r="M135" s="135">
        <f t="shared" si="50"/>
        <v>2.09</v>
      </c>
      <c r="N135" s="135">
        <f t="shared" si="50"/>
        <v>2.09</v>
      </c>
      <c r="O135" s="135">
        <f t="shared" si="50"/>
        <v>2.09</v>
      </c>
      <c r="P135" s="135">
        <f t="shared" si="50"/>
        <v>2.09</v>
      </c>
      <c r="Q135" s="135">
        <f t="shared" si="50"/>
        <v>2.09</v>
      </c>
      <c r="R135" s="135">
        <f t="shared" si="50"/>
        <v>2.09</v>
      </c>
      <c r="S135" s="135">
        <f t="shared" si="50"/>
        <v>2.09</v>
      </c>
      <c r="T135" s="135">
        <f t="shared" si="51"/>
        <v>2.09</v>
      </c>
      <c r="U135" s="135">
        <f t="shared" si="51"/>
        <v>2.09</v>
      </c>
      <c r="V135" s="135">
        <f t="shared" si="51"/>
        <v>2.09</v>
      </c>
      <c r="W135" s="135">
        <f t="shared" si="51"/>
        <v>2.09</v>
      </c>
      <c r="X135" s="135">
        <f t="shared" si="51"/>
        <v>2.09</v>
      </c>
      <c r="Y135" s="135">
        <f t="shared" si="51"/>
        <v>2.09</v>
      </c>
      <c r="Z135" s="135">
        <f t="shared" si="51"/>
        <v>2.09</v>
      </c>
      <c r="AA135" s="135">
        <f t="shared" si="51"/>
        <v>2.09</v>
      </c>
      <c r="AB135" s="135">
        <f t="shared" si="51"/>
        <v>2.09</v>
      </c>
      <c r="AC135" s="135">
        <f t="shared" si="51"/>
        <v>2.09</v>
      </c>
      <c r="AD135" s="135">
        <f t="shared" si="51"/>
        <v>2.09</v>
      </c>
      <c r="AE135" s="135">
        <f t="shared" si="51"/>
        <v>2.09</v>
      </c>
      <c r="AF135" s="135">
        <f t="shared" si="51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49"/>
        <v>1.1399999999999999</v>
      </c>
      <c r="C136" s="136">
        <v>1.1399999999999999</v>
      </c>
      <c r="D136" s="135">
        <f t="shared" si="50"/>
        <v>1.1399999999999999</v>
      </c>
      <c r="E136" s="135">
        <f t="shared" si="50"/>
        <v>1.1399999999999999</v>
      </c>
      <c r="F136" s="135">
        <f t="shared" si="50"/>
        <v>1.1399999999999999</v>
      </c>
      <c r="G136" s="135">
        <f t="shared" si="50"/>
        <v>1.1399999999999999</v>
      </c>
      <c r="H136" s="135">
        <f t="shared" si="50"/>
        <v>1.1399999999999999</v>
      </c>
      <c r="I136" s="135">
        <f t="shared" si="50"/>
        <v>1.1399999999999999</v>
      </c>
      <c r="J136" s="135">
        <f t="shared" si="50"/>
        <v>1.1399999999999999</v>
      </c>
      <c r="K136" s="135">
        <f t="shared" si="50"/>
        <v>1.1399999999999999</v>
      </c>
      <c r="L136" s="135">
        <f t="shared" si="50"/>
        <v>1.1399999999999999</v>
      </c>
      <c r="M136" s="135">
        <f t="shared" si="50"/>
        <v>1.1399999999999999</v>
      </c>
      <c r="N136" s="135">
        <f t="shared" si="50"/>
        <v>1.1399999999999999</v>
      </c>
      <c r="O136" s="135">
        <f t="shared" si="50"/>
        <v>1.1399999999999999</v>
      </c>
      <c r="P136" s="135">
        <f t="shared" si="50"/>
        <v>1.1399999999999999</v>
      </c>
      <c r="Q136" s="135">
        <f t="shared" si="50"/>
        <v>1.1399999999999999</v>
      </c>
      <c r="R136" s="135">
        <f t="shared" si="50"/>
        <v>1.1399999999999999</v>
      </c>
      <c r="S136" s="135">
        <f t="shared" si="50"/>
        <v>1.1399999999999999</v>
      </c>
      <c r="T136" s="135">
        <f t="shared" si="51"/>
        <v>1.1399999999999999</v>
      </c>
      <c r="U136" s="135">
        <f t="shared" si="51"/>
        <v>1.1399999999999999</v>
      </c>
      <c r="V136" s="135">
        <f t="shared" si="51"/>
        <v>1.1399999999999999</v>
      </c>
      <c r="W136" s="135">
        <f t="shared" si="51"/>
        <v>1.1399999999999999</v>
      </c>
      <c r="X136" s="135">
        <f t="shared" si="51"/>
        <v>1.1399999999999999</v>
      </c>
      <c r="Y136" s="135">
        <f t="shared" si="51"/>
        <v>1.1399999999999999</v>
      </c>
      <c r="Z136" s="135">
        <f t="shared" si="51"/>
        <v>1.1399999999999999</v>
      </c>
      <c r="AA136" s="135">
        <f t="shared" si="51"/>
        <v>1.1399999999999999</v>
      </c>
      <c r="AB136" s="135">
        <f t="shared" si="51"/>
        <v>1.1399999999999999</v>
      </c>
      <c r="AC136" s="135">
        <f t="shared" si="51"/>
        <v>1.1399999999999999</v>
      </c>
      <c r="AD136" s="135">
        <f t="shared" si="51"/>
        <v>1.1399999999999999</v>
      </c>
      <c r="AE136" s="135">
        <f t="shared" si="51"/>
        <v>1.1399999999999999</v>
      </c>
      <c r="AF136" s="135">
        <f t="shared" si="51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49"/>
        <v>0.82</v>
      </c>
      <c r="C137" s="136">
        <v>0.82</v>
      </c>
      <c r="D137" s="135">
        <f t="shared" si="50"/>
        <v>0.82</v>
      </c>
      <c r="E137" s="135">
        <f t="shared" si="50"/>
        <v>0.82</v>
      </c>
      <c r="F137" s="135">
        <f t="shared" si="50"/>
        <v>0.82</v>
      </c>
      <c r="G137" s="135">
        <f t="shared" si="50"/>
        <v>0.82</v>
      </c>
      <c r="H137" s="135">
        <f t="shared" si="50"/>
        <v>0.82</v>
      </c>
      <c r="I137" s="135">
        <f t="shared" si="50"/>
        <v>0.82</v>
      </c>
      <c r="J137" s="135">
        <f t="shared" si="50"/>
        <v>0.82</v>
      </c>
      <c r="K137" s="135">
        <f t="shared" si="50"/>
        <v>0.82</v>
      </c>
      <c r="L137" s="135">
        <f t="shared" si="50"/>
        <v>0.82</v>
      </c>
      <c r="M137" s="135">
        <f t="shared" si="50"/>
        <v>0.82</v>
      </c>
      <c r="N137" s="135">
        <f t="shared" si="50"/>
        <v>0.82</v>
      </c>
      <c r="O137" s="135">
        <f t="shared" si="50"/>
        <v>0.82</v>
      </c>
      <c r="P137" s="135">
        <f t="shared" si="50"/>
        <v>0.82</v>
      </c>
      <c r="Q137" s="135">
        <f t="shared" si="50"/>
        <v>0.82</v>
      </c>
      <c r="R137" s="135">
        <f t="shared" si="50"/>
        <v>0.82</v>
      </c>
      <c r="S137" s="135">
        <f t="shared" si="50"/>
        <v>0.82</v>
      </c>
      <c r="T137" s="135">
        <f t="shared" si="51"/>
        <v>0.82</v>
      </c>
      <c r="U137" s="135">
        <f t="shared" si="51"/>
        <v>0.82</v>
      </c>
      <c r="V137" s="135">
        <f t="shared" si="51"/>
        <v>0.82</v>
      </c>
      <c r="W137" s="135">
        <f t="shared" si="51"/>
        <v>0.82</v>
      </c>
      <c r="X137" s="135">
        <f t="shared" si="51"/>
        <v>0.82</v>
      </c>
      <c r="Y137" s="135">
        <f t="shared" si="51"/>
        <v>0.82</v>
      </c>
      <c r="Z137" s="135">
        <f t="shared" si="51"/>
        <v>0.82</v>
      </c>
      <c r="AA137" s="135">
        <f t="shared" si="51"/>
        <v>0.82</v>
      </c>
      <c r="AB137" s="135">
        <f t="shared" si="51"/>
        <v>0.82</v>
      </c>
      <c r="AC137" s="135">
        <f t="shared" si="51"/>
        <v>0.82</v>
      </c>
      <c r="AD137" s="135">
        <f t="shared" si="51"/>
        <v>0.82</v>
      </c>
      <c r="AE137" s="135">
        <f t="shared" si="51"/>
        <v>0.82</v>
      </c>
      <c r="AF137" s="135">
        <f t="shared" si="51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52">AF139</f>
        <v>2</v>
      </c>
      <c r="C139" s="136">
        <v>2</v>
      </c>
      <c r="D139" s="135">
        <f t="shared" ref="D139:S145" si="53">C139</f>
        <v>2</v>
      </c>
      <c r="E139" s="135">
        <f t="shared" si="53"/>
        <v>2</v>
      </c>
      <c r="F139" s="135">
        <f t="shared" si="53"/>
        <v>2</v>
      </c>
      <c r="G139" s="135">
        <f t="shared" si="53"/>
        <v>2</v>
      </c>
      <c r="H139" s="135">
        <f t="shared" si="53"/>
        <v>2</v>
      </c>
      <c r="I139" s="135">
        <f t="shared" si="53"/>
        <v>2</v>
      </c>
      <c r="J139" s="135">
        <f t="shared" si="53"/>
        <v>2</v>
      </c>
      <c r="K139" s="135">
        <f t="shared" si="53"/>
        <v>2</v>
      </c>
      <c r="L139" s="135">
        <f t="shared" si="53"/>
        <v>2</v>
      </c>
      <c r="M139" s="135">
        <f t="shared" si="53"/>
        <v>2</v>
      </c>
      <c r="N139" s="135">
        <f t="shared" si="53"/>
        <v>2</v>
      </c>
      <c r="O139" s="135">
        <f t="shared" si="53"/>
        <v>2</v>
      </c>
      <c r="P139" s="135">
        <f t="shared" si="53"/>
        <v>2</v>
      </c>
      <c r="Q139" s="135">
        <f t="shared" si="53"/>
        <v>2</v>
      </c>
      <c r="R139" s="135">
        <f t="shared" si="53"/>
        <v>2</v>
      </c>
      <c r="S139" s="135">
        <f t="shared" si="53"/>
        <v>2</v>
      </c>
      <c r="T139" s="135">
        <f t="shared" ref="T139:AF145" si="54">S139</f>
        <v>2</v>
      </c>
      <c r="U139" s="135">
        <f t="shared" si="54"/>
        <v>2</v>
      </c>
      <c r="V139" s="135">
        <f t="shared" si="54"/>
        <v>2</v>
      </c>
      <c r="W139" s="135">
        <f t="shared" si="54"/>
        <v>2</v>
      </c>
      <c r="X139" s="135">
        <f t="shared" si="54"/>
        <v>2</v>
      </c>
      <c r="Y139" s="135">
        <f t="shared" si="54"/>
        <v>2</v>
      </c>
      <c r="Z139" s="135">
        <f t="shared" si="54"/>
        <v>2</v>
      </c>
      <c r="AA139" s="135">
        <f t="shared" si="54"/>
        <v>2</v>
      </c>
      <c r="AB139" s="135">
        <f t="shared" si="54"/>
        <v>2</v>
      </c>
      <c r="AC139" s="135">
        <f t="shared" si="54"/>
        <v>2</v>
      </c>
      <c r="AD139" s="135">
        <f t="shared" si="54"/>
        <v>2</v>
      </c>
      <c r="AE139" s="135">
        <f t="shared" si="54"/>
        <v>2</v>
      </c>
      <c r="AF139" s="135">
        <f t="shared" si="54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52"/>
        <v>5.61</v>
      </c>
      <c r="C140" s="136">
        <v>5.61</v>
      </c>
      <c r="D140" s="135">
        <f t="shared" si="53"/>
        <v>5.61</v>
      </c>
      <c r="E140" s="135">
        <f t="shared" si="53"/>
        <v>5.61</v>
      </c>
      <c r="F140" s="135">
        <f t="shared" si="53"/>
        <v>5.61</v>
      </c>
      <c r="G140" s="135">
        <f t="shared" si="53"/>
        <v>5.61</v>
      </c>
      <c r="H140" s="135">
        <f t="shared" si="53"/>
        <v>5.61</v>
      </c>
      <c r="I140" s="135">
        <f t="shared" si="53"/>
        <v>5.61</v>
      </c>
      <c r="J140" s="135">
        <f t="shared" si="53"/>
        <v>5.61</v>
      </c>
      <c r="K140" s="135">
        <f t="shared" si="53"/>
        <v>5.61</v>
      </c>
      <c r="L140" s="135">
        <f t="shared" si="53"/>
        <v>5.61</v>
      </c>
      <c r="M140" s="135">
        <f t="shared" si="53"/>
        <v>5.61</v>
      </c>
      <c r="N140" s="135">
        <f t="shared" si="53"/>
        <v>5.61</v>
      </c>
      <c r="O140" s="135">
        <f t="shared" si="53"/>
        <v>5.61</v>
      </c>
      <c r="P140" s="135">
        <f t="shared" si="53"/>
        <v>5.61</v>
      </c>
      <c r="Q140" s="135">
        <f t="shared" si="53"/>
        <v>5.61</v>
      </c>
      <c r="R140" s="135">
        <f t="shared" si="53"/>
        <v>5.61</v>
      </c>
      <c r="S140" s="135">
        <f t="shared" si="53"/>
        <v>5.61</v>
      </c>
      <c r="T140" s="135">
        <f t="shared" si="54"/>
        <v>5.61</v>
      </c>
      <c r="U140" s="135">
        <f t="shared" si="54"/>
        <v>5.61</v>
      </c>
      <c r="V140" s="135">
        <f t="shared" si="54"/>
        <v>5.61</v>
      </c>
      <c r="W140" s="135">
        <f t="shared" si="54"/>
        <v>5.61</v>
      </c>
      <c r="X140" s="135">
        <f t="shared" si="54"/>
        <v>5.61</v>
      </c>
      <c r="Y140" s="135">
        <f t="shared" si="54"/>
        <v>5.61</v>
      </c>
      <c r="Z140" s="135">
        <f t="shared" si="54"/>
        <v>5.61</v>
      </c>
      <c r="AA140" s="135">
        <f t="shared" si="54"/>
        <v>5.61</v>
      </c>
      <c r="AB140" s="135">
        <f t="shared" si="54"/>
        <v>5.61</v>
      </c>
      <c r="AC140" s="135">
        <f t="shared" si="54"/>
        <v>5.61</v>
      </c>
      <c r="AD140" s="135">
        <f t="shared" si="54"/>
        <v>5.61</v>
      </c>
      <c r="AE140" s="135">
        <f t="shared" si="54"/>
        <v>5.61</v>
      </c>
      <c r="AF140" s="135">
        <f t="shared" si="54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52"/>
        <v>1.25</v>
      </c>
      <c r="C141" s="136">
        <v>1.25</v>
      </c>
      <c r="D141" s="135">
        <f t="shared" si="53"/>
        <v>1.25</v>
      </c>
      <c r="E141" s="135">
        <f t="shared" si="53"/>
        <v>1.25</v>
      </c>
      <c r="F141" s="135">
        <f t="shared" si="53"/>
        <v>1.25</v>
      </c>
      <c r="G141" s="135">
        <f t="shared" si="53"/>
        <v>1.25</v>
      </c>
      <c r="H141" s="135">
        <f t="shared" si="53"/>
        <v>1.25</v>
      </c>
      <c r="I141" s="135">
        <f t="shared" si="53"/>
        <v>1.25</v>
      </c>
      <c r="J141" s="135">
        <f t="shared" si="53"/>
        <v>1.25</v>
      </c>
      <c r="K141" s="135">
        <f t="shared" si="53"/>
        <v>1.25</v>
      </c>
      <c r="L141" s="135">
        <f t="shared" si="53"/>
        <v>1.25</v>
      </c>
      <c r="M141" s="135">
        <f t="shared" si="53"/>
        <v>1.25</v>
      </c>
      <c r="N141" s="135">
        <f t="shared" si="53"/>
        <v>1.25</v>
      </c>
      <c r="O141" s="135">
        <f t="shared" si="53"/>
        <v>1.25</v>
      </c>
      <c r="P141" s="135">
        <f t="shared" si="53"/>
        <v>1.25</v>
      </c>
      <c r="Q141" s="135">
        <f t="shared" si="53"/>
        <v>1.25</v>
      </c>
      <c r="R141" s="135">
        <f t="shared" si="53"/>
        <v>1.25</v>
      </c>
      <c r="S141" s="135">
        <f t="shared" si="53"/>
        <v>1.25</v>
      </c>
      <c r="T141" s="135">
        <f t="shared" si="54"/>
        <v>1.25</v>
      </c>
      <c r="U141" s="135">
        <f t="shared" si="54"/>
        <v>1.25</v>
      </c>
      <c r="V141" s="135">
        <f t="shared" si="54"/>
        <v>1.25</v>
      </c>
      <c r="W141" s="135">
        <f t="shared" si="54"/>
        <v>1.25</v>
      </c>
      <c r="X141" s="135">
        <f t="shared" si="54"/>
        <v>1.25</v>
      </c>
      <c r="Y141" s="135">
        <f t="shared" si="54"/>
        <v>1.25</v>
      </c>
      <c r="Z141" s="135">
        <f t="shared" si="54"/>
        <v>1.25</v>
      </c>
      <c r="AA141" s="135">
        <f t="shared" si="54"/>
        <v>1.25</v>
      </c>
      <c r="AB141" s="135">
        <f t="shared" si="54"/>
        <v>1.25</v>
      </c>
      <c r="AC141" s="135">
        <f t="shared" si="54"/>
        <v>1.25</v>
      </c>
      <c r="AD141" s="135">
        <f t="shared" si="54"/>
        <v>1.25</v>
      </c>
      <c r="AE141" s="135">
        <f t="shared" si="54"/>
        <v>1.25</v>
      </c>
      <c r="AF141" s="135">
        <f t="shared" si="54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52"/>
        <v>1.25</v>
      </c>
      <c r="C142" s="136">
        <v>1.25</v>
      </c>
      <c r="D142" s="135">
        <f t="shared" si="53"/>
        <v>1.25</v>
      </c>
      <c r="E142" s="135">
        <f t="shared" si="53"/>
        <v>1.25</v>
      </c>
      <c r="F142" s="135">
        <f t="shared" si="53"/>
        <v>1.25</v>
      </c>
      <c r="G142" s="135">
        <f t="shared" si="53"/>
        <v>1.25</v>
      </c>
      <c r="H142" s="135">
        <f t="shared" si="53"/>
        <v>1.25</v>
      </c>
      <c r="I142" s="135">
        <f t="shared" si="53"/>
        <v>1.25</v>
      </c>
      <c r="J142" s="135">
        <f t="shared" si="53"/>
        <v>1.25</v>
      </c>
      <c r="K142" s="135">
        <f t="shared" si="53"/>
        <v>1.25</v>
      </c>
      <c r="L142" s="135">
        <f t="shared" si="53"/>
        <v>1.25</v>
      </c>
      <c r="M142" s="135">
        <f t="shared" si="53"/>
        <v>1.25</v>
      </c>
      <c r="N142" s="135">
        <f t="shared" si="53"/>
        <v>1.25</v>
      </c>
      <c r="O142" s="135">
        <f t="shared" si="53"/>
        <v>1.25</v>
      </c>
      <c r="P142" s="135">
        <f t="shared" si="53"/>
        <v>1.25</v>
      </c>
      <c r="Q142" s="135">
        <f t="shared" si="53"/>
        <v>1.25</v>
      </c>
      <c r="R142" s="135">
        <f t="shared" si="53"/>
        <v>1.25</v>
      </c>
      <c r="S142" s="135">
        <f t="shared" si="53"/>
        <v>1.25</v>
      </c>
      <c r="T142" s="135">
        <f t="shared" si="54"/>
        <v>1.25</v>
      </c>
      <c r="U142" s="135">
        <f t="shared" si="54"/>
        <v>1.25</v>
      </c>
      <c r="V142" s="135">
        <f t="shared" si="54"/>
        <v>1.25</v>
      </c>
      <c r="W142" s="135">
        <f t="shared" si="54"/>
        <v>1.25</v>
      </c>
      <c r="X142" s="135">
        <f t="shared" si="54"/>
        <v>1.25</v>
      </c>
      <c r="Y142" s="135">
        <f t="shared" si="54"/>
        <v>1.25</v>
      </c>
      <c r="Z142" s="135">
        <f t="shared" si="54"/>
        <v>1.25</v>
      </c>
      <c r="AA142" s="135">
        <f t="shared" si="54"/>
        <v>1.25</v>
      </c>
      <c r="AB142" s="135">
        <f t="shared" si="54"/>
        <v>1.25</v>
      </c>
      <c r="AC142" s="135">
        <f t="shared" si="54"/>
        <v>1.25</v>
      </c>
      <c r="AD142" s="135">
        <f t="shared" si="54"/>
        <v>1.25</v>
      </c>
      <c r="AE142" s="135">
        <f t="shared" si="54"/>
        <v>1.25</v>
      </c>
      <c r="AF142" s="135">
        <f t="shared" si="54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52"/>
        <v>1.46</v>
      </c>
      <c r="C143" s="136">
        <v>1.46</v>
      </c>
      <c r="D143" s="135">
        <f t="shared" si="53"/>
        <v>1.46</v>
      </c>
      <c r="E143" s="135">
        <f t="shared" si="53"/>
        <v>1.46</v>
      </c>
      <c r="F143" s="135">
        <f t="shared" si="53"/>
        <v>1.46</v>
      </c>
      <c r="G143" s="135">
        <f t="shared" si="53"/>
        <v>1.46</v>
      </c>
      <c r="H143" s="135">
        <f t="shared" si="53"/>
        <v>1.46</v>
      </c>
      <c r="I143" s="135">
        <f t="shared" si="53"/>
        <v>1.46</v>
      </c>
      <c r="J143" s="135">
        <f t="shared" si="53"/>
        <v>1.46</v>
      </c>
      <c r="K143" s="135">
        <f t="shared" si="53"/>
        <v>1.46</v>
      </c>
      <c r="L143" s="135">
        <f t="shared" si="53"/>
        <v>1.46</v>
      </c>
      <c r="M143" s="135">
        <f t="shared" si="53"/>
        <v>1.46</v>
      </c>
      <c r="N143" s="135">
        <f t="shared" si="53"/>
        <v>1.46</v>
      </c>
      <c r="O143" s="135">
        <f t="shared" si="53"/>
        <v>1.46</v>
      </c>
      <c r="P143" s="135">
        <f t="shared" si="53"/>
        <v>1.46</v>
      </c>
      <c r="Q143" s="135">
        <f t="shared" si="53"/>
        <v>1.46</v>
      </c>
      <c r="R143" s="135">
        <f t="shared" si="53"/>
        <v>1.46</v>
      </c>
      <c r="S143" s="135">
        <f t="shared" si="53"/>
        <v>1.46</v>
      </c>
      <c r="T143" s="135">
        <f t="shared" si="54"/>
        <v>1.46</v>
      </c>
      <c r="U143" s="135">
        <f t="shared" si="54"/>
        <v>1.46</v>
      </c>
      <c r="V143" s="135">
        <f t="shared" si="54"/>
        <v>1.46</v>
      </c>
      <c r="W143" s="135">
        <f t="shared" si="54"/>
        <v>1.46</v>
      </c>
      <c r="X143" s="135">
        <f t="shared" si="54"/>
        <v>1.46</v>
      </c>
      <c r="Y143" s="135">
        <f t="shared" si="54"/>
        <v>1.46</v>
      </c>
      <c r="Z143" s="135">
        <f t="shared" si="54"/>
        <v>1.46</v>
      </c>
      <c r="AA143" s="135">
        <f t="shared" si="54"/>
        <v>1.46</v>
      </c>
      <c r="AB143" s="135">
        <f t="shared" si="54"/>
        <v>1.46</v>
      </c>
      <c r="AC143" s="135">
        <f t="shared" si="54"/>
        <v>1.46</v>
      </c>
      <c r="AD143" s="135">
        <f t="shared" si="54"/>
        <v>1.46</v>
      </c>
      <c r="AE143" s="135">
        <f t="shared" si="54"/>
        <v>1.46</v>
      </c>
      <c r="AF143" s="135">
        <f t="shared" si="54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52"/>
        <v>3</v>
      </c>
      <c r="C144" s="136">
        <v>3</v>
      </c>
      <c r="D144" s="135">
        <f t="shared" si="53"/>
        <v>3</v>
      </c>
      <c r="E144" s="135">
        <f t="shared" si="53"/>
        <v>3</v>
      </c>
      <c r="F144" s="135">
        <f t="shared" si="53"/>
        <v>3</v>
      </c>
      <c r="G144" s="135">
        <f t="shared" si="53"/>
        <v>3</v>
      </c>
      <c r="H144" s="135">
        <f t="shared" si="53"/>
        <v>3</v>
      </c>
      <c r="I144" s="135">
        <f t="shared" si="53"/>
        <v>3</v>
      </c>
      <c r="J144" s="135">
        <f t="shared" si="53"/>
        <v>3</v>
      </c>
      <c r="K144" s="135">
        <f t="shared" si="53"/>
        <v>3</v>
      </c>
      <c r="L144" s="135">
        <f t="shared" si="53"/>
        <v>3</v>
      </c>
      <c r="M144" s="135">
        <f t="shared" si="53"/>
        <v>3</v>
      </c>
      <c r="N144" s="135">
        <f t="shared" si="53"/>
        <v>3</v>
      </c>
      <c r="O144" s="135">
        <f t="shared" si="53"/>
        <v>3</v>
      </c>
      <c r="P144" s="135">
        <f t="shared" si="53"/>
        <v>3</v>
      </c>
      <c r="Q144" s="135">
        <f t="shared" si="53"/>
        <v>3</v>
      </c>
      <c r="R144" s="135">
        <f t="shared" si="53"/>
        <v>3</v>
      </c>
      <c r="S144" s="135">
        <f t="shared" si="53"/>
        <v>3</v>
      </c>
      <c r="T144" s="135">
        <f t="shared" si="54"/>
        <v>3</v>
      </c>
      <c r="U144" s="135">
        <f t="shared" si="54"/>
        <v>3</v>
      </c>
      <c r="V144" s="135">
        <f t="shared" si="54"/>
        <v>3</v>
      </c>
      <c r="W144" s="135">
        <f t="shared" si="54"/>
        <v>3</v>
      </c>
      <c r="X144" s="135">
        <f t="shared" si="54"/>
        <v>3</v>
      </c>
      <c r="Y144" s="135">
        <f t="shared" si="54"/>
        <v>3</v>
      </c>
      <c r="Z144" s="135">
        <f t="shared" si="54"/>
        <v>3</v>
      </c>
      <c r="AA144" s="135">
        <f t="shared" si="54"/>
        <v>3</v>
      </c>
      <c r="AB144" s="135">
        <f t="shared" si="54"/>
        <v>3</v>
      </c>
      <c r="AC144" s="135">
        <f t="shared" si="54"/>
        <v>3</v>
      </c>
      <c r="AD144" s="135">
        <f t="shared" si="54"/>
        <v>3</v>
      </c>
      <c r="AE144" s="135">
        <f t="shared" si="54"/>
        <v>3</v>
      </c>
      <c r="AF144" s="135">
        <f t="shared" si="54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52"/>
        <v>3.3</v>
      </c>
      <c r="C145" s="136">
        <v>3.3</v>
      </c>
      <c r="D145" s="135">
        <f t="shared" si="53"/>
        <v>3.3</v>
      </c>
      <c r="E145" s="135">
        <f t="shared" si="53"/>
        <v>3.3</v>
      </c>
      <c r="F145" s="135">
        <f t="shared" si="53"/>
        <v>3.3</v>
      </c>
      <c r="G145" s="135">
        <f t="shared" si="53"/>
        <v>3.3</v>
      </c>
      <c r="H145" s="135">
        <f t="shared" si="53"/>
        <v>3.3</v>
      </c>
      <c r="I145" s="135">
        <f t="shared" si="53"/>
        <v>3.3</v>
      </c>
      <c r="J145" s="135">
        <f t="shared" si="53"/>
        <v>3.3</v>
      </c>
      <c r="K145" s="135">
        <f t="shared" si="53"/>
        <v>3.3</v>
      </c>
      <c r="L145" s="135">
        <f t="shared" si="53"/>
        <v>3.3</v>
      </c>
      <c r="M145" s="135">
        <f t="shared" si="53"/>
        <v>3.3</v>
      </c>
      <c r="N145" s="135">
        <f t="shared" si="53"/>
        <v>3.3</v>
      </c>
      <c r="O145" s="135">
        <f t="shared" si="53"/>
        <v>3.3</v>
      </c>
      <c r="P145" s="135">
        <f t="shared" si="53"/>
        <v>3.3</v>
      </c>
      <c r="Q145" s="135">
        <f t="shared" si="53"/>
        <v>3.3</v>
      </c>
      <c r="R145" s="135">
        <f t="shared" si="53"/>
        <v>3.3</v>
      </c>
      <c r="S145" s="135">
        <f t="shared" si="53"/>
        <v>3.3</v>
      </c>
      <c r="T145" s="135">
        <f t="shared" si="54"/>
        <v>3.3</v>
      </c>
      <c r="U145" s="135">
        <f t="shared" si="54"/>
        <v>3.3</v>
      </c>
      <c r="V145" s="135">
        <f t="shared" si="54"/>
        <v>3.3</v>
      </c>
      <c r="W145" s="135">
        <f t="shared" si="54"/>
        <v>3.3</v>
      </c>
      <c r="X145" s="135">
        <f t="shared" si="54"/>
        <v>3.3</v>
      </c>
      <c r="Y145" s="135">
        <f t="shared" si="54"/>
        <v>3.3</v>
      </c>
      <c r="Z145" s="135">
        <f t="shared" si="54"/>
        <v>3.3</v>
      </c>
      <c r="AA145" s="135">
        <f t="shared" si="54"/>
        <v>3.3</v>
      </c>
      <c r="AB145" s="135">
        <f t="shared" si="54"/>
        <v>3.3</v>
      </c>
      <c r="AC145" s="135">
        <f t="shared" si="54"/>
        <v>3.3</v>
      </c>
      <c r="AD145" s="135">
        <f t="shared" si="54"/>
        <v>3.3</v>
      </c>
      <c r="AE145" s="135">
        <f t="shared" si="54"/>
        <v>3.3</v>
      </c>
      <c r="AF145" s="135">
        <f t="shared" si="54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55">C147</f>
        <v>1.76</v>
      </c>
      <c r="E147" s="135">
        <f t="shared" si="55"/>
        <v>1.76</v>
      </c>
      <c r="F147" s="135">
        <f t="shared" si="55"/>
        <v>1.76</v>
      </c>
      <c r="G147" s="135">
        <f t="shared" si="55"/>
        <v>1.76</v>
      </c>
      <c r="H147" s="135">
        <f t="shared" si="55"/>
        <v>1.76</v>
      </c>
      <c r="I147" s="135">
        <f t="shared" si="55"/>
        <v>1.76</v>
      </c>
      <c r="J147" s="135">
        <f t="shared" si="55"/>
        <v>1.76</v>
      </c>
      <c r="K147" s="135">
        <f t="shared" si="55"/>
        <v>1.76</v>
      </c>
      <c r="L147" s="135">
        <f t="shared" si="55"/>
        <v>1.76</v>
      </c>
      <c r="M147" s="135">
        <f t="shared" si="55"/>
        <v>1.76</v>
      </c>
      <c r="N147" s="135">
        <f t="shared" si="55"/>
        <v>1.76</v>
      </c>
      <c r="O147" s="135">
        <f t="shared" si="55"/>
        <v>1.76</v>
      </c>
      <c r="P147" s="135">
        <f t="shared" si="55"/>
        <v>1.76</v>
      </c>
      <c r="Q147" s="135">
        <f t="shared" si="55"/>
        <v>1.76</v>
      </c>
      <c r="R147" s="135">
        <f t="shared" si="55"/>
        <v>1.76</v>
      </c>
      <c r="S147" s="135">
        <f t="shared" si="55"/>
        <v>1.76</v>
      </c>
      <c r="T147" s="135">
        <f t="shared" ref="T147:AF148" si="56">S147</f>
        <v>1.76</v>
      </c>
      <c r="U147" s="135">
        <f t="shared" si="56"/>
        <v>1.76</v>
      </c>
      <c r="V147" s="135">
        <f t="shared" si="56"/>
        <v>1.76</v>
      </c>
      <c r="W147" s="135">
        <f t="shared" si="56"/>
        <v>1.76</v>
      </c>
      <c r="X147" s="135">
        <f t="shared" si="56"/>
        <v>1.76</v>
      </c>
      <c r="Y147" s="135">
        <f t="shared" si="56"/>
        <v>1.76</v>
      </c>
      <c r="Z147" s="135">
        <f t="shared" si="56"/>
        <v>1.76</v>
      </c>
      <c r="AA147" s="135">
        <f t="shared" si="56"/>
        <v>1.76</v>
      </c>
      <c r="AB147" s="135">
        <f t="shared" si="56"/>
        <v>1.76</v>
      </c>
      <c r="AC147" s="135">
        <f t="shared" si="56"/>
        <v>1.76</v>
      </c>
      <c r="AD147" s="135">
        <f t="shared" si="56"/>
        <v>1.76</v>
      </c>
      <c r="AE147" s="135">
        <f t="shared" si="56"/>
        <v>1.76</v>
      </c>
      <c r="AF147" s="135">
        <f t="shared" si="56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55"/>
        <v>0</v>
      </c>
      <c r="E148" s="135">
        <f t="shared" si="55"/>
        <v>0</v>
      </c>
      <c r="F148" s="135">
        <f t="shared" si="55"/>
        <v>0</v>
      </c>
      <c r="G148" s="135">
        <f t="shared" si="55"/>
        <v>0</v>
      </c>
      <c r="H148" s="135">
        <f t="shared" si="55"/>
        <v>0</v>
      </c>
      <c r="I148" s="135">
        <f t="shared" si="55"/>
        <v>0</v>
      </c>
      <c r="J148" s="135">
        <f t="shared" si="55"/>
        <v>0</v>
      </c>
      <c r="K148" s="135">
        <f t="shared" si="55"/>
        <v>0</v>
      </c>
      <c r="L148" s="135">
        <f t="shared" si="55"/>
        <v>0</v>
      </c>
      <c r="M148" s="135">
        <f t="shared" si="55"/>
        <v>0</v>
      </c>
      <c r="N148" s="135">
        <f t="shared" si="55"/>
        <v>0</v>
      </c>
      <c r="O148" s="135">
        <f t="shared" si="55"/>
        <v>0</v>
      </c>
      <c r="P148" s="135">
        <f t="shared" si="55"/>
        <v>0</v>
      </c>
      <c r="Q148" s="135">
        <f t="shared" si="55"/>
        <v>0</v>
      </c>
      <c r="R148" s="135">
        <f t="shared" si="55"/>
        <v>0</v>
      </c>
      <c r="S148" s="135">
        <f t="shared" si="55"/>
        <v>0</v>
      </c>
      <c r="T148" s="135">
        <f t="shared" si="56"/>
        <v>0</v>
      </c>
      <c r="U148" s="135">
        <f t="shared" si="56"/>
        <v>0</v>
      </c>
      <c r="V148" s="135">
        <f t="shared" si="56"/>
        <v>0</v>
      </c>
      <c r="W148" s="135">
        <f t="shared" si="56"/>
        <v>0</v>
      </c>
      <c r="X148" s="135">
        <f t="shared" si="56"/>
        <v>0</v>
      </c>
      <c r="Y148" s="135">
        <f t="shared" si="56"/>
        <v>0</v>
      </c>
      <c r="Z148" s="135">
        <f t="shared" si="56"/>
        <v>0</v>
      </c>
      <c r="AA148" s="135">
        <f t="shared" si="56"/>
        <v>0</v>
      </c>
      <c r="AB148" s="135">
        <f t="shared" si="56"/>
        <v>0</v>
      </c>
      <c r="AC148" s="135">
        <f t="shared" si="56"/>
        <v>0</v>
      </c>
      <c r="AD148" s="135">
        <f t="shared" si="56"/>
        <v>0</v>
      </c>
      <c r="AE148" s="135">
        <f t="shared" si="56"/>
        <v>0</v>
      </c>
      <c r="AF148" s="135">
        <f t="shared" si="56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57">C150</f>
        <v>0.1</v>
      </c>
      <c r="E150" s="135">
        <f t="shared" si="57"/>
        <v>0.1</v>
      </c>
      <c r="F150" s="135">
        <f t="shared" si="57"/>
        <v>0.1</v>
      </c>
      <c r="G150" s="135">
        <f t="shared" si="57"/>
        <v>0.1</v>
      </c>
      <c r="H150" s="135">
        <f t="shared" si="57"/>
        <v>0.1</v>
      </c>
      <c r="I150" s="135">
        <f t="shared" si="57"/>
        <v>0.1</v>
      </c>
      <c r="J150" s="135">
        <f t="shared" si="57"/>
        <v>0.1</v>
      </c>
      <c r="K150" s="135">
        <f t="shared" si="57"/>
        <v>0.1</v>
      </c>
      <c r="L150" s="135">
        <f t="shared" si="57"/>
        <v>0.1</v>
      </c>
      <c r="M150" s="135">
        <f t="shared" si="57"/>
        <v>0.1</v>
      </c>
      <c r="N150" s="135">
        <f t="shared" si="57"/>
        <v>0.1</v>
      </c>
      <c r="O150" s="135">
        <f t="shared" si="57"/>
        <v>0.1</v>
      </c>
      <c r="P150" s="135">
        <f t="shared" si="57"/>
        <v>0.1</v>
      </c>
      <c r="Q150" s="135">
        <f t="shared" si="57"/>
        <v>0.1</v>
      </c>
      <c r="R150" s="135">
        <f t="shared" si="57"/>
        <v>0.1</v>
      </c>
      <c r="S150" s="135">
        <f t="shared" si="57"/>
        <v>0.1</v>
      </c>
      <c r="T150" s="135">
        <f t="shared" ref="T150:AF153" si="58">S150</f>
        <v>0.1</v>
      </c>
      <c r="U150" s="135">
        <f t="shared" si="58"/>
        <v>0.1</v>
      </c>
      <c r="V150" s="135">
        <f t="shared" si="58"/>
        <v>0.1</v>
      </c>
      <c r="W150" s="135">
        <f t="shared" si="58"/>
        <v>0.1</v>
      </c>
      <c r="X150" s="135">
        <f t="shared" si="58"/>
        <v>0.1</v>
      </c>
      <c r="Y150" s="135">
        <f t="shared" si="58"/>
        <v>0.1</v>
      </c>
      <c r="Z150" s="135">
        <f t="shared" si="58"/>
        <v>0.1</v>
      </c>
      <c r="AA150" s="135">
        <f t="shared" si="58"/>
        <v>0.1</v>
      </c>
      <c r="AB150" s="135">
        <f t="shared" si="58"/>
        <v>0.1</v>
      </c>
      <c r="AC150" s="135">
        <f t="shared" si="58"/>
        <v>0.1</v>
      </c>
      <c r="AD150" s="135">
        <f t="shared" si="58"/>
        <v>0.1</v>
      </c>
      <c r="AE150" s="135">
        <f t="shared" si="58"/>
        <v>0.1</v>
      </c>
      <c r="AF150" s="135">
        <f t="shared" si="58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57"/>
        <v>2.0499999999999998</v>
      </c>
      <c r="E151" s="135">
        <f t="shared" si="57"/>
        <v>2.0499999999999998</v>
      </c>
      <c r="F151" s="135">
        <f t="shared" si="57"/>
        <v>2.0499999999999998</v>
      </c>
      <c r="G151" s="135">
        <f t="shared" si="57"/>
        <v>2.0499999999999998</v>
      </c>
      <c r="H151" s="135">
        <f t="shared" si="57"/>
        <v>2.0499999999999998</v>
      </c>
      <c r="I151" s="135">
        <f t="shared" si="57"/>
        <v>2.0499999999999998</v>
      </c>
      <c r="J151" s="135">
        <f t="shared" si="57"/>
        <v>2.0499999999999998</v>
      </c>
      <c r="K151" s="135">
        <f t="shared" si="57"/>
        <v>2.0499999999999998</v>
      </c>
      <c r="L151" s="135">
        <f t="shared" si="57"/>
        <v>2.0499999999999998</v>
      </c>
      <c r="M151" s="135">
        <f t="shared" si="57"/>
        <v>2.0499999999999998</v>
      </c>
      <c r="N151" s="135">
        <f t="shared" si="57"/>
        <v>2.0499999999999998</v>
      </c>
      <c r="O151" s="135">
        <f t="shared" si="57"/>
        <v>2.0499999999999998</v>
      </c>
      <c r="P151" s="135">
        <f t="shared" si="57"/>
        <v>2.0499999999999998</v>
      </c>
      <c r="Q151" s="135">
        <f t="shared" si="57"/>
        <v>2.0499999999999998</v>
      </c>
      <c r="R151" s="135">
        <f t="shared" si="57"/>
        <v>2.0499999999999998</v>
      </c>
      <c r="S151" s="135">
        <f t="shared" si="57"/>
        <v>2.0499999999999998</v>
      </c>
      <c r="T151" s="135">
        <f t="shared" si="58"/>
        <v>2.0499999999999998</v>
      </c>
      <c r="U151" s="135">
        <f t="shared" si="58"/>
        <v>2.0499999999999998</v>
      </c>
      <c r="V151" s="135">
        <f t="shared" si="58"/>
        <v>2.0499999999999998</v>
      </c>
      <c r="W151" s="135">
        <f t="shared" si="58"/>
        <v>2.0499999999999998</v>
      </c>
      <c r="X151" s="135">
        <f t="shared" si="58"/>
        <v>2.0499999999999998</v>
      </c>
      <c r="Y151" s="135">
        <f t="shared" si="58"/>
        <v>2.0499999999999998</v>
      </c>
      <c r="Z151" s="135">
        <f t="shared" si="58"/>
        <v>2.0499999999999998</v>
      </c>
      <c r="AA151" s="135">
        <f t="shared" si="58"/>
        <v>2.0499999999999998</v>
      </c>
      <c r="AB151" s="135">
        <f t="shared" si="58"/>
        <v>2.0499999999999998</v>
      </c>
      <c r="AC151" s="135">
        <f t="shared" si="58"/>
        <v>2.0499999999999998</v>
      </c>
      <c r="AD151" s="135">
        <f t="shared" si="58"/>
        <v>2.0499999999999998</v>
      </c>
      <c r="AE151" s="135">
        <f t="shared" si="58"/>
        <v>2.0499999999999998</v>
      </c>
      <c r="AF151" s="135">
        <f t="shared" si="58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57"/>
        <v>2.7</v>
      </c>
      <c r="E152" s="135">
        <f t="shared" si="57"/>
        <v>2.7</v>
      </c>
      <c r="F152" s="135">
        <f t="shared" si="57"/>
        <v>2.7</v>
      </c>
      <c r="G152" s="135">
        <f t="shared" si="57"/>
        <v>2.7</v>
      </c>
      <c r="H152" s="135">
        <f t="shared" si="57"/>
        <v>2.7</v>
      </c>
      <c r="I152" s="135">
        <f t="shared" si="57"/>
        <v>2.7</v>
      </c>
      <c r="J152" s="135">
        <f t="shared" si="57"/>
        <v>2.7</v>
      </c>
      <c r="K152" s="135">
        <f t="shared" si="57"/>
        <v>2.7</v>
      </c>
      <c r="L152" s="135">
        <f t="shared" si="57"/>
        <v>2.7</v>
      </c>
      <c r="M152" s="135">
        <f t="shared" si="57"/>
        <v>2.7</v>
      </c>
      <c r="N152" s="135">
        <f t="shared" si="57"/>
        <v>2.7</v>
      </c>
      <c r="O152" s="135">
        <f t="shared" si="57"/>
        <v>2.7</v>
      </c>
      <c r="P152" s="135">
        <f t="shared" si="57"/>
        <v>2.7</v>
      </c>
      <c r="Q152" s="135">
        <f t="shared" si="57"/>
        <v>2.7</v>
      </c>
      <c r="R152" s="135">
        <f t="shared" si="57"/>
        <v>2.7</v>
      </c>
      <c r="S152" s="135">
        <f t="shared" si="57"/>
        <v>2.7</v>
      </c>
      <c r="T152" s="135">
        <f t="shared" si="58"/>
        <v>2.7</v>
      </c>
      <c r="U152" s="135">
        <f t="shared" si="58"/>
        <v>2.7</v>
      </c>
      <c r="V152" s="135">
        <f t="shared" si="58"/>
        <v>2.7</v>
      </c>
      <c r="W152" s="135">
        <f t="shared" si="58"/>
        <v>2.7</v>
      </c>
      <c r="X152" s="135">
        <f t="shared" si="58"/>
        <v>2.7</v>
      </c>
      <c r="Y152" s="135">
        <f t="shared" si="58"/>
        <v>2.7</v>
      </c>
      <c r="Z152" s="135">
        <f t="shared" si="58"/>
        <v>2.7</v>
      </c>
      <c r="AA152" s="135">
        <f t="shared" si="58"/>
        <v>2.7</v>
      </c>
      <c r="AB152" s="135">
        <f t="shared" si="58"/>
        <v>2.7</v>
      </c>
      <c r="AC152" s="135">
        <f t="shared" si="58"/>
        <v>2.7</v>
      </c>
      <c r="AD152" s="135">
        <f t="shared" si="58"/>
        <v>2.7</v>
      </c>
      <c r="AE152" s="135">
        <f t="shared" si="58"/>
        <v>2.7</v>
      </c>
      <c r="AF152" s="135">
        <f t="shared" si="58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57"/>
        <v>2.15</v>
      </c>
      <c r="E153" s="135">
        <f t="shared" si="57"/>
        <v>2.15</v>
      </c>
      <c r="F153" s="135">
        <f t="shared" si="57"/>
        <v>2.15</v>
      </c>
      <c r="G153" s="135">
        <f t="shared" si="57"/>
        <v>2.15</v>
      </c>
      <c r="H153" s="135">
        <f t="shared" si="57"/>
        <v>2.15</v>
      </c>
      <c r="I153" s="135">
        <f t="shared" si="57"/>
        <v>2.15</v>
      </c>
      <c r="J153" s="135">
        <f t="shared" si="57"/>
        <v>2.15</v>
      </c>
      <c r="K153" s="135">
        <f t="shared" si="57"/>
        <v>2.15</v>
      </c>
      <c r="L153" s="135">
        <f t="shared" si="57"/>
        <v>2.15</v>
      </c>
      <c r="M153" s="135">
        <f t="shared" si="57"/>
        <v>2.15</v>
      </c>
      <c r="N153" s="135">
        <f t="shared" si="57"/>
        <v>2.15</v>
      </c>
      <c r="O153" s="135">
        <f t="shared" si="57"/>
        <v>2.15</v>
      </c>
      <c r="P153" s="135">
        <f t="shared" si="57"/>
        <v>2.15</v>
      </c>
      <c r="Q153" s="135">
        <f t="shared" si="57"/>
        <v>2.15</v>
      </c>
      <c r="R153" s="135">
        <f t="shared" si="57"/>
        <v>2.15</v>
      </c>
      <c r="S153" s="135">
        <f t="shared" si="57"/>
        <v>2.15</v>
      </c>
      <c r="T153" s="135">
        <f t="shared" si="58"/>
        <v>2.15</v>
      </c>
      <c r="U153" s="135">
        <f t="shared" si="58"/>
        <v>2.15</v>
      </c>
      <c r="V153" s="135">
        <f t="shared" si="58"/>
        <v>2.15</v>
      </c>
      <c r="W153" s="135">
        <f t="shared" si="58"/>
        <v>2.15</v>
      </c>
      <c r="X153" s="135">
        <f t="shared" si="58"/>
        <v>2.15</v>
      </c>
      <c r="Y153" s="135">
        <f t="shared" si="58"/>
        <v>2.15</v>
      </c>
      <c r="Z153" s="135">
        <f t="shared" si="58"/>
        <v>2.15</v>
      </c>
      <c r="AA153" s="135">
        <f t="shared" si="58"/>
        <v>2.15</v>
      </c>
      <c r="AB153" s="135">
        <f t="shared" si="58"/>
        <v>2.15</v>
      </c>
      <c r="AC153" s="135">
        <f t="shared" si="58"/>
        <v>2.15</v>
      </c>
      <c r="AD153" s="135">
        <f t="shared" si="58"/>
        <v>2.15</v>
      </c>
      <c r="AE153" s="135">
        <f t="shared" si="58"/>
        <v>2.15</v>
      </c>
      <c r="AF153" s="135">
        <f t="shared" si="58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59">AF155</f>
        <v>0.9</v>
      </c>
      <c r="C155" s="136">
        <v>0.9</v>
      </c>
      <c r="D155" s="135">
        <f t="shared" ref="D155:S167" si="60">C155</f>
        <v>0.9</v>
      </c>
      <c r="E155" s="135">
        <f t="shared" si="60"/>
        <v>0.9</v>
      </c>
      <c r="F155" s="135">
        <f t="shared" si="60"/>
        <v>0.9</v>
      </c>
      <c r="G155" s="135">
        <f t="shared" si="60"/>
        <v>0.9</v>
      </c>
      <c r="H155" s="135">
        <f t="shared" si="60"/>
        <v>0.9</v>
      </c>
      <c r="I155" s="135">
        <f t="shared" si="60"/>
        <v>0.9</v>
      </c>
      <c r="J155" s="135">
        <f t="shared" si="60"/>
        <v>0.9</v>
      </c>
      <c r="K155" s="135">
        <f t="shared" si="60"/>
        <v>0.9</v>
      </c>
      <c r="L155" s="135">
        <f t="shared" si="60"/>
        <v>0.9</v>
      </c>
      <c r="M155" s="135">
        <f t="shared" si="60"/>
        <v>0.9</v>
      </c>
      <c r="N155" s="135">
        <f t="shared" si="60"/>
        <v>0.9</v>
      </c>
      <c r="O155" s="135">
        <f t="shared" si="60"/>
        <v>0.9</v>
      </c>
      <c r="P155" s="135">
        <f t="shared" si="60"/>
        <v>0.9</v>
      </c>
      <c r="Q155" s="135">
        <f t="shared" si="60"/>
        <v>0.9</v>
      </c>
      <c r="R155" s="135">
        <f t="shared" si="60"/>
        <v>0.9</v>
      </c>
      <c r="S155" s="135">
        <f t="shared" si="60"/>
        <v>0.9</v>
      </c>
      <c r="T155" s="135">
        <f t="shared" ref="S155:AF167" si="61">S155</f>
        <v>0.9</v>
      </c>
      <c r="U155" s="135">
        <f t="shared" si="61"/>
        <v>0.9</v>
      </c>
      <c r="V155" s="135">
        <f t="shared" si="61"/>
        <v>0.9</v>
      </c>
      <c r="W155" s="135">
        <f t="shared" si="61"/>
        <v>0.9</v>
      </c>
      <c r="X155" s="135">
        <f t="shared" si="61"/>
        <v>0.9</v>
      </c>
      <c r="Y155" s="135">
        <f t="shared" si="61"/>
        <v>0.9</v>
      </c>
      <c r="Z155" s="135">
        <f t="shared" si="61"/>
        <v>0.9</v>
      </c>
      <c r="AA155" s="135">
        <f t="shared" si="61"/>
        <v>0.9</v>
      </c>
      <c r="AB155" s="135">
        <f t="shared" si="61"/>
        <v>0.9</v>
      </c>
      <c r="AC155" s="135">
        <f t="shared" si="61"/>
        <v>0.9</v>
      </c>
      <c r="AD155" s="135">
        <f t="shared" si="61"/>
        <v>0.9</v>
      </c>
      <c r="AE155" s="135">
        <f t="shared" si="61"/>
        <v>0.9</v>
      </c>
      <c r="AF155" s="135">
        <f t="shared" si="61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59"/>
        <v>1.08</v>
      </c>
      <c r="C156" s="136">
        <v>1.08</v>
      </c>
      <c r="D156" s="135">
        <f t="shared" si="60"/>
        <v>1.08</v>
      </c>
      <c r="E156" s="135">
        <f t="shared" si="60"/>
        <v>1.08</v>
      </c>
      <c r="F156" s="135">
        <f t="shared" si="60"/>
        <v>1.08</v>
      </c>
      <c r="G156" s="135">
        <f t="shared" si="60"/>
        <v>1.08</v>
      </c>
      <c r="H156" s="135">
        <f t="shared" si="60"/>
        <v>1.08</v>
      </c>
      <c r="I156" s="135">
        <f t="shared" si="60"/>
        <v>1.08</v>
      </c>
      <c r="J156" s="135">
        <f t="shared" si="60"/>
        <v>1.08</v>
      </c>
      <c r="K156" s="135">
        <f t="shared" si="60"/>
        <v>1.08</v>
      </c>
      <c r="L156" s="135">
        <f t="shared" si="60"/>
        <v>1.08</v>
      </c>
      <c r="M156" s="135">
        <f t="shared" si="60"/>
        <v>1.08</v>
      </c>
      <c r="N156" s="135">
        <f t="shared" si="60"/>
        <v>1.08</v>
      </c>
      <c r="O156" s="135">
        <f t="shared" si="60"/>
        <v>1.08</v>
      </c>
      <c r="P156" s="135">
        <f t="shared" si="60"/>
        <v>1.08</v>
      </c>
      <c r="Q156" s="135">
        <f t="shared" si="60"/>
        <v>1.08</v>
      </c>
      <c r="R156" s="135">
        <f t="shared" si="60"/>
        <v>1.08</v>
      </c>
      <c r="S156" s="135">
        <f t="shared" si="60"/>
        <v>1.08</v>
      </c>
      <c r="T156" s="135">
        <f t="shared" si="61"/>
        <v>1.08</v>
      </c>
      <c r="U156" s="135">
        <f t="shared" si="61"/>
        <v>1.08</v>
      </c>
      <c r="V156" s="135">
        <f t="shared" si="61"/>
        <v>1.08</v>
      </c>
      <c r="W156" s="135">
        <f t="shared" si="61"/>
        <v>1.08</v>
      </c>
      <c r="X156" s="135">
        <f t="shared" si="61"/>
        <v>1.08</v>
      </c>
      <c r="Y156" s="135">
        <f t="shared" si="61"/>
        <v>1.08</v>
      </c>
      <c r="Z156" s="135">
        <f t="shared" si="61"/>
        <v>1.08</v>
      </c>
      <c r="AA156" s="135">
        <f t="shared" si="61"/>
        <v>1.08</v>
      </c>
      <c r="AB156" s="135">
        <f t="shared" si="61"/>
        <v>1.08</v>
      </c>
      <c r="AC156" s="135">
        <f t="shared" si="61"/>
        <v>1.08</v>
      </c>
      <c r="AD156" s="135">
        <f t="shared" si="61"/>
        <v>1.08</v>
      </c>
      <c r="AE156" s="135">
        <f t="shared" si="61"/>
        <v>1.08</v>
      </c>
      <c r="AF156" s="135">
        <f t="shared" si="61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59"/>
        <v>2.37</v>
      </c>
      <c r="C157" s="136">
        <v>2.37</v>
      </c>
      <c r="D157" s="135">
        <f t="shared" si="60"/>
        <v>2.37</v>
      </c>
      <c r="E157" s="135">
        <f t="shared" si="60"/>
        <v>2.37</v>
      </c>
      <c r="F157" s="135">
        <f t="shared" si="60"/>
        <v>2.37</v>
      </c>
      <c r="G157" s="135">
        <f t="shared" si="60"/>
        <v>2.37</v>
      </c>
      <c r="H157" s="135">
        <f t="shared" si="60"/>
        <v>2.37</v>
      </c>
      <c r="I157" s="135">
        <f t="shared" si="60"/>
        <v>2.37</v>
      </c>
      <c r="J157" s="135">
        <f t="shared" si="60"/>
        <v>2.37</v>
      </c>
      <c r="K157" s="135">
        <f t="shared" si="60"/>
        <v>2.37</v>
      </c>
      <c r="L157" s="135">
        <f t="shared" si="60"/>
        <v>2.37</v>
      </c>
      <c r="M157" s="135">
        <f t="shared" si="60"/>
        <v>2.37</v>
      </c>
      <c r="N157" s="135">
        <f t="shared" si="60"/>
        <v>2.37</v>
      </c>
      <c r="O157" s="135">
        <f t="shared" si="60"/>
        <v>2.37</v>
      </c>
      <c r="P157" s="135">
        <f t="shared" si="60"/>
        <v>2.37</v>
      </c>
      <c r="Q157" s="135">
        <f t="shared" si="60"/>
        <v>2.37</v>
      </c>
      <c r="R157" s="135">
        <f t="shared" si="60"/>
        <v>2.37</v>
      </c>
      <c r="S157" s="135">
        <f t="shared" si="60"/>
        <v>2.37</v>
      </c>
      <c r="T157" s="135">
        <f t="shared" si="61"/>
        <v>2.37</v>
      </c>
      <c r="U157" s="135">
        <f t="shared" si="61"/>
        <v>2.37</v>
      </c>
      <c r="V157" s="135">
        <f t="shared" si="61"/>
        <v>2.37</v>
      </c>
      <c r="W157" s="135">
        <f t="shared" si="61"/>
        <v>2.37</v>
      </c>
      <c r="X157" s="135">
        <f t="shared" si="61"/>
        <v>2.37</v>
      </c>
      <c r="Y157" s="135">
        <f t="shared" si="61"/>
        <v>2.37</v>
      </c>
      <c r="Z157" s="135">
        <f t="shared" si="61"/>
        <v>2.37</v>
      </c>
      <c r="AA157" s="135">
        <f t="shared" si="61"/>
        <v>2.37</v>
      </c>
      <c r="AB157" s="135">
        <f t="shared" si="61"/>
        <v>2.37</v>
      </c>
      <c r="AC157" s="135">
        <f t="shared" si="61"/>
        <v>2.37</v>
      </c>
      <c r="AD157" s="135">
        <f t="shared" si="61"/>
        <v>2.37</v>
      </c>
      <c r="AE157" s="135">
        <f t="shared" si="61"/>
        <v>2.37</v>
      </c>
      <c r="AF157" s="135">
        <f t="shared" si="61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59"/>
        <v>1.81</v>
      </c>
      <c r="C158" s="136">
        <v>1.81</v>
      </c>
      <c r="D158" s="135">
        <f t="shared" si="60"/>
        <v>1.81</v>
      </c>
      <c r="E158" s="135">
        <f t="shared" si="60"/>
        <v>1.81</v>
      </c>
      <c r="F158" s="135">
        <f t="shared" si="60"/>
        <v>1.81</v>
      </c>
      <c r="G158" s="135">
        <f t="shared" si="60"/>
        <v>1.81</v>
      </c>
      <c r="H158" s="135">
        <f t="shared" si="60"/>
        <v>1.81</v>
      </c>
      <c r="I158" s="135">
        <f t="shared" si="60"/>
        <v>1.81</v>
      </c>
      <c r="J158" s="135">
        <f t="shared" si="60"/>
        <v>1.81</v>
      </c>
      <c r="K158" s="135">
        <f t="shared" si="60"/>
        <v>1.81</v>
      </c>
      <c r="L158" s="135">
        <f t="shared" si="60"/>
        <v>1.81</v>
      </c>
      <c r="M158" s="135">
        <f t="shared" si="60"/>
        <v>1.81</v>
      </c>
      <c r="N158" s="135">
        <f t="shared" si="60"/>
        <v>1.81</v>
      </c>
      <c r="O158" s="135">
        <f t="shared" si="60"/>
        <v>1.81</v>
      </c>
      <c r="P158" s="135">
        <f t="shared" si="60"/>
        <v>1.81</v>
      </c>
      <c r="Q158" s="135">
        <f t="shared" si="60"/>
        <v>1.81</v>
      </c>
      <c r="R158" s="135">
        <f t="shared" si="60"/>
        <v>1.81</v>
      </c>
      <c r="S158" s="135">
        <f t="shared" si="60"/>
        <v>1.81</v>
      </c>
      <c r="T158" s="135">
        <f t="shared" si="61"/>
        <v>1.81</v>
      </c>
      <c r="U158" s="135">
        <f t="shared" si="61"/>
        <v>1.81</v>
      </c>
      <c r="V158" s="135">
        <f t="shared" si="61"/>
        <v>1.81</v>
      </c>
      <c r="W158" s="135">
        <f t="shared" si="61"/>
        <v>1.81</v>
      </c>
      <c r="X158" s="135">
        <f t="shared" si="61"/>
        <v>1.81</v>
      </c>
      <c r="Y158" s="135">
        <f t="shared" si="61"/>
        <v>1.81</v>
      </c>
      <c r="Z158" s="135">
        <f t="shared" si="61"/>
        <v>1.81</v>
      </c>
      <c r="AA158" s="135">
        <f t="shared" si="61"/>
        <v>1.81</v>
      </c>
      <c r="AB158" s="135">
        <f t="shared" si="61"/>
        <v>1.81</v>
      </c>
      <c r="AC158" s="135">
        <f t="shared" si="61"/>
        <v>1.81</v>
      </c>
      <c r="AD158" s="135">
        <f t="shared" si="61"/>
        <v>1.81</v>
      </c>
      <c r="AE158" s="135">
        <f t="shared" si="61"/>
        <v>1.81</v>
      </c>
      <c r="AF158" s="135">
        <f t="shared" si="61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59"/>
        <v>1.0900000000000001</v>
      </c>
      <c r="C159" s="136">
        <v>1.0900000000000001</v>
      </c>
      <c r="D159" s="135">
        <f t="shared" si="60"/>
        <v>1.0900000000000001</v>
      </c>
      <c r="E159" s="135">
        <f t="shared" si="60"/>
        <v>1.0900000000000001</v>
      </c>
      <c r="F159" s="135">
        <f t="shared" si="60"/>
        <v>1.0900000000000001</v>
      </c>
      <c r="G159" s="135">
        <f t="shared" si="60"/>
        <v>1.0900000000000001</v>
      </c>
      <c r="H159" s="135">
        <f t="shared" si="60"/>
        <v>1.0900000000000001</v>
      </c>
      <c r="I159" s="135">
        <f t="shared" si="60"/>
        <v>1.0900000000000001</v>
      </c>
      <c r="J159" s="135">
        <f t="shared" si="60"/>
        <v>1.0900000000000001</v>
      </c>
      <c r="K159" s="135">
        <f t="shared" si="60"/>
        <v>1.0900000000000001</v>
      </c>
      <c r="L159" s="135">
        <f t="shared" si="60"/>
        <v>1.0900000000000001</v>
      </c>
      <c r="M159" s="135">
        <f t="shared" si="60"/>
        <v>1.0900000000000001</v>
      </c>
      <c r="N159" s="135">
        <f t="shared" si="60"/>
        <v>1.0900000000000001</v>
      </c>
      <c r="O159" s="135">
        <f t="shared" si="60"/>
        <v>1.0900000000000001</v>
      </c>
      <c r="P159" s="135">
        <f t="shared" si="60"/>
        <v>1.0900000000000001</v>
      </c>
      <c r="Q159" s="135">
        <f t="shared" si="60"/>
        <v>1.0900000000000001</v>
      </c>
      <c r="R159" s="135">
        <f t="shared" si="60"/>
        <v>1.0900000000000001</v>
      </c>
      <c r="S159" s="135">
        <f t="shared" si="60"/>
        <v>1.0900000000000001</v>
      </c>
      <c r="T159" s="135">
        <f t="shared" si="61"/>
        <v>1.0900000000000001</v>
      </c>
      <c r="U159" s="135">
        <f t="shared" si="61"/>
        <v>1.0900000000000001</v>
      </c>
      <c r="V159" s="135">
        <f t="shared" si="61"/>
        <v>1.0900000000000001</v>
      </c>
      <c r="W159" s="135">
        <f t="shared" si="61"/>
        <v>1.0900000000000001</v>
      </c>
      <c r="X159" s="135">
        <f t="shared" si="61"/>
        <v>1.0900000000000001</v>
      </c>
      <c r="Y159" s="135">
        <f t="shared" si="61"/>
        <v>1.0900000000000001</v>
      </c>
      <c r="Z159" s="135">
        <f t="shared" si="61"/>
        <v>1.0900000000000001</v>
      </c>
      <c r="AA159" s="135">
        <f t="shared" si="61"/>
        <v>1.0900000000000001</v>
      </c>
      <c r="AB159" s="135">
        <f t="shared" si="61"/>
        <v>1.0900000000000001</v>
      </c>
      <c r="AC159" s="135">
        <f t="shared" si="61"/>
        <v>1.0900000000000001</v>
      </c>
      <c r="AD159" s="135">
        <f t="shared" si="61"/>
        <v>1.0900000000000001</v>
      </c>
      <c r="AE159" s="135">
        <f t="shared" si="61"/>
        <v>1.0900000000000001</v>
      </c>
      <c r="AF159" s="135">
        <f t="shared" si="61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59"/>
        <v>1.58</v>
      </c>
      <c r="C160" s="136">
        <v>1.58</v>
      </c>
      <c r="D160" s="135">
        <f t="shared" si="60"/>
        <v>1.58</v>
      </c>
      <c r="E160" s="135">
        <f t="shared" si="60"/>
        <v>1.58</v>
      </c>
      <c r="F160" s="135">
        <f t="shared" si="60"/>
        <v>1.58</v>
      </c>
      <c r="G160" s="135">
        <f t="shared" si="60"/>
        <v>1.58</v>
      </c>
      <c r="H160" s="135">
        <f t="shared" si="60"/>
        <v>1.58</v>
      </c>
      <c r="I160" s="135">
        <f t="shared" si="60"/>
        <v>1.58</v>
      </c>
      <c r="J160" s="135">
        <f t="shared" si="60"/>
        <v>1.58</v>
      </c>
      <c r="K160" s="135">
        <f t="shared" si="60"/>
        <v>1.58</v>
      </c>
      <c r="L160" s="135">
        <f t="shared" si="60"/>
        <v>1.58</v>
      </c>
      <c r="M160" s="135">
        <f t="shared" si="60"/>
        <v>1.58</v>
      </c>
      <c r="N160" s="135">
        <f t="shared" si="60"/>
        <v>1.58</v>
      </c>
      <c r="O160" s="135">
        <f t="shared" si="60"/>
        <v>1.58</v>
      </c>
      <c r="P160" s="135">
        <f t="shared" si="60"/>
        <v>1.58</v>
      </c>
      <c r="Q160" s="135">
        <f t="shared" si="60"/>
        <v>1.58</v>
      </c>
      <c r="R160" s="135">
        <f t="shared" si="60"/>
        <v>1.58</v>
      </c>
      <c r="S160" s="135">
        <f t="shared" si="60"/>
        <v>1.58</v>
      </c>
      <c r="T160" s="135">
        <f t="shared" si="61"/>
        <v>1.58</v>
      </c>
      <c r="U160" s="135">
        <f t="shared" si="61"/>
        <v>1.58</v>
      </c>
      <c r="V160" s="135">
        <f t="shared" si="61"/>
        <v>1.58</v>
      </c>
      <c r="W160" s="135">
        <f t="shared" si="61"/>
        <v>1.58</v>
      </c>
      <c r="X160" s="135">
        <f t="shared" si="61"/>
        <v>1.58</v>
      </c>
      <c r="Y160" s="135">
        <f t="shared" si="61"/>
        <v>1.58</v>
      </c>
      <c r="Z160" s="135">
        <f t="shared" si="61"/>
        <v>1.58</v>
      </c>
      <c r="AA160" s="135">
        <f t="shared" si="61"/>
        <v>1.58</v>
      </c>
      <c r="AB160" s="135">
        <f t="shared" si="61"/>
        <v>1.58</v>
      </c>
      <c r="AC160" s="135">
        <f t="shared" si="61"/>
        <v>1.58</v>
      </c>
      <c r="AD160" s="135">
        <f t="shared" si="61"/>
        <v>1.58</v>
      </c>
      <c r="AE160" s="135">
        <f t="shared" si="61"/>
        <v>1.58</v>
      </c>
      <c r="AF160" s="135">
        <f t="shared" si="61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59"/>
        <v>2</v>
      </c>
      <c r="C161" s="136">
        <v>2</v>
      </c>
      <c r="D161" s="135">
        <f t="shared" si="60"/>
        <v>2</v>
      </c>
      <c r="E161" s="135">
        <f t="shared" si="60"/>
        <v>2</v>
      </c>
      <c r="F161" s="135">
        <f t="shared" si="60"/>
        <v>2</v>
      </c>
      <c r="G161" s="135">
        <f t="shared" si="60"/>
        <v>2</v>
      </c>
      <c r="H161" s="135">
        <f t="shared" si="60"/>
        <v>2</v>
      </c>
      <c r="I161" s="135">
        <f t="shared" si="60"/>
        <v>2</v>
      </c>
      <c r="J161" s="135">
        <f t="shared" si="60"/>
        <v>2</v>
      </c>
      <c r="K161" s="135">
        <f t="shared" si="60"/>
        <v>2</v>
      </c>
      <c r="L161" s="135">
        <f t="shared" si="60"/>
        <v>2</v>
      </c>
      <c r="M161" s="135">
        <f t="shared" si="60"/>
        <v>2</v>
      </c>
      <c r="N161" s="135">
        <f t="shared" si="60"/>
        <v>2</v>
      </c>
      <c r="O161" s="135">
        <f t="shared" si="60"/>
        <v>2</v>
      </c>
      <c r="P161" s="135">
        <f t="shared" si="60"/>
        <v>2</v>
      </c>
      <c r="Q161" s="135">
        <f t="shared" si="60"/>
        <v>2</v>
      </c>
      <c r="R161" s="135">
        <f t="shared" si="60"/>
        <v>2</v>
      </c>
      <c r="S161" s="135">
        <f t="shared" si="60"/>
        <v>2</v>
      </c>
      <c r="T161" s="135">
        <f t="shared" si="61"/>
        <v>2</v>
      </c>
      <c r="U161" s="135">
        <f t="shared" si="61"/>
        <v>2</v>
      </c>
      <c r="V161" s="135">
        <f t="shared" si="61"/>
        <v>2</v>
      </c>
      <c r="W161" s="135">
        <f t="shared" si="61"/>
        <v>2</v>
      </c>
      <c r="X161" s="135">
        <f t="shared" si="61"/>
        <v>2</v>
      </c>
      <c r="Y161" s="135">
        <f t="shared" si="61"/>
        <v>2</v>
      </c>
      <c r="Z161" s="135">
        <f t="shared" si="61"/>
        <v>2</v>
      </c>
      <c r="AA161" s="135">
        <f t="shared" si="61"/>
        <v>2</v>
      </c>
      <c r="AB161" s="135">
        <f t="shared" si="61"/>
        <v>2</v>
      </c>
      <c r="AC161" s="135">
        <f t="shared" si="61"/>
        <v>2</v>
      </c>
      <c r="AD161" s="135">
        <f t="shared" si="61"/>
        <v>2</v>
      </c>
      <c r="AE161" s="135">
        <f t="shared" si="61"/>
        <v>2</v>
      </c>
      <c r="AF161" s="135">
        <f t="shared" si="61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59"/>
        <v>0.47</v>
      </c>
      <c r="C162" s="136">
        <v>0.47</v>
      </c>
      <c r="D162" s="135">
        <f t="shared" si="60"/>
        <v>0.47</v>
      </c>
      <c r="E162" s="135">
        <f t="shared" si="60"/>
        <v>0.47</v>
      </c>
      <c r="F162" s="135">
        <f t="shared" si="60"/>
        <v>0.47</v>
      </c>
      <c r="G162" s="135">
        <f t="shared" si="60"/>
        <v>0.47</v>
      </c>
      <c r="H162" s="135">
        <f t="shared" si="60"/>
        <v>0.47</v>
      </c>
      <c r="I162" s="135">
        <f t="shared" si="60"/>
        <v>0.47</v>
      </c>
      <c r="J162" s="135">
        <f t="shared" si="60"/>
        <v>0.47</v>
      </c>
      <c r="K162" s="135">
        <f t="shared" si="60"/>
        <v>0.47</v>
      </c>
      <c r="L162" s="135">
        <f t="shared" si="60"/>
        <v>0.47</v>
      </c>
      <c r="M162" s="135">
        <f t="shared" si="60"/>
        <v>0.47</v>
      </c>
      <c r="N162" s="135">
        <f t="shared" si="60"/>
        <v>0.47</v>
      </c>
      <c r="O162" s="135">
        <f t="shared" si="60"/>
        <v>0.47</v>
      </c>
      <c r="P162" s="135">
        <f t="shared" si="60"/>
        <v>0.47</v>
      </c>
      <c r="Q162" s="135">
        <f t="shared" si="60"/>
        <v>0.47</v>
      </c>
      <c r="R162" s="135">
        <f t="shared" si="60"/>
        <v>0.47</v>
      </c>
      <c r="S162" s="135">
        <f t="shared" si="60"/>
        <v>0.47</v>
      </c>
      <c r="T162" s="135">
        <f t="shared" si="61"/>
        <v>0.47</v>
      </c>
      <c r="U162" s="135">
        <f t="shared" si="61"/>
        <v>0.47</v>
      </c>
      <c r="V162" s="135">
        <f t="shared" si="61"/>
        <v>0.47</v>
      </c>
      <c r="W162" s="135">
        <f t="shared" si="61"/>
        <v>0.47</v>
      </c>
      <c r="X162" s="135">
        <f t="shared" si="61"/>
        <v>0.47</v>
      </c>
      <c r="Y162" s="135">
        <f t="shared" si="61"/>
        <v>0.47</v>
      </c>
      <c r="Z162" s="135">
        <f t="shared" si="61"/>
        <v>0.47</v>
      </c>
      <c r="AA162" s="135">
        <f t="shared" si="61"/>
        <v>0.47</v>
      </c>
      <c r="AB162" s="135">
        <f t="shared" si="61"/>
        <v>0.47</v>
      </c>
      <c r="AC162" s="135">
        <f t="shared" si="61"/>
        <v>0.47</v>
      </c>
      <c r="AD162" s="135">
        <f t="shared" si="61"/>
        <v>0.47</v>
      </c>
      <c r="AE162" s="135">
        <f t="shared" si="61"/>
        <v>0.47</v>
      </c>
      <c r="AF162" s="135">
        <f t="shared" si="61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59"/>
        <v>0</v>
      </c>
      <c r="C163" s="136">
        <v>0</v>
      </c>
      <c r="D163" s="135">
        <f t="shared" si="60"/>
        <v>0</v>
      </c>
      <c r="E163" s="135">
        <f t="shared" si="60"/>
        <v>0</v>
      </c>
      <c r="F163" s="135">
        <f t="shared" si="60"/>
        <v>0</v>
      </c>
      <c r="G163" s="135">
        <f t="shared" si="60"/>
        <v>0</v>
      </c>
      <c r="H163" s="135">
        <f t="shared" si="60"/>
        <v>0</v>
      </c>
      <c r="I163" s="135">
        <f t="shared" si="60"/>
        <v>0</v>
      </c>
      <c r="J163" s="135">
        <f t="shared" si="60"/>
        <v>0</v>
      </c>
      <c r="K163" s="135">
        <f t="shared" si="60"/>
        <v>0</v>
      </c>
      <c r="L163" s="135">
        <f t="shared" si="60"/>
        <v>0</v>
      </c>
      <c r="M163" s="135">
        <f t="shared" si="60"/>
        <v>0</v>
      </c>
      <c r="N163" s="135">
        <f t="shared" si="60"/>
        <v>0</v>
      </c>
      <c r="O163" s="135">
        <f t="shared" si="60"/>
        <v>0</v>
      </c>
      <c r="P163" s="135">
        <f t="shared" si="60"/>
        <v>0</v>
      </c>
      <c r="Q163" s="135">
        <f t="shared" si="60"/>
        <v>0</v>
      </c>
      <c r="R163" s="135">
        <f t="shared" si="60"/>
        <v>0</v>
      </c>
      <c r="S163" s="135">
        <f t="shared" si="60"/>
        <v>0</v>
      </c>
      <c r="T163" s="135">
        <f t="shared" si="61"/>
        <v>0</v>
      </c>
      <c r="U163" s="135">
        <f t="shared" si="61"/>
        <v>0</v>
      </c>
      <c r="V163" s="135">
        <f t="shared" si="61"/>
        <v>0</v>
      </c>
      <c r="W163" s="135">
        <f t="shared" si="61"/>
        <v>0</v>
      </c>
      <c r="X163" s="135">
        <f t="shared" si="61"/>
        <v>0</v>
      </c>
      <c r="Y163" s="135">
        <f t="shared" si="61"/>
        <v>0</v>
      </c>
      <c r="Z163" s="135">
        <f t="shared" si="61"/>
        <v>0</v>
      </c>
      <c r="AA163" s="135">
        <f t="shared" si="61"/>
        <v>0</v>
      </c>
      <c r="AB163" s="135">
        <f t="shared" si="61"/>
        <v>0</v>
      </c>
      <c r="AC163" s="135">
        <f t="shared" si="61"/>
        <v>0</v>
      </c>
      <c r="AD163" s="135">
        <f t="shared" si="61"/>
        <v>0</v>
      </c>
      <c r="AE163" s="135">
        <f t="shared" si="61"/>
        <v>0</v>
      </c>
      <c r="AF163" s="135">
        <f t="shared" si="61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59"/>
        <v>0</v>
      </c>
      <c r="C164" s="136">
        <v>0</v>
      </c>
      <c r="D164" s="135">
        <f t="shared" si="60"/>
        <v>0</v>
      </c>
      <c r="E164" s="135">
        <f t="shared" si="60"/>
        <v>0</v>
      </c>
      <c r="F164" s="135">
        <f t="shared" si="60"/>
        <v>0</v>
      </c>
      <c r="G164" s="135">
        <f t="shared" si="60"/>
        <v>0</v>
      </c>
      <c r="H164" s="135">
        <f t="shared" si="60"/>
        <v>0</v>
      </c>
      <c r="I164" s="135">
        <f t="shared" si="60"/>
        <v>0</v>
      </c>
      <c r="J164" s="135">
        <f t="shared" si="60"/>
        <v>0</v>
      </c>
      <c r="K164" s="135">
        <f t="shared" si="60"/>
        <v>0</v>
      </c>
      <c r="L164" s="135">
        <f t="shared" si="60"/>
        <v>0</v>
      </c>
      <c r="M164" s="135">
        <f t="shared" si="60"/>
        <v>0</v>
      </c>
      <c r="N164" s="135">
        <f t="shared" si="60"/>
        <v>0</v>
      </c>
      <c r="O164" s="135">
        <f t="shared" si="60"/>
        <v>0</v>
      </c>
      <c r="P164" s="135">
        <f t="shared" si="60"/>
        <v>0</v>
      </c>
      <c r="Q164" s="135">
        <f t="shared" si="60"/>
        <v>0</v>
      </c>
      <c r="R164" s="135">
        <f t="shared" si="60"/>
        <v>0</v>
      </c>
      <c r="S164" s="135">
        <f t="shared" si="61"/>
        <v>0</v>
      </c>
      <c r="T164" s="135">
        <f t="shared" si="61"/>
        <v>0</v>
      </c>
      <c r="U164" s="135">
        <f t="shared" si="61"/>
        <v>0</v>
      </c>
      <c r="V164" s="135">
        <f t="shared" si="61"/>
        <v>0</v>
      </c>
      <c r="W164" s="135">
        <f t="shared" si="61"/>
        <v>0</v>
      </c>
      <c r="X164" s="135">
        <f t="shared" si="61"/>
        <v>0</v>
      </c>
      <c r="Y164" s="135">
        <f t="shared" si="61"/>
        <v>0</v>
      </c>
      <c r="Z164" s="135">
        <f t="shared" si="61"/>
        <v>0</v>
      </c>
      <c r="AA164" s="135">
        <f t="shared" si="61"/>
        <v>0</v>
      </c>
      <c r="AB164" s="135">
        <f t="shared" si="61"/>
        <v>0</v>
      </c>
      <c r="AC164" s="135">
        <f t="shared" si="61"/>
        <v>0</v>
      </c>
      <c r="AD164" s="135">
        <f t="shared" si="61"/>
        <v>0</v>
      </c>
      <c r="AE164" s="135">
        <f t="shared" si="61"/>
        <v>0</v>
      </c>
      <c r="AF164" s="135">
        <f t="shared" si="61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59"/>
        <v>0.8</v>
      </c>
      <c r="C165" s="136">
        <v>0.8</v>
      </c>
      <c r="D165" s="135">
        <f t="shared" si="60"/>
        <v>0.8</v>
      </c>
      <c r="E165" s="135">
        <f t="shared" si="60"/>
        <v>0.8</v>
      </c>
      <c r="F165" s="135">
        <f t="shared" si="60"/>
        <v>0.8</v>
      </c>
      <c r="G165" s="135">
        <f t="shared" si="60"/>
        <v>0.8</v>
      </c>
      <c r="H165" s="135">
        <f t="shared" si="60"/>
        <v>0.8</v>
      </c>
      <c r="I165" s="135">
        <f t="shared" si="60"/>
        <v>0.8</v>
      </c>
      <c r="J165" s="135">
        <f t="shared" si="60"/>
        <v>0.8</v>
      </c>
      <c r="K165" s="135">
        <f t="shared" si="60"/>
        <v>0.8</v>
      </c>
      <c r="L165" s="135">
        <f t="shared" si="60"/>
        <v>0.8</v>
      </c>
      <c r="M165" s="135">
        <f t="shared" si="60"/>
        <v>0.8</v>
      </c>
      <c r="N165" s="135">
        <f t="shared" si="60"/>
        <v>0.8</v>
      </c>
      <c r="O165" s="135">
        <f t="shared" si="60"/>
        <v>0.8</v>
      </c>
      <c r="P165" s="135">
        <f t="shared" si="60"/>
        <v>0.8</v>
      </c>
      <c r="Q165" s="135">
        <f t="shared" si="60"/>
        <v>0.8</v>
      </c>
      <c r="R165" s="135">
        <f t="shared" si="60"/>
        <v>0.8</v>
      </c>
      <c r="S165" s="135">
        <f t="shared" si="61"/>
        <v>0.8</v>
      </c>
      <c r="T165" s="135">
        <f t="shared" si="61"/>
        <v>0.8</v>
      </c>
      <c r="U165" s="135">
        <f t="shared" si="61"/>
        <v>0.8</v>
      </c>
      <c r="V165" s="135">
        <f t="shared" si="61"/>
        <v>0.8</v>
      </c>
      <c r="W165" s="135">
        <f t="shared" si="61"/>
        <v>0.8</v>
      </c>
      <c r="X165" s="135">
        <f t="shared" si="61"/>
        <v>0.8</v>
      </c>
      <c r="Y165" s="135">
        <f t="shared" si="61"/>
        <v>0.8</v>
      </c>
      <c r="Z165" s="135">
        <f t="shared" si="61"/>
        <v>0.8</v>
      </c>
      <c r="AA165" s="135">
        <f t="shared" si="61"/>
        <v>0.8</v>
      </c>
      <c r="AB165" s="135">
        <f t="shared" si="61"/>
        <v>0.8</v>
      </c>
      <c r="AC165" s="135">
        <f t="shared" si="61"/>
        <v>0.8</v>
      </c>
      <c r="AD165" s="135">
        <f t="shared" si="61"/>
        <v>0.8</v>
      </c>
      <c r="AE165" s="135">
        <f t="shared" si="61"/>
        <v>0.8</v>
      </c>
      <c r="AF165" s="135">
        <f t="shared" si="61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59"/>
        <v>1.5</v>
      </c>
      <c r="C166" s="136">
        <v>1.5</v>
      </c>
      <c r="D166" s="135">
        <f t="shared" si="60"/>
        <v>1.5</v>
      </c>
      <c r="E166" s="135">
        <f t="shared" si="60"/>
        <v>1.5</v>
      </c>
      <c r="F166" s="135">
        <f t="shared" si="60"/>
        <v>1.5</v>
      </c>
      <c r="G166" s="135">
        <f t="shared" si="60"/>
        <v>1.5</v>
      </c>
      <c r="H166" s="135">
        <f t="shared" si="60"/>
        <v>1.5</v>
      </c>
      <c r="I166" s="135">
        <f t="shared" si="60"/>
        <v>1.5</v>
      </c>
      <c r="J166" s="135">
        <f t="shared" si="60"/>
        <v>1.5</v>
      </c>
      <c r="K166" s="135">
        <f t="shared" si="60"/>
        <v>1.5</v>
      </c>
      <c r="L166" s="135">
        <f t="shared" si="60"/>
        <v>1.5</v>
      </c>
      <c r="M166" s="135">
        <f t="shared" si="60"/>
        <v>1.5</v>
      </c>
      <c r="N166" s="135">
        <f t="shared" si="60"/>
        <v>1.5</v>
      </c>
      <c r="O166" s="135">
        <f t="shared" si="60"/>
        <v>1.5</v>
      </c>
      <c r="P166" s="135">
        <f t="shared" si="60"/>
        <v>1.5</v>
      </c>
      <c r="Q166" s="135">
        <f t="shared" si="60"/>
        <v>1.5</v>
      </c>
      <c r="R166" s="135">
        <f t="shared" si="60"/>
        <v>1.5</v>
      </c>
      <c r="S166" s="135">
        <f t="shared" si="61"/>
        <v>1.5</v>
      </c>
      <c r="T166" s="135">
        <f t="shared" si="61"/>
        <v>1.5</v>
      </c>
      <c r="U166" s="135">
        <f t="shared" si="61"/>
        <v>1.5</v>
      </c>
      <c r="V166" s="135">
        <f t="shared" si="61"/>
        <v>1.5</v>
      </c>
      <c r="W166" s="135">
        <f t="shared" si="61"/>
        <v>1.5</v>
      </c>
      <c r="X166" s="135">
        <f t="shared" si="61"/>
        <v>1.5</v>
      </c>
      <c r="Y166" s="135">
        <f t="shared" si="61"/>
        <v>1.5</v>
      </c>
      <c r="Z166" s="135">
        <f t="shared" si="61"/>
        <v>1.5</v>
      </c>
      <c r="AA166" s="135">
        <f t="shared" si="61"/>
        <v>1.5</v>
      </c>
      <c r="AB166" s="135">
        <f t="shared" si="61"/>
        <v>1.5</v>
      </c>
      <c r="AC166" s="135">
        <f t="shared" si="61"/>
        <v>1.5</v>
      </c>
      <c r="AD166" s="135">
        <f t="shared" si="61"/>
        <v>1.5</v>
      </c>
      <c r="AE166" s="135">
        <f t="shared" si="61"/>
        <v>1.5</v>
      </c>
      <c r="AF166" s="135">
        <f t="shared" si="61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59"/>
        <v>1</v>
      </c>
      <c r="C167" s="136">
        <v>1</v>
      </c>
      <c r="D167" s="135">
        <f t="shared" si="60"/>
        <v>1</v>
      </c>
      <c r="E167" s="135">
        <f t="shared" si="60"/>
        <v>1</v>
      </c>
      <c r="F167" s="135">
        <f t="shared" si="60"/>
        <v>1</v>
      </c>
      <c r="G167" s="135">
        <f t="shared" si="60"/>
        <v>1</v>
      </c>
      <c r="H167" s="135">
        <f t="shared" si="60"/>
        <v>1</v>
      </c>
      <c r="I167" s="135">
        <f t="shared" si="60"/>
        <v>1</v>
      </c>
      <c r="J167" s="135">
        <f t="shared" si="60"/>
        <v>1</v>
      </c>
      <c r="K167" s="135">
        <f t="shared" si="60"/>
        <v>1</v>
      </c>
      <c r="L167" s="135">
        <f t="shared" si="60"/>
        <v>1</v>
      </c>
      <c r="M167" s="135">
        <f t="shared" si="60"/>
        <v>1</v>
      </c>
      <c r="N167" s="135">
        <f t="shared" si="60"/>
        <v>1</v>
      </c>
      <c r="O167" s="135">
        <f t="shared" si="60"/>
        <v>1</v>
      </c>
      <c r="P167" s="135">
        <f t="shared" si="60"/>
        <v>1</v>
      </c>
      <c r="Q167" s="135">
        <f t="shared" si="60"/>
        <v>1</v>
      </c>
      <c r="R167" s="135">
        <f t="shared" si="60"/>
        <v>1</v>
      </c>
      <c r="S167" s="135">
        <f t="shared" si="61"/>
        <v>1</v>
      </c>
      <c r="T167" s="135">
        <f t="shared" si="61"/>
        <v>1</v>
      </c>
      <c r="U167" s="135">
        <f t="shared" si="61"/>
        <v>1</v>
      </c>
      <c r="V167" s="135">
        <f t="shared" si="61"/>
        <v>1</v>
      </c>
      <c r="W167" s="135">
        <f t="shared" si="61"/>
        <v>1</v>
      </c>
      <c r="X167" s="135">
        <f t="shared" si="61"/>
        <v>1</v>
      </c>
      <c r="Y167" s="135">
        <f t="shared" si="61"/>
        <v>1</v>
      </c>
      <c r="Z167" s="135">
        <f t="shared" si="61"/>
        <v>1</v>
      </c>
      <c r="AA167" s="135">
        <f t="shared" si="61"/>
        <v>1</v>
      </c>
      <c r="AB167" s="135">
        <f t="shared" si="61"/>
        <v>1</v>
      </c>
      <c r="AC167" s="135">
        <f t="shared" si="61"/>
        <v>1</v>
      </c>
      <c r="AD167" s="135">
        <f t="shared" si="61"/>
        <v>1</v>
      </c>
      <c r="AE167" s="135">
        <f t="shared" si="61"/>
        <v>1</v>
      </c>
      <c r="AF167" s="135">
        <f t="shared" si="61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62">AF169</f>
        <v>1</v>
      </c>
      <c r="C169" s="136">
        <v>1</v>
      </c>
      <c r="D169" s="135">
        <f t="shared" ref="D169:S176" si="63">C169</f>
        <v>1</v>
      </c>
      <c r="E169" s="135">
        <f t="shared" si="63"/>
        <v>1</v>
      </c>
      <c r="F169" s="135">
        <f t="shared" si="63"/>
        <v>1</v>
      </c>
      <c r="G169" s="135">
        <f t="shared" si="63"/>
        <v>1</v>
      </c>
      <c r="H169" s="135">
        <f t="shared" si="63"/>
        <v>1</v>
      </c>
      <c r="I169" s="135">
        <f t="shared" si="63"/>
        <v>1</v>
      </c>
      <c r="J169" s="135">
        <f t="shared" si="63"/>
        <v>1</v>
      </c>
      <c r="K169" s="135">
        <f t="shared" si="63"/>
        <v>1</v>
      </c>
      <c r="L169" s="135">
        <f t="shared" si="63"/>
        <v>1</v>
      </c>
      <c r="M169" s="135">
        <f t="shared" si="63"/>
        <v>1</v>
      </c>
      <c r="N169" s="135">
        <f t="shared" si="63"/>
        <v>1</v>
      </c>
      <c r="O169" s="135">
        <f t="shared" si="63"/>
        <v>1</v>
      </c>
      <c r="P169" s="135">
        <f t="shared" si="63"/>
        <v>1</v>
      </c>
      <c r="Q169" s="135">
        <f t="shared" si="63"/>
        <v>1</v>
      </c>
      <c r="R169" s="135">
        <f t="shared" si="63"/>
        <v>1</v>
      </c>
      <c r="S169" s="135">
        <f t="shared" si="63"/>
        <v>1</v>
      </c>
      <c r="T169" s="135">
        <f t="shared" ref="S169:AF176" si="64">S169</f>
        <v>1</v>
      </c>
      <c r="U169" s="135">
        <f t="shared" si="64"/>
        <v>1</v>
      </c>
      <c r="V169" s="135">
        <f t="shared" si="64"/>
        <v>1</v>
      </c>
      <c r="W169" s="135">
        <f t="shared" si="64"/>
        <v>1</v>
      </c>
      <c r="X169" s="135">
        <f t="shared" si="64"/>
        <v>1</v>
      </c>
      <c r="Y169" s="135">
        <f t="shared" si="64"/>
        <v>1</v>
      </c>
      <c r="Z169" s="135">
        <f t="shared" si="64"/>
        <v>1</v>
      </c>
      <c r="AA169" s="135">
        <f t="shared" si="64"/>
        <v>1</v>
      </c>
      <c r="AB169" s="135">
        <f t="shared" si="64"/>
        <v>1</v>
      </c>
      <c r="AC169" s="135">
        <f t="shared" si="64"/>
        <v>1</v>
      </c>
      <c r="AD169" s="135">
        <f t="shared" si="64"/>
        <v>1</v>
      </c>
      <c r="AE169" s="135">
        <f t="shared" si="64"/>
        <v>1</v>
      </c>
      <c r="AF169" s="135">
        <f t="shared" si="64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62"/>
        <v>0.42</v>
      </c>
      <c r="C170" s="136">
        <v>0.42</v>
      </c>
      <c r="D170" s="135">
        <f t="shared" si="63"/>
        <v>0.42</v>
      </c>
      <c r="E170" s="135">
        <f t="shared" si="63"/>
        <v>0.42</v>
      </c>
      <c r="F170" s="135">
        <f t="shared" si="63"/>
        <v>0.42</v>
      </c>
      <c r="G170" s="135">
        <f t="shared" si="63"/>
        <v>0.42</v>
      </c>
      <c r="H170" s="135">
        <f t="shared" si="63"/>
        <v>0.42</v>
      </c>
      <c r="I170" s="135">
        <f t="shared" si="63"/>
        <v>0.42</v>
      </c>
      <c r="J170" s="135">
        <f t="shared" si="63"/>
        <v>0.42</v>
      </c>
      <c r="K170" s="135">
        <f t="shared" si="63"/>
        <v>0.42</v>
      </c>
      <c r="L170" s="135">
        <f t="shared" si="63"/>
        <v>0.42</v>
      </c>
      <c r="M170" s="135">
        <f t="shared" si="63"/>
        <v>0.42</v>
      </c>
      <c r="N170" s="135">
        <f t="shared" si="63"/>
        <v>0.42</v>
      </c>
      <c r="O170" s="135">
        <f t="shared" si="63"/>
        <v>0.42</v>
      </c>
      <c r="P170" s="135">
        <f t="shared" si="63"/>
        <v>0.42</v>
      </c>
      <c r="Q170" s="135">
        <f t="shared" si="63"/>
        <v>0.42</v>
      </c>
      <c r="R170" s="135">
        <f t="shared" si="63"/>
        <v>0.42</v>
      </c>
      <c r="S170" s="135">
        <f t="shared" si="64"/>
        <v>0.42</v>
      </c>
      <c r="T170" s="135">
        <f t="shared" si="64"/>
        <v>0.42</v>
      </c>
      <c r="U170" s="135">
        <f t="shared" si="64"/>
        <v>0.42</v>
      </c>
      <c r="V170" s="135">
        <f t="shared" si="64"/>
        <v>0.42</v>
      </c>
      <c r="W170" s="135">
        <f t="shared" si="64"/>
        <v>0.42</v>
      </c>
      <c r="X170" s="135">
        <f t="shared" si="64"/>
        <v>0.42</v>
      </c>
      <c r="Y170" s="135">
        <f t="shared" si="64"/>
        <v>0.42</v>
      </c>
      <c r="Z170" s="135">
        <f t="shared" si="64"/>
        <v>0.42</v>
      </c>
      <c r="AA170" s="135">
        <f t="shared" si="64"/>
        <v>0.42</v>
      </c>
      <c r="AB170" s="135">
        <f t="shared" si="64"/>
        <v>0.42</v>
      </c>
      <c r="AC170" s="135">
        <f t="shared" si="64"/>
        <v>0.42</v>
      </c>
      <c r="AD170" s="135">
        <f t="shared" si="64"/>
        <v>0.42</v>
      </c>
      <c r="AE170" s="135">
        <f t="shared" si="64"/>
        <v>0.42</v>
      </c>
      <c r="AF170" s="135">
        <f t="shared" si="64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62"/>
        <v>0.46</v>
      </c>
      <c r="C171" s="136">
        <v>0.46</v>
      </c>
      <c r="D171" s="135">
        <f t="shared" si="63"/>
        <v>0.46</v>
      </c>
      <c r="E171" s="135">
        <f t="shared" si="63"/>
        <v>0.46</v>
      </c>
      <c r="F171" s="135">
        <f t="shared" si="63"/>
        <v>0.46</v>
      </c>
      <c r="G171" s="135">
        <f t="shared" si="63"/>
        <v>0.46</v>
      </c>
      <c r="H171" s="135">
        <f t="shared" si="63"/>
        <v>0.46</v>
      </c>
      <c r="I171" s="135">
        <f t="shared" si="63"/>
        <v>0.46</v>
      </c>
      <c r="J171" s="135">
        <f t="shared" si="63"/>
        <v>0.46</v>
      </c>
      <c r="K171" s="135">
        <f t="shared" si="63"/>
        <v>0.46</v>
      </c>
      <c r="L171" s="135">
        <f t="shared" si="63"/>
        <v>0.46</v>
      </c>
      <c r="M171" s="135">
        <f t="shared" si="63"/>
        <v>0.46</v>
      </c>
      <c r="N171" s="135">
        <f t="shared" si="63"/>
        <v>0.46</v>
      </c>
      <c r="O171" s="135">
        <f t="shared" si="63"/>
        <v>0.46</v>
      </c>
      <c r="P171" s="135">
        <f t="shared" si="63"/>
        <v>0.46</v>
      </c>
      <c r="Q171" s="135">
        <f t="shared" si="63"/>
        <v>0.46</v>
      </c>
      <c r="R171" s="135">
        <f t="shared" si="63"/>
        <v>0.46</v>
      </c>
      <c r="S171" s="135">
        <f t="shared" si="64"/>
        <v>0.46</v>
      </c>
      <c r="T171" s="135">
        <f t="shared" si="64"/>
        <v>0.46</v>
      </c>
      <c r="U171" s="135">
        <f t="shared" si="64"/>
        <v>0.46</v>
      </c>
      <c r="V171" s="135">
        <f t="shared" si="64"/>
        <v>0.46</v>
      </c>
      <c r="W171" s="135">
        <f t="shared" si="64"/>
        <v>0.46</v>
      </c>
      <c r="X171" s="135">
        <f t="shared" si="64"/>
        <v>0.46</v>
      </c>
      <c r="Y171" s="135">
        <f t="shared" si="64"/>
        <v>0.46</v>
      </c>
      <c r="Z171" s="135">
        <f t="shared" si="64"/>
        <v>0.46</v>
      </c>
      <c r="AA171" s="135">
        <f t="shared" si="64"/>
        <v>0.46</v>
      </c>
      <c r="AB171" s="135">
        <f t="shared" si="64"/>
        <v>0.46</v>
      </c>
      <c r="AC171" s="135">
        <f t="shared" si="64"/>
        <v>0.46</v>
      </c>
      <c r="AD171" s="135">
        <f t="shared" si="64"/>
        <v>0.46</v>
      </c>
      <c r="AE171" s="135">
        <f t="shared" si="64"/>
        <v>0.46</v>
      </c>
      <c r="AF171" s="135">
        <f t="shared" si="64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62"/>
        <v>0.85</v>
      </c>
      <c r="C172" s="136">
        <v>0.85</v>
      </c>
      <c r="D172" s="135">
        <f t="shared" si="63"/>
        <v>0.85</v>
      </c>
      <c r="E172" s="135">
        <f t="shared" si="63"/>
        <v>0.85</v>
      </c>
      <c r="F172" s="135">
        <f t="shared" si="63"/>
        <v>0.85</v>
      </c>
      <c r="G172" s="135">
        <f t="shared" si="63"/>
        <v>0.85</v>
      </c>
      <c r="H172" s="135">
        <f t="shared" si="63"/>
        <v>0.85</v>
      </c>
      <c r="I172" s="135">
        <f t="shared" si="63"/>
        <v>0.85</v>
      </c>
      <c r="J172" s="135">
        <f t="shared" si="63"/>
        <v>0.85</v>
      </c>
      <c r="K172" s="135">
        <f t="shared" si="63"/>
        <v>0.85</v>
      </c>
      <c r="L172" s="135">
        <f t="shared" si="63"/>
        <v>0.85</v>
      </c>
      <c r="M172" s="135">
        <f t="shared" si="63"/>
        <v>0.85</v>
      </c>
      <c r="N172" s="135">
        <f t="shared" si="63"/>
        <v>0.85</v>
      </c>
      <c r="O172" s="135">
        <f t="shared" si="63"/>
        <v>0.85</v>
      </c>
      <c r="P172" s="135">
        <f t="shared" si="63"/>
        <v>0.85</v>
      </c>
      <c r="Q172" s="135">
        <f t="shared" si="63"/>
        <v>0.85</v>
      </c>
      <c r="R172" s="135">
        <f t="shared" si="63"/>
        <v>0.85</v>
      </c>
      <c r="S172" s="135">
        <f t="shared" si="64"/>
        <v>0.85</v>
      </c>
      <c r="T172" s="135">
        <f t="shared" si="64"/>
        <v>0.85</v>
      </c>
      <c r="U172" s="135">
        <f t="shared" si="64"/>
        <v>0.85</v>
      </c>
      <c r="V172" s="135">
        <f t="shared" si="64"/>
        <v>0.85</v>
      </c>
      <c r="W172" s="135">
        <f t="shared" si="64"/>
        <v>0.85</v>
      </c>
      <c r="X172" s="135">
        <f t="shared" si="64"/>
        <v>0.85</v>
      </c>
      <c r="Y172" s="135">
        <f t="shared" si="64"/>
        <v>0.85</v>
      </c>
      <c r="Z172" s="135">
        <f t="shared" si="64"/>
        <v>0.85</v>
      </c>
      <c r="AA172" s="135">
        <f t="shared" si="64"/>
        <v>0.85</v>
      </c>
      <c r="AB172" s="135">
        <f t="shared" si="64"/>
        <v>0.85</v>
      </c>
      <c r="AC172" s="135">
        <f t="shared" si="64"/>
        <v>0.85</v>
      </c>
      <c r="AD172" s="135">
        <f t="shared" si="64"/>
        <v>0.85</v>
      </c>
      <c r="AE172" s="135">
        <f t="shared" si="64"/>
        <v>0.85</v>
      </c>
      <c r="AF172" s="135">
        <f t="shared" si="64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62"/>
        <v>0.9</v>
      </c>
      <c r="C173" s="136">
        <v>0.9</v>
      </c>
      <c r="D173" s="135">
        <f t="shared" si="63"/>
        <v>0.9</v>
      </c>
      <c r="E173" s="135">
        <f t="shared" si="63"/>
        <v>0.9</v>
      </c>
      <c r="F173" s="135">
        <f t="shared" si="63"/>
        <v>0.9</v>
      </c>
      <c r="G173" s="135">
        <f t="shared" si="63"/>
        <v>0.9</v>
      </c>
      <c r="H173" s="135">
        <f t="shared" si="63"/>
        <v>0.9</v>
      </c>
      <c r="I173" s="135">
        <f t="shared" si="63"/>
        <v>0.9</v>
      </c>
      <c r="J173" s="135">
        <f t="shared" si="63"/>
        <v>0.9</v>
      </c>
      <c r="K173" s="135">
        <f t="shared" si="63"/>
        <v>0.9</v>
      </c>
      <c r="L173" s="135">
        <f t="shared" si="63"/>
        <v>0.9</v>
      </c>
      <c r="M173" s="135">
        <f t="shared" si="63"/>
        <v>0.9</v>
      </c>
      <c r="N173" s="135">
        <f t="shared" si="63"/>
        <v>0.9</v>
      </c>
      <c r="O173" s="135">
        <f t="shared" si="63"/>
        <v>0.9</v>
      </c>
      <c r="P173" s="135">
        <f t="shared" si="63"/>
        <v>0.9</v>
      </c>
      <c r="Q173" s="135">
        <f t="shared" si="63"/>
        <v>0.9</v>
      </c>
      <c r="R173" s="135">
        <f t="shared" si="63"/>
        <v>0.9</v>
      </c>
      <c r="S173" s="135">
        <f t="shared" si="64"/>
        <v>0.9</v>
      </c>
      <c r="T173" s="135">
        <f t="shared" si="64"/>
        <v>0.9</v>
      </c>
      <c r="U173" s="135">
        <f t="shared" si="64"/>
        <v>0.9</v>
      </c>
      <c r="V173" s="135">
        <f t="shared" si="64"/>
        <v>0.9</v>
      </c>
      <c r="W173" s="135">
        <f t="shared" si="64"/>
        <v>0.9</v>
      </c>
      <c r="X173" s="135">
        <f t="shared" si="64"/>
        <v>0.9</v>
      </c>
      <c r="Y173" s="135">
        <f t="shared" si="64"/>
        <v>0.9</v>
      </c>
      <c r="Z173" s="135">
        <f t="shared" si="64"/>
        <v>0.9</v>
      </c>
      <c r="AA173" s="135">
        <f t="shared" si="64"/>
        <v>0.9</v>
      </c>
      <c r="AB173" s="135">
        <f t="shared" si="64"/>
        <v>0.9</v>
      </c>
      <c r="AC173" s="135">
        <f t="shared" si="64"/>
        <v>0.9</v>
      </c>
      <c r="AD173" s="135">
        <f t="shared" si="64"/>
        <v>0.9</v>
      </c>
      <c r="AE173" s="135">
        <f t="shared" si="64"/>
        <v>0.9</v>
      </c>
      <c r="AF173" s="135">
        <f t="shared" si="64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62"/>
        <v>0.44</v>
      </c>
      <c r="C174" s="136">
        <v>0.44</v>
      </c>
      <c r="D174" s="135">
        <f t="shared" si="63"/>
        <v>0.44</v>
      </c>
      <c r="E174" s="135">
        <f t="shared" si="63"/>
        <v>0.44</v>
      </c>
      <c r="F174" s="135">
        <f t="shared" si="63"/>
        <v>0.44</v>
      </c>
      <c r="G174" s="135">
        <f t="shared" si="63"/>
        <v>0.44</v>
      </c>
      <c r="H174" s="135">
        <f t="shared" si="63"/>
        <v>0.44</v>
      </c>
      <c r="I174" s="135">
        <f t="shared" si="63"/>
        <v>0.44</v>
      </c>
      <c r="J174" s="135">
        <f t="shared" si="63"/>
        <v>0.44</v>
      </c>
      <c r="K174" s="135">
        <f t="shared" si="63"/>
        <v>0.44</v>
      </c>
      <c r="L174" s="135">
        <f t="shared" si="63"/>
        <v>0.44</v>
      </c>
      <c r="M174" s="135">
        <f t="shared" si="63"/>
        <v>0.44</v>
      </c>
      <c r="N174" s="135">
        <f t="shared" si="63"/>
        <v>0.44</v>
      </c>
      <c r="O174" s="135">
        <f t="shared" si="63"/>
        <v>0.44</v>
      </c>
      <c r="P174" s="135">
        <f t="shared" si="63"/>
        <v>0.44</v>
      </c>
      <c r="Q174" s="135">
        <f t="shared" si="63"/>
        <v>0.44</v>
      </c>
      <c r="R174" s="135">
        <f t="shared" si="63"/>
        <v>0.44</v>
      </c>
      <c r="S174" s="135">
        <f t="shared" si="64"/>
        <v>0.44</v>
      </c>
      <c r="T174" s="135">
        <f t="shared" si="64"/>
        <v>0.44</v>
      </c>
      <c r="U174" s="135">
        <f t="shared" si="64"/>
        <v>0.44</v>
      </c>
      <c r="V174" s="135">
        <f t="shared" si="64"/>
        <v>0.44</v>
      </c>
      <c r="W174" s="135">
        <f t="shared" si="64"/>
        <v>0.44</v>
      </c>
      <c r="X174" s="135">
        <f t="shared" si="64"/>
        <v>0.44</v>
      </c>
      <c r="Y174" s="135">
        <f t="shared" si="64"/>
        <v>0.44</v>
      </c>
      <c r="Z174" s="135">
        <f t="shared" si="64"/>
        <v>0.44</v>
      </c>
      <c r="AA174" s="135">
        <f t="shared" si="64"/>
        <v>0.44</v>
      </c>
      <c r="AB174" s="135">
        <f t="shared" si="64"/>
        <v>0.44</v>
      </c>
      <c r="AC174" s="135">
        <f t="shared" si="64"/>
        <v>0.44</v>
      </c>
      <c r="AD174" s="135">
        <f t="shared" si="64"/>
        <v>0.44</v>
      </c>
      <c r="AE174" s="135">
        <f t="shared" si="64"/>
        <v>0.44</v>
      </c>
      <c r="AF174" s="135">
        <f t="shared" si="64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62"/>
        <v>2.1</v>
      </c>
      <c r="C175" s="136">
        <v>2.1</v>
      </c>
      <c r="D175" s="135">
        <f t="shared" si="63"/>
        <v>2.1</v>
      </c>
      <c r="E175" s="135">
        <f t="shared" si="63"/>
        <v>2.1</v>
      </c>
      <c r="F175" s="135">
        <f t="shared" si="63"/>
        <v>2.1</v>
      </c>
      <c r="G175" s="135">
        <f t="shared" si="63"/>
        <v>2.1</v>
      </c>
      <c r="H175" s="135">
        <f t="shared" si="63"/>
        <v>2.1</v>
      </c>
      <c r="I175" s="135">
        <f t="shared" si="63"/>
        <v>2.1</v>
      </c>
      <c r="J175" s="135">
        <f t="shared" si="63"/>
        <v>2.1</v>
      </c>
      <c r="K175" s="135">
        <f t="shared" si="63"/>
        <v>2.1</v>
      </c>
      <c r="L175" s="135">
        <f t="shared" si="63"/>
        <v>2.1</v>
      </c>
      <c r="M175" s="135">
        <f t="shared" si="63"/>
        <v>2.1</v>
      </c>
      <c r="N175" s="135">
        <f t="shared" si="63"/>
        <v>2.1</v>
      </c>
      <c r="O175" s="135">
        <f t="shared" si="63"/>
        <v>2.1</v>
      </c>
      <c r="P175" s="135">
        <f t="shared" si="63"/>
        <v>2.1</v>
      </c>
      <c r="Q175" s="135">
        <f t="shared" si="63"/>
        <v>2.1</v>
      </c>
      <c r="R175" s="135">
        <f t="shared" si="63"/>
        <v>2.1</v>
      </c>
      <c r="S175" s="135">
        <f t="shared" si="64"/>
        <v>2.1</v>
      </c>
      <c r="T175" s="135">
        <f t="shared" si="64"/>
        <v>2.1</v>
      </c>
      <c r="U175" s="135">
        <f t="shared" si="64"/>
        <v>2.1</v>
      </c>
      <c r="V175" s="135">
        <f t="shared" si="64"/>
        <v>2.1</v>
      </c>
      <c r="W175" s="135">
        <f t="shared" si="64"/>
        <v>2.1</v>
      </c>
      <c r="X175" s="135">
        <f t="shared" si="64"/>
        <v>2.1</v>
      </c>
      <c r="Y175" s="135">
        <f t="shared" si="64"/>
        <v>2.1</v>
      </c>
      <c r="Z175" s="135">
        <f t="shared" si="64"/>
        <v>2.1</v>
      </c>
      <c r="AA175" s="135">
        <f t="shared" si="64"/>
        <v>2.1</v>
      </c>
      <c r="AB175" s="135">
        <f t="shared" si="64"/>
        <v>2.1</v>
      </c>
      <c r="AC175" s="135">
        <f t="shared" si="64"/>
        <v>2.1</v>
      </c>
      <c r="AD175" s="135">
        <f t="shared" si="64"/>
        <v>2.1</v>
      </c>
      <c r="AE175" s="135">
        <f t="shared" si="64"/>
        <v>2.1</v>
      </c>
      <c r="AF175" s="135">
        <f t="shared" si="64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62"/>
        <v>0.9</v>
      </c>
      <c r="C176" s="136">
        <v>0.9</v>
      </c>
      <c r="D176" s="135">
        <f t="shared" si="63"/>
        <v>0.9</v>
      </c>
      <c r="E176" s="135">
        <f t="shared" si="63"/>
        <v>0.9</v>
      </c>
      <c r="F176" s="135">
        <f t="shared" si="63"/>
        <v>0.9</v>
      </c>
      <c r="G176" s="135">
        <f t="shared" si="63"/>
        <v>0.9</v>
      </c>
      <c r="H176" s="135">
        <f t="shared" si="63"/>
        <v>0.9</v>
      </c>
      <c r="I176" s="135">
        <f t="shared" si="63"/>
        <v>0.9</v>
      </c>
      <c r="J176" s="135">
        <f t="shared" si="63"/>
        <v>0.9</v>
      </c>
      <c r="K176" s="135">
        <f t="shared" si="63"/>
        <v>0.9</v>
      </c>
      <c r="L176" s="135">
        <f t="shared" si="63"/>
        <v>0.9</v>
      </c>
      <c r="M176" s="135">
        <f t="shared" si="63"/>
        <v>0.9</v>
      </c>
      <c r="N176" s="135">
        <f t="shared" si="63"/>
        <v>0.9</v>
      </c>
      <c r="O176" s="135">
        <f t="shared" si="63"/>
        <v>0.9</v>
      </c>
      <c r="P176" s="135">
        <f t="shared" si="63"/>
        <v>0.9</v>
      </c>
      <c r="Q176" s="135">
        <f t="shared" si="63"/>
        <v>0.9</v>
      </c>
      <c r="R176" s="135">
        <f t="shared" si="63"/>
        <v>0.9</v>
      </c>
      <c r="S176" s="135">
        <f t="shared" si="64"/>
        <v>0.9</v>
      </c>
      <c r="T176" s="135">
        <f t="shared" si="64"/>
        <v>0.9</v>
      </c>
      <c r="U176" s="135">
        <f t="shared" si="64"/>
        <v>0.9</v>
      </c>
      <c r="V176" s="135">
        <f t="shared" si="64"/>
        <v>0.9</v>
      </c>
      <c r="W176" s="135">
        <f t="shared" si="64"/>
        <v>0.9</v>
      </c>
      <c r="X176" s="135">
        <f t="shared" si="64"/>
        <v>0.9</v>
      </c>
      <c r="Y176" s="135">
        <f t="shared" si="64"/>
        <v>0.9</v>
      </c>
      <c r="Z176" s="135">
        <f t="shared" si="64"/>
        <v>0.9</v>
      </c>
      <c r="AA176" s="135">
        <f t="shared" si="64"/>
        <v>0.9</v>
      </c>
      <c r="AB176" s="135">
        <f t="shared" si="64"/>
        <v>0.9</v>
      </c>
      <c r="AC176" s="135">
        <f t="shared" si="64"/>
        <v>0.9</v>
      </c>
      <c r="AD176" s="135">
        <f t="shared" si="64"/>
        <v>0.9</v>
      </c>
      <c r="AE176" s="135">
        <f t="shared" si="64"/>
        <v>0.9</v>
      </c>
      <c r="AF176" s="135">
        <f t="shared" si="64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65">AF178</f>
        <v>0.57999999999999996</v>
      </c>
      <c r="C178" s="136">
        <v>0.57999999999999996</v>
      </c>
      <c r="D178" s="135">
        <f t="shared" ref="D178:S190" si="66">C178</f>
        <v>0.57999999999999996</v>
      </c>
      <c r="E178" s="135">
        <f t="shared" si="66"/>
        <v>0.57999999999999996</v>
      </c>
      <c r="F178" s="135">
        <f t="shared" si="66"/>
        <v>0.57999999999999996</v>
      </c>
      <c r="G178" s="135">
        <f t="shared" si="66"/>
        <v>0.57999999999999996</v>
      </c>
      <c r="H178" s="135">
        <f t="shared" si="66"/>
        <v>0.57999999999999996</v>
      </c>
      <c r="I178" s="135">
        <f t="shared" si="66"/>
        <v>0.57999999999999996</v>
      </c>
      <c r="J178" s="135">
        <f t="shared" si="66"/>
        <v>0.57999999999999996</v>
      </c>
      <c r="K178" s="135">
        <f t="shared" si="66"/>
        <v>0.57999999999999996</v>
      </c>
      <c r="L178" s="135">
        <f t="shared" si="66"/>
        <v>0.57999999999999996</v>
      </c>
      <c r="M178" s="135">
        <f t="shared" si="66"/>
        <v>0.57999999999999996</v>
      </c>
      <c r="N178" s="135">
        <f t="shared" si="66"/>
        <v>0.57999999999999996</v>
      </c>
      <c r="O178" s="135">
        <f t="shared" si="66"/>
        <v>0.57999999999999996</v>
      </c>
      <c r="P178" s="135">
        <f t="shared" si="66"/>
        <v>0.57999999999999996</v>
      </c>
      <c r="Q178" s="135">
        <f t="shared" si="66"/>
        <v>0.57999999999999996</v>
      </c>
      <c r="R178" s="135">
        <f t="shared" si="66"/>
        <v>0.57999999999999996</v>
      </c>
      <c r="S178" s="135">
        <f t="shared" si="66"/>
        <v>0.57999999999999996</v>
      </c>
      <c r="T178" s="135">
        <f t="shared" ref="S178:AF190" si="67">S178</f>
        <v>0.57999999999999996</v>
      </c>
      <c r="U178" s="135">
        <f t="shared" si="67"/>
        <v>0.57999999999999996</v>
      </c>
      <c r="V178" s="135">
        <f t="shared" si="67"/>
        <v>0.57999999999999996</v>
      </c>
      <c r="W178" s="135">
        <f t="shared" si="67"/>
        <v>0.57999999999999996</v>
      </c>
      <c r="X178" s="135">
        <f t="shared" si="67"/>
        <v>0.57999999999999996</v>
      </c>
      <c r="Y178" s="135">
        <f t="shared" si="67"/>
        <v>0.57999999999999996</v>
      </c>
      <c r="Z178" s="135">
        <f t="shared" si="67"/>
        <v>0.57999999999999996</v>
      </c>
      <c r="AA178" s="135">
        <f t="shared" si="67"/>
        <v>0.57999999999999996</v>
      </c>
      <c r="AB178" s="135">
        <f t="shared" si="67"/>
        <v>0.57999999999999996</v>
      </c>
      <c r="AC178" s="135">
        <f t="shared" si="67"/>
        <v>0.57999999999999996</v>
      </c>
      <c r="AD178" s="135">
        <f t="shared" si="67"/>
        <v>0.57999999999999996</v>
      </c>
      <c r="AE178" s="135">
        <f t="shared" si="67"/>
        <v>0.57999999999999996</v>
      </c>
      <c r="AF178" s="135">
        <f t="shared" si="67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65"/>
        <v>0.8</v>
      </c>
      <c r="C179" s="136">
        <v>0.8</v>
      </c>
      <c r="D179" s="135">
        <f t="shared" si="66"/>
        <v>0.8</v>
      </c>
      <c r="E179" s="135">
        <f t="shared" si="66"/>
        <v>0.8</v>
      </c>
      <c r="F179" s="135">
        <f t="shared" si="66"/>
        <v>0.8</v>
      </c>
      <c r="G179" s="135">
        <f t="shared" si="66"/>
        <v>0.8</v>
      </c>
      <c r="H179" s="135">
        <f t="shared" si="66"/>
        <v>0.8</v>
      </c>
      <c r="I179" s="135">
        <f t="shared" si="66"/>
        <v>0.8</v>
      </c>
      <c r="J179" s="135">
        <f t="shared" si="66"/>
        <v>0.8</v>
      </c>
      <c r="K179" s="135">
        <f t="shared" si="66"/>
        <v>0.8</v>
      </c>
      <c r="L179" s="135">
        <f t="shared" si="66"/>
        <v>0.8</v>
      </c>
      <c r="M179" s="135">
        <f t="shared" si="66"/>
        <v>0.8</v>
      </c>
      <c r="N179" s="135">
        <f t="shared" si="66"/>
        <v>0.8</v>
      </c>
      <c r="O179" s="135">
        <f t="shared" si="66"/>
        <v>0.8</v>
      </c>
      <c r="P179" s="135">
        <f t="shared" si="66"/>
        <v>0.8</v>
      </c>
      <c r="Q179" s="135">
        <f t="shared" si="66"/>
        <v>0.8</v>
      </c>
      <c r="R179" s="135">
        <f t="shared" si="66"/>
        <v>0.8</v>
      </c>
      <c r="S179" s="135">
        <f t="shared" si="66"/>
        <v>0.8</v>
      </c>
      <c r="T179" s="135">
        <f t="shared" si="67"/>
        <v>0.8</v>
      </c>
      <c r="U179" s="135">
        <f t="shared" si="67"/>
        <v>0.8</v>
      </c>
      <c r="V179" s="135">
        <f t="shared" si="67"/>
        <v>0.8</v>
      </c>
      <c r="W179" s="135">
        <f t="shared" si="67"/>
        <v>0.8</v>
      </c>
      <c r="X179" s="135">
        <f t="shared" si="67"/>
        <v>0.8</v>
      </c>
      <c r="Y179" s="135">
        <f t="shared" si="67"/>
        <v>0.8</v>
      </c>
      <c r="Z179" s="135">
        <f t="shared" si="67"/>
        <v>0.8</v>
      </c>
      <c r="AA179" s="135">
        <f t="shared" si="67"/>
        <v>0.8</v>
      </c>
      <c r="AB179" s="135">
        <f t="shared" si="67"/>
        <v>0.8</v>
      </c>
      <c r="AC179" s="135">
        <f t="shared" si="67"/>
        <v>0.8</v>
      </c>
      <c r="AD179" s="135">
        <f t="shared" si="67"/>
        <v>0.8</v>
      </c>
      <c r="AE179" s="135">
        <f t="shared" si="67"/>
        <v>0.8</v>
      </c>
      <c r="AF179" s="135">
        <f t="shared" si="67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65"/>
        <v>0</v>
      </c>
      <c r="C180" s="136">
        <v>0</v>
      </c>
      <c r="D180" s="135">
        <f t="shared" si="66"/>
        <v>0</v>
      </c>
      <c r="E180" s="135">
        <f t="shared" si="66"/>
        <v>0</v>
      </c>
      <c r="F180" s="135">
        <f t="shared" si="66"/>
        <v>0</v>
      </c>
      <c r="G180" s="135">
        <f t="shared" si="66"/>
        <v>0</v>
      </c>
      <c r="H180" s="135">
        <f t="shared" si="66"/>
        <v>0</v>
      </c>
      <c r="I180" s="135">
        <f t="shared" si="66"/>
        <v>0</v>
      </c>
      <c r="J180" s="135">
        <f t="shared" si="66"/>
        <v>0</v>
      </c>
      <c r="K180" s="135">
        <f t="shared" si="66"/>
        <v>0</v>
      </c>
      <c r="L180" s="135">
        <f t="shared" si="66"/>
        <v>0</v>
      </c>
      <c r="M180" s="135">
        <f t="shared" si="66"/>
        <v>0</v>
      </c>
      <c r="N180" s="135">
        <f t="shared" si="66"/>
        <v>0</v>
      </c>
      <c r="O180" s="135">
        <f t="shared" si="66"/>
        <v>0</v>
      </c>
      <c r="P180" s="135">
        <f t="shared" si="66"/>
        <v>0</v>
      </c>
      <c r="Q180" s="135">
        <f t="shared" si="66"/>
        <v>0</v>
      </c>
      <c r="R180" s="135">
        <f t="shared" si="66"/>
        <v>0</v>
      </c>
      <c r="S180" s="135">
        <f t="shared" si="66"/>
        <v>0</v>
      </c>
      <c r="T180" s="135">
        <f t="shared" si="67"/>
        <v>0</v>
      </c>
      <c r="U180" s="135">
        <f t="shared" si="67"/>
        <v>0</v>
      </c>
      <c r="V180" s="135">
        <f t="shared" si="67"/>
        <v>0</v>
      </c>
      <c r="W180" s="135">
        <f t="shared" si="67"/>
        <v>0</v>
      </c>
      <c r="X180" s="135">
        <f t="shared" si="67"/>
        <v>0</v>
      </c>
      <c r="Y180" s="135">
        <f t="shared" si="67"/>
        <v>0</v>
      </c>
      <c r="Z180" s="135">
        <f t="shared" si="67"/>
        <v>0</v>
      </c>
      <c r="AA180" s="135">
        <f t="shared" si="67"/>
        <v>0</v>
      </c>
      <c r="AB180" s="135">
        <f t="shared" si="67"/>
        <v>0</v>
      </c>
      <c r="AC180" s="135">
        <f t="shared" si="67"/>
        <v>0</v>
      </c>
      <c r="AD180" s="135">
        <f t="shared" si="67"/>
        <v>0</v>
      </c>
      <c r="AE180" s="135">
        <f t="shared" si="67"/>
        <v>0</v>
      </c>
      <c r="AF180" s="135">
        <f t="shared" si="67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65"/>
        <v>0.6</v>
      </c>
      <c r="C181" s="136">
        <v>0.6</v>
      </c>
      <c r="D181" s="135">
        <f t="shared" si="66"/>
        <v>0.6</v>
      </c>
      <c r="E181" s="135">
        <f t="shared" si="66"/>
        <v>0.6</v>
      </c>
      <c r="F181" s="135">
        <f t="shared" si="66"/>
        <v>0.6</v>
      </c>
      <c r="G181" s="135">
        <f t="shared" si="66"/>
        <v>0.6</v>
      </c>
      <c r="H181" s="135">
        <f t="shared" si="66"/>
        <v>0.6</v>
      </c>
      <c r="I181" s="135">
        <f t="shared" si="66"/>
        <v>0.6</v>
      </c>
      <c r="J181" s="135">
        <f t="shared" si="66"/>
        <v>0.6</v>
      </c>
      <c r="K181" s="135">
        <f t="shared" si="66"/>
        <v>0.6</v>
      </c>
      <c r="L181" s="135">
        <f t="shared" si="66"/>
        <v>0.6</v>
      </c>
      <c r="M181" s="135">
        <f t="shared" si="66"/>
        <v>0.6</v>
      </c>
      <c r="N181" s="135">
        <f t="shared" si="66"/>
        <v>0.6</v>
      </c>
      <c r="O181" s="135">
        <f t="shared" si="66"/>
        <v>0.6</v>
      </c>
      <c r="P181" s="135">
        <f t="shared" si="66"/>
        <v>0.6</v>
      </c>
      <c r="Q181" s="135">
        <f t="shared" si="66"/>
        <v>0.6</v>
      </c>
      <c r="R181" s="135">
        <f t="shared" si="66"/>
        <v>0.6</v>
      </c>
      <c r="S181" s="135">
        <f t="shared" si="66"/>
        <v>0.6</v>
      </c>
      <c r="T181" s="135">
        <f t="shared" si="67"/>
        <v>0.6</v>
      </c>
      <c r="U181" s="135">
        <f t="shared" si="67"/>
        <v>0.6</v>
      </c>
      <c r="V181" s="135">
        <f t="shared" si="67"/>
        <v>0.6</v>
      </c>
      <c r="W181" s="135">
        <f t="shared" si="67"/>
        <v>0.6</v>
      </c>
      <c r="X181" s="135">
        <f t="shared" si="67"/>
        <v>0.6</v>
      </c>
      <c r="Y181" s="135">
        <f t="shared" si="67"/>
        <v>0.6</v>
      </c>
      <c r="Z181" s="135">
        <f t="shared" si="67"/>
        <v>0.6</v>
      </c>
      <c r="AA181" s="135">
        <f t="shared" si="67"/>
        <v>0.6</v>
      </c>
      <c r="AB181" s="135">
        <f t="shared" si="67"/>
        <v>0.6</v>
      </c>
      <c r="AC181" s="135">
        <f t="shared" si="67"/>
        <v>0.6</v>
      </c>
      <c r="AD181" s="135">
        <f t="shared" si="67"/>
        <v>0.6</v>
      </c>
      <c r="AE181" s="135">
        <f t="shared" si="67"/>
        <v>0.6</v>
      </c>
      <c r="AF181" s="135">
        <f t="shared" si="67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65"/>
        <v>0.6</v>
      </c>
      <c r="C182" s="136">
        <v>0.6</v>
      </c>
      <c r="D182" s="135">
        <f t="shared" si="66"/>
        <v>0.6</v>
      </c>
      <c r="E182" s="135">
        <f t="shared" si="66"/>
        <v>0.6</v>
      </c>
      <c r="F182" s="135">
        <f t="shared" si="66"/>
        <v>0.6</v>
      </c>
      <c r="G182" s="135">
        <f t="shared" si="66"/>
        <v>0.6</v>
      </c>
      <c r="H182" s="135">
        <f t="shared" si="66"/>
        <v>0.6</v>
      </c>
      <c r="I182" s="135">
        <f t="shared" si="66"/>
        <v>0.6</v>
      </c>
      <c r="J182" s="135">
        <f t="shared" si="66"/>
        <v>0.6</v>
      </c>
      <c r="K182" s="135">
        <f t="shared" si="66"/>
        <v>0.6</v>
      </c>
      <c r="L182" s="135">
        <f t="shared" si="66"/>
        <v>0.6</v>
      </c>
      <c r="M182" s="135">
        <f t="shared" si="66"/>
        <v>0.6</v>
      </c>
      <c r="N182" s="135">
        <f t="shared" si="66"/>
        <v>0.6</v>
      </c>
      <c r="O182" s="135">
        <f t="shared" si="66"/>
        <v>0.6</v>
      </c>
      <c r="P182" s="135">
        <f t="shared" si="66"/>
        <v>0.6</v>
      </c>
      <c r="Q182" s="135">
        <f t="shared" si="66"/>
        <v>0.6</v>
      </c>
      <c r="R182" s="135">
        <f t="shared" si="66"/>
        <v>0.6</v>
      </c>
      <c r="S182" s="135">
        <f t="shared" si="66"/>
        <v>0.6</v>
      </c>
      <c r="T182" s="135">
        <f t="shared" si="67"/>
        <v>0.6</v>
      </c>
      <c r="U182" s="135">
        <f t="shared" si="67"/>
        <v>0.6</v>
      </c>
      <c r="V182" s="135">
        <f t="shared" si="67"/>
        <v>0.6</v>
      </c>
      <c r="W182" s="135">
        <f t="shared" si="67"/>
        <v>0.6</v>
      </c>
      <c r="X182" s="135">
        <f t="shared" si="67"/>
        <v>0.6</v>
      </c>
      <c r="Y182" s="135">
        <f t="shared" si="67"/>
        <v>0.6</v>
      </c>
      <c r="Z182" s="135">
        <f t="shared" si="67"/>
        <v>0.6</v>
      </c>
      <c r="AA182" s="135">
        <f t="shared" si="67"/>
        <v>0.6</v>
      </c>
      <c r="AB182" s="135">
        <f t="shared" si="67"/>
        <v>0.6</v>
      </c>
      <c r="AC182" s="135">
        <f t="shared" si="67"/>
        <v>0.6</v>
      </c>
      <c r="AD182" s="135">
        <f t="shared" si="67"/>
        <v>0.6</v>
      </c>
      <c r="AE182" s="135">
        <f t="shared" si="67"/>
        <v>0.6</v>
      </c>
      <c r="AF182" s="135">
        <f t="shared" si="67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65"/>
        <v>0.35</v>
      </c>
      <c r="C183" s="136">
        <v>0.35</v>
      </c>
      <c r="D183" s="135">
        <f t="shared" si="66"/>
        <v>0.35</v>
      </c>
      <c r="E183" s="135">
        <f t="shared" si="66"/>
        <v>0.35</v>
      </c>
      <c r="F183" s="135">
        <f t="shared" si="66"/>
        <v>0.35</v>
      </c>
      <c r="G183" s="135">
        <f t="shared" si="66"/>
        <v>0.35</v>
      </c>
      <c r="H183" s="135">
        <f t="shared" si="66"/>
        <v>0.35</v>
      </c>
      <c r="I183" s="135">
        <f t="shared" si="66"/>
        <v>0.35</v>
      </c>
      <c r="J183" s="135">
        <f t="shared" si="66"/>
        <v>0.35</v>
      </c>
      <c r="K183" s="135">
        <f t="shared" si="66"/>
        <v>0.35</v>
      </c>
      <c r="L183" s="135">
        <f t="shared" si="66"/>
        <v>0.35</v>
      </c>
      <c r="M183" s="135">
        <f t="shared" si="66"/>
        <v>0.35</v>
      </c>
      <c r="N183" s="135">
        <f t="shared" si="66"/>
        <v>0.35</v>
      </c>
      <c r="O183" s="135">
        <f t="shared" si="66"/>
        <v>0.35</v>
      </c>
      <c r="P183" s="135">
        <f t="shared" si="66"/>
        <v>0.35</v>
      </c>
      <c r="Q183" s="135">
        <f t="shared" si="66"/>
        <v>0.35</v>
      </c>
      <c r="R183" s="135">
        <f t="shared" si="66"/>
        <v>0.35</v>
      </c>
      <c r="S183" s="135">
        <f t="shared" si="66"/>
        <v>0.35</v>
      </c>
      <c r="T183" s="135">
        <f t="shared" si="67"/>
        <v>0.35</v>
      </c>
      <c r="U183" s="135">
        <f t="shared" si="67"/>
        <v>0.35</v>
      </c>
      <c r="V183" s="135">
        <f t="shared" si="67"/>
        <v>0.35</v>
      </c>
      <c r="W183" s="135">
        <f t="shared" si="67"/>
        <v>0.35</v>
      </c>
      <c r="X183" s="135">
        <f t="shared" si="67"/>
        <v>0.35</v>
      </c>
      <c r="Y183" s="135">
        <f t="shared" si="67"/>
        <v>0.35</v>
      </c>
      <c r="Z183" s="135">
        <f t="shared" si="67"/>
        <v>0.35</v>
      </c>
      <c r="AA183" s="135">
        <f t="shared" si="67"/>
        <v>0.35</v>
      </c>
      <c r="AB183" s="135">
        <f t="shared" si="67"/>
        <v>0.35</v>
      </c>
      <c r="AC183" s="135">
        <f t="shared" si="67"/>
        <v>0.35</v>
      </c>
      <c r="AD183" s="135">
        <f t="shared" si="67"/>
        <v>0.35</v>
      </c>
      <c r="AE183" s="135">
        <f t="shared" si="67"/>
        <v>0.35</v>
      </c>
      <c r="AF183" s="135">
        <f t="shared" si="67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65"/>
        <v>0.28999999999999998</v>
      </c>
      <c r="C184" s="136">
        <v>0.28999999999999998</v>
      </c>
      <c r="D184" s="135">
        <f t="shared" si="66"/>
        <v>0.28999999999999998</v>
      </c>
      <c r="E184" s="135">
        <f t="shared" si="66"/>
        <v>0.28999999999999998</v>
      </c>
      <c r="F184" s="135">
        <f t="shared" si="66"/>
        <v>0.28999999999999998</v>
      </c>
      <c r="G184" s="135">
        <f t="shared" si="66"/>
        <v>0.28999999999999998</v>
      </c>
      <c r="H184" s="135">
        <f t="shared" si="66"/>
        <v>0.28999999999999998</v>
      </c>
      <c r="I184" s="135">
        <f t="shared" si="66"/>
        <v>0.28999999999999998</v>
      </c>
      <c r="J184" s="135">
        <f t="shared" si="66"/>
        <v>0.28999999999999998</v>
      </c>
      <c r="K184" s="135">
        <f t="shared" si="66"/>
        <v>0.28999999999999998</v>
      </c>
      <c r="L184" s="135">
        <f t="shared" si="66"/>
        <v>0.28999999999999998</v>
      </c>
      <c r="M184" s="135">
        <f t="shared" si="66"/>
        <v>0.28999999999999998</v>
      </c>
      <c r="N184" s="135">
        <f t="shared" si="66"/>
        <v>0.28999999999999998</v>
      </c>
      <c r="O184" s="135">
        <f t="shared" si="66"/>
        <v>0.28999999999999998</v>
      </c>
      <c r="P184" s="135">
        <f t="shared" si="66"/>
        <v>0.28999999999999998</v>
      </c>
      <c r="Q184" s="135">
        <f t="shared" si="66"/>
        <v>0.28999999999999998</v>
      </c>
      <c r="R184" s="135">
        <f t="shared" si="66"/>
        <v>0.28999999999999998</v>
      </c>
      <c r="S184" s="135">
        <f t="shared" si="66"/>
        <v>0.28999999999999998</v>
      </c>
      <c r="T184" s="135">
        <f t="shared" si="67"/>
        <v>0.28999999999999998</v>
      </c>
      <c r="U184" s="135">
        <f t="shared" si="67"/>
        <v>0.28999999999999998</v>
      </c>
      <c r="V184" s="135">
        <f t="shared" si="67"/>
        <v>0.28999999999999998</v>
      </c>
      <c r="W184" s="135">
        <f t="shared" si="67"/>
        <v>0.28999999999999998</v>
      </c>
      <c r="X184" s="135">
        <f t="shared" si="67"/>
        <v>0.28999999999999998</v>
      </c>
      <c r="Y184" s="135">
        <f t="shared" si="67"/>
        <v>0.28999999999999998</v>
      </c>
      <c r="Z184" s="135">
        <f t="shared" si="67"/>
        <v>0.28999999999999998</v>
      </c>
      <c r="AA184" s="135">
        <f t="shared" si="67"/>
        <v>0.28999999999999998</v>
      </c>
      <c r="AB184" s="135">
        <f t="shared" si="67"/>
        <v>0.28999999999999998</v>
      </c>
      <c r="AC184" s="135">
        <f t="shared" si="67"/>
        <v>0.28999999999999998</v>
      </c>
      <c r="AD184" s="135">
        <f t="shared" si="67"/>
        <v>0.28999999999999998</v>
      </c>
      <c r="AE184" s="135">
        <f t="shared" si="67"/>
        <v>0.28999999999999998</v>
      </c>
      <c r="AF184" s="135">
        <f t="shared" si="67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65"/>
        <v>0.06</v>
      </c>
      <c r="C185" s="136">
        <v>0.06</v>
      </c>
      <c r="D185" s="135">
        <f t="shared" si="66"/>
        <v>0.06</v>
      </c>
      <c r="E185" s="135">
        <f t="shared" si="66"/>
        <v>0.06</v>
      </c>
      <c r="F185" s="135">
        <f t="shared" si="66"/>
        <v>0.06</v>
      </c>
      <c r="G185" s="135">
        <f t="shared" si="66"/>
        <v>0.06</v>
      </c>
      <c r="H185" s="135">
        <f t="shared" si="66"/>
        <v>0.06</v>
      </c>
      <c r="I185" s="135">
        <f t="shared" si="66"/>
        <v>0.06</v>
      </c>
      <c r="J185" s="135">
        <f t="shared" si="66"/>
        <v>0.06</v>
      </c>
      <c r="K185" s="135">
        <f t="shared" si="66"/>
        <v>0.06</v>
      </c>
      <c r="L185" s="135">
        <f t="shared" si="66"/>
        <v>0.06</v>
      </c>
      <c r="M185" s="135">
        <f t="shared" si="66"/>
        <v>0.06</v>
      </c>
      <c r="N185" s="135">
        <f t="shared" si="66"/>
        <v>0.06</v>
      </c>
      <c r="O185" s="135">
        <f t="shared" si="66"/>
        <v>0.06</v>
      </c>
      <c r="P185" s="135">
        <f t="shared" si="66"/>
        <v>0.06</v>
      </c>
      <c r="Q185" s="135">
        <f t="shared" si="66"/>
        <v>0.06</v>
      </c>
      <c r="R185" s="135">
        <f t="shared" si="66"/>
        <v>0.06</v>
      </c>
      <c r="S185" s="135">
        <f t="shared" si="66"/>
        <v>0.06</v>
      </c>
      <c r="T185" s="135">
        <f t="shared" si="67"/>
        <v>0.06</v>
      </c>
      <c r="U185" s="135">
        <f t="shared" si="67"/>
        <v>0.06</v>
      </c>
      <c r="V185" s="135">
        <f t="shared" si="67"/>
        <v>0.06</v>
      </c>
      <c r="W185" s="135">
        <f t="shared" si="67"/>
        <v>0.06</v>
      </c>
      <c r="X185" s="135">
        <f t="shared" si="67"/>
        <v>0.06</v>
      </c>
      <c r="Y185" s="135">
        <f t="shared" si="67"/>
        <v>0.06</v>
      </c>
      <c r="Z185" s="135">
        <f t="shared" si="67"/>
        <v>0.06</v>
      </c>
      <c r="AA185" s="135">
        <f t="shared" si="67"/>
        <v>0.06</v>
      </c>
      <c r="AB185" s="135">
        <f t="shared" si="67"/>
        <v>0.06</v>
      </c>
      <c r="AC185" s="135">
        <f t="shared" si="67"/>
        <v>0.06</v>
      </c>
      <c r="AD185" s="135">
        <f t="shared" si="67"/>
        <v>0.06</v>
      </c>
      <c r="AE185" s="135">
        <f t="shared" si="67"/>
        <v>0.06</v>
      </c>
      <c r="AF185" s="135">
        <f t="shared" si="67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65"/>
        <v>0.11</v>
      </c>
      <c r="C186" s="136">
        <v>0.11</v>
      </c>
      <c r="D186" s="135">
        <f t="shared" si="66"/>
        <v>0.11</v>
      </c>
      <c r="E186" s="135">
        <f t="shared" si="66"/>
        <v>0.11</v>
      </c>
      <c r="F186" s="135">
        <f t="shared" si="66"/>
        <v>0.11</v>
      </c>
      <c r="G186" s="135">
        <f t="shared" si="66"/>
        <v>0.11</v>
      </c>
      <c r="H186" s="135">
        <f t="shared" si="66"/>
        <v>0.11</v>
      </c>
      <c r="I186" s="135">
        <f t="shared" si="66"/>
        <v>0.11</v>
      </c>
      <c r="J186" s="135">
        <f t="shared" si="66"/>
        <v>0.11</v>
      </c>
      <c r="K186" s="135">
        <f t="shared" si="66"/>
        <v>0.11</v>
      </c>
      <c r="L186" s="135">
        <f t="shared" si="66"/>
        <v>0.11</v>
      </c>
      <c r="M186" s="135">
        <f t="shared" si="66"/>
        <v>0.11</v>
      </c>
      <c r="N186" s="135">
        <f t="shared" si="66"/>
        <v>0.11</v>
      </c>
      <c r="O186" s="135">
        <f t="shared" si="66"/>
        <v>0.11</v>
      </c>
      <c r="P186" s="135">
        <f t="shared" si="66"/>
        <v>0.11</v>
      </c>
      <c r="Q186" s="135">
        <f t="shared" si="66"/>
        <v>0.11</v>
      </c>
      <c r="R186" s="135">
        <f t="shared" si="66"/>
        <v>0.11</v>
      </c>
      <c r="S186" s="135">
        <f t="shared" si="66"/>
        <v>0.11</v>
      </c>
      <c r="T186" s="135">
        <f t="shared" si="67"/>
        <v>0.11</v>
      </c>
      <c r="U186" s="135">
        <f t="shared" si="67"/>
        <v>0.11</v>
      </c>
      <c r="V186" s="135">
        <f t="shared" si="67"/>
        <v>0.11</v>
      </c>
      <c r="W186" s="135">
        <f t="shared" si="67"/>
        <v>0.11</v>
      </c>
      <c r="X186" s="135">
        <f t="shared" si="67"/>
        <v>0.11</v>
      </c>
      <c r="Y186" s="135">
        <f t="shared" si="67"/>
        <v>0.11</v>
      </c>
      <c r="Z186" s="135">
        <f t="shared" si="67"/>
        <v>0.11</v>
      </c>
      <c r="AA186" s="135">
        <f t="shared" si="67"/>
        <v>0.11</v>
      </c>
      <c r="AB186" s="135">
        <f t="shared" si="67"/>
        <v>0.11</v>
      </c>
      <c r="AC186" s="135">
        <f t="shared" si="67"/>
        <v>0.11</v>
      </c>
      <c r="AD186" s="135">
        <f t="shared" si="67"/>
        <v>0.11</v>
      </c>
      <c r="AE186" s="135">
        <f t="shared" si="67"/>
        <v>0.11</v>
      </c>
      <c r="AF186" s="135">
        <f t="shared" si="67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65"/>
        <v>0.1</v>
      </c>
      <c r="C187" s="136">
        <v>0.1</v>
      </c>
      <c r="D187" s="135">
        <f t="shared" si="66"/>
        <v>0.1</v>
      </c>
      <c r="E187" s="135">
        <f t="shared" si="66"/>
        <v>0.1</v>
      </c>
      <c r="F187" s="135">
        <f t="shared" si="66"/>
        <v>0.1</v>
      </c>
      <c r="G187" s="135">
        <f t="shared" si="66"/>
        <v>0.1</v>
      </c>
      <c r="H187" s="135">
        <f t="shared" si="66"/>
        <v>0.1</v>
      </c>
      <c r="I187" s="135">
        <f t="shared" si="66"/>
        <v>0.1</v>
      </c>
      <c r="J187" s="135">
        <f t="shared" si="66"/>
        <v>0.1</v>
      </c>
      <c r="K187" s="135">
        <f t="shared" si="66"/>
        <v>0.1</v>
      </c>
      <c r="L187" s="135">
        <f t="shared" si="66"/>
        <v>0.1</v>
      </c>
      <c r="M187" s="135">
        <f t="shared" si="66"/>
        <v>0.1</v>
      </c>
      <c r="N187" s="135">
        <f t="shared" si="66"/>
        <v>0.1</v>
      </c>
      <c r="O187" s="135">
        <f t="shared" si="66"/>
        <v>0.1</v>
      </c>
      <c r="P187" s="135">
        <f t="shared" si="66"/>
        <v>0.1</v>
      </c>
      <c r="Q187" s="135">
        <f t="shared" si="66"/>
        <v>0.1</v>
      </c>
      <c r="R187" s="135">
        <f t="shared" si="66"/>
        <v>0.1</v>
      </c>
      <c r="S187" s="135">
        <f t="shared" si="67"/>
        <v>0.1</v>
      </c>
      <c r="T187" s="135">
        <f t="shared" si="67"/>
        <v>0.1</v>
      </c>
      <c r="U187" s="135">
        <f t="shared" si="67"/>
        <v>0.1</v>
      </c>
      <c r="V187" s="135">
        <f t="shared" si="67"/>
        <v>0.1</v>
      </c>
      <c r="W187" s="135">
        <f t="shared" si="67"/>
        <v>0.1</v>
      </c>
      <c r="X187" s="135">
        <f t="shared" si="67"/>
        <v>0.1</v>
      </c>
      <c r="Y187" s="135">
        <f t="shared" si="67"/>
        <v>0.1</v>
      </c>
      <c r="Z187" s="135">
        <f t="shared" si="67"/>
        <v>0.1</v>
      </c>
      <c r="AA187" s="135">
        <f t="shared" si="67"/>
        <v>0.1</v>
      </c>
      <c r="AB187" s="135">
        <f t="shared" si="67"/>
        <v>0.1</v>
      </c>
      <c r="AC187" s="135">
        <f t="shared" si="67"/>
        <v>0.1</v>
      </c>
      <c r="AD187" s="135">
        <f t="shared" si="67"/>
        <v>0.1</v>
      </c>
      <c r="AE187" s="135">
        <f t="shared" si="67"/>
        <v>0.1</v>
      </c>
      <c r="AF187" s="135">
        <f t="shared" si="67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65"/>
        <v>0.09</v>
      </c>
      <c r="C188" s="136">
        <v>0.09</v>
      </c>
      <c r="D188" s="135">
        <f t="shared" si="66"/>
        <v>0.09</v>
      </c>
      <c r="E188" s="135">
        <f t="shared" si="66"/>
        <v>0.09</v>
      </c>
      <c r="F188" s="135">
        <f t="shared" si="66"/>
        <v>0.09</v>
      </c>
      <c r="G188" s="135">
        <f t="shared" si="66"/>
        <v>0.09</v>
      </c>
      <c r="H188" s="135">
        <f t="shared" si="66"/>
        <v>0.09</v>
      </c>
      <c r="I188" s="135">
        <f t="shared" si="66"/>
        <v>0.09</v>
      </c>
      <c r="J188" s="135">
        <f t="shared" si="66"/>
        <v>0.09</v>
      </c>
      <c r="K188" s="135">
        <f t="shared" si="66"/>
        <v>0.09</v>
      </c>
      <c r="L188" s="135">
        <f t="shared" si="66"/>
        <v>0.09</v>
      </c>
      <c r="M188" s="135">
        <f t="shared" si="66"/>
        <v>0.09</v>
      </c>
      <c r="N188" s="135">
        <f t="shared" si="66"/>
        <v>0.09</v>
      </c>
      <c r="O188" s="135">
        <f t="shared" si="66"/>
        <v>0.09</v>
      </c>
      <c r="P188" s="135">
        <f t="shared" si="66"/>
        <v>0.09</v>
      </c>
      <c r="Q188" s="135">
        <f t="shared" si="66"/>
        <v>0.09</v>
      </c>
      <c r="R188" s="135">
        <f t="shared" si="66"/>
        <v>0.09</v>
      </c>
      <c r="S188" s="135">
        <f t="shared" si="67"/>
        <v>0.09</v>
      </c>
      <c r="T188" s="135">
        <f t="shared" si="67"/>
        <v>0.09</v>
      </c>
      <c r="U188" s="135">
        <f t="shared" si="67"/>
        <v>0.09</v>
      </c>
      <c r="V188" s="135">
        <f t="shared" si="67"/>
        <v>0.09</v>
      </c>
      <c r="W188" s="135">
        <f t="shared" si="67"/>
        <v>0.09</v>
      </c>
      <c r="X188" s="135">
        <f t="shared" si="67"/>
        <v>0.09</v>
      </c>
      <c r="Y188" s="135">
        <f t="shared" si="67"/>
        <v>0.09</v>
      </c>
      <c r="Z188" s="135">
        <f t="shared" si="67"/>
        <v>0.09</v>
      </c>
      <c r="AA188" s="135">
        <f t="shared" si="67"/>
        <v>0.09</v>
      </c>
      <c r="AB188" s="135">
        <f t="shared" si="67"/>
        <v>0.09</v>
      </c>
      <c r="AC188" s="135">
        <f t="shared" si="67"/>
        <v>0.09</v>
      </c>
      <c r="AD188" s="135">
        <f t="shared" si="67"/>
        <v>0.09</v>
      </c>
      <c r="AE188" s="135">
        <f t="shared" si="67"/>
        <v>0.09</v>
      </c>
      <c r="AF188" s="135">
        <f t="shared" si="67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65"/>
        <v>0.04</v>
      </c>
      <c r="C189" s="52">
        <v>0.04</v>
      </c>
      <c r="D189" s="135">
        <f t="shared" si="66"/>
        <v>0.04</v>
      </c>
      <c r="E189" s="135">
        <f t="shared" si="66"/>
        <v>0.04</v>
      </c>
      <c r="F189" s="135">
        <f t="shared" si="66"/>
        <v>0.04</v>
      </c>
      <c r="G189" s="135">
        <f t="shared" si="66"/>
        <v>0.04</v>
      </c>
      <c r="H189" s="135">
        <f t="shared" si="66"/>
        <v>0.04</v>
      </c>
      <c r="I189" s="135">
        <f t="shared" si="66"/>
        <v>0.04</v>
      </c>
      <c r="J189" s="135">
        <f t="shared" si="66"/>
        <v>0.04</v>
      </c>
      <c r="K189" s="135">
        <f t="shared" si="66"/>
        <v>0.04</v>
      </c>
      <c r="L189" s="135">
        <f t="shared" si="66"/>
        <v>0.04</v>
      </c>
      <c r="M189" s="135">
        <f t="shared" si="66"/>
        <v>0.04</v>
      </c>
      <c r="N189" s="135">
        <f t="shared" si="66"/>
        <v>0.04</v>
      </c>
      <c r="O189" s="135">
        <f t="shared" si="66"/>
        <v>0.04</v>
      </c>
      <c r="P189" s="135">
        <f t="shared" si="66"/>
        <v>0.04</v>
      </c>
      <c r="Q189" s="135">
        <f t="shared" si="66"/>
        <v>0.04</v>
      </c>
      <c r="R189" s="135">
        <f t="shared" si="66"/>
        <v>0.04</v>
      </c>
      <c r="S189" s="135">
        <f t="shared" si="67"/>
        <v>0.04</v>
      </c>
      <c r="T189" s="135">
        <f t="shared" si="67"/>
        <v>0.04</v>
      </c>
      <c r="U189" s="135">
        <f t="shared" si="67"/>
        <v>0.04</v>
      </c>
      <c r="V189" s="135">
        <f t="shared" si="67"/>
        <v>0.04</v>
      </c>
      <c r="W189" s="135">
        <f t="shared" si="67"/>
        <v>0.04</v>
      </c>
      <c r="X189" s="135">
        <f t="shared" si="67"/>
        <v>0.04</v>
      </c>
      <c r="Y189" s="135">
        <f t="shared" si="67"/>
        <v>0.04</v>
      </c>
      <c r="Z189" s="135">
        <f t="shared" si="67"/>
        <v>0.04</v>
      </c>
      <c r="AA189" s="135">
        <f t="shared" si="67"/>
        <v>0.04</v>
      </c>
      <c r="AB189" s="135">
        <f t="shared" si="67"/>
        <v>0.04</v>
      </c>
      <c r="AC189" s="135">
        <f t="shared" si="67"/>
        <v>0.04</v>
      </c>
      <c r="AD189" s="135">
        <f t="shared" si="67"/>
        <v>0.04</v>
      </c>
      <c r="AE189" s="135">
        <f t="shared" si="67"/>
        <v>0.04</v>
      </c>
      <c r="AF189" s="135">
        <f t="shared" si="67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65"/>
        <v>2.3E-2</v>
      </c>
      <c r="C190" s="52">
        <v>2.3E-2</v>
      </c>
      <c r="D190" s="135">
        <f>C190</f>
        <v>2.3E-2</v>
      </c>
      <c r="E190" s="135">
        <f t="shared" si="66"/>
        <v>2.3E-2</v>
      </c>
      <c r="F190" s="135">
        <f t="shared" si="66"/>
        <v>2.3E-2</v>
      </c>
      <c r="G190" s="135">
        <f t="shared" si="66"/>
        <v>2.3E-2</v>
      </c>
      <c r="H190" s="135">
        <f t="shared" si="66"/>
        <v>2.3E-2</v>
      </c>
      <c r="I190" s="135">
        <f t="shared" si="66"/>
        <v>2.3E-2</v>
      </c>
      <c r="J190" s="135">
        <f t="shared" si="66"/>
        <v>2.3E-2</v>
      </c>
      <c r="K190" s="135">
        <f t="shared" si="66"/>
        <v>2.3E-2</v>
      </c>
      <c r="L190" s="135">
        <f t="shared" si="66"/>
        <v>2.3E-2</v>
      </c>
      <c r="M190" s="135">
        <f t="shared" si="66"/>
        <v>2.3E-2</v>
      </c>
      <c r="N190" s="135">
        <f t="shared" si="66"/>
        <v>2.3E-2</v>
      </c>
      <c r="O190" s="135">
        <f t="shared" si="66"/>
        <v>2.3E-2</v>
      </c>
      <c r="P190" s="135">
        <f t="shared" si="66"/>
        <v>2.3E-2</v>
      </c>
      <c r="Q190" s="135">
        <f t="shared" si="66"/>
        <v>2.3E-2</v>
      </c>
      <c r="R190" s="135">
        <f t="shared" si="66"/>
        <v>2.3E-2</v>
      </c>
      <c r="S190" s="135">
        <f t="shared" si="67"/>
        <v>2.3E-2</v>
      </c>
      <c r="T190" s="135">
        <f t="shared" si="67"/>
        <v>2.3E-2</v>
      </c>
      <c r="U190" s="135">
        <f t="shared" si="67"/>
        <v>2.3E-2</v>
      </c>
      <c r="V190" s="135">
        <f t="shared" si="67"/>
        <v>2.3E-2</v>
      </c>
      <c r="W190" s="135">
        <f t="shared" si="67"/>
        <v>2.3E-2</v>
      </c>
      <c r="X190" s="135">
        <f t="shared" si="67"/>
        <v>2.3E-2</v>
      </c>
      <c r="Y190" s="135">
        <f t="shared" si="67"/>
        <v>2.3E-2</v>
      </c>
      <c r="Z190" s="135">
        <f t="shared" si="67"/>
        <v>2.3E-2</v>
      </c>
      <c r="AA190" s="135">
        <f t="shared" si="67"/>
        <v>2.3E-2</v>
      </c>
      <c r="AB190" s="135">
        <f t="shared" si="67"/>
        <v>2.3E-2</v>
      </c>
      <c r="AC190" s="135">
        <f t="shared" si="67"/>
        <v>2.3E-2</v>
      </c>
      <c r="AD190" s="135">
        <f t="shared" si="67"/>
        <v>2.3E-2</v>
      </c>
      <c r="AE190" s="135">
        <f t="shared" si="67"/>
        <v>2.3E-2</v>
      </c>
      <c r="AF190" s="135">
        <f t="shared" si="67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68">SUM(C101:C190)</f>
        <v>194.70600000000002</v>
      </c>
      <c r="D191" s="140">
        <f t="shared" si="68"/>
        <v>194.70600000000002</v>
      </c>
      <c r="E191" s="140">
        <f t="shared" si="68"/>
        <v>194.70600000000002</v>
      </c>
      <c r="F191" s="140">
        <f t="shared" si="68"/>
        <v>194.70600000000002</v>
      </c>
      <c r="G191" s="140">
        <f t="shared" si="68"/>
        <v>194.70600000000002</v>
      </c>
      <c r="H191" s="140">
        <f t="shared" si="68"/>
        <v>194.70600000000002</v>
      </c>
      <c r="I191" s="140">
        <f t="shared" si="68"/>
        <v>194.70600000000002</v>
      </c>
      <c r="J191" s="140">
        <f t="shared" si="68"/>
        <v>192.10600000000005</v>
      </c>
      <c r="K191" s="140">
        <f t="shared" si="68"/>
        <v>192.10600000000005</v>
      </c>
      <c r="L191" s="140">
        <f t="shared" si="68"/>
        <v>192.10600000000005</v>
      </c>
      <c r="M191" s="140">
        <f t="shared" si="68"/>
        <v>192.10600000000005</v>
      </c>
      <c r="N191" s="140">
        <f t="shared" si="68"/>
        <v>192.10600000000005</v>
      </c>
      <c r="O191" s="140">
        <f t="shared" si="68"/>
        <v>192.10600000000005</v>
      </c>
      <c r="P191" s="140">
        <f t="shared" si="68"/>
        <v>192.10600000000005</v>
      </c>
      <c r="Q191" s="140">
        <f t="shared" si="68"/>
        <v>192.10600000000005</v>
      </c>
      <c r="R191" s="140">
        <f t="shared" si="68"/>
        <v>192.10600000000005</v>
      </c>
      <c r="S191" s="140">
        <f t="shared" si="68"/>
        <v>192.10600000000005</v>
      </c>
      <c r="T191" s="140">
        <f t="shared" si="68"/>
        <v>192.10600000000005</v>
      </c>
      <c r="U191" s="140">
        <f t="shared" si="68"/>
        <v>192.10600000000005</v>
      </c>
      <c r="V191" s="140">
        <f t="shared" si="68"/>
        <v>192.10600000000005</v>
      </c>
      <c r="W191" s="140">
        <f t="shared" si="68"/>
        <v>192.10600000000005</v>
      </c>
      <c r="X191" s="140">
        <f t="shared" si="68"/>
        <v>192.10600000000005</v>
      </c>
      <c r="Y191" s="140">
        <f t="shared" si="68"/>
        <v>192.10600000000005</v>
      </c>
      <c r="Z191" s="140">
        <f t="shared" si="68"/>
        <v>192.10600000000005</v>
      </c>
      <c r="AA191" s="140">
        <f t="shared" si="68"/>
        <v>192.10600000000005</v>
      </c>
      <c r="AB191" s="140">
        <f t="shared" si="68"/>
        <v>192.10600000000005</v>
      </c>
      <c r="AC191" s="140">
        <f t="shared" si="68"/>
        <v>192.10600000000005</v>
      </c>
      <c r="AD191" s="140">
        <f t="shared" si="68"/>
        <v>192.10600000000005</v>
      </c>
      <c r="AE191" s="140">
        <f t="shared" si="68"/>
        <v>192.10600000000005</v>
      </c>
      <c r="AF191" s="140">
        <f t="shared" si="68"/>
        <v>192.10600000000005</v>
      </c>
      <c r="AG191" s="141">
        <f t="shared" si="68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69">AF193</f>
        <v>0.3</v>
      </c>
      <c r="C193" s="142">
        <v>0.3</v>
      </c>
      <c r="D193" s="142">
        <f t="shared" ref="D193:S198" si="70">C193</f>
        <v>0.3</v>
      </c>
      <c r="E193" s="142">
        <f t="shared" si="70"/>
        <v>0.3</v>
      </c>
      <c r="F193" s="142">
        <f t="shared" si="70"/>
        <v>0.3</v>
      </c>
      <c r="G193" s="142">
        <f t="shared" si="70"/>
        <v>0.3</v>
      </c>
      <c r="H193" s="142">
        <f t="shared" si="70"/>
        <v>0.3</v>
      </c>
      <c r="I193" s="142">
        <f t="shared" si="70"/>
        <v>0.3</v>
      </c>
      <c r="J193" s="142">
        <f t="shared" si="70"/>
        <v>0.3</v>
      </c>
      <c r="K193" s="142">
        <f t="shared" si="70"/>
        <v>0.3</v>
      </c>
      <c r="L193" s="142">
        <f t="shared" si="70"/>
        <v>0.3</v>
      </c>
      <c r="M193" s="142">
        <f t="shared" si="70"/>
        <v>0.3</v>
      </c>
      <c r="N193" s="142">
        <f t="shared" si="70"/>
        <v>0.3</v>
      </c>
      <c r="O193" s="142">
        <f t="shared" si="70"/>
        <v>0.3</v>
      </c>
      <c r="P193" s="142">
        <f t="shared" si="70"/>
        <v>0.3</v>
      </c>
      <c r="Q193" s="142">
        <f t="shared" si="70"/>
        <v>0.3</v>
      </c>
      <c r="R193" s="142">
        <f t="shared" si="70"/>
        <v>0.3</v>
      </c>
      <c r="S193" s="142">
        <f t="shared" si="70"/>
        <v>0.3</v>
      </c>
      <c r="T193" s="142">
        <f t="shared" ref="T193:AF198" si="71">S193</f>
        <v>0.3</v>
      </c>
      <c r="U193" s="142">
        <f t="shared" si="71"/>
        <v>0.3</v>
      </c>
      <c r="V193" s="142">
        <f t="shared" si="71"/>
        <v>0.3</v>
      </c>
      <c r="W193" s="142">
        <f t="shared" si="71"/>
        <v>0.3</v>
      </c>
      <c r="X193" s="142">
        <f t="shared" si="71"/>
        <v>0.3</v>
      </c>
      <c r="Y193" s="142">
        <f t="shared" si="71"/>
        <v>0.3</v>
      </c>
      <c r="Z193" s="142">
        <f t="shared" si="71"/>
        <v>0.3</v>
      </c>
      <c r="AA193" s="142">
        <f t="shared" si="71"/>
        <v>0.3</v>
      </c>
      <c r="AB193" s="142">
        <f t="shared" si="71"/>
        <v>0.3</v>
      </c>
      <c r="AC193" s="142">
        <f t="shared" si="71"/>
        <v>0.3</v>
      </c>
      <c r="AD193" s="142">
        <f t="shared" si="71"/>
        <v>0.3</v>
      </c>
      <c r="AE193" s="142">
        <f t="shared" si="71"/>
        <v>0.3</v>
      </c>
      <c r="AF193" s="142">
        <f t="shared" si="71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69"/>
        <v>0.4</v>
      </c>
      <c r="C194" s="135">
        <v>0.4</v>
      </c>
      <c r="D194" s="135">
        <f t="shared" si="70"/>
        <v>0.4</v>
      </c>
      <c r="E194" s="135">
        <f t="shared" si="70"/>
        <v>0.4</v>
      </c>
      <c r="F194" s="135">
        <f t="shared" si="70"/>
        <v>0.4</v>
      </c>
      <c r="G194" s="135">
        <f t="shared" si="70"/>
        <v>0.4</v>
      </c>
      <c r="H194" s="135">
        <f t="shared" si="70"/>
        <v>0.4</v>
      </c>
      <c r="I194" s="135">
        <f t="shared" si="70"/>
        <v>0.4</v>
      </c>
      <c r="J194" s="135">
        <f t="shared" si="70"/>
        <v>0.4</v>
      </c>
      <c r="K194" s="135">
        <f t="shared" si="70"/>
        <v>0.4</v>
      </c>
      <c r="L194" s="135">
        <f t="shared" si="70"/>
        <v>0.4</v>
      </c>
      <c r="M194" s="135">
        <f t="shared" si="70"/>
        <v>0.4</v>
      </c>
      <c r="N194" s="135">
        <f t="shared" si="70"/>
        <v>0.4</v>
      </c>
      <c r="O194" s="135">
        <f t="shared" si="70"/>
        <v>0.4</v>
      </c>
      <c r="P194" s="135">
        <f t="shared" si="70"/>
        <v>0.4</v>
      </c>
      <c r="Q194" s="135">
        <f t="shared" si="70"/>
        <v>0.4</v>
      </c>
      <c r="R194" s="135">
        <f t="shared" si="70"/>
        <v>0.4</v>
      </c>
      <c r="S194" s="135">
        <f t="shared" si="70"/>
        <v>0.4</v>
      </c>
      <c r="T194" s="135">
        <f t="shared" si="71"/>
        <v>0.4</v>
      </c>
      <c r="U194" s="135">
        <f t="shared" si="71"/>
        <v>0.4</v>
      </c>
      <c r="V194" s="135">
        <f t="shared" si="71"/>
        <v>0.4</v>
      </c>
      <c r="W194" s="135">
        <f>V194</f>
        <v>0.4</v>
      </c>
      <c r="X194" s="135">
        <f>W194</f>
        <v>0.4</v>
      </c>
      <c r="Y194" s="135">
        <f t="shared" si="71"/>
        <v>0.4</v>
      </c>
      <c r="Z194" s="135">
        <f t="shared" si="71"/>
        <v>0.4</v>
      </c>
      <c r="AA194" s="135">
        <f t="shared" si="71"/>
        <v>0.4</v>
      </c>
      <c r="AB194" s="135">
        <f t="shared" si="71"/>
        <v>0.4</v>
      </c>
      <c r="AC194" s="135">
        <f t="shared" si="71"/>
        <v>0.4</v>
      </c>
      <c r="AD194" s="135">
        <f t="shared" si="71"/>
        <v>0.4</v>
      </c>
      <c r="AE194" s="135">
        <f t="shared" si="71"/>
        <v>0.4</v>
      </c>
      <c r="AF194" s="135">
        <f t="shared" si="71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69"/>
        <v>1.5</v>
      </c>
      <c r="C195" s="135">
        <v>1.5</v>
      </c>
      <c r="D195" s="135">
        <f t="shared" si="70"/>
        <v>1.5</v>
      </c>
      <c r="E195" s="135">
        <f t="shared" si="70"/>
        <v>1.5</v>
      </c>
      <c r="F195" s="135">
        <f t="shared" si="70"/>
        <v>1.5</v>
      </c>
      <c r="G195" s="135">
        <f t="shared" si="70"/>
        <v>1.5</v>
      </c>
      <c r="H195" s="135">
        <f t="shared" si="70"/>
        <v>1.5</v>
      </c>
      <c r="I195" s="135">
        <f t="shared" si="70"/>
        <v>1.5</v>
      </c>
      <c r="J195" s="135">
        <f t="shared" si="70"/>
        <v>1.5</v>
      </c>
      <c r="K195" s="135">
        <f t="shared" si="70"/>
        <v>1.5</v>
      </c>
      <c r="L195" s="135">
        <f t="shared" si="70"/>
        <v>1.5</v>
      </c>
      <c r="M195" s="135">
        <f t="shared" si="70"/>
        <v>1.5</v>
      </c>
      <c r="N195" s="135">
        <f t="shared" si="70"/>
        <v>1.5</v>
      </c>
      <c r="O195" s="135">
        <f t="shared" si="70"/>
        <v>1.5</v>
      </c>
      <c r="P195" s="135">
        <f t="shared" si="70"/>
        <v>1.5</v>
      </c>
      <c r="Q195" s="135">
        <f t="shared" si="70"/>
        <v>1.5</v>
      </c>
      <c r="R195" s="135">
        <f t="shared" si="70"/>
        <v>1.5</v>
      </c>
      <c r="S195" s="135">
        <f t="shared" si="70"/>
        <v>1.5</v>
      </c>
      <c r="T195" s="135">
        <f t="shared" si="71"/>
        <v>1.5</v>
      </c>
      <c r="U195" s="135">
        <f t="shared" si="71"/>
        <v>1.5</v>
      </c>
      <c r="V195" s="135">
        <f t="shared" si="71"/>
        <v>1.5</v>
      </c>
      <c r="W195" s="135">
        <f t="shared" si="71"/>
        <v>1.5</v>
      </c>
      <c r="X195" s="135">
        <f t="shared" si="71"/>
        <v>1.5</v>
      </c>
      <c r="Y195" s="135">
        <f t="shared" si="71"/>
        <v>1.5</v>
      </c>
      <c r="Z195" s="135">
        <f t="shared" si="71"/>
        <v>1.5</v>
      </c>
      <c r="AA195" s="135">
        <f t="shared" si="71"/>
        <v>1.5</v>
      </c>
      <c r="AB195" s="135">
        <f t="shared" si="71"/>
        <v>1.5</v>
      </c>
      <c r="AC195" s="135">
        <f t="shared" si="71"/>
        <v>1.5</v>
      </c>
      <c r="AD195" s="135">
        <f t="shared" si="71"/>
        <v>1.5</v>
      </c>
      <c r="AE195" s="135">
        <f t="shared" si="71"/>
        <v>1.5</v>
      </c>
      <c r="AF195" s="135">
        <f t="shared" si="71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69"/>
        <v>0.3</v>
      </c>
      <c r="C196" s="135">
        <v>0.3</v>
      </c>
      <c r="D196" s="135">
        <f t="shared" si="70"/>
        <v>0.3</v>
      </c>
      <c r="E196" s="135">
        <f t="shared" si="70"/>
        <v>0.3</v>
      </c>
      <c r="F196" s="135">
        <f t="shared" si="70"/>
        <v>0.3</v>
      </c>
      <c r="G196" s="135">
        <f t="shared" si="70"/>
        <v>0.3</v>
      </c>
      <c r="H196" s="135">
        <f t="shared" si="70"/>
        <v>0.3</v>
      </c>
      <c r="I196" s="135">
        <f t="shared" si="70"/>
        <v>0.3</v>
      </c>
      <c r="J196" s="135">
        <f t="shared" si="70"/>
        <v>0.3</v>
      </c>
      <c r="K196" s="135">
        <f t="shared" si="70"/>
        <v>0.3</v>
      </c>
      <c r="L196" s="135">
        <f t="shared" si="70"/>
        <v>0.3</v>
      </c>
      <c r="M196" s="135">
        <f t="shared" si="70"/>
        <v>0.3</v>
      </c>
      <c r="N196" s="135">
        <f t="shared" si="70"/>
        <v>0.3</v>
      </c>
      <c r="O196" s="135">
        <f t="shared" si="70"/>
        <v>0.3</v>
      </c>
      <c r="P196" s="135">
        <f t="shared" si="70"/>
        <v>0.3</v>
      </c>
      <c r="Q196" s="135">
        <f t="shared" si="70"/>
        <v>0.3</v>
      </c>
      <c r="R196" s="135">
        <f t="shared" si="70"/>
        <v>0.3</v>
      </c>
      <c r="S196" s="135">
        <f t="shared" si="70"/>
        <v>0.3</v>
      </c>
      <c r="T196" s="135">
        <f t="shared" si="71"/>
        <v>0.3</v>
      </c>
      <c r="U196" s="135">
        <f t="shared" si="71"/>
        <v>0.3</v>
      </c>
      <c r="V196" s="135">
        <f t="shared" si="71"/>
        <v>0.3</v>
      </c>
      <c r="W196" s="135">
        <f t="shared" si="71"/>
        <v>0.3</v>
      </c>
      <c r="X196" s="135">
        <f t="shared" si="71"/>
        <v>0.3</v>
      </c>
      <c r="Y196" s="135">
        <f t="shared" si="71"/>
        <v>0.3</v>
      </c>
      <c r="Z196" s="135">
        <f t="shared" si="71"/>
        <v>0.3</v>
      </c>
      <c r="AA196" s="135">
        <f t="shared" si="71"/>
        <v>0.3</v>
      </c>
      <c r="AB196" s="135">
        <f t="shared" si="71"/>
        <v>0.3</v>
      </c>
      <c r="AC196" s="135">
        <f t="shared" si="71"/>
        <v>0.3</v>
      </c>
      <c r="AD196" s="135">
        <f t="shared" si="71"/>
        <v>0.3</v>
      </c>
      <c r="AE196" s="135">
        <f t="shared" si="71"/>
        <v>0.3</v>
      </c>
      <c r="AF196" s="135">
        <f t="shared" si="71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69"/>
        <v>0.4</v>
      </c>
      <c r="C197" s="135">
        <v>0.4</v>
      </c>
      <c r="D197" s="135">
        <f t="shared" si="70"/>
        <v>0.4</v>
      </c>
      <c r="E197" s="135">
        <f t="shared" si="70"/>
        <v>0.4</v>
      </c>
      <c r="F197" s="135">
        <f t="shared" si="70"/>
        <v>0.4</v>
      </c>
      <c r="G197" s="135">
        <f t="shared" si="70"/>
        <v>0.4</v>
      </c>
      <c r="H197" s="135">
        <f t="shared" si="70"/>
        <v>0.4</v>
      </c>
      <c r="I197" s="135">
        <f t="shared" si="70"/>
        <v>0.4</v>
      </c>
      <c r="J197" s="135">
        <f t="shared" si="70"/>
        <v>0.4</v>
      </c>
      <c r="K197" s="135">
        <f t="shared" si="70"/>
        <v>0.4</v>
      </c>
      <c r="L197" s="135">
        <f t="shared" si="70"/>
        <v>0.4</v>
      </c>
      <c r="M197" s="135">
        <f t="shared" si="70"/>
        <v>0.4</v>
      </c>
      <c r="N197" s="135">
        <f t="shared" si="70"/>
        <v>0.4</v>
      </c>
      <c r="O197" s="135">
        <f t="shared" si="70"/>
        <v>0.4</v>
      </c>
      <c r="P197" s="135">
        <f t="shared" si="70"/>
        <v>0.4</v>
      </c>
      <c r="Q197" s="135">
        <f t="shared" si="70"/>
        <v>0.4</v>
      </c>
      <c r="R197" s="135">
        <f t="shared" si="70"/>
        <v>0.4</v>
      </c>
      <c r="S197" s="135">
        <f t="shared" si="70"/>
        <v>0.4</v>
      </c>
      <c r="T197" s="135">
        <f t="shared" si="71"/>
        <v>0.4</v>
      </c>
      <c r="U197" s="135">
        <f t="shared" si="71"/>
        <v>0.4</v>
      </c>
      <c r="V197" s="135">
        <f t="shared" si="71"/>
        <v>0.4</v>
      </c>
      <c r="W197" s="135">
        <f t="shared" si="71"/>
        <v>0.4</v>
      </c>
      <c r="X197" s="135">
        <f t="shared" si="71"/>
        <v>0.4</v>
      </c>
      <c r="Y197" s="135">
        <f t="shared" si="71"/>
        <v>0.4</v>
      </c>
      <c r="Z197" s="135">
        <f t="shared" si="71"/>
        <v>0.4</v>
      </c>
      <c r="AA197" s="135">
        <f t="shared" si="71"/>
        <v>0.4</v>
      </c>
      <c r="AB197" s="135">
        <f t="shared" si="71"/>
        <v>0.4</v>
      </c>
      <c r="AC197" s="135">
        <f t="shared" si="71"/>
        <v>0.4</v>
      </c>
      <c r="AD197" s="135">
        <f t="shared" si="71"/>
        <v>0.4</v>
      </c>
      <c r="AE197" s="135">
        <f t="shared" si="71"/>
        <v>0.4</v>
      </c>
      <c r="AF197" s="135">
        <f t="shared" si="71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69"/>
        <v>0.64</v>
      </c>
      <c r="C198" s="145">
        <v>0.64</v>
      </c>
      <c r="D198" s="145">
        <f t="shared" si="70"/>
        <v>0.64</v>
      </c>
      <c r="E198" s="145">
        <f t="shared" si="70"/>
        <v>0.64</v>
      </c>
      <c r="F198" s="145">
        <f t="shared" si="70"/>
        <v>0.64</v>
      </c>
      <c r="G198" s="145">
        <f t="shared" si="70"/>
        <v>0.64</v>
      </c>
      <c r="H198" s="145">
        <f t="shared" si="70"/>
        <v>0.64</v>
      </c>
      <c r="I198" s="145">
        <f t="shared" si="70"/>
        <v>0.64</v>
      </c>
      <c r="J198" s="145">
        <f t="shared" si="70"/>
        <v>0.64</v>
      </c>
      <c r="K198" s="145">
        <f t="shared" si="70"/>
        <v>0.64</v>
      </c>
      <c r="L198" s="145">
        <f t="shared" si="70"/>
        <v>0.64</v>
      </c>
      <c r="M198" s="145">
        <f t="shared" si="70"/>
        <v>0.64</v>
      </c>
      <c r="N198" s="145">
        <f t="shared" si="70"/>
        <v>0.64</v>
      </c>
      <c r="O198" s="145">
        <f t="shared" si="70"/>
        <v>0.64</v>
      </c>
      <c r="P198" s="145">
        <f t="shared" si="70"/>
        <v>0.64</v>
      </c>
      <c r="Q198" s="145">
        <f t="shared" si="70"/>
        <v>0.64</v>
      </c>
      <c r="R198" s="145">
        <f t="shared" si="70"/>
        <v>0.64</v>
      </c>
      <c r="S198" s="145">
        <f t="shared" si="70"/>
        <v>0.64</v>
      </c>
      <c r="T198" s="145">
        <f t="shared" si="71"/>
        <v>0.64</v>
      </c>
      <c r="U198" s="145">
        <f t="shared" si="71"/>
        <v>0.64</v>
      </c>
      <c r="V198" s="145">
        <f t="shared" si="71"/>
        <v>0.64</v>
      </c>
      <c r="W198" s="145">
        <f t="shared" si="71"/>
        <v>0.64</v>
      </c>
      <c r="X198" s="145">
        <f t="shared" si="71"/>
        <v>0.64</v>
      </c>
      <c r="Y198" s="145">
        <f t="shared" si="71"/>
        <v>0.64</v>
      </c>
      <c r="Z198" s="145">
        <f t="shared" si="71"/>
        <v>0.64</v>
      </c>
      <c r="AA198" s="145">
        <f t="shared" si="71"/>
        <v>0.64</v>
      </c>
      <c r="AB198" s="145">
        <f t="shared" si="71"/>
        <v>0.64</v>
      </c>
      <c r="AC198" s="145">
        <f t="shared" si="71"/>
        <v>0.64</v>
      </c>
      <c r="AD198" s="145">
        <f t="shared" si="71"/>
        <v>0.64</v>
      </c>
      <c r="AE198" s="145">
        <f t="shared" si="71"/>
        <v>0.64</v>
      </c>
      <c r="AF198" s="145">
        <f t="shared" si="71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72">SUM(D193:D198)</f>
        <v>3.54</v>
      </c>
      <c r="E199" s="148">
        <f t="shared" si="72"/>
        <v>3.54</v>
      </c>
      <c r="F199" s="148">
        <f t="shared" si="72"/>
        <v>3.54</v>
      </c>
      <c r="G199" s="148">
        <f t="shared" si="72"/>
        <v>3.54</v>
      </c>
      <c r="H199" s="148">
        <f t="shared" si="72"/>
        <v>3.54</v>
      </c>
      <c r="I199" s="148">
        <f t="shared" si="72"/>
        <v>3.54</v>
      </c>
      <c r="J199" s="148">
        <f t="shared" si="72"/>
        <v>3.54</v>
      </c>
      <c r="K199" s="148">
        <f t="shared" si="72"/>
        <v>3.54</v>
      </c>
      <c r="L199" s="148">
        <f t="shared" si="72"/>
        <v>3.54</v>
      </c>
      <c r="M199" s="148">
        <f>SUM(M193:M198)</f>
        <v>3.54</v>
      </c>
      <c r="N199" s="148">
        <f t="shared" ref="N199:S199" si="73">SUM(N193:N198)</f>
        <v>3.54</v>
      </c>
      <c r="O199" s="148">
        <f t="shared" si="73"/>
        <v>3.54</v>
      </c>
      <c r="P199" s="148">
        <f t="shared" si="73"/>
        <v>3.54</v>
      </c>
      <c r="Q199" s="148">
        <f t="shared" si="73"/>
        <v>3.54</v>
      </c>
      <c r="R199" s="148">
        <f t="shared" si="73"/>
        <v>3.54</v>
      </c>
      <c r="S199" s="148">
        <f t="shared" si="73"/>
        <v>3.54</v>
      </c>
      <c r="T199" s="148">
        <f>SUM(T193:T198)</f>
        <v>3.54</v>
      </c>
      <c r="U199" s="148">
        <f t="shared" ref="U199:AG199" si="74">SUM(U193:U198)</f>
        <v>3.54</v>
      </c>
      <c r="V199" s="148">
        <f t="shared" si="74"/>
        <v>3.54</v>
      </c>
      <c r="W199" s="148">
        <f t="shared" si="74"/>
        <v>3.54</v>
      </c>
      <c r="X199" s="148">
        <f t="shared" si="74"/>
        <v>3.54</v>
      </c>
      <c r="Y199" s="148">
        <f t="shared" si="74"/>
        <v>3.54</v>
      </c>
      <c r="Z199" s="148">
        <f t="shared" si="74"/>
        <v>3.54</v>
      </c>
      <c r="AA199" s="148">
        <f t="shared" si="74"/>
        <v>3.54</v>
      </c>
      <c r="AB199" s="148">
        <f t="shared" si="74"/>
        <v>3.54</v>
      </c>
      <c r="AC199" s="148">
        <f t="shared" si="74"/>
        <v>3.54</v>
      </c>
      <c r="AD199" s="148">
        <f t="shared" si="74"/>
        <v>3.54</v>
      </c>
      <c r="AE199" s="148">
        <f t="shared" si="74"/>
        <v>3.54</v>
      </c>
      <c r="AF199" s="148">
        <f t="shared" si="74"/>
        <v>3.54</v>
      </c>
      <c r="AG199" s="149">
        <f t="shared" si="74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1390.3400000000001</v>
      </c>
      <c r="C208" s="163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29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str">
        <f ca="1">"Pie Chart of Daily Peak Demand(Inclusive of Export) of Nepal ("&amp;A4&amp;" "&amp;B4&amp;")"</f>
        <v>Pie Chart of Daily Peak Demand(Inclusive of Export) of Nepal (Nepali Date: 2078/10/29)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str">
        <f ca="1">"Daily Load Curve(Excluding of Export) of Nepal ("&amp;A4&amp;" "&amp;B4&amp;")"</f>
        <v>Daily Load Curve(Excluding of Export) of Nepal (Nepali Date: 2078/10/29)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75">B75</f>
        <v>999.63999999999987</v>
      </c>
      <c r="U213" s="173">
        <f t="shared" si="75"/>
        <v>986.14</v>
      </c>
      <c r="V213" s="173">
        <f t="shared" si="75"/>
        <v>974.2399999999999</v>
      </c>
      <c r="W213" s="173">
        <f t="shared" si="75"/>
        <v>971.1400000000001</v>
      </c>
      <c r="X213" s="173">
        <f t="shared" si="75"/>
        <v>977.44</v>
      </c>
      <c r="Y213" s="173">
        <f t="shared" si="75"/>
        <v>1011.2399999999999</v>
      </c>
      <c r="Z213" s="173">
        <f t="shared" si="75"/>
        <v>1040.44</v>
      </c>
      <c r="AA213" s="173">
        <f t="shared" si="75"/>
        <v>1111.6399999999999</v>
      </c>
      <c r="AB213" s="173">
        <f t="shared" si="75"/>
        <v>1197.4399999999998</v>
      </c>
      <c r="AC213" s="173">
        <f t="shared" si="75"/>
        <v>1302.6400000000001</v>
      </c>
      <c r="AD213" s="173">
        <f t="shared" si="75"/>
        <v>1361.14</v>
      </c>
      <c r="AE213" s="173">
        <f t="shared" si="75"/>
        <v>1390.3400000000001</v>
      </c>
      <c r="AF213" s="173">
        <f t="shared" si="75"/>
        <v>1230.04</v>
      </c>
      <c r="AG213" s="173">
        <f t="shared" si="75"/>
        <v>1222.04</v>
      </c>
      <c r="AH213" s="173">
        <f t="shared" si="75"/>
        <v>1135.04</v>
      </c>
      <c r="AI213" s="173">
        <f t="shared" si="75"/>
        <v>1146.04</v>
      </c>
      <c r="AJ213" s="173">
        <f t="shared" si="75"/>
        <v>1003.54</v>
      </c>
      <c r="AK213" s="173">
        <f t="shared" si="75"/>
        <v>927.54</v>
      </c>
      <c r="AL213" s="173">
        <f t="shared" si="75"/>
        <v>981.74</v>
      </c>
      <c r="AM213" s="173">
        <f t="shared" si="75"/>
        <v>1065.44</v>
      </c>
      <c r="AN213" s="173">
        <f t="shared" si="75"/>
        <v>1094.8399999999999</v>
      </c>
      <c r="AO213" s="173">
        <f t="shared" si="75"/>
        <v>1155.54</v>
      </c>
      <c r="AP213" s="173">
        <f t="shared" si="75"/>
        <v>1258.7400000000002</v>
      </c>
      <c r="AQ213" s="173">
        <f t="shared" si="75"/>
        <v>1504.8400000000001</v>
      </c>
      <c r="AR213" s="173">
        <f t="shared" si="75"/>
        <v>1464.04</v>
      </c>
      <c r="AS213" s="173">
        <f t="shared" si="75"/>
        <v>1424.5900000000001</v>
      </c>
      <c r="AT213" s="173">
        <f t="shared" si="75"/>
        <v>1444.89</v>
      </c>
      <c r="AU213" s="173">
        <f t="shared" si="75"/>
        <v>1315.2600000000002</v>
      </c>
      <c r="AV213" s="173">
        <f t="shared" si="75"/>
        <v>1262.6600000000001</v>
      </c>
      <c r="AW213" s="173">
        <f t="shared" si="75"/>
        <v>1083.28</v>
      </c>
      <c r="AX213" s="173">
        <f t="shared" si="75"/>
        <v>977.04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76">C198</f>
        <v>0.64</v>
      </c>
      <c r="C234" s="176">
        <f t="shared" si="76"/>
        <v>0.64</v>
      </c>
      <c r="D234" s="176">
        <f t="shared" si="76"/>
        <v>0.64</v>
      </c>
      <c r="E234" s="176">
        <f t="shared" si="76"/>
        <v>0.64</v>
      </c>
      <c r="F234" s="176">
        <f t="shared" si="76"/>
        <v>0.64</v>
      </c>
      <c r="G234" s="176">
        <f t="shared" si="76"/>
        <v>0.64</v>
      </c>
      <c r="H234" s="176">
        <f t="shared" si="76"/>
        <v>0.64</v>
      </c>
      <c r="I234" s="176">
        <f t="shared" si="76"/>
        <v>0.64</v>
      </c>
      <c r="J234" s="176">
        <f t="shared" si="76"/>
        <v>0.64</v>
      </c>
      <c r="K234" s="176">
        <f t="shared" si="76"/>
        <v>0.64</v>
      </c>
      <c r="L234" s="176">
        <f t="shared" si="76"/>
        <v>0.64</v>
      </c>
      <c r="M234" s="176">
        <f t="shared" si="76"/>
        <v>0.64</v>
      </c>
      <c r="N234" s="176">
        <f t="shared" si="76"/>
        <v>0.64</v>
      </c>
      <c r="O234" s="176">
        <f t="shared" si="76"/>
        <v>0.64</v>
      </c>
      <c r="P234" s="176">
        <f t="shared" si="76"/>
        <v>0.64</v>
      </c>
      <c r="Q234" s="176">
        <f t="shared" si="76"/>
        <v>0.64</v>
      </c>
      <c r="R234" s="176">
        <f t="shared" si="76"/>
        <v>0.64</v>
      </c>
      <c r="S234" s="176">
        <f t="shared" si="76"/>
        <v>0.64</v>
      </c>
      <c r="T234" s="176">
        <f t="shared" si="76"/>
        <v>0.64</v>
      </c>
      <c r="U234" s="176">
        <f t="shared" si="76"/>
        <v>0.64</v>
      </c>
      <c r="V234" s="176">
        <f t="shared" si="76"/>
        <v>0.64</v>
      </c>
      <c r="W234" s="176">
        <f t="shared" si="76"/>
        <v>0.64</v>
      </c>
      <c r="X234" s="176">
        <f t="shared" si="76"/>
        <v>0.64</v>
      </c>
      <c r="Y234" s="176">
        <f t="shared" si="76"/>
        <v>0.64</v>
      </c>
      <c r="Z234" s="176">
        <f t="shared" si="76"/>
        <v>0.64</v>
      </c>
      <c r="AA234" s="176">
        <f t="shared" si="76"/>
        <v>0.64</v>
      </c>
      <c r="AB234" s="176">
        <f t="shared" si="76"/>
        <v>0.64</v>
      </c>
      <c r="AC234" s="176">
        <f t="shared" si="76"/>
        <v>0.64</v>
      </c>
      <c r="AD234" s="176">
        <f t="shared" si="76"/>
        <v>0.64</v>
      </c>
      <c r="AE234" s="176">
        <f t="shared" si="76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77">IF(C202&lt;100,"",C202-520)</f>
        <v/>
      </c>
      <c r="D235" s="119" t="str">
        <f t="shared" si="77"/>
        <v/>
      </c>
      <c r="E235" s="119" t="str">
        <f t="shared" si="77"/>
        <v/>
      </c>
      <c r="F235" s="119" t="str">
        <f t="shared" si="77"/>
        <v/>
      </c>
      <c r="G235" s="119" t="str">
        <f t="shared" si="77"/>
        <v/>
      </c>
      <c r="H235" s="119" t="str">
        <f t="shared" si="77"/>
        <v/>
      </c>
      <c r="I235" s="119" t="str">
        <f t="shared" si="77"/>
        <v/>
      </c>
      <c r="J235" s="119" t="str">
        <f t="shared" si="77"/>
        <v/>
      </c>
      <c r="K235" s="119" t="str">
        <f t="shared" si="77"/>
        <v/>
      </c>
      <c r="L235" s="119" t="str">
        <f t="shared" si="77"/>
        <v/>
      </c>
      <c r="M235" s="119" t="str">
        <f t="shared" si="77"/>
        <v/>
      </c>
      <c r="N235" s="119" t="str">
        <f t="shared" si="77"/>
        <v/>
      </c>
      <c r="O235" s="119" t="str">
        <f t="shared" si="77"/>
        <v/>
      </c>
      <c r="P235" s="119" t="str">
        <f t="shared" si="77"/>
        <v/>
      </c>
      <c r="Q235" s="119" t="str">
        <f t="shared" si="77"/>
        <v/>
      </c>
      <c r="R235" s="119" t="str">
        <f t="shared" si="77"/>
        <v/>
      </c>
      <c r="S235" s="119" t="str">
        <f t="shared" si="77"/>
        <v/>
      </c>
      <c r="T235" s="119" t="str">
        <f t="shared" si="77"/>
        <v/>
      </c>
      <c r="U235" s="119" t="str">
        <f t="shared" si="77"/>
        <v/>
      </c>
      <c r="V235" s="119" t="str">
        <f t="shared" si="77"/>
        <v/>
      </c>
      <c r="W235" s="119" t="str">
        <f t="shared" si="77"/>
        <v/>
      </c>
      <c r="X235" s="119" t="str">
        <f t="shared" si="77"/>
        <v/>
      </c>
      <c r="Y235" s="119" t="str">
        <f t="shared" si="77"/>
        <v/>
      </c>
      <c r="Z235" s="119" t="str">
        <f t="shared" si="77"/>
        <v/>
      </c>
      <c r="AA235" s="119" t="str">
        <f t="shared" si="77"/>
        <v/>
      </c>
      <c r="AB235" s="119" t="str">
        <f t="shared" si="77"/>
        <v/>
      </c>
      <c r="AC235" s="119" t="str">
        <f t="shared" si="77"/>
        <v/>
      </c>
      <c r="AD235" s="119" t="str">
        <f t="shared" si="77"/>
        <v/>
      </c>
      <c r="AE235" s="119" t="str">
        <f t="shared" si="77"/>
        <v/>
      </c>
      <c r="AF235" s="119" t="str">
        <f t="shared" si="77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78">IF(B203&lt;100,"",B203-620)</f>
        <v/>
      </c>
      <c r="C236" s="119" t="str">
        <f t="shared" si="78"/>
        <v/>
      </c>
      <c r="D236" s="119" t="str">
        <f t="shared" si="78"/>
        <v/>
      </c>
      <c r="E236" s="119" t="str">
        <f t="shared" si="78"/>
        <v/>
      </c>
      <c r="F236" s="119" t="str">
        <f t="shared" si="78"/>
        <v/>
      </c>
      <c r="G236" s="119" t="str">
        <f t="shared" si="78"/>
        <v/>
      </c>
      <c r="H236" s="119" t="str">
        <f t="shared" si="78"/>
        <v/>
      </c>
      <c r="I236" s="119" t="str">
        <f t="shared" si="78"/>
        <v/>
      </c>
      <c r="J236" s="119" t="str">
        <f t="shared" si="78"/>
        <v/>
      </c>
      <c r="K236" s="119" t="str">
        <f t="shared" si="78"/>
        <v/>
      </c>
      <c r="L236" s="119" t="str">
        <f t="shared" si="78"/>
        <v/>
      </c>
      <c r="M236" s="119" t="str">
        <f t="shared" si="78"/>
        <v/>
      </c>
      <c r="N236" s="119" t="str">
        <f t="shared" si="78"/>
        <v/>
      </c>
      <c r="O236" s="119" t="str">
        <f t="shared" si="78"/>
        <v/>
      </c>
      <c r="P236" s="119" t="str">
        <f t="shared" si="78"/>
        <v/>
      </c>
      <c r="Q236" s="119" t="str">
        <f t="shared" si="78"/>
        <v/>
      </c>
      <c r="R236" s="119" t="str">
        <f t="shared" si="78"/>
        <v/>
      </c>
      <c r="S236" s="119" t="str">
        <f t="shared" si="78"/>
        <v/>
      </c>
      <c r="T236" s="119" t="str">
        <f t="shared" si="78"/>
        <v/>
      </c>
      <c r="U236" s="119" t="str">
        <f t="shared" si="78"/>
        <v/>
      </c>
      <c r="V236" s="119" t="str">
        <f t="shared" si="78"/>
        <v/>
      </c>
      <c r="W236" s="119" t="str">
        <f t="shared" si="78"/>
        <v/>
      </c>
      <c r="X236" s="119" t="str">
        <f t="shared" si="78"/>
        <v/>
      </c>
      <c r="Y236" s="119" t="str">
        <f t="shared" si="78"/>
        <v/>
      </c>
      <c r="Z236" s="119" t="str">
        <f t="shared" si="78"/>
        <v/>
      </c>
      <c r="AA236" s="119" t="str">
        <f t="shared" si="78"/>
        <v/>
      </c>
      <c r="AB236" s="119" t="str">
        <f t="shared" si="78"/>
        <v/>
      </c>
      <c r="AC236" s="119" t="str">
        <f t="shared" si="78"/>
        <v/>
      </c>
      <c r="AD236" s="119" t="str">
        <f t="shared" si="78"/>
        <v/>
      </c>
      <c r="AE236" s="119" t="str">
        <f t="shared" si="78"/>
        <v/>
      </c>
      <c r="AF236" s="119" t="str">
        <f t="shared" si="78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79">IF(B204&lt;100,"",B204-330)</f>
        <v/>
      </c>
      <c r="C237" s="119" t="str">
        <f t="shared" si="79"/>
        <v/>
      </c>
      <c r="D237" s="119" t="str">
        <f t="shared" si="79"/>
        <v/>
      </c>
      <c r="E237" s="119" t="str">
        <f t="shared" si="79"/>
        <v/>
      </c>
      <c r="F237" s="119" t="str">
        <f t="shared" si="79"/>
        <v/>
      </c>
      <c r="G237" s="119" t="str">
        <f t="shared" si="79"/>
        <v/>
      </c>
      <c r="H237" s="119" t="str">
        <f t="shared" si="79"/>
        <v/>
      </c>
      <c r="I237" s="119" t="str">
        <f t="shared" si="79"/>
        <v/>
      </c>
      <c r="J237" s="119" t="str">
        <f t="shared" si="79"/>
        <v/>
      </c>
      <c r="K237" s="119" t="str">
        <f t="shared" si="79"/>
        <v/>
      </c>
      <c r="L237" s="119" t="str">
        <f t="shared" si="79"/>
        <v/>
      </c>
      <c r="M237" s="119" t="str">
        <f t="shared" si="79"/>
        <v/>
      </c>
      <c r="N237" s="119" t="str">
        <f t="shared" si="79"/>
        <v/>
      </c>
      <c r="O237" s="119" t="str">
        <f t="shared" si="79"/>
        <v/>
      </c>
      <c r="P237" s="119" t="str">
        <f t="shared" si="79"/>
        <v/>
      </c>
      <c r="Q237" s="119" t="str">
        <f t="shared" si="79"/>
        <v/>
      </c>
      <c r="R237" s="119" t="str">
        <f t="shared" si="79"/>
        <v/>
      </c>
      <c r="S237" s="119" t="str">
        <f t="shared" si="79"/>
        <v/>
      </c>
      <c r="T237" s="119" t="str">
        <f t="shared" si="79"/>
        <v/>
      </c>
      <c r="U237" s="119" t="str">
        <f t="shared" si="79"/>
        <v/>
      </c>
      <c r="V237" s="119" t="str">
        <f t="shared" si="79"/>
        <v/>
      </c>
      <c r="W237" s="119" t="str">
        <f t="shared" si="79"/>
        <v/>
      </c>
      <c r="X237" s="119" t="str">
        <f t="shared" si="79"/>
        <v/>
      </c>
      <c r="Y237" s="119" t="str">
        <f t="shared" si="79"/>
        <v/>
      </c>
      <c r="Z237" s="119" t="str">
        <f t="shared" si="79"/>
        <v/>
      </c>
      <c r="AA237" s="119" t="str">
        <f t="shared" si="79"/>
        <v/>
      </c>
      <c r="AB237" s="119" t="str">
        <f t="shared" si="79"/>
        <v/>
      </c>
      <c r="AC237" s="119" t="str">
        <f t="shared" si="79"/>
        <v/>
      </c>
      <c r="AD237" s="119" t="str">
        <f t="shared" si="79"/>
        <v/>
      </c>
      <c r="AE237" s="119" t="str">
        <f t="shared" si="79"/>
        <v/>
      </c>
      <c r="AF237" s="119" t="str">
        <f t="shared" si="79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80">IF(C205&lt;100,"",C205-1500)</f>
        <v/>
      </c>
      <c r="D238" s="119" t="str">
        <f t="shared" si="80"/>
        <v/>
      </c>
      <c r="E238" s="119" t="str">
        <f t="shared" si="80"/>
        <v/>
      </c>
      <c r="F238" s="119" t="str">
        <f t="shared" si="80"/>
        <v/>
      </c>
      <c r="G238" s="119" t="str">
        <f t="shared" si="80"/>
        <v/>
      </c>
      <c r="H238" s="119" t="str">
        <f t="shared" si="80"/>
        <v/>
      </c>
      <c r="I238" s="119" t="str">
        <f t="shared" si="80"/>
        <v/>
      </c>
      <c r="J238" s="119" t="str">
        <f t="shared" si="80"/>
        <v/>
      </c>
      <c r="K238" s="119" t="str">
        <f t="shared" si="80"/>
        <v/>
      </c>
      <c r="L238" s="119" t="str">
        <f t="shared" si="80"/>
        <v/>
      </c>
      <c r="M238" s="119" t="str">
        <f t="shared" si="80"/>
        <v/>
      </c>
      <c r="N238" s="119" t="str">
        <f t="shared" si="80"/>
        <v/>
      </c>
      <c r="O238" s="119" t="str">
        <f t="shared" si="80"/>
        <v/>
      </c>
      <c r="P238" s="119" t="str">
        <f t="shared" si="80"/>
        <v/>
      </c>
      <c r="Q238" s="119" t="str">
        <f t="shared" si="80"/>
        <v/>
      </c>
      <c r="R238" s="119" t="str">
        <f t="shared" si="80"/>
        <v/>
      </c>
      <c r="S238" s="119" t="str">
        <f t="shared" si="80"/>
        <v/>
      </c>
      <c r="T238" s="119" t="str">
        <f t="shared" si="80"/>
        <v/>
      </c>
      <c r="U238" s="119" t="str">
        <f t="shared" si="80"/>
        <v/>
      </c>
      <c r="V238" s="119" t="str">
        <f t="shared" si="80"/>
        <v/>
      </c>
      <c r="W238" s="119" t="str">
        <f t="shared" si="80"/>
        <v/>
      </c>
      <c r="X238" s="119" t="str">
        <f t="shared" si="80"/>
        <v/>
      </c>
      <c r="Y238" s="119" t="str">
        <f t="shared" si="80"/>
        <v/>
      </c>
      <c r="Z238" s="119" t="str">
        <f t="shared" si="80"/>
        <v/>
      </c>
      <c r="AA238" s="119" t="str">
        <f t="shared" si="80"/>
        <v/>
      </c>
      <c r="AB238" s="119" t="str">
        <f t="shared" si="80"/>
        <v/>
      </c>
      <c r="AC238" s="119" t="str">
        <f t="shared" si="80"/>
        <v/>
      </c>
      <c r="AD238" s="119" t="str">
        <f t="shared" si="80"/>
        <v/>
      </c>
      <c r="AE238" s="119" t="str">
        <f t="shared" si="80"/>
        <v/>
      </c>
      <c r="AF238" s="119" t="str">
        <f t="shared" si="80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D57:L59 D60:O60 P39:R39 K61:O61 P40:Q42 P60:R61 R40:T41 M58:W59 X85:AA91 AB16:AE26 AB28:AE31 AA40:AE43 AB81:AF81 C81:R81 C56:AF56 C82:AF83 D193:AF199 B193:B199 AB84:AF91 C68:AF80 B9:AF10 B191:AF191 AG73 AB94:AF99 U212:AF212 B58:C59 D61:J67 K62:L67 M39:O42 R11:AE11 P37:R37 M11:Q12 R12 R42 AB12:AE14 Y18:AA30 Y36:AF36 U40:AA42 M53:AF55 AF57:AF67 AD22:AF22">
    <cfRule type="expression" dxfId="1099" priority="325">
      <formula>B$9&gt;=20/24</formula>
    </cfRule>
    <cfRule type="expression" dxfId="1098" priority="326">
      <formula>AND(B$9&gt;=14/24,B$9&lt;20/24)</formula>
    </cfRule>
    <cfRule type="expression" dxfId="1097" priority="327">
      <formula>AND(B$9&gt;=8/24,B$9&lt;14/24)</formula>
    </cfRule>
    <cfRule type="expression" dxfId="1096" priority="328">
      <formula>B$9&lt;8/24</formula>
    </cfRule>
  </conditionalFormatting>
  <conditionalFormatting sqref="AL4:AL6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95" priority="320">
      <formula>M$9&gt;=20/24</formula>
    </cfRule>
    <cfRule type="expression" dxfId="1094" priority="321">
      <formula>AND(M$9&gt;=14/24,M$9&lt;20/24)</formula>
    </cfRule>
    <cfRule type="expression" dxfId="1093" priority="322">
      <formula>AND(M$9&gt;=8/24,M$9&lt;14/24)</formula>
    </cfRule>
    <cfRule type="expression" dxfId="1092" priority="323">
      <formula>M$9&lt;8/24</formula>
    </cfRule>
  </conditionalFormatting>
  <conditionalFormatting sqref="M43:R43">
    <cfRule type="expression" dxfId="1091" priority="316">
      <formula>M$9&gt;=20/24</formula>
    </cfRule>
    <cfRule type="expression" dxfId="1090" priority="317">
      <formula>AND(M$9&gt;=14/24,M$9&lt;20/24)</formula>
    </cfRule>
    <cfRule type="expression" dxfId="1089" priority="318">
      <formula>AND(M$9&gt;=8/24,M$9&lt;14/24)</formula>
    </cfRule>
    <cfRule type="expression" dxfId="1088" priority="319">
      <formula>M$9&lt;8/24</formula>
    </cfRule>
  </conditionalFormatting>
  <conditionalFormatting sqref="AB32:AE32">
    <cfRule type="expression" dxfId="1087" priority="312">
      <formula>AB$9&gt;=20/24</formula>
    </cfRule>
    <cfRule type="expression" dxfId="1086" priority="313">
      <formula>AND(AB$9&gt;=14/24,AB$9&lt;20/24)</formula>
    </cfRule>
    <cfRule type="expression" dxfId="1085" priority="314">
      <formula>AND(AB$9&gt;=8/24,AB$9&lt;14/24)</formula>
    </cfRule>
    <cfRule type="expression" dxfId="1084" priority="315">
      <formula>AB$9&lt;8/24</formula>
    </cfRule>
  </conditionalFormatting>
  <conditionalFormatting sqref="S39:AE39">
    <cfRule type="expression" dxfId="1083" priority="308">
      <formula>S$9&gt;=20/24</formula>
    </cfRule>
    <cfRule type="expression" dxfId="1082" priority="309">
      <formula>AND(S$9&gt;=14/24,S$9&lt;20/24)</formula>
    </cfRule>
    <cfRule type="expression" dxfId="1081" priority="310">
      <formula>AND(S$9&gt;=8/24,S$9&lt;14/24)</formula>
    </cfRule>
    <cfRule type="expression" dxfId="1080" priority="311">
      <formula>S$9&lt;8/24</formula>
    </cfRule>
  </conditionalFormatting>
  <conditionalFormatting sqref="S57:AE57">
    <cfRule type="expression" dxfId="1079" priority="304">
      <formula>S$9&gt;=20/24</formula>
    </cfRule>
    <cfRule type="expression" dxfId="1078" priority="305">
      <formula>AND(S$9&gt;=14/24,S$9&lt;20/24)</formula>
    </cfRule>
    <cfRule type="expression" dxfId="1077" priority="306">
      <formula>AND(S$9&gt;=8/24,S$9&lt;14/24)</formula>
    </cfRule>
    <cfRule type="expression" dxfId="1076" priority="307">
      <formula>S$9&lt;8/24</formula>
    </cfRule>
  </conditionalFormatting>
  <conditionalFormatting sqref="S81:AA81">
    <cfRule type="expression" dxfId="1075" priority="300">
      <formula>S$9&gt;=20/24</formula>
    </cfRule>
    <cfRule type="expression" dxfId="1074" priority="301">
      <formula>AND(S$9&gt;=14/24,S$9&lt;20/24)</formula>
    </cfRule>
    <cfRule type="expression" dxfId="1073" priority="302">
      <formula>AND(S$9&gt;=8/24,S$9&lt;14/24)</formula>
    </cfRule>
    <cfRule type="expression" dxfId="1072" priority="303">
      <formula>S$9&lt;8/24</formula>
    </cfRule>
  </conditionalFormatting>
  <conditionalFormatting sqref="U84:AA84">
    <cfRule type="expression" dxfId="1071" priority="296">
      <formula>U$9&gt;=20/24</formula>
    </cfRule>
    <cfRule type="expression" dxfId="1070" priority="297">
      <formula>AND(U$9&gt;=14/24,U$9&lt;20/24)</formula>
    </cfRule>
    <cfRule type="expression" dxfId="1069" priority="298">
      <formula>AND(U$9&gt;=8/24,U$9&lt;14/24)</formula>
    </cfRule>
    <cfRule type="expression" dxfId="1068" priority="299">
      <formula>U$9&lt;8/24</formula>
    </cfRule>
  </conditionalFormatting>
  <conditionalFormatting sqref="S49:V49">
    <cfRule type="expression" dxfId="1067" priority="288">
      <formula>S$9&gt;=20/24</formula>
    </cfRule>
    <cfRule type="expression" dxfId="1066" priority="289">
      <formula>AND(S$9&gt;=14/24,S$9&lt;20/24)</formula>
    </cfRule>
    <cfRule type="expression" dxfId="1065" priority="290">
      <formula>AND(S$9&gt;=8/24,S$9&lt;14/24)</formula>
    </cfRule>
    <cfRule type="expression" dxfId="1064" priority="291">
      <formula>S$9&lt;8/24</formula>
    </cfRule>
  </conditionalFormatting>
  <conditionalFormatting sqref="S37:AE37">
    <cfRule type="expression" dxfId="1063" priority="276">
      <formula>S$9&gt;=20/24</formula>
    </cfRule>
    <cfRule type="expression" dxfId="1062" priority="277">
      <formula>AND(S$9&gt;=14/24,S$9&lt;20/24)</formula>
    </cfRule>
    <cfRule type="expression" dxfId="1061" priority="278">
      <formula>AND(S$9&gt;=8/24,S$9&lt;14/24)</formula>
    </cfRule>
    <cfRule type="expression" dxfId="1060" priority="279">
      <formula>S$9&lt;8/24</formula>
    </cfRule>
  </conditionalFormatting>
  <conditionalFormatting sqref="Y31:AA32 Y35:AE35">
    <cfRule type="expression" dxfId="1059" priority="272">
      <formula>Y$9&gt;=20/24</formula>
    </cfRule>
    <cfRule type="expression" dxfId="1058" priority="273">
      <formula>AND(Y$9&gt;=14/24,Y$9&lt;20/24)</formula>
    </cfRule>
    <cfRule type="expression" dxfId="1057" priority="274">
      <formula>AND(Y$9&gt;=8/24,Y$9&lt;14/24)</formula>
    </cfRule>
    <cfRule type="expression" dxfId="1056" priority="275">
      <formula>Y$9&lt;8/24</formula>
    </cfRule>
  </conditionalFormatting>
  <conditionalFormatting sqref="S42:T43 U43:AA43 S45:AE48">
    <cfRule type="expression" dxfId="1055" priority="268">
      <formula>S$9&gt;=20/24</formula>
    </cfRule>
    <cfRule type="expression" dxfId="1054" priority="269">
      <formula>AND(S$9&gt;=14/24,S$9&lt;20/24)</formula>
    </cfRule>
    <cfRule type="expression" dxfId="1053" priority="270">
      <formula>AND(S$9&gt;=8/24,S$9&lt;14/24)</formula>
    </cfRule>
    <cfRule type="expression" dxfId="1052" priority="271">
      <formula>S$9&lt;8/24</formula>
    </cfRule>
  </conditionalFormatting>
  <conditionalFormatting sqref="S49:AE49">
    <cfRule type="expression" dxfId="1051" priority="264">
      <formula>S$9&gt;=20/24</formula>
    </cfRule>
    <cfRule type="expression" dxfId="1050" priority="265">
      <formula>AND(S$9&gt;=14/24,S$9&lt;20/24)</formula>
    </cfRule>
    <cfRule type="expression" dxfId="1049" priority="266">
      <formula>AND(S$9&gt;=8/24,S$9&lt;14/24)</formula>
    </cfRule>
    <cfRule type="expression" dxfId="1048" priority="267">
      <formula>S$9&lt;8/24</formula>
    </cfRule>
  </conditionalFormatting>
  <conditionalFormatting sqref="S50:AE50">
    <cfRule type="expression" dxfId="1047" priority="260">
      <formula>S$9&gt;=20/24</formula>
    </cfRule>
    <cfRule type="expression" dxfId="1046" priority="261">
      <formula>AND(S$9&gt;=14/24,S$9&lt;20/24)</formula>
    </cfRule>
    <cfRule type="expression" dxfId="1045" priority="262">
      <formula>AND(S$9&gt;=8/24,S$9&lt;14/24)</formula>
    </cfRule>
    <cfRule type="expression" dxfId="1044" priority="263">
      <formula>S$9&lt;8/24</formula>
    </cfRule>
  </conditionalFormatting>
  <conditionalFormatting sqref="S60:T65 S67:T67 T66 X60:AE67">
    <cfRule type="expression" dxfId="1043" priority="256">
      <formula>S$9&gt;=20/24</formula>
    </cfRule>
    <cfRule type="expression" dxfId="1042" priority="257">
      <formula>AND(S$9&gt;=14/24,S$9&lt;20/24)</formula>
    </cfRule>
    <cfRule type="expression" dxfId="1041" priority="258">
      <formula>AND(S$9&gt;=8/24,S$9&lt;14/24)</formula>
    </cfRule>
    <cfRule type="expression" dxfId="1040" priority="259">
      <formula>S$9&lt;8/24</formula>
    </cfRule>
  </conditionalFormatting>
  <conditionalFormatting sqref="U94:AA97">
    <cfRule type="expression" dxfId="1039" priority="248">
      <formula>U$9&gt;=20/24</formula>
    </cfRule>
    <cfRule type="expression" dxfId="1038" priority="249">
      <formula>AND(U$9&gt;=14/24,U$9&lt;20/24)</formula>
    </cfRule>
    <cfRule type="expression" dxfId="1037" priority="250">
      <formula>AND(U$9&gt;=8/24,U$9&lt;14/24)</formula>
    </cfRule>
    <cfRule type="expression" dxfId="1036" priority="251">
      <formula>U$9&lt;8/24</formula>
    </cfRule>
  </conditionalFormatting>
  <conditionalFormatting sqref="AG51 C38:AF38 C51:AF52 C56:AF56 E11:P11 D39:Y41 M12:P12 R11:AF11 P37:AF37 Q11:Q12 R12 D42:R44 S42:Y50 Y18:AA32 Y34:AF36 Z39:AF50 L53:AF55 AB12:AF32">
    <cfRule type="expression" dxfId="1035" priority="247">
      <formula>C11&gt;$AG11</formula>
    </cfRule>
  </conditionalFormatting>
  <conditionalFormatting sqref="A100:A156 A84:A97 A11:A14 A16:A32 A45:A72 A80:A82 A74:A78 A35:A43 A169:A199">
    <cfRule type="expression" dxfId="1034" priority="246">
      <formula>$AH11=0</formula>
    </cfRule>
  </conditionalFormatting>
  <conditionalFormatting sqref="U98:AA98">
    <cfRule type="expression" dxfId="1033" priority="242">
      <formula>U$9&gt;=20/24</formula>
    </cfRule>
    <cfRule type="expression" dxfId="1032" priority="243">
      <formula>AND(U$9&gt;=14/24,U$9&lt;20/24)</formula>
    </cfRule>
    <cfRule type="expression" dxfId="1031" priority="244">
      <formula>AND(U$9&gt;=8/24,U$9&lt;14/24)</formula>
    </cfRule>
    <cfRule type="expression" dxfId="1030" priority="245">
      <formula>U$9&lt;8/24</formula>
    </cfRule>
  </conditionalFormatting>
  <conditionalFormatting sqref="A98">
    <cfRule type="expression" dxfId="1029" priority="241">
      <formula>$AH98=0</formula>
    </cfRule>
  </conditionalFormatting>
  <conditionalFormatting sqref="M62:R65 M67:R67 M66:S66">
    <cfRule type="expression" dxfId="1028" priority="229">
      <formula>M$9&gt;=20/24</formula>
    </cfRule>
    <cfRule type="expression" dxfId="1027" priority="230">
      <formula>AND(M$9&gt;=14/24,M$9&lt;20/24)</formula>
    </cfRule>
    <cfRule type="expression" dxfId="1026" priority="231">
      <formula>AND(M$9&gt;=8/24,M$9&lt;14/24)</formula>
    </cfRule>
    <cfRule type="expression" dxfId="1025" priority="232">
      <formula>M$9&lt;8/24</formula>
    </cfRule>
  </conditionalFormatting>
  <conditionalFormatting sqref="AL32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B34:AE34">
    <cfRule type="expression" dxfId="1024" priority="224">
      <formula>AB$9&gt;=20/24</formula>
    </cfRule>
    <cfRule type="expression" dxfId="1023" priority="225">
      <formula>AND(AB$9&gt;=14/24,AB$9&lt;20/24)</formula>
    </cfRule>
    <cfRule type="expression" dxfId="1022" priority="226">
      <formula>AND(AB$9&gt;=8/24,AB$9&lt;14/24)</formula>
    </cfRule>
    <cfRule type="expression" dxfId="1021" priority="227">
      <formula>AB$9&lt;8/24</formula>
    </cfRule>
  </conditionalFormatting>
  <conditionalFormatting sqref="Y34:AA34">
    <cfRule type="expression" dxfId="1020" priority="216">
      <formula>Y$9&gt;=20/24</formula>
    </cfRule>
    <cfRule type="expression" dxfId="1019" priority="217">
      <formula>AND(Y$9&gt;=14/24,Y$9&lt;20/24)</formula>
    </cfRule>
    <cfRule type="expression" dxfId="1018" priority="218">
      <formula>AND(Y$9&gt;=8/24,Y$9&lt;14/24)</formula>
    </cfRule>
    <cfRule type="expression" dxfId="1017" priority="219">
      <formula>Y$9&lt;8/24</formula>
    </cfRule>
  </conditionalFormatting>
  <conditionalFormatting sqref="A34">
    <cfRule type="expression" dxfId="1016" priority="215">
      <formula>$AH34=0</formula>
    </cfRule>
  </conditionalFormatting>
  <conditionalFormatting sqref="A83">
    <cfRule type="expression" dxfId="1015" priority="214">
      <formula>$AH83=0</formula>
    </cfRule>
  </conditionalFormatting>
  <conditionalFormatting sqref="AB15:AE15">
    <cfRule type="expression" dxfId="1014" priority="210">
      <formula>AB$9&gt;=20/24</formula>
    </cfRule>
    <cfRule type="expression" dxfId="1013" priority="211">
      <formula>AND(AB$9&gt;=14/24,AB$9&lt;20/24)</formula>
    </cfRule>
    <cfRule type="expression" dxfId="1012" priority="212">
      <formula>AND(AB$9&gt;=8/24,AB$9&lt;14/24)</formula>
    </cfRule>
    <cfRule type="expression" dxfId="1011" priority="213">
      <formula>AB$9&lt;8/24</formula>
    </cfRule>
  </conditionalFormatting>
  <conditionalFormatting sqref="A15">
    <cfRule type="expression" dxfId="1010" priority="204">
      <formula>$AH15=0</formula>
    </cfRule>
  </conditionalFormatting>
  <conditionalFormatting sqref="A163:A168">
    <cfRule type="expression" dxfId="1009" priority="203">
      <formula>$AH163=0</formula>
    </cfRule>
  </conditionalFormatting>
  <conditionalFormatting sqref="A157:A162">
    <cfRule type="expression" dxfId="1008" priority="202">
      <formula>$AH157=0</formula>
    </cfRule>
  </conditionalFormatting>
  <conditionalFormatting sqref="AA44:AE44">
    <cfRule type="expression" dxfId="1007" priority="198">
      <formula>AA$9&gt;=20/24</formula>
    </cfRule>
    <cfRule type="expression" dxfId="1006" priority="199">
      <formula>AND(AA$9&gt;=14/24,AA$9&lt;20/24)</formula>
    </cfRule>
    <cfRule type="expression" dxfId="1005" priority="200">
      <formula>AND(AA$9&gt;=8/24,AA$9&lt;14/24)</formula>
    </cfRule>
    <cfRule type="expression" dxfId="1004" priority="201">
      <formula>AA$9&lt;8/24</formula>
    </cfRule>
  </conditionalFormatting>
  <conditionalFormatting sqref="M44:R44">
    <cfRule type="expression" dxfId="1003" priority="194">
      <formula>M$9&gt;=20/24</formula>
    </cfRule>
    <cfRule type="expression" dxfId="1002" priority="195">
      <formula>AND(M$9&gt;=14/24,M$9&lt;20/24)</formula>
    </cfRule>
    <cfRule type="expression" dxfId="1001" priority="196">
      <formula>AND(M$9&gt;=8/24,M$9&lt;14/24)</formula>
    </cfRule>
    <cfRule type="expression" dxfId="1000" priority="197">
      <formula>M$9&lt;8/24</formula>
    </cfRule>
  </conditionalFormatting>
  <conditionalFormatting sqref="S44:AA44">
    <cfRule type="expression" dxfId="999" priority="190">
      <formula>S$9&gt;=20/24</formula>
    </cfRule>
    <cfRule type="expression" dxfId="998" priority="191">
      <formula>AND(S$9&gt;=14/24,S$9&lt;20/24)</formula>
    </cfRule>
    <cfRule type="expression" dxfId="997" priority="192">
      <formula>AND(S$9&gt;=8/24,S$9&lt;14/24)</formula>
    </cfRule>
    <cfRule type="expression" dxfId="996" priority="193">
      <formula>S$9&lt;8/24</formula>
    </cfRule>
  </conditionalFormatting>
  <conditionalFormatting sqref="A44">
    <cfRule type="expression" dxfId="995" priority="189">
      <formula>$AH44=0</formula>
    </cfRule>
  </conditionalFormatting>
  <conditionalFormatting sqref="A79">
    <cfRule type="expression" dxfId="994" priority="188">
      <formula>$AH79=0</formula>
    </cfRule>
  </conditionalFormatting>
  <conditionalFormatting sqref="A73">
    <cfRule type="expression" dxfId="993" priority="187">
      <formula>$AH73=0</formula>
    </cfRule>
  </conditionalFormatting>
  <conditionalFormatting sqref="AL34:AL35 AL7:AL31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992" priority="183">
      <formula>U$9&gt;=20/24</formula>
    </cfRule>
    <cfRule type="expression" dxfId="991" priority="184">
      <formula>AND(U$9&gt;=14/24,U$9&lt;20/24)</formula>
    </cfRule>
    <cfRule type="expression" dxfId="990" priority="185">
      <formula>AND(U$9&gt;=8/24,U$9&lt;14/24)</formula>
    </cfRule>
    <cfRule type="expression" dxfId="989" priority="186">
      <formula>U$9&lt;8/24</formula>
    </cfRule>
  </conditionalFormatting>
  <conditionalFormatting sqref="W85:W91">
    <cfRule type="expression" dxfId="988" priority="179">
      <formula>W$9&gt;=20/24</formula>
    </cfRule>
    <cfRule type="expression" dxfId="987" priority="180">
      <formula>AND(W$9&gt;=14/24,W$9&lt;20/24)</formula>
    </cfRule>
    <cfRule type="expression" dxfId="986" priority="181">
      <formula>AND(W$9&gt;=8/24,W$9&lt;14/24)</formula>
    </cfRule>
    <cfRule type="expression" dxfId="985" priority="182">
      <formula>W$9&lt;8/24</formula>
    </cfRule>
  </conditionalFormatting>
  <conditionalFormatting sqref="D84:R91 S85:V91">
    <cfRule type="expression" dxfId="984" priority="175">
      <formula>D$9&gt;=20/24</formula>
    </cfRule>
    <cfRule type="expression" dxfId="983" priority="176">
      <formula>AND(D$9&gt;=14/24,D$9&lt;20/24)</formula>
    </cfRule>
    <cfRule type="expression" dxfId="982" priority="177">
      <formula>AND(D$9&gt;=8/24,D$9&lt;14/24)</formula>
    </cfRule>
    <cfRule type="expression" dxfId="981" priority="178">
      <formula>D$9&lt;8/24</formula>
    </cfRule>
  </conditionalFormatting>
  <conditionalFormatting sqref="S84:T84">
    <cfRule type="expression" dxfId="980" priority="171">
      <formula>S$9&gt;=20/24</formula>
    </cfRule>
    <cfRule type="expression" dxfId="979" priority="172">
      <formula>AND(S$9&gt;=14/24,S$9&lt;20/24)</formula>
    </cfRule>
    <cfRule type="expression" dxfId="978" priority="173">
      <formula>AND(S$9&gt;=8/24,S$9&lt;14/24)</formula>
    </cfRule>
    <cfRule type="expression" dxfId="977" priority="174">
      <formula>S$9&lt;8/24</formula>
    </cfRule>
  </conditionalFormatting>
  <conditionalFormatting sqref="C95:M97 C94:F94">
    <cfRule type="expression" dxfId="976" priority="167">
      <formula>C$9&gt;=20/24</formula>
    </cfRule>
    <cfRule type="expression" dxfId="975" priority="168">
      <formula>AND(C$9&gt;=14/24,C$9&lt;20/24)</formula>
    </cfRule>
    <cfRule type="expression" dxfId="974" priority="169">
      <formula>AND(C$9&gt;=8/24,C$9&lt;14/24)</formula>
    </cfRule>
    <cfRule type="expression" dxfId="973" priority="170">
      <formula>C$9&lt;8/24</formula>
    </cfRule>
  </conditionalFormatting>
  <conditionalFormatting sqref="N95:R97 O94:R94">
    <cfRule type="expression" dxfId="972" priority="163">
      <formula>N$9&gt;=20/24</formula>
    </cfRule>
    <cfRule type="expression" dxfId="971" priority="164">
      <formula>AND(N$9&gt;=14/24,N$9&lt;20/24)</formula>
    </cfRule>
    <cfRule type="expression" dxfId="970" priority="165">
      <formula>AND(N$9&gt;=8/24,N$9&lt;14/24)</formula>
    </cfRule>
    <cfRule type="expression" dxfId="969" priority="166">
      <formula>N$9&lt;8/24</formula>
    </cfRule>
  </conditionalFormatting>
  <conditionalFormatting sqref="S94:T97">
    <cfRule type="expression" dxfId="968" priority="159">
      <formula>S$9&gt;=20/24</formula>
    </cfRule>
    <cfRule type="expression" dxfId="967" priority="160">
      <formula>AND(S$9&gt;=14/24,S$9&lt;20/24)</formula>
    </cfRule>
    <cfRule type="expression" dxfId="966" priority="161">
      <formula>AND(S$9&gt;=8/24,S$9&lt;14/24)</formula>
    </cfRule>
    <cfRule type="expression" dxfId="965" priority="162">
      <formula>S$9&lt;8/24</formula>
    </cfRule>
  </conditionalFormatting>
  <conditionalFormatting sqref="C98:M98">
    <cfRule type="expression" dxfId="964" priority="155">
      <formula>C$9&gt;=20/24</formula>
    </cfRule>
    <cfRule type="expression" dxfId="963" priority="156">
      <formula>AND(C$9&gt;=14/24,C$9&lt;20/24)</formula>
    </cfRule>
    <cfRule type="expression" dxfId="962" priority="157">
      <formula>AND(C$9&gt;=8/24,C$9&lt;14/24)</formula>
    </cfRule>
    <cfRule type="expression" dxfId="961" priority="158">
      <formula>C$9&lt;8/24</formula>
    </cfRule>
  </conditionalFormatting>
  <conditionalFormatting sqref="N98:R98">
    <cfRule type="expression" dxfId="960" priority="151">
      <formula>N$9&gt;=20/24</formula>
    </cfRule>
    <cfRule type="expression" dxfId="959" priority="152">
      <formula>AND(N$9&gt;=14/24,N$9&lt;20/24)</formula>
    </cfRule>
    <cfRule type="expression" dxfId="958" priority="153">
      <formula>AND(N$9&gt;=8/24,N$9&lt;14/24)</formula>
    </cfRule>
    <cfRule type="expression" dxfId="957" priority="154">
      <formula>N$9&lt;8/24</formula>
    </cfRule>
  </conditionalFormatting>
  <conditionalFormatting sqref="S98:T98">
    <cfRule type="expression" dxfId="956" priority="147">
      <formula>S$9&gt;=20/24</formula>
    </cfRule>
    <cfRule type="expression" dxfId="955" priority="148">
      <formula>AND(S$9&gt;=14/24,S$9&lt;20/24)</formula>
    </cfRule>
    <cfRule type="expression" dxfId="954" priority="149">
      <formula>AND(S$9&gt;=8/24,S$9&lt;14/24)</formula>
    </cfRule>
    <cfRule type="expression" dxfId="953" priority="150">
      <formula>S$9&lt;8/24</formula>
    </cfRule>
  </conditionalFormatting>
  <conditionalFormatting sqref="M94:N94">
    <cfRule type="expression" dxfId="952" priority="143">
      <formula>M$9&gt;=20/24</formula>
    </cfRule>
    <cfRule type="expression" dxfId="951" priority="144">
      <formula>AND(M$9&gt;=14/24,M$9&lt;20/24)</formula>
    </cfRule>
    <cfRule type="expression" dxfId="950" priority="145">
      <formula>AND(M$9&gt;=8/24,M$9&lt;14/24)</formula>
    </cfRule>
    <cfRule type="expression" dxfId="949" priority="146">
      <formula>M$9&lt;8/24</formula>
    </cfRule>
  </conditionalFormatting>
  <conditionalFormatting sqref="G94:L94">
    <cfRule type="expression" dxfId="948" priority="139">
      <formula>G$9&gt;=20/24</formula>
    </cfRule>
    <cfRule type="expression" dxfId="947" priority="140">
      <formula>AND(G$9&gt;=14/24,G$9&lt;20/24)</formula>
    </cfRule>
    <cfRule type="expression" dxfId="946" priority="141">
      <formula>AND(G$9&gt;=8/24,G$9&lt;14/24)</formula>
    </cfRule>
    <cfRule type="expression" dxfId="945" priority="142">
      <formula>G$9&lt;8/24</formula>
    </cfRule>
  </conditionalFormatting>
  <conditionalFormatting sqref="U94:W94">
    <cfRule type="expression" dxfId="944" priority="135">
      <formula>U$9&gt;=20/24</formula>
    </cfRule>
    <cfRule type="expression" dxfId="943" priority="136">
      <formula>AND(U$9&gt;=14/24,U$9&lt;20/24)</formula>
    </cfRule>
    <cfRule type="expression" dxfId="942" priority="137">
      <formula>AND(U$9&gt;=8/24,U$9&lt;14/24)</formula>
    </cfRule>
    <cfRule type="expression" dxfId="941" priority="138">
      <formula>U$9&lt;8/24</formula>
    </cfRule>
  </conditionalFormatting>
  <conditionalFormatting sqref="N94:T94">
    <cfRule type="expression" dxfId="940" priority="131">
      <formula>N$9&gt;=20/24</formula>
    </cfRule>
    <cfRule type="expression" dxfId="939" priority="132">
      <formula>AND(N$9&gt;=14/24,N$9&lt;20/24)</formula>
    </cfRule>
    <cfRule type="expression" dxfId="938" priority="133">
      <formula>AND(N$9&gt;=8/24,N$9&lt;14/24)</formula>
    </cfRule>
    <cfRule type="expression" dxfId="937" priority="134">
      <formula>N$9&lt;8/24</formula>
    </cfRule>
  </conditionalFormatting>
  <conditionalFormatting sqref="U99:AA99">
    <cfRule type="expression" dxfId="936" priority="127">
      <formula>U$9&gt;=20/24</formula>
    </cfRule>
    <cfRule type="expression" dxfId="935" priority="128">
      <formula>AND(U$9&gt;=14/24,U$9&lt;20/24)</formula>
    </cfRule>
    <cfRule type="expression" dxfId="934" priority="129">
      <formula>AND(U$9&gt;=8/24,U$9&lt;14/24)</formula>
    </cfRule>
    <cfRule type="expression" dxfId="933" priority="130">
      <formula>U$9&lt;8/24</formula>
    </cfRule>
  </conditionalFormatting>
  <conditionalFormatting sqref="C99:M99">
    <cfRule type="expression" dxfId="932" priority="123">
      <formula>C$9&gt;=20/24</formula>
    </cfRule>
    <cfRule type="expression" dxfId="931" priority="124">
      <formula>AND(C$9&gt;=14/24,C$9&lt;20/24)</formula>
    </cfRule>
    <cfRule type="expression" dxfId="930" priority="125">
      <formula>AND(C$9&gt;=8/24,C$9&lt;14/24)</formula>
    </cfRule>
    <cfRule type="expression" dxfId="929" priority="126">
      <formula>C$9&lt;8/24</formula>
    </cfRule>
  </conditionalFormatting>
  <conditionalFormatting sqref="N99:R99">
    <cfRule type="expression" dxfId="928" priority="119">
      <formula>N$9&gt;=20/24</formula>
    </cfRule>
    <cfRule type="expression" dxfId="927" priority="120">
      <formula>AND(N$9&gt;=14/24,N$9&lt;20/24)</formula>
    </cfRule>
    <cfRule type="expression" dxfId="926" priority="121">
      <formula>AND(N$9&gt;=8/24,N$9&lt;14/24)</formula>
    </cfRule>
    <cfRule type="expression" dxfId="925" priority="122">
      <formula>N$9&lt;8/24</formula>
    </cfRule>
  </conditionalFormatting>
  <conditionalFormatting sqref="S99:T99">
    <cfRule type="expression" dxfId="924" priority="115">
      <formula>S$9&gt;=20/24</formula>
    </cfRule>
    <cfRule type="expression" dxfId="923" priority="116">
      <formula>AND(S$9&gt;=14/24,S$9&lt;20/24)</formula>
    </cfRule>
    <cfRule type="expression" dxfId="922" priority="117">
      <formula>AND(S$9&gt;=8/24,S$9&lt;14/24)</formula>
    </cfRule>
    <cfRule type="expression" dxfId="921" priority="118">
      <formula>S$9&lt;8/24</formula>
    </cfRule>
  </conditionalFormatting>
  <conditionalFormatting sqref="S12:AA15">
    <cfRule type="expression" dxfId="920" priority="111">
      <formula>S$9&gt;=20/24</formula>
    </cfRule>
    <cfRule type="expression" dxfId="919" priority="112">
      <formula>AND(S$9&gt;=14/24,S$9&lt;20/24)</formula>
    </cfRule>
    <cfRule type="expression" dxfId="918" priority="113">
      <formula>AND(S$9&gt;=8/24,S$9&lt;14/24)</formula>
    </cfRule>
    <cfRule type="expression" dxfId="917" priority="114">
      <formula>S$9&lt;8/24</formula>
    </cfRule>
  </conditionalFormatting>
  <conditionalFormatting sqref="Y17:AA17">
    <cfRule type="expression" dxfId="916" priority="107">
      <formula>Y$9&gt;=20/24</formula>
    </cfRule>
    <cfRule type="expression" dxfId="915" priority="108">
      <formula>AND(Y$9&gt;=14/24,Y$9&lt;20/24)</formula>
    </cfRule>
    <cfRule type="expression" dxfId="914" priority="109">
      <formula>AND(Y$9&gt;=8/24,Y$9&lt;14/24)</formula>
    </cfRule>
    <cfRule type="expression" dxfId="913" priority="110">
      <formula>Y$9&lt;8/24</formula>
    </cfRule>
  </conditionalFormatting>
  <conditionalFormatting sqref="S12:AA13">
    <cfRule type="expression" dxfId="912" priority="103">
      <formula>S$9&gt;=20/24</formula>
    </cfRule>
    <cfRule type="expression" dxfId="911" priority="104">
      <formula>AND(S$9&gt;=14/24,S$9&lt;20/24)</formula>
    </cfRule>
    <cfRule type="expression" dxfId="910" priority="105">
      <formula>AND(S$9&gt;=8/24,S$9&lt;14/24)</formula>
    </cfRule>
    <cfRule type="expression" dxfId="909" priority="106">
      <formula>S$9&lt;8/24</formula>
    </cfRule>
  </conditionalFormatting>
  <conditionalFormatting sqref="AB58:AE59">
    <cfRule type="expression" dxfId="908" priority="99">
      <formula>AB$9&gt;=20/24</formula>
    </cfRule>
    <cfRule type="expression" dxfId="907" priority="100">
      <formula>AND(AB$9&gt;=14/24,AB$9&lt;20/24)</formula>
    </cfRule>
    <cfRule type="expression" dxfId="906" priority="101">
      <formula>AND(AB$9&gt;=8/24,AB$9&lt;14/24)</formula>
    </cfRule>
    <cfRule type="expression" dxfId="905" priority="102">
      <formula>AB$9&lt;8/24</formula>
    </cfRule>
  </conditionalFormatting>
  <conditionalFormatting sqref="AL33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04" priority="332">
      <formula>C$9&gt;=20/24</formula>
    </cfRule>
    <cfRule type="expression" dxfId="903" priority="333">
      <formula>AND(C$9&gt;=14/24,C$9&lt;20/24)</formula>
    </cfRule>
    <cfRule type="expression" dxfId="902" priority="334">
      <formula>AND(C$9&gt;=8/24,C$9&lt;14/24)</formula>
    </cfRule>
    <cfRule type="expression" dxfId="901" priority="335">
      <formula>C$9&lt;8/24</formula>
    </cfRule>
  </conditionalFormatting>
  <conditionalFormatting sqref="A200">
    <cfRule type="expression" dxfId="900" priority="336">
      <formula>$AH200=0</formula>
    </cfRule>
  </conditionalFormatting>
  <conditionalFormatting sqref="AG212">
    <cfRule type="expression" dxfId="899" priority="337">
      <formula>B$9&gt;=20/24</formula>
    </cfRule>
    <cfRule type="expression" dxfId="898" priority="338">
      <formula>AND(B$9&gt;=14/24,B$9&lt;20/24)</formula>
    </cfRule>
    <cfRule type="expression" dxfId="897" priority="339">
      <formula>AND(B$9&gt;=8/24,B$9&lt;14/24)</formula>
    </cfRule>
    <cfRule type="expression" dxfId="896" priority="340">
      <formula>B$9&lt;8/24</formula>
    </cfRule>
  </conditionalFormatting>
  <conditionalFormatting sqref="S8">
    <cfRule type="expression" dxfId="895" priority="93">
      <formula>U$9&gt;=20/24</formula>
    </cfRule>
    <cfRule type="expression" dxfId="894" priority="94">
      <formula>AND(U$9&gt;=14/24,U$9&lt;20/24)</formula>
    </cfRule>
    <cfRule type="expression" dxfId="893" priority="95">
      <formula>AND(U$9&gt;=8/24,U$9&lt;14/24)</formula>
    </cfRule>
    <cfRule type="expression" dxfId="892" priority="96">
      <formula>U$9&lt;8/24</formula>
    </cfRule>
  </conditionalFormatting>
  <conditionalFormatting sqref="AB8">
    <cfRule type="expression" dxfId="891" priority="89">
      <formula>AD$9&gt;=20/24</formula>
    </cfRule>
    <cfRule type="expression" dxfId="890" priority="90">
      <formula>AND(AD$9&gt;=14/24,AD$9&lt;20/24)</formula>
    </cfRule>
    <cfRule type="expression" dxfId="889" priority="91">
      <formula>AND(AD$9&gt;=8/24,AD$9&lt;14/24)</formula>
    </cfRule>
    <cfRule type="expression" dxfId="888" priority="92">
      <formula>AD$9&lt;8/24</formula>
    </cfRule>
  </conditionalFormatting>
  <conditionalFormatting sqref="AH212:AX212">
    <cfRule type="expression" dxfId="887" priority="341">
      <formula>AG$9&gt;=20/24</formula>
    </cfRule>
    <cfRule type="expression" dxfId="886" priority="342">
      <formula>AND(AG$9&gt;=14/24,AG$9&lt;20/24)</formula>
    </cfRule>
    <cfRule type="expression" dxfId="885" priority="343">
      <formula>AND(AG$9&gt;=8/24,AG$9&lt;14/24)</formula>
    </cfRule>
    <cfRule type="expression" dxfId="884" priority="344">
      <formula>AG$9&lt;8/24</formula>
    </cfRule>
  </conditionalFormatting>
  <conditionalFormatting sqref="T212">
    <cfRule type="expression" dxfId="883" priority="345">
      <formula>AX$9&gt;=20/24</formula>
    </cfRule>
    <cfRule type="expression" dxfId="882" priority="346">
      <formula>AND(AX$9&gt;=14/24,AX$9&lt;20/24)</formula>
    </cfRule>
    <cfRule type="expression" dxfId="881" priority="347">
      <formula>AND(AX$9&gt;=8/24,AX$9&lt;14/24)</formula>
    </cfRule>
    <cfRule type="expression" dxfId="880" priority="348">
      <formula>AX$9&lt;8/24</formula>
    </cfRule>
  </conditionalFormatting>
  <conditionalFormatting sqref="A99">
    <cfRule type="expression" dxfId="879" priority="88">
      <formula>$AH99=0</formula>
    </cfRule>
  </conditionalFormatting>
  <conditionalFormatting sqref="B68:B83 B53:B56 B40:C43 B85:C91 B11:D11 C53:K55 B36:X36 B18:X30">
    <cfRule type="expression" dxfId="878" priority="71">
      <formula>B$9&gt;=20/24</formula>
    </cfRule>
    <cfRule type="expression" dxfId="877" priority="72">
      <formula>AND(B$9&gt;=14/24,B$9&lt;20/24)</formula>
    </cfRule>
    <cfRule type="expression" dxfId="876" priority="73">
      <formula>AND(B$9&gt;=8/24,B$9&lt;14/24)</formula>
    </cfRule>
    <cfRule type="expression" dxfId="875" priority="74">
      <formula>B$9&lt;8/24</formula>
    </cfRule>
  </conditionalFormatting>
  <conditionalFormatting sqref="B39:C39">
    <cfRule type="expression" dxfId="874" priority="67">
      <formula>B$9&gt;=20/24</formula>
    </cfRule>
    <cfRule type="expression" dxfId="873" priority="68">
      <formula>AND(B$9&gt;=14/24,B$9&lt;20/24)</formula>
    </cfRule>
    <cfRule type="expression" dxfId="872" priority="69">
      <formula>AND(B$9&gt;=8/24,B$9&lt;14/24)</formula>
    </cfRule>
    <cfRule type="expression" dxfId="871" priority="70">
      <formula>B$9&lt;8/24</formula>
    </cfRule>
  </conditionalFormatting>
  <conditionalFormatting sqref="B57:C57">
    <cfRule type="expression" dxfId="870" priority="63">
      <formula>B$9&gt;=20/24</formula>
    </cfRule>
    <cfRule type="expression" dxfId="869" priority="64">
      <formula>AND(B$9&gt;=14/24,B$9&lt;20/24)</formula>
    </cfRule>
    <cfRule type="expression" dxfId="868" priority="65">
      <formula>AND(B$9&gt;=8/24,B$9&lt;14/24)</formula>
    </cfRule>
    <cfRule type="expression" dxfId="867" priority="66">
      <formula>B$9&lt;8/24</formula>
    </cfRule>
  </conditionalFormatting>
  <conditionalFormatting sqref="B84:C84">
    <cfRule type="expression" dxfId="866" priority="59">
      <formula>B$9&gt;=20/24</formula>
    </cfRule>
    <cfRule type="expression" dxfId="865" priority="60">
      <formula>AND(B$9&gt;=14/24,B$9&lt;20/24)</formula>
    </cfRule>
    <cfRule type="expression" dxfId="864" priority="61">
      <formula>AND(B$9&gt;=8/24,B$9&lt;14/24)</formula>
    </cfRule>
    <cfRule type="expression" dxfId="863" priority="62">
      <formula>B$9&lt;8/24</formula>
    </cfRule>
  </conditionalFormatting>
  <conditionalFormatting sqref="B37:O37">
    <cfRule type="expression" dxfId="862" priority="55">
      <formula>B$9&gt;=20/24</formula>
    </cfRule>
    <cfRule type="expression" dxfId="861" priority="56">
      <formula>AND(B$9&gt;=14/24,B$9&lt;20/24)</formula>
    </cfRule>
    <cfRule type="expression" dxfId="860" priority="57">
      <formula>AND(B$9&gt;=8/24,B$9&lt;14/24)</formula>
    </cfRule>
    <cfRule type="expression" dxfId="859" priority="58">
      <formula>B$9&lt;8/24</formula>
    </cfRule>
  </conditionalFormatting>
  <conditionalFormatting sqref="B31:X32 B35:X35">
    <cfRule type="expression" dxfId="858" priority="51">
      <formula>B$9&gt;=20/24</formula>
    </cfRule>
    <cfRule type="expression" dxfId="857" priority="52">
      <formula>AND(B$9&gt;=14/24,B$9&lt;20/24)</formula>
    </cfRule>
    <cfRule type="expression" dxfId="856" priority="53">
      <formula>AND(B$9&gt;=8/24,B$9&lt;14/24)</formula>
    </cfRule>
    <cfRule type="expression" dxfId="855" priority="54">
      <formula>B$9&lt;8/24</formula>
    </cfRule>
  </conditionalFormatting>
  <conditionalFormatting sqref="B45:R48">
    <cfRule type="expression" dxfId="854" priority="47">
      <formula>B$9&gt;=20/24</formula>
    </cfRule>
    <cfRule type="expression" dxfId="853" priority="48">
      <formula>AND(B$9&gt;=14/24,B$9&lt;20/24)</formula>
    </cfRule>
    <cfRule type="expression" dxfId="852" priority="49">
      <formula>AND(B$9&gt;=8/24,B$9&lt;14/24)</formula>
    </cfRule>
    <cfRule type="expression" dxfId="851" priority="50">
      <formula>B$9&lt;8/24</formula>
    </cfRule>
  </conditionalFormatting>
  <conditionalFormatting sqref="B49:R49">
    <cfRule type="expression" dxfId="850" priority="43">
      <formula>B$9&gt;=20/24</formula>
    </cfRule>
    <cfRule type="expression" dxfId="849" priority="44">
      <formula>AND(B$9&gt;=14/24,B$9&lt;20/24)</formula>
    </cfRule>
    <cfRule type="expression" dxfId="848" priority="45">
      <formula>AND(B$9&gt;=8/24,B$9&lt;14/24)</formula>
    </cfRule>
    <cfRule type="expression" dxfId="847" priority="46">
      <formula>B$9&lt;8/24</formula>
    </cfRule>
  </conditionalFormatting>
  <conditionalFormatting sqref="B50:R50">
    <cfRule type="expression" dxfId="846" priority="39">
      <formula>B$9&gt;=20/24</formula>
    </cfRule>
    <cfRule type="expression" dxfId="845" priority="40">
      <formula>AND(B$9&gt;=14/24,B$9&lt;20/24)</formula>
    </cfRule>
    <cfRule type="expression" dxfId="844" priority="41">
      <formula>AND(B$9&gt;=8/24,B$9&lt;14/24)</formula>
    </cfRule>
    <cfRule type="expression" dxfId="843" priority="42">
      <formula>B$9&lt;8/24</formula>
    </cfRule>
  </conditionalFormatting>
  <conditionalFormatting sqref="B60:C67">
    <cfRule type="expression" dxfId="842" priority="35">
      <formula>B$9&gt;=20/24</formula>
    </cfRule>
    <cfRule type="expression" dxfId="841" priority="36">
      <formula>AND(B$9&gt;=14/24,B$9&lt;20/24)</formula>
    </cfRule>
    <cfRule type="expression" dxfId="840" priority="37">
      <formula>AND(B$9&gt;=8/24,B$9&lt;14/24)</formula>
    </cfRule>
    <cfRule type="expression" dxfId="839" priority="38">
      <formula>B$9&lt;8/24</formula>
    </cfRule>
  </conditionalFormatting>
  <conditionalFormatting sqref="B34:B56 C39:C50 B11:D11 C46:E46 C48:E50 C53:K55 C34:O37 D45:R50 B18:X32 P34:X36">
    <cfRule type="expression" dxfId="838" priority="34">
      <formula>B11&gt;$AG11</formula>
    </cfRule>
  </conditionalFormatting>
  <conditionalFormatting sqref="B34:X34">
    <cfRule type="expression" dxfId="837" priority="30">
      <formula>B$9&gt;=20/24</formula>
    </cfRule>
    <cfRule type="expression" dxfId="836" priority="31">
      <formula>AND(B$9&gt;=14/24,B$9&lt;20/24)</formula>
    </cfRule>
    <cfRule type="expression" dxfId="835" priority="32">
      <formula>AND(B$9&gt;=8/24,B$9&lt;14/24)</formula>
    </cfRule>
    <cfRule type="expression" dxfId="834" priority="33">
      <formula>B$9&lt;8/24</formula>
    </cfRule>
  </conditionalFormatting>
  <conditionalFormatting sqref="B44:C44">
    <cfRule type="expression" dxfId="833" priority="26">
      <formula>B$9&gt;=20/24</formula>
    </cfRule>
    <cfRule type="expression" dxfId="832" priority="27">
      <formula>AND(B$9&gt;=14/24,B$9&lt;20/24)</formula>
    </cfRule>
    <cfRule type="expression" dxfId="831" priority="28">
      <formula>AND(B$9&gt;=8/24,B$9&lt;14/24)</formula>
    </cfRule>
    <cfRule type="expression" dxfId="830" priority="29">
      <formula>B$9&lt;8/24</formula>
    </cfRule>
  </conditionalFormatting>
  <conditionalFormatting sqref="B44:C44">
    <cfRule type="expression" dxfId="829" priority="22">
      <formula>B$9&gt;=20/24</formula>
    </cfRule>
    <cfRule type="expression" dxfId="828" priority="23">
      <formula>AND(B$9&gt;=14/24,B$9&lt;20/24)</formula>
    </cfRule>
    <cfRule type="expression" dxfId="827" priority="24">
      <formula>AND(B$9&gt;=8/24,B$9&lt;14/24)</formula>
    </cfRule>
    <cfRule type="expression" dxfId="826" priority="25">
      <formula>B$9&lt;8/24</formula>
    </cfRule>
  </conditionalFormatting>
  <conditionalFormatting sqref="B12:L16 M13:R15 M16:AA16">
    <cfRule type="expression" dxfId="825" priority="18">
      <formula>B$9&gt;=20/24</formula>
    </cfRule>
    <cfRule type="expression" dxfId="824" priority="19">
      <formula>AND(B$9&gt;=14/24,B$9&lt;20/24)</formula>
    </cfRule>
    <cfRule type="expression" dxfId="823" priority="20">
      <formula>AND(B$9&gt;=8/24,B$9&lt;14/24)</formula>
    </cfRule>
    <cfRule type="expression" dxfId="822" priority="21">
      <formula>B$9&lt;8/24</formula>
    </cfRule>
  </conditionalFormatting>
  <conditionalFormatting sqref="B17:X17">
    <cfRule type="expression" dxfId="821" priority="14">
      <formula>B$9&gt;=20/24</formula>
    </cfRule>
    <cfRule type="expression" dxfId="820" priority="15">
      <formula>AND(B$9&gt;=14/24,B$9&lt;20/24)</formula>
    </cfRule>
    <cfRule type="expression" dxfId="819" priority="16">
      <formula>AND(B$9&gt;=8/24,B$9&lt;14/24)</formula>
    </cfRule>
    <cfRule type="expression" dxfId="818" priority="17">
      <formula>B$9&lt;8/24</formula>
    </cfRule>
  </conditionalFormatting>
  <conditionalFormatting sqref="B12:L13 M13:R13">
    <cfRule type="expression" dxfId="817" priority="10">
      <formula>B$9&gt;=20/24</formula>
    </cfRule>
    <cfRule type="expression" dxfId="816" priority="11">
      <formula>AND(B$9&gt;=14/24,B$9&lt;20/24)</formula>
    </cfRule>
    <cfRule type="expression" dxfId="815" priority="12">
      <formula>AND(B$9&gt;=8/24,B$9&lt;14/24)</formula>
    </cfRule>
    <cfRule type="expression" dxfId="814" priority="13">
      <formula>B$9&lt;8/24</formula>
    </cfRule>
  </conditionalFormatting>
  <conditionalFormatting sqref="B33:AF33">
    <cfRule type="expression" dxfId="813" priority="6">
      <formula>B$9&gt;=20/24</formula>
    </cfRule>
    <cfRule type="expression" dxfId="812" priority="7">
      <formula>AND(B$9&gt;=14/24,B$9&lt;20/24)</formula>
    </cfRule>
    <cfRule type="expression" dxfId="811" priority="8">
      <formula>AND(B$9&gt;=8/24,B$9&lt;14/24)</formula>
    </cfRule>
    <cfRule type="expression" dxfId="810" priority="9">
      <formula>B$9&lt;8/24</formula>
    </cfRule>
  </conditionalFormatting>
  <conditionalFormatting sqref="B33:AF33">
    <cfRule type="expression" dxfId="809" priority="5">
      <formula>B33&gt;$AG33</formula>
    </cfRule>
  </conditionalFormatting>
  <conditionalFormatting sqref="B94:B99">
    <cfRule type="expression" dxfId="808" priority="1">
      <formula>B$9&gt;=20/24</formula>
    </cfRule>
    <cfRule type="expression" dxfId="807" priority="2">
      <formula>AND(B$9&gt;=14/24,B$9&lt;20/24)</formula>
    </cfRule>
    <cfRule type="expression" dxfId="806" priority="3">
      <formula>AND(B$9&gt;=8/24,B$9&lt;14/24)</formula>
    </cfRule>
    <cfRule type="expression" dxfId="80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8" id="{A3547C51-ADCE-4307-8765-24F665DDDE2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15" sqref="F1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e">
        <f ca="1">"2078/"&amp;"10/"&amp;INT(MID(CELL("filename",D6),FIND("]",CELL("filename",D6))+1,200))</f>
        <v>#VALUE!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0"/>
      <c r="O11" s="50"/>
      <c r="P11" s="50"/>
      <c r="Q11" s="50"/>
      <c r="R11" s="177"/>
      <c r="S11" s="50"/>
      <c r="T11" s="50"/>
      <c r="U11" s="50"/>
      <c r="V11" s="50"/>
      <c r="W11" s="50"/>
      <c r="X11" s="50"/>
      <c r="Y11" s="50"/>
      <c r="Z11" s="51"/>
      <c r="AA11" s="50"/>
      <c r="AB11" s="50"/>
      <c r="AC11" s="50"/>
      <c r="AD11" s="50"/>
      <c r="AE11" s="50"/>
      <c r="AF11" s="49"/>
      <c r="AG11" s="52">
        <v>456</v>
      </c>
      <c r="AH11" s="53">
        <f>MAX(B11:AF11)</f>
        <v>0</v>
      </c>
      <c r="AI11" s="54">
        <f>MIN(B11:AF11)</f>
        <v>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7"/>
      <c r="T12" s="57"/>
      <c r="U12" s="57"/>
      <c r="V12" s="57"/>
      <c r="W12" s="57"/>
      <c r="X12" s="57"/>
      <c r="Y12" s="57"/>
      <c r="Z12" s="50"/>
      <c r="AA12" s="50"/>
      <c r="AB12" s="50"/>
      <c r="AC12" s="50"/>
      <c r="AD12" s="50"/>
      <c r="AE12" s="50"/>
      <c r="AF12" s="49"/>
      <c r="AG12" s="58">
        <v>60</v>
      </c>
      <c r="AH12" s="53">
        <f t="shared" ref="AH12:AH75" si="2">MAX(B12:AF12)</f>
        <v>0</v>
      </c>
      <c r="AI12" s="54">
        <f t="shared" ref="AI12:AI75" si="3">MIN(B12:AF12)</f>
        <v>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57"/>
      <c r="T13" s="57"/>
      <c r="U13" s="57"/>
      <c r="V13" s="57"/>
      <c r="W13" s="57"/>
      <c r="X13" s="57"/>
      <c r="Y13" s="57"/>
      <c r="Z13" s="50"/>
      <c r="AA13" s="50"/>
      <c r="AB13" s="50"/>
      <c r="AC13" s="50"/>
      <c r="AD13" s="50"/>
      <c r="AE13" s="50"/>
      <c r="AF13" s="49"/>
      <c r="AG13" s="58">
        <v>52.4</v>
      </c>
      <c r="AH13" s="53">
        <f t="shared" si="2"/>
        <v>0</v>
      </c>
      <c r="AI13" s="54">
        <f t="shared" si="3"/>
        <v>0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0"/>
      <c r="O14" s="50"/>
      <c r="P14" s="50"/>
      <c r="Q14" s="50"/>
      <c r="R14" s="50"/>
      <c r="S14" s="59"/>
      <c r="T14" s="59"/>
      <c r="U14" s="59"/>
      <c r="V14" s="59"/>
      <c r="W14" s="59"/>
      <c r="X14" s="59"/>
      <c r="Y14" s="59"/>
      <c r="Z14" s="50"/>
      <c r="AA14" s="50"/>
      <c r="AB14" s="50"/>
      <c r="AC14" s="50"/>
      <c r="AD14" s="50"/>
      <c r="AE14" s="50"/>
      <c r="AF14" s="49"/>
      <c r="AG14" s="58">
        <v>50</v>
      </c>
      <c r="AH14" s="53">
        <f t="shared" si="2"/>
        <v>0</v>
      </c>
      <c r="AI14" s="54">
        <f t="shared" si="3"/>
        <v>0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50"/>
      <c r="N15" s="50"/>
      <c r="O15" s="50"/>
      <c r="P15" s="50"/>
      <c r="Q15" s="50"/>
      <c r="R15" s="50"/>
      <c r="S15" s="59"/>
      <c r="T15" s="59"/>
      <c r="U15" s="59"/>
      <c r="V15" s="59"/>
      <c r="W15" s="59"/>
      <c r="X15" s="59"/>
      <c r="Y15" s="59"/>
      <c r="Z15" s="50"/>
      <c r="AA15" s="50"/>
      <c r="AB15" s="50"/>
      <c r="AC15" s="50"/>
      <c r="AD15" s="50"/>
      <c r="AE15" s="50"/>
      <c r="AF15" s="60"/>
      <c r="AG15" s="61">
        <v>45</v>
      </c>
      <c r="AH15" s="53">
        <f t="shared" si="2"/>
        <v>0</v>
      </c>
      <c r="AI15" s="54">
        <f t="shared" si="3"/>
        <v>0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0"/>
      <c r="O16" s="50"/>
      <c r="P16" s="50"/>
      <c r="Q16" s="50"/>
      <c r="R16" s="50"/>
      <c r="S16" s="62"/>
      <c r="T16" s="62"/>
      <c r="U16" s="62"/>
      <c r="V16" s="62"/>
      <c r="W16" s="62"/>
      <c r="X16" s="62"/>
      <c r="Y16" s="62"/>
      <c r="Z16" s="50"/>
      <c r="AA16" s="50"/>
      <c r="AB16" s="50"/>
      <c r="AC16" s="50"/>
      <c r="AD16" s="50"/>
      <c r="AE16" s="50"/>
      <c r="AF16" s="49"/>
      <c r="AG16" s="58">
        <v>45</v>
      </c>
      <c r="AH16" s="53">
        <f t="shared" si="2"/>
        <v>0</v>
      </c>
      <c r="AI16" s="54">
        <f t="shared" si="3"/>
        <v>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59"/>
      <c r="T17" s="59"/>
      <c r="U17" s="59"/>
      <c r="V17" s="59"/>
      <c r="W17" s="59"/>
      <c r="X17" s="59"/>
      <c r="Y17" s="59"/>
      <c r="Z17" s="50"/>
      <c r="AA17" s="50"/>
      <c r="AB17" s="50"/>
      <c r="AC17" s="50"/>
      <c r="AD17" s="50"/>
      <c r="AE17" s="50"/>
      <c r="AF17" s="49"/>
      <c r="AG17" s="58">
        <v>42</v>
      </c>
      <c r="AH17" s="53">
        <f t="shared" si="2"/>
        <v>0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49"/>
      <c r="AG18" s="58">
        <v>36</v>
      </c>
      <c r="AH18" s="53">
        <f t="shared" si="2"/>
        <v>0</v>
      </c>
      <c r="AI18" s="54">
        <f t="shared" si="3"/>
        <v>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49"/>
      <c r="AG19" s="58">
        <v>30</v>
      </c>
      <c r="AH19" s="53">
        <f t="shared" si="2"/>
        <v>0</v>
      </c>
      <c r="AI19" s="54">
        <f t="shared" si="3"/>
        <v>0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9"/>
      <c r="AG20" s="58">
        <v>27</v>
      </c>
      <c r="AH20" s="53">
        <f t="shared" si="2"/>
        <v>0</v>
      </c>
      <c r="AI20" s="54">
        <f t="shared" si="3"/>
        <v>0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49"/>
      <c r="AG21" s="58">
        <v>25</v>
      </c>
      <c r="AH21" s="53">
        <f t="shared" si="2"/>
        <v>0</v>
      </c>
      <c r="AI21" s="54">
        <f t="shared" si="3"/>
        <v>0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49"/>
      <c r="AG22" s="58">
        <v>25</v>
      </c>
      <c r="AH22" s="53">
        <f t="shared" si="2"/>
        <v>0</v>
      </c>
      <c r="AI22" s="54">
        <f t="shared" si="3"/>
        <v>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49"/>
      <c r="AG23" s="58">
        <v>25</v>
      </c>
      <c r="AH23" s="53">
        <f t="shared" si="2"/>
        <v>0</v>
      </c>
      <c r="AI23" s="54">
        <f t="shared" si="3"/>
        <v>0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49"/>
      <c r="AG24" s="58">
        <v>25</v>
      </c>
      <c r="AH24" s="53">
        <f t="shared" si="2"/>
        <v>0</v>
      </c>
      <c r="AI24" s="54">
        <f t="shared" si="3"/>
        <v>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49"/>
      <c r="AG25" s="58">
        <v>24.2</v>
      </c>
      <c r="AH25" s="53">
        <f t="shared" si="2"/>
        <v>0</v>
      </c>
      <c r="AI25" s="54">
        <f t="shared" si="3"/>
        <v>0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49"/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49"/>
      <c r="AC27" s="49"/>
      <c r="AD27" s="49"/>
      <c r="AE27" s="49"/>
      <c r="AF27" s="49"/>
      <c r="AG27" s="58">
        <v>23.5</v>
      </c>
      <c r="AH27" s="53">
        <f t="shared" si="2"/>
        <v>0</v>
      </c>
      <c r="AI27" s="54">
        <f t="shared" si="3"/>
        <v>0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/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  <c r="AG29" s="58">
        <v>22.1</v>
      </c>
      <c r="AH29" s="53">
        <f t="shared" si="2"/>
        <v>0</v>
      </c>
      <c r="AI29" s="54">
        <f t="shared" si="3"/>
        <v>0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49"/>
      <c r="AG30" s="58">
        <v>22.1</v>
      </c>
      <c r="AH30" s="53">
        <f t="shared" si="2"/>
        <v>0</v>
      </c>
      <c r="AI30" s="54">
        <f t="shared" si="3"/>
        <v>0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60"/>
      <c r="AG31" s="61">
        <v>22</v>
      </c>
      <c r="AH31" s="53">
        <f t="shared" si="2"/>
        <v>0</v>
      </c>
      <c r="AI31" s="54">
        <f t="shared" si="3"/>
        <v>0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60"/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60"/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60"/>
      <c r="AG34" s="66">
        <v>20</v>
      </c>
      <c r="AH34" s="53">
        <f t="shared" si="2"/>
        <v>0</v>
      </c>
      <c r="AI34" s="54">
        <f t="shared" si="3"/>
        <v>0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60"/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6">
        <v>85</v>
      </c>
      <c r="AH36" s="53">
        <f t="shared" si="2"/>
        <v>0</v>
      </c>
      <c r="AI36" s="54">
        <f t="shared" si="3"/>
        <v>0</v>
      </c>
      <c r="AK36" s="55"/>
    </row>
    <row r="37" spans="1:88" ht="15.75" thickBot="1" x14ac:dyDescent="0.3">
      <c r="A37" s="68" t="s">
        <v>45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0"/>
      <c r="AG37" s="66">
        <v>240</v>
      </c>
      <c r="AH37" s="53">
        <f t="shared" si="2"/>
        <v>0</v>
      </c>
      <c r="AI37" s="54">
        <f t="shared" si="3"/>
        <v>0</v>
      </c>
      <c r="AK37" s="55"/>
    </row>
    <row r="38" spans="1:88" ht="15.75" thickBot="1" x14ac:dyDescent="0.3">
      <c r="A38" s="70" t="s">
        <v>46</v>
      </c>
      <c r="B38" s="71">
        <f>SUM(B11:B36)</f>
        <v>0</v>
      </c>
      <c r="C38" s="71">
        <f t="shared" ref="C38:AF38" si="4">SUM(C11:C36)</f>
        <v>0</v>
      </c>
      <c r="D38" s="71">
        <f t="shared" si="4"/>
        <v>0</v>
      </c>
      <c r="E38" s="71">
        <f t="shared" si="4"/>
        <v>0</v>
      </c>
      <c r="F38" s="71">
        <f t="shared" si="4"/>
        <v>0</v>
      </c>
      <c r="G38" s="71">
        <f t="shared" si="4"/>
        <v>0</v>
      </c>
      <c r="H38" s="71">
        <f t="shared" si="4"/>
        <v>0</v>
      </c>
      <c r="I38" s="71">
        <f t="shared" si="4"/>
        <v>0</v>
      </c>
      <c r="J38" s="71">
        <f t="shared" si="4"/>
        <v>0</v>
      </c>
      <c r="K38" s="71">
        <f t="shared" si="4"/>
        <v>0</v>
      </c>
      <c r="L38" s="71">
        <f t="shared" si="4"/>
        <v>0</v>
      </c>
      <c r="M38" s="71">
        <f t="shared" si="4"/>
        <v>0</v>
      </c>
      <c r="N38" s="71">
        <f t="shared" si="4"/>
        <v>0</v>
      </c>
      <c r="O38" s="71">
        <f t="shared" si="4"/>
        <v>0</v>
      </c>
      <c r="P38" s="71">
        <f t="shared" si="4"/>
        <v>0</v>
      </c>
      <c r="Q38" s="71">
        <f t="shared" si="4"/>
        <v>0</v>
      </c>
      <c r="R38" s="71">
        <f t="shared" si="4"/>
        <v>0</v>
      </c>
      <c r="S38" s="71">
        <f t="shared" si="4"/>
        <v>0</v>
      </c>
      <c r="T38" s="71">
        <f t="shared" si="4"/>
        <v>0</v>
      </c>
      <c r="U38" s="71">
        <f t="shared" si="4"/>
        <v>0</v>
      </c>
      <c r="V38" s="71">
        <f t="shared" si="4"/>
        <v>0</v>
      </c>
      <c r="W38" s="71">
        <f t="shared" si="4"/>
        <v>0</v>
      </c>
      <c r="X38" s="71">
        <f t="shared" si="4"/>
        <v>0</v>
      </c>
      <c r="Y38" s="71">
        <f t="shared" si="4"/>
        <v>0</v>
      </c>
      <c r="Z38" s="71">
        <f t="shared" si="4"/>
        <v>0</v>
      </c>
      <c r="AA38" s="71">
        <f t="shared" si="4"/>
        <v>0</v>
      </c>
      <c r="AB38" s="71">
        <f t="shared" si="4"/>
        <v>0</v>
      </c>
      <c r="AC38" s="71">
        <f t="shared" si="4"/>
        <v>0</v>
      </c>
      <c r="AD38" s="71">
        <f t="shared" si="4"/>
        <v>0</v>
      </c>
      <c r="AE38" s="71">
        <f t="shared" si="4"/>
        <v>0</v>
      </c>
      <c r="AF38" s="71">
        <f t="shared" si="4"/>
        <v>0</v>
      </c>
      <c r="AG38" s="66">
        <f>SUM(AG11:AG37)</f>
        <v>1492.8299999999997</v>
      </c>
      <c r="AH38" s="53">
        <f t="shared" si="2"/>
        <v>0</v>
      </c>
      <c r="AI38" s="54">
        <f t="shared" si="3"/>
        <v>0</v>
      </c>
      <c r="AK38" s="55"/>
    </row>
    <row r="39" spans="1:88" x14ac:dyDescent="0.25">
      <c r="A39" s="56" t="s">
        <v>47</v>
      </c>
      <c r="B39" s="4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/>
      <c r="AG39" s="61">
        <v>144</v>
      </c>
      <c r="AH39" s="53">
        <f t="shared" si="2"/>
        <v>0</v>
      </c>
      <c r="AI39" s="54">
        <f t="shared" si="3"/>
        <v>0</v>
      </c>
      <c r="AK39" s="55"/>
    </row>
    <row r="40" spans="1:88" x14ac:dyDescent="0.25">
      <c r="A40" s="65" t="s">
        <v>48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60"/>
      <c r="AG40" s="66">
        <v>70</v>
      </c>
      <c r="AH40" s="53">
        <f t="shared" si="2"/>
        <v>0</v>
      </c>
      <c r="AI40" s="54">
        <f t="shared" si="3"/>
        <v>0</v>
      </c>
      <c r="AK40" s="55"/>
    </row>
    <row r="41" spans="1:88" x14ac:dyDescent="0.25">
      <c r="A41" s="65" t="s">
        <v>49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60"/>
      <c r="AG41" s="66">
        <v>69</v>
      </c>
      <c r="AH41" s="53">
        <f t="shared" si="2"/>
        <v>0</v>
      </c>
      <c r="AI41" s="54">
        <f t="shared" si="3"/>
        <v>0</v>
      </c>
      <c r="AK41" s="55"/>
    </row>
    <row r="42" spans="1:88" x14ac:dyDescent="0.25">
      <c r="A42" s="65" t="s">
        <v>50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60"/>
      <c r="AG42" s="66">
        <v>60</v>
      </c>
      <c r="AH42" s="53">
        <f t="shared" si="2"/>
        <v>0</v>
      </c>
      <c r="AI42" s="54">
        <f t="shared" si="3"/>
        <v>0</v>
      </c>
      <c r="AK42" s="55"/>
    </row>
    <row r="43" spans="1:88" x14ac:dyDescent="0.25">
      <c r="A43" s="65" t="s">
        <v>51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2"/>
      <c r="AA43" s="72"/>
      <c r="AB43" s="72"/>
      <c r="AC43" s="72"/>
      <c r="AD43" s="72"/>
      <c r="AE43" s="72"/>
      <c r="AF43" s="60"/>
      <c r="AG43" s="66">
        <v>30</v>
      </c>
      <c r="AH43" s="53">
        <f t="shared" si="2"/>
        <v>0</v>
      </c>
      <c r="AI43" s="54">
        <f t="shared" si="3"/>
        <v>0</v>
      </c>
      <c r="AK43" s="55"/>
    </row>
    <row r="44" spans="1:88" x14ac:dyDescent="0.25">
      <c r="A44" s="65" t="s">
        <v>52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60"/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60"/>
      <c r="AG45" s="66">
        <v>24</v>
      </c>
      <c r="AH45" s="53">
        <f t="shared" si="2"/>
        <v>0</v>
      </c>
      <c r="AI45" s="54">
        <f t="shared" si="3"/>
        <v>0</v>
      </c>
      <c r="AK45" s="55"/>
    </row>
    <row r="46" spans="1:88" x14ac:dyDescent="0.25">
      <c r="A46" s="65" t="s">
        <v>54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60"/>
      <c r="AG46" s="66">
        <v>15</v>
      </c>
      <c r="AH46" s="53">
        <f t="shared" si="2"/>
        <v>0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60"/>
      <c r="AG47" s="66">
        <v>14.1</v>
      </c>
      <c r="AH47" s="53">
        <f t="shared" si="2"/>
        <v>0</v>
      </c>
      <c r="AI47" s="54">
        <f t="shared" si="3"/>
        <v>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60"/>
      <c r="AG48" s="66">
        <v>14</v>
      </c>
      <c r="AH48" s="53">
        <f t="shared" si="2"/>
        <v>0</v>
      </c>
      <c r="AI48" s="54">
        <f t="shared" si="3"/>
        <v>0</v>
      </c>
      <c r="AK48" s="55"/>
    </row>
    <row r="49" spans="1:37" x14ac:dyDescent="0.25">
      <c r="A49" s="65" t="s">
        <v>57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60"/>
      <c r="AG49" s="66">
        <v>10.050000000000001</v>
      </c>
      <c r="AH49" s="53">
        <f t="shared" si="2"/>
        <v>0</v>
      </c>
      <c r="AI49" s="54">
        <f t="shared" si="3"/>
        <v>0</v>
      </c>
      <c r="AK49" s="55"/>
    </row>
    <row r="50" spans="1:37" x14ac:dyDescent="0.25">
      <c r="A50" s="65" t="s">
        <v>58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60"/>
      <c r="AG50" s="66">
        <v>6.2</v>
      </c>
      <c r="AH50" s="53">
        <f t="shared" si="2"/>
        <v>0</v>
      </c>
      <c r="AI50" s="54">
        <f t="shared" si="3"/>
        <v>0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3.54</v>
      </c>
      <c r="C52" s="71">
        <f t="shared" ref="C52:AF52" si="6">SUM(C39:C51)</f>
        <v>3.54</v>
      </c>
      <c r="D52" s="71">
        <f t="shared" si="6"/>
        <v>3.54</v>
      </c>
      <c r="E52" s="71">
        <f t="shared" si="6"/>
        <v>3.54</v>
      </c>
      <c r="F52" s="71">
        <f t="shared" si="6"/>
        <v>3.54</v>
      </c>
      <c r="G52" s="71">
        <f t="shared" si="6"/>
        <v>3.54</v>
      </c>
      <c r="H52" s="71">
        <f t="shared" si="6"/>
        <v>3.54</v>
      </c>
      <c r="I52" s="71">
        <f t="shared" si="6"/>
        <v>3.54</v>
      </c>
      <c r="J52" s="71">
        <f t="shared" si="6"/>
        <v>3.54</v>
      </c>
      <c r="K52" s="71">
        <f t="shared" si="6"/>
        <v>3.54</v>
      </c>
      <c r="L52" s="71">
        <f t="shared" si="6"/>
        <v>3.54</v>
      </c>
      <c r="M52" s="71">
        <f t="shared" si="6"/>
        <v>3.54</v>
      </c>
      <c r="N52" s="71">
        <f t="shared" si="6"/>
        <v>3.54</v>
      </c>
      <c r="O52" s="71">
        <f t="shared" si="6"/>
        <v>3.54</v>
      </c>
      <c r="P52" s="71">
        <f t="shared" si="6"/>
        <v>3.54</v>
      </c>
      <c r="Q52" s="71">
        <f t="shared" si="6"/>
        <v>3.54</v>
      </c>
      <c r="R52" s="71">
        <f t="shared" si="6"/>
        <v>3.54</v>
      </c>
      <c r="S52" s="71">
        <f t="shared" si="6"/>
        <v>3.54</v>
      </c>
      <c r="T52" s="71">
        <f t="shared" si="6"/>
        <v>3.54</v>
      </c>
      <c r="U52" s="71">
        <f t="shared" si="6"/>
        <v>3.54</v>
      </c>
      <c r="V52" s="71">
        <f t="shared" si="6"/>
        <v>3.54</v>
      </c>
      <c r="W52" s="71">
        <f t="shared" si="6"/>
        <v>3.54</v>
      </c>
      <c r="X52" s="71">
        <f t="shared" si="6"/>
        <v>3.54</v>
      </c>
      <c r="Y52" s="71">
        <f t="shared" si="6"/>
        <v>3.54</v>
      </c>
      <c r="Z52" s="71">
        <f t="shared" si="6"/>
        <v>3.54</v>
      </c>
      <c r="AA52" s="71">
        <f t="shared" si="6"/>
        <v>3.54</v>
      </c>
      <c r="AB52" s="71">
        <f t="shared" si="6"/>
        <v>3.54</v>
      </c>
      <c r="AC52" s="71">
        <f t="shared" si="6"/>
        <v>3.54</v>
      </c>
      <c r="AD52" s="71">
        <f t="shared" si="6"/>
        <v>3.54</v>
      </c>
      <c r="AE52" s="71">
        <f t="shared" si="6"/>
        <v>3.54</v>
      </c>
      <c r="AF52" s="71">
        <f t="shared" si="6"/>
        <v>3.54</v>
      </c>
      <c r="AG52" s="76">
        <f>SUM(AG39:AG51)</f>
        <v>489.91</v>
      </c>
      <c r="AH52" s="53">
        <f t="shared" si="2"/>
        <v>3.54</v>
      </c>
      <c r="AI52" s="54">
        <f t="shared" si="3"/>
        <v>3.54</v>
      </c>
      <c r="AK52" s="55"/>
    </row>
    <row r="53" spans="1:37" x14ac:dyDescent="0.25">
      <c r="A53" s="56" t="s">
        <v>61</v>
      </c>
      <c r="B53" s="5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77"/>
      <c r="N53" s="77"/>
      <c r="O53" s="77"/>
      <c r="P53" s="77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61">
        <v>60</v>
      </c>
      <c r="AH53" s="53">
        <f t="shared" si="2"/>
        <v>0</v>
      </c>
      <c r="AI53" s="54">
        <f t="shared" si="3"/>
        <v>0</v>
      </c>
      <c r="AK53" s="55"/>
    </row>
    <row r="54" spans="1:37" x14ac:dyDescent="0.25">
      <c r="A54" s="65" t="s">
        <v>62</v>
      </c>
      <c r="B54" s="7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77"/>
      <c r="N54" s="77"/>
      <c r="O54" s="77"/>
      <c r="P54" s="77"/>
      <c r="Q54" s="72"/>
      <c r="R54" s="72"/>
      <c r="S54" s="50"/>
      <c r="T54" s="50"/>
      <c r="U54" s="50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66">
        <v>32</v>
      </c>
      <c r="AH54" s="53">
        <f t="shared" si="2"/>
        <v>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80"/>
      <c r="N55" s="80"/>
      <c r="O55" s="80"/>
      <c r="P55" s="80"/>
      <c r="Q55" s="78"/>
      <c r="R55" s="78"/>
      <c r="S55" s="50"/>
      <c r="T55" s="50"/>
      <c r="U55" s="50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81">
        <v>14</v>
      </c>
      <c r="AH55" s="53">
        <f t="shared" si="2"/>
        <v>0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0</v>
      </c>
      <c r="M56" s="71">
        <f t="shared" si="7"/>
        <v>0</v>
      </c>
      <c r="N56" s="71">
        <f t="shared" si="7"/>
        <v>0</v>
      </c>
      <c r="O56" s="71">
        <f t="shared" si="7"/>
        <v>0</v>
      </c>
      <c r="P56" s="71">
        <f t="shared" si="7"/>
        <v>0</v>
      </c>
      <c r="Q56" s="71">
        <f t="shared" si="7"/>
        <v>0</v>
      </c>
      <c r="R56" s="71">
        <f t="shared" si="7"/>
        <v>0</v>
      </c>
      <c r="S56" s="71">
        <f t="shared" si="7"/>
        <v>0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0</v>
      </c>
      <c r="X56" s="71">
        <f t="shared" si="7"/>
        <v>0</v>
      </c>
      <c r="Y56" s="71">
        <f t="shared" si="7"/>
        <v>0</v>
      </c>
      <c r="Z56" s="71">
        <f t="shared" si="7"/>
        <v>0</v>
      </c>
      <c r="AA56" s="71">
        <f t="shared" si="7"/>
        <v>0</v>
      </c>
      <c r="AB56" s="71">
        <f t="shared" si="7"/>
        <v>0</v>
      </c>
      <c r="AC56" s="71">
        <f t="shared" si="7"/>
        <v>0</v>
      </c>
      <c r="AD56" s="71">
        <f t="shared" si="7"/>
        <v>0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0</v>
      </c>
      <c r="AI56" s="54">
        <f t="shared" si="3"/>
        <v>0</v>
      </c>
      <c r="AK56" s="55"/>
    </row>
    <row r="57" spans="1:37" x14ac:dyDescent="0.25">
      <c r="A57" s="56" t="s">
        <v>65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61"/>
      <c r="AH57" s="53">
        <f t="shared" si="2"/>
        <v>0</v>
      </c>
      <c r="AI57" s="54">
        <f t="shared" si="3"/>
        <v>0</v>
      </c>
      <c r="AK57" s="55"/>
    </row>
    <row r="58" spans="1:37" x14ac:dyDescent="0.25">
      <c r="A58" s="65" t="s">
        <v>66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82"/>
      <c r="Y58" s="82"/>
      <c r="Z58" s="82"/>
      <c r="AA58" s="82"/>
      <c r="AB58" s="72"/>
      <c r="AC58" s="72"/>
      <c r="AD58" s="72"/>
      <c r="AE58" s="72"/>
      <c r="AF58" s="72"/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/>
      <c r="C59" s="72"/>
      <c r="D59" s="72"/>
      <c r="E59" s="72"/>
      <c r="F59" s="72"/>
      <c r="G59" s="72"/>
      <c r="H59" s="50"/>
      <c r="I59" s="50"/>
      <c r="J59" s="50"/>
      <c r="K59" s="50"/>
      <c r="L59" s="50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83"/>
      <c r="Y59" s="83"/>
      <c r="Z59" s="83"/>
      <c r="AA59" s="83"/>
      <c r="AB59" s="72"/>
      <c r="AC59" s="72"/>
      <c r="AD59" s="72"/>
      <c r="AE59" s="72"/>
      <c r="AF59" s="72"/>
      <c r="AG59" s="84"/>
      <c r="AH59" s="53">
        <f t="shared" si="2"/>
        <v>0</v>
      </c>
      <c r="AI59" s="54">
        <f t="shared" si="3"/>
        <v>0</v>
      </c>
      <c r="AK59" s="55"/>
    </row>
    <row r="60" spans="1:37" x14ac:dyDescent="0.25">
      <c r="A60" s="65" t="s">
        <v>68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57"/>
      <c r="AG60" s="84"/>
      <c r="AH60" s="53">
        <f t="shared" si="2"/>
        <v>0</v>
      </c>
      <c r="AI60" s="54">
        <f t="shared" si="3"/>
        <v>0</v>
      </c>
      <c r="AK60" s="55"/>
    </row>
    <row r="61" spans="1:37" x14ac:dyDescent="0.25">
      <c r="A61" s="65" t="s">
        <v>69</v>
      </c>
      <c r="B61" s="50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84"/>
      <c r="AH61" s="53">
        <f t="shared" si="2"/>
        <v>0</v>
      </c>
      <c r="AI61" s="54">
        <f t="shared" si="3"/>
        <v>0</v>
      </c>
      <c r="AK61" s="55"/>
    </row>
    <row r="62" spans="1:37" x14ac:dyDescent="0.25">
      <c r="A62" s="65" t="s">
        <v>70</v>
      </c>
      <c r="B62" s="59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/>
      <c r="C63" s="57"/>
      <c r="D63" s="57"/>
      <c r="E63" s="57"/>
      <c r="F63" s="57"/>
      <c r="G63" s="57"/>
      <c r="H63" s="57"/>
      <c r="I63" s="50"/>
      <c r="J63" s="50"/>
      <c r="K63" s="50"/>
      <c r="L63" s="50"/>
      <c r="M63" s="50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/>
      <c r="C66" s="57"/>
      <c r="D66" s="57"/>
      <c r="E66" s="57"/>
      <c r="F66" s="57"/>
      <c r="G66" s="57"/>
      <c r="H66" s="57"/>
      <c r="I66" s="72"/>
      <c r="J66" s="72"/>
      <c r="K66" s="72"/>
      <c r="L66" s="72"/>
      <c r="M66" s="7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/>
      <c r="C67" s="57"/>
      <c r="D67" s="57"/>
      <c r="E67" s="57"/>
      <c r="F67" s="57"/>
      <c r="G67" s="57"/>
      <c r="H67" s="57"/>
      <c r="I67" s="50"/>
      <c r="J67" s="50"/>
      <c r="K67" s="50"/>
      <c r="L67" s="50"/>
      <c r="M67" s="50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0</v>
      </c>
      <c r="C68" s="71">
        <f>SUM(C57:C67)</f>
        <v>0</v>
      </c>
      <c r="D68" s="71">
        <f t="shared" ref="D68:AF68" si="8">SUM(D57:D67)</f>
        <v>0</v>
      </c>
      <c r="E68" s="71">
        <f t="shared" si="8"/>
        <v>0</v>
      </c>
      <c r="F68" s="71">
        <f t="shared" si="8"/>
        <v>0</v>
      </c>
      <c r="G68" s="71">
        <f t="shared" si="8"/>
        <v>0</v>
      </c>
      <c r="H68" s="71">
        <f t="shared" si="8"/>
        <v>0</v>
      </c>
      <c r="I68" s="71">
        <f t="shared" si="8"/>
        <v>0</v>
      </c>
      <c r="J68" s="71">
        <f t="shared" si="8"/>
        <v>0</v>
      </c>
      <c r="K68" s="71">
        <f t="shared" si="8"/>
        <v>0</v>
      </c>
      <c r="L68" s="71">
        <f t="shared" si="8"/>
        <v>0</v>
      </c>
      <c r="M68" s="71">
        <f t="shared" si="8"/>
        <v>0</v>
      </c>
      <c r="N68" s="71">
        <f t="shared" si="8"/>
        <v>0</v>
      </c>
      <c r="O68" s="71">
        <f t="shared" si="8"/>
        <v>0</v>
      </c>
      <c r="P68" s="71">
        <f t="shared" si="8"/>
        <v>0</v>
      </c>
      <c r="Q68" s="71">
        <f t="shared" si="8"/>
        <v>0</v>
      </c>
      <c r="R68" s="71">
        <f t="shared" si="8"/>
        <v>0</v>
      </c>
      <c r="S68" s="71">
        <f t="shared" si="8"/>
        <v>0</v>
      </c>
      <c r="T68" s="71">
        <f t="shared" si="8"/>
        <v>0</v>
      </c>
      <c r="U68" s="71">
        <f t="shared" si="8"/>
        <v>0</v>
      </c>
      <c r="V68" s="71">
        <f t="shared" si="8"/>
        <v>0</v>
      </c>
      <c r="W68" s="71">
        <f t="shared" si="8"/>
        <v>0</v>
      </c>
      <c r="X68" s="71">
        <f t="shared" si="8"/>
        <v>0</v>
      </c>
      <c r="Y68" s="71">
        <f t="shared" si="8"/>
        <v>0</v>
      </c>
      <c r="Z68" s="71">
        <f t="shared" si="8"/>
        <v>0</v>
      </c>
      <c r="AA68" s="71">
        <f t="shared" si="8"/>
        <v>0</v>
      </c>
      <c r="AB68" s="71">
        <f t="shared" si="8"/>
        <v>0</v>
      </c>
      <c r="AC68" s="71">
        <f t="shared" si="8"/>
        <v>0</v>
      </c>
      <c r="AD68" s="71">
        <f t="shared" si="8"/>
        <v>0</v>
      </c>
      <c r="AE68" s="71">
        <f t="shared" si="8"/>
        <v>0</v>
      </c>
      <c r="AF68" s="71">
        <f t="shared" si="8"/>
        <v>0</v>
      </c>
      <c r="AG68" s="76">
        <f>SUM(AG57:AG67)</f>
        <v>0</v>
      </c>
      <c r="AH68" s="53">
        <f t="shared" si="2"/>
        <v>0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3.54</v>
      </c>
      <c r="C73" s="88">
        <f>C68+C56+C52+C38+C72</f>
        <v>3.54</v>
      </c>
      <c r="D73" s="88">
        <f t="shared" ref="D73:AG73" si="10">D68+D56+D52+D38+D72</f>
        <v>3.54</v>
      </c>
      <c r="E73" s="88">
        <f t="shared" si="10"/>
        <v>3.54</v>
      </c>
      <c r="F73" s="88">
        <f t="shared" si="10"/>
        <v>3.54</v>
      </c>
      <c r="G73" s="88">
        <f t="shared" si="10"/>
        <v>3.54</v>
      </c>
      <c r="H73" s="88">
        <f t="shared" si="10"/>
        <v>3.54</v>
      </c>
      <c r="I73" s="88">
        <f t="shared" si="10"/>
        <v>3.54</v>
      </c>
      <c r="J73" s="88">
        <f t="shared" si="10"/>
        <v>3.54</v>
      </c>
      <c r="K73" s="88">
        <f t="shared" si="10"/>
        <v>3.54</v>
      </c>
      <c r="L73" s="88">
        <f t="shared" si="10"/>
        <v>3.54</v>
      </c>
      <c r="M73" s="88">
        <f t="shared" si="10"/>
        <v>3.54</v>
      </c>
      <c r="N73" s="88">
        <f t="shared" si="10"/>
        <v>3.54</v>
      </c>
      <c r="O73" s="88">
        <f t="shared" si="10"/>
        <v>3.54</v>
      </c>
      <c r="P73" s="88">
        <f t="shared" si="10"/>
        <v>3.54</v>
      </c>
      <c r="Q73" s="88">
        <f t="shared" si="10"/>
        <v>3.54</v>
      </c>
      <c r="R73" s="88">
        <f t="shared" si="10"/>
        <v>3.54</v>
      </c>
      <c r="S73" s="88">
        <f t="shared" si="10"/>
        <v>3.54</v>
      </c>
      <c r="T73" s="88">
        <f t="shared" si="10"/>
        <v>3.54</v>
      </c>
      <c r="U73" s="88">
        <f t="shared" si="10"/>
        <v>3.54</v>
      </c>
      <c r="V73" s="88">
        <f t="shared" si="10"/>
        <v>3.54</v>
      </c>
      <c r="W73" s="88">
        <f t="shared" si="10"/>
        <v>3.54</v>
      </c>
      <c r="X73" s="88">
        <f t="shared" si="10"/>
        <v>3.54</v>
      </c>
      <c r="Y73" s="88">
        <f t="shared" si="10"/>
        <v>3.54</v>
      </c>
      <c r="Z73" s="88">
        <f t="shared" si="10"/>
        <v>3.54</v>
      </c>
      <c r="AA73" s="88">
        <f t="shared" si="10"/>
        <v>3.54</v>
      </c>
      <c r="AB73" s="88">
        <f t="shared" si="10"/>
        <v>3.54</v>
      </c>
      <c r="AC73" s="88">
        <f t="shared" si="10"/>
        <v>3.54</v>
      </c>
      <c r="AD73" s="88">
        <f t="shared" si="10"/>
        <v>3.54</v>
      </c>
      <c r="AE73" s="88">
        <f t="shared" si="10"/>
        <v>3.54</v>
      </c>
      <c r="AF73" s="88">
        <f t="shared" si="10"/>
        <v>3.54</v>
      </c>
      <c r="AG73" s="88">
        <f t="shared" si="10"/>
        <v>2144.14</v>
      </c>
      <c r="AH73" s="53">
        <f t="shared" si="2"/>
        <v>3.54</v>
      </c>
      <c r="AI73" s="54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3.54</v>
      </c>
      <c r="C75" s="88">
        <f>C73+C74</f>
        <v>3.54</v>
      </c>
      <c r="D75" s="88">
        <f t="shared" ref="D75:AF75" si="11">D72+D68+D56+D52+D38+D74</f>
        <v>3.54</v>
      </c>
      <c r="E75" s="88">
        <f t="shared" si="11"/>
        <v>3.54</v>
      </c>
      <c r="F75" s="88">
        <f t="shared" si="11"/>
        <v>3.54</v>
      </c>
      <c r="G75" s="88">
        <f t="shared" si="11"/>
        <v>3.54</v>
      </c>
      <c r="H75" s="88">
        <f t="shared" si="11"/>
        <v>3.54</v>
      </c>
      <c r="I75" s="88">
        <f t="shared" si="11"/>
        <v>3.54</v>
      </c>
      <c r="J75" s="88">
        <f t="shared" si="11"/>
        <v>3.54</v>
      </c>
      <c r="K75" s="88">
        <f t="shared" si="11"/>
        <v>3.54</v>
      </c>
      <c r="L75" s="88">
        <f t="shared" si="11"/>
        <v>3.54</v>
      </c>
      <c r="M75" s="88">
        <f t="shared" si="11"/>
        <v>3.54</v>
      </c>
      <c r="N75" s="88">
        <f t="shared" si="11"/>
        <v>3.54</v>
      </c>
      <c r="O75" s="88">
        <f t="shared" si="11"/>
        <v>3.54</v>
      </c>
      <c r="P75" s="88">
        <f t="shared" si="11"/>
        <v>3.54</v>
      </c>
      <c r="Q75" s="88">
        <f t="shared" si="11"/>
        <v>3.54</v>
      </c>
      <c r="R75" s="88">
        <f t="shared" si="11"/>
        <v>3.54</v>
      </c>
      <c r="S75" s="88">
        <f t="shared" si="11"/>
        <v>3.54</v>
      </c>
      <c r="T75" s="88">
        <f t="shared" si="11"/>
        <v>3.54</v>
      </c>
      <c r="U75" s="88">
        <f t="shared" si="11"/>
        <v>3.54</v>
      </c>
      <c r="V75" s="88">
        <f t="shared" si="11"/>
        <v>3.54</v>
      </c>
      <c r="W75" s="88">
        <f t="shared" si="11"/>
        <v>3.54</v>
      </c>
      <c r="X75" s="88">
        <f t="shared" si="11"/>
        <v>3.54</v>
      </c>
      <c r="Y75" s="88">
        <f t="shared" si="11"/>
        <v>3.54</v>
      </c>
      <c r="Z75" s="88">
        <f t="shared" si="11"/>
        <v>3.54</v>
      </c>
      <c r="AA75" s="88">
        <f t="shared" si="11"/>
        <v>3.54</v>
      </c>
      <c r="AB75" s="88">
        <f t="shared" si="11"/>
        <v>3.54</v>
      </c>
      <c r="AC75" s="88">
        <f t="shared" si="11"/>
        <v>3.54</v>
      </c>
      <c r="AD75" s="88">
        <f t="shared" si="11"/>
        <v>3.54</v>
      </c>
      <c r="AE75" s="88">
        <f t="shared" si="11"/>
        <v>3.54</v>
      </c>
      <c r="AF75" s="88">
        <f t="shared" si="11"/>
        <v>3.54</v>
      </c>
      <c r="AG75" s="76">
        <f>AG72+AG68+AG56+AG52+AG38+AG74</f>
        <v>2144.14</v>
      </c>
      <c r="AH75" s="53">
        <f t="shared" si="2"/>
        <v>3.54</v>
      </c>
      <c r="AI75" s="54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7.08</v>
      </c>
      <c r="C83" s="71">
        <f t="shared" ref="C83:AG83" si="20">SUM(C70:C82)</f>
        <v>7.08</v>
      </c>
      <c r="D83" s="71">
        <f t="shared" si="20"/>
        <v>7.08</v>
      </c>
      <c r="E83" s="71">
        <f t="shared" si="20"/>
        <v>7.08</v>
      </c>
      <c r="F83" s="71">
        <f t="shared" si="20"/>
        <v>7.08</v>
      </c>
      <c r="G83" s="71">
        <f t="shared" si="20"/>
        <v>7.08</v>
      </c>
      <c r="H83" s="71">
        <f t="shared" si="20"/>
        <v>7.08</v>
      </c>
      <c r="I83" s="71">
        <f t="shared" si="20"/>
        <v>7.08</v>
      </c>
      <c r="J83" s="71">
        <f t="shared" si="20"/>
        <v>7.08</v>
      </c>
      <c r="K83" s="71">
        <f t="shared" si="20"/>
        <v>7.08</v>
      </c>
      <c r="L83" s="71">
        <f t="shared" si="20"/>
        <v>7.08</v>
      </c>
      <c r="M83" s="71">
        <f t="shared" si="20"/>
        <v>7.08</v>
      </c>
      <c r="N83" s="71">
        <f t="shared" si="20"/>
        <v>7.08</v>
      </c>
      <c r="O83" s="71">
        <f t="shared" si="20"/>
        <v>7.08</v>
      </c>
      <c r="P83" s="71">
        <f t="shared" si="20"/>
        <v>7.08</v>
      </c>
      <c r="Q83" s="71">
        <f t="shared" si="20"/>
        <v>7.08</v>
      </c>
      <c r="R83" s="71">
        <f t="shared" si="20"/>
        <v>7.08</v>
      </c>
      <c r="S83" s="71">
        <f t="shared" si="20"/>
        <v>7.08</v>
      </c>
      <c r="T83" s="71">
        <f t="shared" si="20"/>
        <v>7.08</v>
      </c>
      <c r="U83" s="71">
        <f t="shared" si="20"/>
        <v>7.08</v>
      </c>
      <c r="V83" s="71">
        <f t="shared" si="20"/>
        <v>7.08</v>
      </c>
      <c r="W83" s="71">
        <f t="shared" si="20"/>
        <v>7.08</v>
      </c>
      <c r="X83" s="71">
        <f t="shared" si="20"/>
        <v>7.08</v>
      </c>
      <c r="Y83" s="71">
        <f t="shared" si="20"/>
        <v>7.08</v>
      </c>
      <c r="Z83" s="71">
        <f t="shared" si="20"/>
        <v>7.08</v>
      </c>
      <c r="AA83" s="71">
        <f t="shared" si="20"/>
        <v>7.08</v>
      </c>
      <c r="AB83" s="71">
        <f t="shared" si="20"/>
        <v>7.08</v>
      </c>
      <c r="AC83" s="71">
        <f t="shared" si="20"/>
        <v>7.08</v>
      </c>
      <c r="AD83" s="71">
        <f t="shared" si="20"/>
        <v>7.08</v>
      </c>
      <c r="AE83" s="71">
        <f t="shared" si="20"/>
        <v>7.08</v>
      </c>
      <c r="AF83" s="71">
        <f t="shared" si="20"/>
        <v>7.08</v>
      </c>
      <c r="AG83" s="76">
        <f t="shared" si="20"/>
        <v>4360.08</v>
      </c>
      <c r="AH83" s="53">
        <f t="shared" si="13"/>
        <v>7.08</v>
      </c>
      <c r="AI83" s="54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6"/>
      <c r="AH84" s="53">
        <f t="shared" si="13"/>
        <v>0</v>
      </c>
      <c r="AI84" s="54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99"/>
      <c r="V85" s="99"/>
      <c r="W85" s="99"/>
      <c r="X85" s="99"/>
      <c r="Y85" s="99"/>
      <c r="Z85" s="99"/>
      <c r="AA85" s="99"/>
      <c r="AB85" s="72"/>
      <c r="AC85" s="72"/>
      <c r="AD85" s="72"/>
      <c r="AE85" s="72"/>
      <c r="AF85" s="72"/>
      <c r="AG85" s="100"/>
      <c r="AH85" s="53">
        <f t="shared" si="13"/>
        <v>0</v>
      </c>
      <c r="AI85" s="54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99"/>
      <c r="V86" s="99"/>
      <c r="W86" s="99"/>
      <c r="X86" s="99"/>
      <c r="Y86" s="99"/>
      <c r="Z86" s="99"/>
      <c r="AA86" s="99"/>
      <c r="AB86" s="72"/>
      <c r="AC86" s="72"/>
      <c r="AD86" s="72"/>
      <c r="AE86" s="72"/>
      <c r="AF86" s="72"/>
      <c r="AG86" s="100"/>
      <c r="AH86" s="53">
        <f t="shared" si="13"/>
        <v>0</v>
      </c>
      <c r="AI86" s="54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99"/>
      <c r="Y87" s="99"/>
      <c r="Z87" s="99"/>
      <c r="AA87" s="99"/>
      <c r="AB87" s="72"/>
      <c r="AC87" s="72"/>
      <c r="AD87" s="72"/>
      <c r="AE87" s="72"/>
      <c r="AF87" s="72"/>
      <c r="AG87" s="100"/>
      <c r="AH87" s="53">
        <f t="shared" si="13"/>
        <v>0</v>
      </c>
      <c r="AI87" s="54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99"/>
      <c r="Y88" s="99"/>
      <c r="Z88" s="99"/>
      <c r="AA88" s="99"/>
      <c r="AB88" s="72"/>
      <c r="AC88" s="72"/>
      <c r="AD88" s="72"/>
      <c r="AE88" s="72"/>
      <c r="AF88" s="72"/>
      <c r="AG88" s="100"/>
      <c r="AH88" s="53">
        <f t="shared" si="13"/>
        <v>0</v>
      </c>
      <c r="AI88" s="54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99"/>
      <c r="Y89" s="99"/>
      <c r="Z89" s="99"/>
      <c r="AA89" s="99"/>
      <c r="AB89" s="103"/>
      <c r="AC89" s="103"/>
      <c r="AD89" s="103"/>
      <c r="AE89" s="103"/>
      <c r="AF89" s="103"/>
      <c r="AG89" s="104"/>
      <c r="AH89" s="53">
        <f t="shared" si="13"/>
        <v>0</v>
      </c>
      <c r="AI89" s="54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99"/>
      <c r="Y90" s="99"/>
      <c r="Z90" s="99"/>
      <c r="AA90" s="99"/>
      <c r="AB90" s="72"/>
      <c r="AC90" s="72"/>
      <c r="AD90" s="72"/>
      <c r="AE90" s="72"/>
      <c r="AF90" s="72"/>
      <c r="AG90" s="100"/>
      <c r="AH90" s="53">
        <f t="shared" si="13"/>
        <v>0</v>
      </c>
      <c r="AI90" s="54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34.840000000000003</v>
      </c>
      <c r="C93" s="113">
        <f>SUM(C15,C18,C21:C22,C42,C44:C45,C47,C49,C94:C97,C102,C108,C114,C123,C125,C137,C144,C147:C148,C155,C157,C159,C163:C165,C167:C169,C174,C180:C181,C183:C185,C193,C198)</f>
        <v>34.840000000000003</v>
      </c>
      <c r="D93" s="113">
        <f t="shared" ref="D93:AF93" si="21">SUM(D15,D18,D21:D22,D42,D44:D45,D47,D49,D94:D97,D102,D108,D114,D123,D125,D137,D144,D147:D148,D155,D157,D159,D163:D165,D167:D169,D174,D180:D181,D183:D185,D193,D198)</f>
        <v>34.840000000000003</v>
      </c>
      <c r="E93" s="113">
        <f t="shared" si="21"/>
        <v>34.840000000000003</v>
      </c>
      <c r="F93" s="113">
        <f t="shared" si="21"/>
        <v>34.840000000000003</v>
      </c>
      <c r="G93" s="112">
        <f t="shared" si="21"/>
        <v>34.840000000000003</v>
      </c>
      <c r="H93" s="112">
        <f t="shared" si="21"/>
        <v>34.840000000000003</v>
      </c>
      <c r="I93" s="112">
        <f t="shared" si="21"/>
        <v>34.840000000000003</v>
      </c>
      <c r="J93" s="112">
        <f t="shared" si="21"/>
        <v>34.840000000000003</v>
      </c>
      <c r="K93" s="112">
        <f t="shared" si="21"/>
        <v>34.840000000000003</v>
      </c>
      <c r="L93" s="112">
        <f t="shared" si="21"/>
        <v>34.840000000000003</v>
      </c>
      <c r="M93" s="112">
        <f t="shared" si="21"/>
        <v>34.840000000000003</v>
      </c>
      <c r="N93" s="112">
        <f t="shared" si="21"/>
        <v>34.840000000000003</v>
      </c>
      <c r="O93" s="112">
        <f t="shared" si="21"/>
        <v>34.840000000000003</v>
      </c>
      <c r="P93" s="112">
        <f t="shared" si="21"/>
        <v>34.840000000000003</v>
      </c>
      <c r="Q93" s="112">
        <f t="shared" si="21"/>
        <v>34.840000000000003</v>
      </c>
      <c r="R93" s="112">
        <f t="shared" si="21"/>
        <v>34.840000000000003</v>
      </c>
      <c r="S93" s="112">
        <f t="shared" si="21"/>
        <v>34.840000000000003</v>
      </c>
      <c r="T93" s="112">
        <f t="shared" si="21"/>
        <v>34.840000000000003</v>
      </c>
      <c r="U93" s="112">
        <f t="shared" si="21"/>
        <v>34.840000000000003</v>
      </c>
      <c r="V93" s="112">
        <f t="shared" si="21"/>
        <v>34.840000000000003</v>
      </c>
      <c r="W93" s="112">
        <f t="shared" si="21"/>
        <v>34.840000000000003</v>
      </c>
      <c r="X93" s="112">
        <f t="shared" si="21"/>
        <v>34.840000000000003</v>
      </c>
      <c r="Y93" s="112">
        <f t="shared" si="21"/>
        <v>34.840000000000003</v>
      </c>
      <c r="Z93" s="112">
        <f t="shared" si="21"/>
        <v>34.840000000000003</v>
      </c>
      <c r="AA93" s="112">
        <f t="shared" si="21"/>
        <v>34.840000000000003</v>
      </c>
      <c r="AB93" s="112">
        <f t="shared" si="21"/>
        <v>34.840000000000003</v>
      </c>
      <c r="AC93" s="112">
        <f t="shared" si="21"/>
        <v>34.840000000000003</v>
      </c>
      <c r="AD93" s="112">
        <f t="shared" si="21"/>
        <v>34.840000000000003</v>
      </c>
      <c r="AE93" s="112">
        <f t="shared" si="21"/>
        <v>34.840000000000003</v>
      </c>
      <c r="AF93" s="112">
        <f t="shared" si="21"/>
        <v>34.840000000000003</v>
      </c>
      <c r="AG93" s="114"/>
      <c r="AH93" s="53">
        <f>MAX(C93:AF93)</f>
        <v>34.840000000000003</v>
      </c>
      <c r="AI93" s="54">
        <f>MIN(C93:AF93)</f>
        <v>34.840000000000003</v>
      </c>
    </row>
    <row r="94" spans="1:88" x14ac:dyDescent="0.25">
      <c r="A94" s="115" t="s">
        <v>98</v>
      </c>
      <c r="B94" s="116"/>
      <c r="C94" s="57"/>
      <c r="D94" s="57"/>
      <c r="E94" s="57"/>
      <c r="F94" s="57"/>
      <c r="G94" s="117"/>
      <c r="H94" s="117"/>
      <c r="I94" s="117"/>
      <c r="J94" s="117"/>
      <c r="K94" s="117"/>
      <c r="L94" s="117"/>
      <c r="M94" s="118"/>
      <c r="N94" s="117"/>
      <c r="O94" s="117"/>
      <c r="P94" s="117"/>
      <c r="Q94" s="117"/>
      <c r="R94" s="117"/>
      <c r="S94" s="117"/>
      <c r="T94" s="117"/>
      <c r="U94" s="118"/>
      <c r="V94" s="118"/>
      <c r="W94" s="118"/>
      <c r="X94" s="117"/>
      <c r="Y94" s="117"/>
      <c r="Z94" s="117"/>
      <c r="AA94" s="117"/>
      <c r="AB94" s="118"/>
      <c r="AC94" s="118"/>
      <c r="AD94" s="118"/>
      <c r="AE94" s="118"/>
      <c r="AF94" s="118"/>
      <c r="AG94" s="119">
        <v>75</v>
      </c>
      <c r="AH94" s="53">
        <f>IF(ABS(MAX(C94:AF94))&gt;ABS(MIN(C94:AF94)),MAX(C94:AF94),MIN(C94:AF94))</f>
        <v>0</v>
      </c>
      <c r="AI94" s="120" t="e">
        <f>INDEX($C$9:$AF$9,1,MATCH(AH94,C94:AF94,0))</f>
        <v>#N/A</v>
      </c>
    </row>
    <row r="95" spans="1:88" x14ac:dyDescent="0.25">
      <c r="A95" s="121" t="s">
        <v>99</v>
      </c>
      <c r="B95" s="122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72"/>
      <c r="AC95" s="72"/>
      <c r="AD95" s="72"/>
      <c r="AE95" s="72"/>
      <c r="AF95" s="72"/>
      <c r="AG95" s="119">
        <v>240</v>
      </c>
      <c r="AH95" s="53">
        <f>IF(ABS(MAX(C95:AF95))&gt;ABS(MIN(C95:AF95)),MAX(C95:AF95),MIN(C95:AF95))</f>
        <v>0</v>
      </c>
      <c r="AI95" s="120" t="e">
        <f>INDEX($C$9:$AF$9,1,MATCH(AH95,C95:AF95,0))</f>
        <v>#N/A</v>
      </c>
    </row>
    <row r="96" spans="1:88" x14ac:dyDescent="0.25">
      <c r="A96" s="121" t="s">
        <v>100</v>
      </c>
      <c r="B96" s="122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72"/>
      <c r="AC96" s="72"/>
      <c r="AD96" s="72"/>
      <c r="AE96" s="72"/>
      <c r="AF96" s="72"/>
      <c r="AG96" s="119">
        <v>60</v>
      </c>
      <c r="AH96" s="53">
        <f>IF(ABS(MAX(C96:AF96))&gt;ABS(MIN(C96:AF96)),MAX(C96:AF96),MIN(C96:AF96))</f>
        <v>0</v>
      </c>
      <c r="AI96" s="120" t="e">
        <f>INDEX($C$9:$AF$9,1,MATCH(AH96,C96:AF96,0))</f>
        <v>#N/A</v>
      </c>
    </row>
    <row r="97" spans="1:37" x14ac:dyDescent="0.25">
      <c r="A97" s="123" t="s">
        <v>101</v>
      </c>
      <c r="B97" s="124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125"/>
      <c r="AC97" s="125"/>
      <c r="AD97" s="125"/>
      <c r="AE97" s="125"/>
      <c r="AF97" s="125"/>
      <c r="AG97" s="126">
        <v>120</v>
      </c>
      <c r="AH97" s="53">
        <f>IF(ABS(MAX(C97:AF97))&gt;ABS(MIN(C97:AF97)),MAX(C97:AF97),MIN(C97:AF97))</f>
        <v>0</v>
      </c>
      <c r="AI97" s="120" t="e">
        <f>INDEX($C$9:$AF$9,1,MATCH(AH97,C97:AF97,0))</f>
        <v>#N/A</v>
      </c>
    </row>
    <row r="98" spans="1:37" x14ac:dyDescent="0.25">
      <c r="A98" s="123" t="s">
        <v>102</v>
      </c>
      <c r="B98" s="124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125"/>
      <c r="AC98" s="125"/>
      <c r="AD98" s="125"/>
      <c r="AE98" s="125"/>
      <c r="AF98" s="125"/>
      <c r="AG98" s="126"/>
      <c r="AH98" s="53">
        <f>IF(ABS(MAX(C98:AF98))&gt;ABS(MIN(C98:AF98)),MAX(C98:AF98),MIN(C98:AF98))</f>
        <v>0</v>
      </c>
      <c r="AI98" s="120" t="e">
        <f>INDEX($C$9:$AF$9,1,MATCH(AH98,C98:AF98,0))</f>
        <v>#N/A</v>
      </c>
    </row>
    <row r="99" spans="1:37" ht="15.75" thickBot="1" x14ac:dyDescent="0.3">
      <c r="A99" s="123" t="s">
        <v>103</v>
      </c>
      <c r="B99" s="124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125"/>
      <c r="AC99" s="125"/>
      <c r="AD99" s="125"/>
      <c r="AE99" s="125"/>
      <c r="AF99" s="125"/>
      <c r="AG99" s="127"/>
      <c r="AH99" s="53"/>
      <c r="AI99" s="120"/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2">AF101</f>
        <v>9.9</v>
      </c>
      <c r="C101" s="52">
        <v>9.9</v>
      </c>
      <c r="D101" s="133">
        <f t="shared" ref="D101:S106" si="23">C101</f>
        <v>9.9</v>
      </c>
      <c r="E101" s="133">
        <f t="shared" si="23"/>
        <v>9.9</v>
      </c>
      <c r="F101" s="133">
        <f t="shared" si="23"/>
        <v>9.9</v>
      </c>
      <c r="G101" s="133">
        <f t="shared" si="23"/>
        <v>9.9</v>
      </c>
      <c r="H101" s="133">
        <f t="shared" si="23"/>
        <v>9.9</v>
      </c>
      <c r="I101" s="133">
        <f t="shared" si="23"/>
        <v>9.9</v>
      </c>
      <c r="J101" s="133">
        <f t="shared" si="23"/>
        <v>9.9</v>
      </c>
      <c r="K101" s="133">
        <f t="shared" si="23"/>
        <v>9.9</v>
      </c>
      <c r="L101" s="133">
        <f t="shared" si="23"/>
        <v>9.9</v>
      </c>
      <c r="M101" s="133">
        <f t="shared" si="23"/>
        <v>9.9</v>
      </c>
      <c r="N101" s="133">
        <f t="shared" si="23"/>
        <v>9.9</v>
      </c>
      <c r="O101" s="133">
        <f t="shared" si="23"/>
        <v>9.9</v>
      </c>
      <c r="P101" s="133">
        <f t="shared" si="23"/>
        <v>9.9</v>
      </c>
      <c r="Q101" s="133">
        <f t="shared" si="23"/>
        <v>9.9</v>
      </c>
      <c r="R101" s="133">
        <f t="shared" si="23"/>
        <v>9.9</v>
      </c>
      <c r="S101" s="133">
        <f t="shared" si="23"/>
        <v>9.9</v>
      </c>
      <c r="T101" s="133">
        <f t="shared" ref="T101:AF106" si="24">S101</f>
        <v>9.9</v>
      </c>
      <c r="U101" s="133">
        <f t="shared" si="24"/>
        <v>9.9</v>
      </c>
      <c r="V101" s="133">
        <f t="shared" si="24"/>
        <v>9.9</v>
      </c>
      <c r="W101" s="133">
        <f t="shared" si="24"/>
        <v>9.9</v>
      </c>
      <c r="X101" s="133">
        <f t="shared" si="24"/>
        <v>9.9</v>
      </c>
      <c r="Y101" s="133">
        <f t="shared" si="24"/>
        <v>9.9</v>
      </c>
      <c r="Z101" s="133">
        <f t="shared" si="24"/>
        <v>9.9</v>
      </c>
      <c r="AA101" s="133">
        <f t="shared" si="24"/>
        <v>9.9</v>
      </c>
      <c r="AB101" s="133">
        <f t="shared" si="24"/>
        <v>9.9</v>
      </c>
      <c r="AC101" s="133">
        <f t="shared" si="24"/>
        <v>9.9</v>
      </c>
      <c r="AD101" s="133">
        <f t="shared" si="24"/>
        <v>9.9</v>
      </c>
      <c r="AE101" s="133">
        <f t="shared" si="24"/>
        <v>9.9</v>
      </c>
      <c r="AF101" s="133">
        <f t="shared" si="24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2"/>
        <v>9.6</v>
      </c>
      <c r="C102" s="136">
        <v>9.6</v>
      </c>
      <c r="D102" s="135">
        <f t="shared" si="23"/>
        <v>9.6</v>
      </c>
      <c r="E102" s="135">
        <f t="shared" si="23"/>
        <v>9.6</v>
      </c>
      <c r="F102" s="135">
        <f t="shared" si="23"/>
        <v>9.6</v>
      </c>
      <c r="G102" s="135">
        <f t="shared" si="23"/>
        <v>9.6</v>
      </c>
      <c r="H102" s="135">
        <f t="shared" si="23"/>
        <v>9.6</v>
      </c>
      <c r="I102" s="135">
        <f t="shared" si="23"/>
        <v>9.6</v>
      </c>
      <c r="J102" s="135">
        <f t="shared" si="23"/>
        <v>9.6</v>
      </c>
      <c r="K102" s="135">
        <f t="shared" si="23"/>
        <v>9.6</v>
      </c>
      <c r="L102" s="135">
        <f t="shared" si="23"/>
        <v>9.6</v>
      </c>
      <c r="M102" s="135">
        <f t="shared" si="23"/>
        <v>9.6</v>
      </c>
      <c r="N102" s="135">
        <f t="shared" si="23"/>
        <v>9.6</v>
      </c>
      <c r="O102" s="135">
        <f t="shared" si="23"/>
        <v>9.6</v>
      </c>
      <c r="P102" s="135">
        <f t="shared" si="23"/>
        <v>9.6</v>
      </c>
      <c r="Q102" s="135">
        <f t="shared" si="23"/>
        <v>9.6</v>
      </c>
      <c r="R102" s="135">
        <f t="shared" si="23"/>
        <v>9.6</v>
      </c>
      <c r="S102" s="135">
        <f t="shared" si="23"/>
        <v>9.6</v>
      </c>
      <c r="T102" s="135">
        <f t="shared" si="24"/>
        <v>9.6</v>
      </c>
      <c r="U102" s="135">
        <f t="shared" si="24"/>
        <v>9.6</v>
      </c>
      <c r="V102" s="135">
        <f t="shared" si="24"/>
        <v>9.6</v>
      </c>
      <c r="W102" s="135">
        <f t="shared" si="24"/>
        <v>9.6</v>
      </c>
      <c r="X102" s="135">
        <f t="shared" si="24"/>
        <v>9.6</v>
      </c>
      <c r="Y102" s="135">
        <f t="shared" si="24"/>
        <v>9.6</v>
      </c>
      <c r="Z102" s="135">
        <f t="shared" si="24"/>
        <v>9.6</v>
      </c>
      <c r="AA102" s="135">
        <f t="shared" si="24"/>
        <v>9.6</v>
      </c>
      <c r="AB102" s="135">
        <f t="shared" si="24"/>
        <v>9.6</v>
      </c>
      <c r="AC102" s="135">
        <f t="shared" si="24"/>
        <v>9.6</v>
      </c>
      <c r="AD102" s="135">
        <f t="shared" si="24"/>
        <v>9.6</v>
      </c>
      <c r="AE102" s="135">
        <f t="shared" si="24"/>
        <v>9.6</v>
      </c>
      <c r="AF102" s="135">
        <f t="shared" si="24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2"/>
        <v>9.98</v>
      </c>
      <c r="C103" s="136">
        <v>9.98</v>
      </c>
      <c r="D103" s="135">
        <f t="shared" si="23"/>
        <v>9.98</v>
      </c>
      <c r="E103" s="135">
        <f t="shared" si="23"/>
        <v>9.98</v>
      </c>
      <c r="F103" s="135">
        <f t="shared" si="23"/>
        <v>9.98</v>
      </c>
      <c r="G103" s="135">
        <f t="shared" si="23"/>
        <v>9.98</v>
      </c>
      <c r="H103" s="135">
        <f t="shared" si="23"/>
        <v>9.98</v>
      </c>
      <c r="I103" s="135">
        <f t="shared" si="23"/>
        <v>9.98</v>
      </c>
      <c r="J103" s="135">
        <f t="shared" si="23"/>
        <v>9.98</v>
      </c>
      <c r="K103" s="135">
        <f t="shared" si="23"/>
        <v>9.98</v>
      </c>
      <c r="L103" s="135">
        <f t="shared" si="23"/>
        <v>9.98</v>
      </c>
      <c r="M103" s="135">
        <f t="shared" si="23"/>
        <v>9.98</v>
      </c>
      <c r="N103" s="135">
        <f t="shared" si="23"/>
        <v>9.98</v>
      </c>
      <c r="O103" s="135">
        <f t="shared" si="23"/>
        <v>9.98</v>
      </c>
      <c r="P103" s="135">
        <f t="shared" si="23"/>
        <v>9.98</v>
      </c>
      <c r="Q103" s="135">
        <f t="shared" si="23"/>
        <v>9.98</v>
      </c>
      <c r="R103" s="135">
        <f t="shared" si="23"/>
        <v>9.98</v>
      </c>
      <c r="S103" s="135">
        <f t="shared" si="23"/>
        <v>9.98</v>
      </c>
      <c r="T103" s="135">
        <f t="shared" si="24"/>
        <v>9.98</v>
      </c>
      <c r="U103" s="135">
        <f t="shared" si="24"/>
        <v>9.98</v>
      </c>
      <c r="V103" s="135">
        <f t="shared" si="24"/>
        <v>9.98</v>
      </c>
      <c r="W103" s="135">
        <f t="shared" si="24"/>
        <v>9.98</v>
      </c>
      <c r="X103" s="135">
        <f t="shared" si="24"/>
        <v>9.98</v>
      </c>
      <c r="Y103" s="135">
        <f t="shared" si="24"/>
        <v>9.98</v>
      </c>
      <c r="Z103" s="135">
        <f t="shared" si="24"/>
        <v>9.98</v>
      </c>
      <c r="AA103" s="135">
        <f t="shared" si="24"/>
        <v>9.98</v>
      </c>
      <c r="AB103" s="135">
        <f t="shared" si="24"/>
        <v>9.98</v>
      </c>
      <c r="AC103" s="135">
        <f t="shared" si="24"/>
        <v>9.98</v>
      </c>
      <c r="AD103" s="135">
        <f t="shared" si="24"/>
        <v>9.98</v>
      </c>
      <c r="AE103" s="135">
        <f t="shared" si="24"/>
        <v>9.98</v>
      </c>
      <c r="AF103" s="135">
        <f t="shared" si="24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2"/>
        <v>9.1</v>
      </c>
      <c r="C104" s="136">
        <v>9.1</v>
      </c>
      <c r="D104" s="135">
        <f t="shared" si="23"/>
        <v>9.1</v>
      </c>
      <c r="E104" s="135">
        <f t="shared" si="23"/>
        <v>9.1</v>
      </c>
      <c r="F104" s="135">
        <f t="shared" si="23"/>
        <v>9.1</v>
      </c>
      <c r="G104" s="135">
        <f t="shared" si="23"/>
        <v>9.1</v>
      </c>
      <c r="H104" s="135">
        <f t="shared" si="23"/>
        <v>9.1</v>
      </c>
      <c r="I104" s="135">
        <f t="shared" si="23"/>
        <v>9.1</v>
      </c>
      <c r="J104" s="135">
        <f t="shared" si="23"/>
        <v>9.1</v>
      </c>
      <c r="K104" s="135">
        <f t="shared" si="23"/>
        <v>9.1</v>
      </c>
      <c r="L104" s="135">
        <f t="shared" si="23"/>
        <v>9.1</v>
      </c>
      <c r="M104" s="135">
        <f t="shared" si="23"/>
        <v>9.1</v>
      </c>
      <c r="N104" s="135">
        <f t="shared" si="23"/>
        <v>9.1</v>
      </c>
      <c r="O104" s="135">
        <f t="shared" si="23"/>
        <v>9.1</v>
      </c>
      <c r="P104" s="135">
        <f t="shared" si="23"/>
        <v>9.1</v>
      </c>
      <c r="Q104" s="135">
        <f t="shared" si="23"/>
        <v>9.1</v>
      </c>
      <c r="R104" s="135">
        <f t="shared" si="23"/>
        <v>9.1</v>
      </c>
      <c r="S104" s="135">
        <f t="shared" si="23"/>
        <v>9.1</v>
      </c>
      <c r="T104" s="135">
        <f t="shared" si="24"/>
        <v>9.1</v>
      </c>
      <c r="U104" s="135">
        <f t="shared" si="24"/>
        <v>9.1</v>
      </c>
      <c r="V104" s="135">
        <f t="shared" si="24"/>
        <v>9.1</v>
      </c>
      <c r="W104" s="135">
        <f t="shared" si="24"/>
        <v>9.1</v>
      </c>
      <c r="X104" s="135">
        <f t="shared" si="24"/>
        <v>9.1</v>
      </c>
      <c r="Y104" s="135">
        <f t="shared" si="24"/>
        <v>9.1</v>
      </c>
      <c r="Z104" s="135">
        <f t="shared" si="24"/>
        <v>9.1</v>
      </c>
      <c r="AA104" s="135">
        <f t="shared" si="24"/>
        <v>9.1</v>
      </c>
      <c r="AB104" s="135">
        <f t="shared" si="24"/>
        <v>9.1</v>
      </c>
      <c r="AC104" s="135">
        <f t="shared" si="24"/>
        <v>9.1</v>
      </c>
      <c r="AD104" s="135">
        <f t="shared" si="24"/>
        <v>9.1</v>
      </c>
      <c r="AE104" s="135">
        <f t="shared" si="24"/>
        <v>9.1</v>
      </c>
      <c r="AF104" s="135">
        <f t="shared" si="24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2"/>
        <v>9.18</v>
      </c>
      <c r="C105" s="136">
        <v>9.18</v>
      </c>
      <c r="D105" s="135">
        <f t="shared" si="23"/>
        <v>9.18</v>
      </c>
      <c r="E105" s="135">
        <f t="shared" si="23"/>
        <v>9.18</v>
      </c>
      <c r="F105" s="135">
        <f t="shared" si="23"/>
        <v>9.18</v>
      </c>
      <c r="G105" s="135">
        <f t="shared" si="23"/>
        <v>9.18</v>
      </c>
      <c r="H105" s="135">
        <f t="shared" si="23"/>
        <v>9.18</v>
      </c>
      <c r="I105" s="135">
        <f t="shared" si="23"/>
        <v>9.18</v>
      </c>
      <c r="J105" s="135">
        <f t="shared" si="23"/>
        <v>9.18</v>
      </c>
      <c r="K105" s="135">
        <f t="shared" si="23"/>
        <v>9.18</v>
      </c>
      <c r="L105" s="135">
        <f t="shared" si="23"/>
        <v>9.18</v>
      </c>
      <c r="M105" s="135">
        <f t="shared" si="23"/>
        <v>9.18</v>
      </c>
      <c r="N105" s="135">
        <f t="shared" si="23"/>
        <v>9.18</v>
      </c>
      <c r="O105" s="135">
        <f t="shared" si="23"/>
        <v>9.18</v>
      </c>
      <c r="P105" s="135">
        <f t="shared" si="23"/>
        <v>9.18</v>
      </c>
      <c r="Q105" s="135">
        <f t="shared" si="23"/>
        <v>9.18</v>
      </c>
      <c r="R105" s="135">
        <f t="shared" si="23"/>
        <v>9.18</v>
      </c>
      <c r="S105" s="135">
        <f t="shared" si="23"/>
        <v>9.18</v>
      </c>
      <c r="T105" s="135">
        <f t="shared" si="24"/>
        <v>9.18</v>
      </c>
      <c r="U105" s="135">
        <f t="shared" si="24"/>
        <v>9.18</v>
      </c>
      <c r="V105" s="135">
        <f t="shared" si="24"/>
        <v>9.18</v>
      </c>
      <c r="W105" s="135">
        <f t="shared" si="24"/>
        <v>9.18</v>
      </c>
      <c r="X105" s="135">
        <f t="shared" si="24"/>
        <v>9.18</v>
      </c>
      <c r="Y105" s="135">
        <f t="shared" si="24"/>
        <v>9.18</v>
      </c>
      <c r="Z105" s="135">
        <f t="shared" si="24"/>
        <v>9.18</v>
      </c>
      <c r="AA105" s="135">
        <f t="shared" si="24"/>
        <v>9.18</v>
      </c>
      <c r="AB105" s="135">
        <f t="shared" si="24"/>
        <v>9.18</v>
      </c>
      <c r="AC105" s="135">
        <f t="shared" si="24"/>
        <v>9.18</v>
      </c>
      <c r="AD105" s="135">
        <f t="shared" si="24"/>
        <v>9.18</v>
      </c>
      <c r="AE105" s="135">
        <f t="shared" si="24"/>
        <v>9.18</v>
      </c>
      <c r="AF105" s="135">
        <f t="shared" si="24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2"/>
        <v>7</v>
      </c>
      <c r="C106" s="136">
        <v>7</v>
      </c>
      <c r="D106" s="135">
        <f t="shared" si="23"/>
        <v>7</v>
      </c>
      <c r="E106" s="135">
        <f t="shared" si="23"/>
        <v>7</v>
      </c>
      <c r="F106" s="135">
        <f t="shared" si="23"/>
        <v>7</v>
      </c>
      <c r="G106" s="135">
        <f t="shared" si="23"/>
        <v>7</v>
      </c>
      <c r="H106" s="135">
        <f t="shared" si="23"/>
        <v>7</v>
      </c>
      <c r="I106" s="135">
        <f t="shared" si="23"/>
        <v>7</v>
      </c>
      <c r="J106" s="135">
        <f t="shared" si="23"/>
        <v>7</v>
      </c>
      <c r="K106" s="135">
        <f t="shared" si="23"/>
        <v>7</v>
      </c>
      <c r="L106" s="135">
        <f t="shared" si="23"/>
        <v>7</v>
      </c>
      <c r="M106" s="135">
        <f t="shared" si="23"/>
        <v>7</v>
      </c>
      <c r="N106" s="135">
        <f t="shared" si="23"/>
        <v>7</v>
      </c>
      <c r="O106" s="135">
        <f t="shared" si="23"/>
        <v>7</v>
      </c>
      <c r="P106" s="135">
        <f t="shared" si="23"/>
        <v>7</v>
      </c>
      <c r="Q106" s="135">
        <f t="shared" si="23"/>
        <v>7</v>
      </c>
      <c r="R106" s="135">
        <f t="shared" si="23"/>
        <v>7</v>
      </c>
      <c r="S106" s="135">
        <f t="shared" si="23"/>
        <v>7</v>
      </c>
      <c r="T106" s="135">
        <f t="shared" si="24"/>
        <v>7</v>
      </c>
      <c r="U106" s="135">
        <f t="shared" si="24"/>
        <v>7</v>
      </c>
      <c r="V106" s="135">
        <f t="shared" si="24"/>
        <v>7</v>
      </c>
      <c r="W106" s="135">
        <f t="shared" si="24"/>
        <v>7</v>
      </c>
      <c r="X106" s="135">
        <f t="shared" si="24"/>
        <v>7</v>
      </c>
      <c r="Y106" s="135">
        <f t="shared" si="24"/>
        <v>7</v>
      </c>
      <c r="Z106" s="135">
        <f t="shared" si="24"/>
        <v>7</v>
      </c>
      <c r="AA106" s="135">
        <f t="shared" si="24"/>
        <v>7</v>
      </c>
      <c r="AB106" s="135">
        <f t="shared" si="24"/>
        <v>7</v>
      </c>
      <c r="AC106" s="135">
        <f t="shared" si="24"/>
        <v>7</v>
      </c>
      <c r="AD106" s="135">
        <f t="shared" si="24"/>
        <v>7</v>
      </c>
      <c r="AE106" s="135">
        <f t="shared" si="24"/>
        <v>7</v>
      </c>
      <c r="AF106" s="135">
        <f t="shared" si="24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5">C108</f>
        <v>2.25</v>
      </c>
      <c r="E108" s="135">
        <f t="shared" si="25"/>
        <v>2.25</v>
      </c>
      <c r="F108" s="135">
        <f t="shared" si="25"/>
        <v>2.25</v>
      </c>
      <c r="G108" s="135">
        <f t="shared" si="25"/>
        <v>2.25</v>
      </c>
      <c r="H108" s="135">
        <f t="shared" si="25"/>
        <v>2.25</v>
      </c>
      <c r="I108" s="135">
        <f t="shared" si="25"/>
        <v>2.25</v>
      </c>
      <c r="J108" s="135">
        <f t="shared" si="25"/>
        <v>2.25</v>
      </c>
      <c r="K108" s="135">
        <f t="shared" si="25"/>
        <v>2.25</v>
      </c>
      <c r="L108" s="135">
        <f t="shared" si="25"/>
        <v>2.25</v>
      </c>
      <c r="M108" s="135">
        <f t="shared" si="25"/>
        <v>2.25</v>
      </c>
      <c r="N108" s="135">
        <f t="shared" si="25"/>
        <v>2.25</v>
      </c>
      <c r="O108" s="135">
        <f t="shared" si="25"/>
        <v>2.25</v>
      </c>
      <c r="P108" s="135">
        <f t="shared" si="25"/>
        <v>2.25</v>
      </c>
      <c r="Q108" s="135">
        <f t="shared" si="25"/>
        <v>2.25</v>
      </c>
      <c r="R108" s="135">
        <f t="shared" si="25"/>
        <v>2.25</v>
      </c>
      <c r="S108" s="135">
        <f t="shared" si="25"/>
        <v>2.25</v>
      </c>
      <c r="T108" s="135">
        <f t="shared" ref="T108:AF109" si="26">S108</f>
        <v>2.25</v>
      </c>
      <c r="U108" s="135">
        <f t="shared" si="26"/>
        <v>2.25</v>
      </c>
      <c r="V108" s="135">
        <f t="shared" si="26"/>
        <v>2.25</v>
      </c>
      <c r="W108" s="135">
        <f t="shared" si="26"/>
        <v>2.25</v>
      </c>
      <c r="X108" s="135">
        <f t="shared" si="26"/>
        <v>2.25</v>
      </c>
      <c r="Y108" s="135">
        <f t="shared" si="26"/>
        <v>2.25</v>
      </c>
      <c r="Z108" s="135">
        <f t="shared" si="26"/>
        <v>2.25</v>
      </c>
      <c r="AA108" s="135">
        <f t="shared" si="26"/>
        <v>2.25</v>
      </c>
      <c r="AB108" s="135">
        <f t="shared" si="26"/>
        <v>2.25</v>
      </c>
      <c r="AC108" s="135">
        <f t="shared" si="26"/>
        <v>2.25</v>
      </c>
      <c r="AD108" s="135">
        <f t="shared" si="26"/>
        <v>2.25</v>
      </c>
      <c r="AE108" s="135">
        <f t="shared" si="26"/>
        <v>2.25</v>
      </c>
      <c r="AF108" s="135">
        <f t="shared" si="26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5"/>
        <v>1.64</v>
      </c>
      <c r="E109" s="135">
        <f t="shared" si="25"/>
        <v>1.64</v>
      </c>
      <c r="F109" s="135">
        <f t="shared" si="25"/>
        <v>1.64</v>
      </c>
      <c r="G109" s="135">
        <f t="shared" si="25"/>
        <v>1.64</v>
      </c>
      <c r="H109" s="135">
        <f t="shared" si="25"/>
        <v>1.64</v>
      </c>
      <c r="I109" s="135">
        <f t="shared" si="25"/>
        <v>1.64</v>
      </c>
      <c r="J109" s="135">
        <f t="shared" si="25"/>
        <v>1.64</v>
      </c>
      <c r="K109" s="135">
        <f t="shared" si="25"/>
        <v>1.64</v>
      </c>
      <c r="L109" s="135">
        <f t="shared" si="25"/>
        <v>1.64</v>
      </c>
      <c r="M109" s="135">
        <f t="shared" si="25"/>
        <v>1.64</v>
      </c>
      <c r="N109" s="135">
        <f t="shared" si="25"/>
        <v>1.64</v>
      </c>
      <c r="O109" s="135">
        <f t="shared" si="25"/>
        <v>1.64</v>
      </c>
      <c r="P109" s="135">
        <f t="shared" si="25"/>
        <v>1.64</v>
      </c>
      <c r="Q109" s="135">
        <f t="shared" si="25"/>
        <v>1.64</v>
      </c>
      <c r="R109" s="135">
        <f t="shared" si="25"/>
        <v>1.64</v>
      </c>
      <c r="S109" s="135">
        <f t="shared" si="25"/>
        <v>1.64</v>
      </c>
      <c r="T109" s="135">
        <f t="shared" si="26"/>
        <v>1.64</v>
      </c>
      <c r="U109" s="135">
        <f t="shared" si="26"/>
        <v>1.64</v>
      </c>
      <c r="V109" s="135">
        <f t="shared" si="26"/>
        <v>1.64</v>
      </c>
      <c r="W109" s="135">
        <f t="shared" si="26"/>
        <v>1.64</v>
      </c>
      <c r="X109" s="135">
        <f t="shared" si="26"/>
        <v>1.64</v>
      </c>
      <c r="Y109" s="135">
        <f t="shared" si="26"/>
        <v>1.64</v>
      </c>
      <c r="Z109" s="135">
        <f t="shared" si="26"/>
        <v>1.64</v>
      </c>
      <c r="AA109" s="135">
        <f t="shared" si="26"/>
        <v>1.64</v>
      </c>
      <c r="AB109" s="135">
        <f t="shared" si="26"/>
        <v>1.64</v>
      </c>
      <c r="AC109" s="135">
        <f t="shared" si="26"/>
        <v>1.64</v>
      </c>
      <c r="AD109" s="135">
        <f t="shared" si="26"/>
        <v>1.64</v>
      </c>
      <c r="AE109" s="135">
        <f t="shared" si="26"/>
        <v>1.64</v>
      </c>
      <c r="AF109" s="135">
        <f t="shared" si="26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7">AF111</f>
        <v>1.62</v>
      </c>
      <c r="C111" s="136">
        <v>1.62</v>
      </c>
      <c r="D111" s="135">
        <f t="shared" ref="D111:S118" si="28">C111</f>
        <v>1.62</v>
      </c>
      <c r="E111" s="135">
        <f t="shared" si="28"/>
        <v>1.62</v>
      </c>
      <c r="F111" s="135">
        <f t="shared" si="28"/>
        <v>1.62</v>
      </c>
      <c r="G111" s="135">
        <f t="shared" si="28"/>
        <v>1.62</v>
      </c>
      <c r="H111" s="135">
        <f t="shared" si="28"/>
        <v>1.62</v>
      </c>
      <c r="I111" s="135">
        <f t="shared" si="28"/>
        <v>1.62</v>
      </c>
      <c r="J111" s="135">
        <f t="shared" si="28"/>
        <v>1.62</v>
      </c>
      <c r="K111" s="135">
        <f t="shared" si="28"/>
        <v>1.62</v>
      </c>
      <c r="L111" s="135">
        <f t="shared" si="28"/>
        <v>1.62</v>
      </c>
      <c r="M111" s="135">
        <f t="shared" si="28"/>
        <v>1.62</v>
      </c>
      <c r="N111" s="135">
        <f t="shared" si="28"/>
        <v>1.62</v>
      </c>
      <c r="O111" s="135">
        <f t="shared" si="28"/>
        <v>1.62</v>
      </c>
      <c r="P111" s="135">
        <f t="shared" si="28"/>
        <v>1.62</v>
      </c>
      <c r="Q111" s="135">
        <f t="shared" si="28"/>
        <v>1.62</v>
      </c>
      <c r="R111" s="135">
        <f t="shared" si="28"/>
        <v>1.62</v>
      </c>
      <c r="S111" s="135">
        <f t="shared" si="28"/>
        <v>1.62</v>
      </c>
      <c r="T111" s="135">
        <f t="shared" ref="T111:AF126" si="29">S111</f>
        <v>1.62</v>
      </c>
      <c r="U111" s="135">
        <f t="shared" si="29"/>
        <v>1.62</v>
      </c>
      <c r="V111" s="135">
        <f t="shared" si="29"/>
        <v>1.62</v>
      </c>
      <c r="W111" s="135">
        <f t="shared" si="29"/>
        <v>1.62</v>
      </c>
      <c r="X111" s="135">
        <f t="shared" si="29"/>
        <v>1.62</v>
      </c>
      <c r="Y111" s="135">
        <f t="shared" si="29"/>
        <v>1.62</v>
      </c>
      <c r="Z111" s="135">
        <f t="shared" si="29"/>
        <v>1.62</v>
      </c>
      <c r="AA111" s="135">
        <f t="shared" si="29"/>
        <v>1.62</v>
      </c>
      <c r="AB111" s="135">
        <f t="shared" si="29"/>
        <v>1.62</v>
      </c>
      <c r="AC111" s="135">
        <f t="shared" si="29"/>
        <v>1.62</v>
      </c>
      <c r="AD111" s="135">
        <f t="shared" si="29"/>
        <v>1.62</v>
      </c>
      <c r="AE111" s="135">
        <f t="shared" si="29"/>
        <v>1.62</v>
      </c>
      <c r="AF111" s="135">
        <f t="shared" si="29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7"/>
        <v>8.36</v>
      </c>
      <c r="C112" s="136">
        <v>8.36</v>
      </c>
      <c r="D112" s="135">
        <f t="shared" si="28"/>
        <v>8.36</v>
      </c>
      <c r="E112" s="135">
        <f t="shared" si="28"/>
        <v>8.36</v>
      </c>
      <c r="F112" s="135">
        <f t="shared" si="28"/>
        <v>8.36</v>
      </c>
      <c r="G112" s="135">
        <f t="shared" si="28"/>
        <v>8.36</v>
      </c>
      <c r="H112" s="135">
        <f t="shared" si="28"/>
        <v>8.36</v>
      </c>
      <c r="I112" s="135">
        <f t="shared" si="28"/>
        <v>8.36</v>
      </c>
      <c r="J112" s="135">
        <f t="shared" si="28"/>
        <v>8.36</v>
      </c>
      <c r="K112" s="135">
        <f t="shared" si="28"/>
        <v>8.36</v>
      </c>
      <c r="L112" s="135">
        <f t="shared" si="28"/>
        <v>8.36</v>
      </c>
      <c r="M112" s="135">
        <f t="shared" si="28"/>
        <v>8.36</v>
      </c>
      <c r="N112" s="135">
        <f t="shared" si="28"/>
        <v>8.36</v>
      </c>
      <c r="O112" s="135">
        <f t="shared" si="28"/>
        <v>8.36</v>
      </c>
      <c r="P112" s="135">
        <f t="shared" si="28"/>
        <v>8.36</v>
      </c>
      <c r="Q112" s="135">
        <f t="shared" si="28"/>
        <v>8.36</v>
      </c>
      <c r="R112" s="135">
        <f t="shared" si="28"/>
        <v>8.36</v>
      </c>
      <c r="S112" s="135">
        <f t="shared" si="28"/>
        <v>8.36</v>
      </c>
      <c r="T112" s="135">
        <f t="shared" si="29"/>
        <v>8.36</v>
      </c>
      <c r="U112" s="135">
        <f t="shared" si="29"/>
        <v>8.36</v>
      </c>
      <c r="V112" s="135">
        <f t="shared" si="29"/>
        <v>8.36</v>
      </c>
      <c r="W112" s="135">
        <f t="shared" si="29"/>
        <v>8.36</v>
      </c>
      <c r="X112" s="135">
        <f t="shared" si="29"/>
        <v>8.36</v>
      </c>
      <c r="Y112" s="135">
        <f t="shared" si="29"/>
        <v>8.36</v>
      </c>
      <c r="Z112" s="135">
        <f t="shared" si="29"/>
        <v>8.36</v>
      </c>
      <c r="AA112" s="135">
        <f t="shared" si="29"/>
        <v>8.36</v>
      </c>
      <c r="AB112" s="135">
        <f t="shared" si="29"/>
        <v>8.36</v>
      </c>
      <c r="AC112" s="135">
        <f t="shared" si="29"/>
        <v>8.36</v>
      </c>
      <c r="AD112" s="135">
        <f t="shared" si="29"/>
        <v>8.36</v>
      </c>
      <c r="AE112" s="135">
        <f t="shared" si="29"/>
        <v>8.36</v>
      </c>
      <c r="AF112" s="135">
        <f t="shared" si="29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7"/>
        <v>5.4</v>
      </c>
      <c r="C113" s="136">
        <v>8</v>
      </c>
      <c r="D113" s="135">
        <f t="shared" si="28"/>
        <v>8</v>
      </c>
      <c r="E113" s="135">
        <f t="shared" si="28"/>
        <v>8</v>
      </c>
      <c r="F113" s="135">
        <f t="shared" si="28"/>
        <v>8</v>
      </c>
      <c r="G113" s="135">
        <f t="shared" si="28"/>
        <v>8</v>
      </c>
      <c r="H113" s="135">
        <f t="shared" si="28"/>
        <v>8</v>
      </c>
      <c r="I113" s="135">
        <f t="shared" si="28"/>
        <v>8</v>
      </c>
      <c r="J113" s="135">
        <v>5.4</v>
      </c>
      <c r="K113" s="135">
        <f t="shared" si="28"/>
        <v>5.4</v>
      </c>
      <c r="L113" s="135">
        <f t="shared" si="28"/>
        <v>5.4</v>
      </c>
      <c r="M113" s="135">
        <f t="shared" si="28"/>
        <v>5.4</v>
      </c>
      <c r="N113" s="135">
        <f t="shared" si="28"/>
        <v>5.4</v>
      </c>
      <c r="O113" s="135">
        <f t="shared" si="28"/>
        <v>5.4</v>
      </c>
      <c r="P113" s="135">
        <f t="shared" si="28"/>
        <v>5.4</v>
      </c>
      <c r="Q113" s="135">
        <f t="shared" si="28"/>
        <v>5.4</v>
      </c>
      <c r="R113" s="135">
        <f t="shared" si="28"/>
        <v>5.4</v>
      </c>
      <c r="S113" s="135">
        <f t="shared" si="28"/>
        <v>5.4</v>
      </c>
      <c r="T113" s="135">
        <f t="shared" si="29"/>
        <v>5.4</v>
      </c>
      <c r="U113" s="135">
        <f t="shared" si="29"/>
        <v>5.4</v>
      </c>
      <c r="V113" s="135">
        <f t="shared" si="29"/>
        <v>5.4</v>
      </c>
      <c r="W113" s="135">
        <f t="shared" si="29"/>
        <v>5.4</v>
      </c>
      <c r="X113" s="135">
        <f t="shared" si="29"/>
        <v>5.4</v>
      </c>
      <c r="Y113" s="135">
        <f t="shared" si="29"/>
        <v>5.4</v>
      </c>
      <c r="Z113" s="135">
        <f t="shared" si="29"/>
        <v>5.4</v>
      </c>
      <c r="AA113" s="135">
        <f t="shared" si="29"/>
        <v>5.4</v>
      </c>
      <c r="AB113" s="135">
        <f t="shared" si="29"/>
        <v>5.4</v>
      </c>
      <c r="AC113" s="135">
        <f t="shared" si="29"/>
        <v>5.4</v>
      </c>
      <c r="AD113" s="135">
        <f t="shared" si="29"/>
        <v>5.4</v>
      </c>
      <c r="AE113" s="135">
        <f t="shared" si="29"/>
        <v>5.4</v>
      </c>
      <c r="AF113" s="135">
        <f t="shared" si="29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7"/>
        <v>6.57</v>
      </c>
      <c r="C114" s="136">
        <v>6.57</v>
      </c>
      <c r="D114" s="135">
        <f t="shared" si="28"/>
        <v>6.57</v>
      </c>
      <c r="E114" s="135">
        <f t="shared" si="28"/>
        <v>6.57</v>
      </c>
      <c r="F114" s="135">
        <f t="shared" si="28"/>
        <v>6.57</v>
      </c>
      <c r="G114" s="135">
        <f t="shared" si="28"/>
        <v>6.57</v>
      </c>
      <c r="H114" s="135">
        <f t="shared" si="28"/>
        <v>6.57</v>
      </c>
      <c r="I114" s="135">
        <f t="shared" si="28"/>
        <v>6.57</v>
      </c>
      <c r="J114" s="135">
        <f t="shared" si="28"/>
        <v>6.57</v>
      </c>
      <c r="K114" s="135">
        <f t="shared" si="28"/>
        <v>6.57</v>
      </c>
      <c r="L114" s="135">
        <f t="shared" si="28"/>
        <v>6.57</v>
      </c>
      <c r="M114" s="135">
        <f t="shared" si="28"/>
        <v>6.57</v>
      </c>
      <c r="N114" s="135">
        <f t="shared" si="28"/>
        <v>6.57</v>
      </c>
      <c r="O114" s="135">
        <f t="shared" si="28"/>
        <v>6.57</v>
      </c>
      <c r="P114" s="135">
        <f t="shared" si="28"/>
        <v>6.57</v>
      </c>
      <c r="Q114" s="135">
        <f t="shared" si="28"/>
        <v>6.57</v>
      </c>
      <c r="R114" s="135">
        <f t="shared" si="28"/>
        <v>6.57</v>
      </c>
      <c r="S114" s="135">
        <f t="shared" si="28"/>
        <v>6.57</v>
      </c>
      <c r="T114" s="135">
        <f t="shared" si="29"/>
        <v>6.57</v>
      </c>
      <c r="U114" s="135">
        <f t="shared" si="29"/>
        <v>6.57</v>
      </c>
      <c r="V114" s="135">
        <f t="shared" si="29"/>
        <v>6.57</v>
      </c>
      <c r="W114" s="135">
        <f t="shared" si="29"/>
        <v>6.57</v>
      </c>
      <c r="X114" s="135">
        <f t="shared" si="29"/>
        <v>6.57</v>
      </c>
      <c r="Y114" s="135">
        <f t="shared" si="29"/>
        <v>6.57</v>
      </c>
      <c r="Z114" s="135">
        <f t="shared" si="29"/>
        <v>6.57</v>
      </c>
      <c r="AA114" s="135">
        <f t="shared" si="29"/>
        <v>6.57</v>
      </c>
      <c r="AB114" s="135">
        <f t="shared" si="29"/>
        <v>6.57</v>
      </c>
      <c r="AC114" s="135">
        <f t="shared" si="29"/>
        <v>6.57</v>
      </c>
      <c r="AD114" s="135">
        <f t="shared" si="29"/>
        <v>6.57</v>
      </c>
      <c r="AE114" s="135">
        <f t="shared" si="29"/>
        <v>6.57</v>
      </c>
      <c r="AF114" s="135">
        <f t="shared" si="29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7"/>
        <v>3.43</v>
      </c>
      <c r="C115" s="136">
        <v>3.43</v>
      </c>
      <c r="D115" s="135">
        <f t="shared" si="28"/>
        <v>3.43</v>
      </c>
      <c r="E115" s="135">
        <f t="shared" si="28"/>
        <v>3.43</v>
      </c>
      <c r="F115" s="135">
        <f t="shared" si="28"/>
        <v>3.43</v>
      </c>
      <c r="G115" s="135">
        <f t="shared" si="28"/>
        <v>3.43</v>
      </c>
      <c r="H115" s="135">
        <f t="shared" si="28"/>
        <v>3.43</v>
      </c>
      <c r="I115" s="135">
        <f t="shared" si="28"/>
        <v>3.43</v>
      </c>
      <c r="J115" s="135">
        <f t="shared" si="28"/>
        <v>3.43</v>
      </c>
      <c r="K115" s="135">
        <f t="shared" si="28"/>
        <v>3.43</v>
      </c>
      <c r="L115" s="135">
        <f t="shared" si="28"/>
        <v>3.43</v>
      </c>
      <c r="M115" s="135">
        <f t="shared" si="28"/>
        <v>3.43</v>
      </c>
      <c r="N115" s="135">
        <f t="shared" si="28"/>
        <v>3.43</v>
      </c>
      <c r="O115" s="135">
        <f t="shared" si="28"/>
        <v>3.43</v>
      </c>
      <c r="P115" s="135">
        <f t="shared" si="28"/>
        <v>3.43</v>
      </c>
      <c r="Q115" s="135">
        <f t="shared" si="28"/>
        <v>3.43</v>
      </c>
      <c r="R115" s="135">
        <f t="shared" si="28"/>
        <v>3.43</v>
      </c>
      <c r="S115" s="135">
        <f t="shared" si="28"/>
        <v>3.43</v>
      </c>
      <c r="T115" s="135">
        <f t="shared" si="29"/>
        <v>3.43</v>
      </c>
      <c r="U115" s="135">
        <f t="shared" si="29"/>
        <v>3.43</v>
      </c>
      <c r="V115" s="135">
        <f t="shared" si="29"/>
        <v>3.43</v>
      </c>
      <c r="W115" s="135">
        <f t="shared" si="29"/>
        <v>3.43</v>
      </c>
      <c r="X115" s="135">
        <f t="shared" si="29"/>
        <v>3.43</v>
      </c>
      <c r="Y115" s="135">
        <f t="shared" si="29"/>
        <v>3.43</v>
      </c>
      <c r="Z115" s="135">
        <f t="shared" si="29"/>
        <v>3.43</v>
      </c>
      <c r="AA115" s="135">
        <f t="shared" si="29"/>
        <v>3.43</v>
      </c>
      <c r="AB115" s="135">
        <f t="shared" si="29"/>
        <v>3.43</v>
      </c>
      <c r="AC115" s="135">
        <f t="shared" si="29"/>
        <v>3.43</v>
      </c>
      <c r="AD115" s="135">
        <f t="shared" si="29"/>
        <v>3.43</v>
      </c>
      <c r="AE115" s="135">
        <f t="shared" si="29"/>
        <v>3.43</v>
      </c>
      <c r="AF115" s="135">
        <f t="shared" si="29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7"/>
        <v>2.96</v>
      </c>
      <c r="C116" s="136">
        <v>2.96</v>
      </c>
      <c r="D116" s="135">
        <f t="shared" si="28"/>
        <v>2.96</v>
      </c>
      <c r="E116" s="135">
        <f t="shared" si="28"/>
        <v>2.96</v>
      </c>
      <c r="F116" s="135">
        <f t="shared" si="28"/>
        <v>2.96</v>
      </c>
      <c r="G116" s="135">
        <f t="shared" si="28"/>
        <v>2.96</v>
      </c>
      <c r="H116" s="135">
        <f t="shared" si="28"/>
        <v>2.96</v>
      </c>
      <c r="I116" s="135">
        <f t="shared" si="28"/>
        <v>2.96</v>
      </c>
      <c r="J116" s="135">
        <f t="shared" si="28"/>
        <v>2.96</v>
      </c>
      <c r="K116" s="135">
        <f t="shared" si="28"/>
        <v>2.96</v>
      </c>
      <c r="L116" s="135">
        <f t="shared" si="28"/>
        <v>2.96</v>
      </c>
      <c r="M116" s="135">
        <f t="shared" si="28"/>
        <v>2.96</v>
      </c>
      <c r="N116" s="135">
        <f t="shared" si="28"/>
        <v>2.96</v>
      </c>
      <c r="O116" s="135">
        <f t="shared" si="28"/>
        <v>2.96</v>
      </c>
      <c r="P116" s="135">
        <f t="shared" si="28"/>
        <v>2.96</v>
      </c>
      <c r="Q116" s="135">
        <f t="shared" si="28"/>
        <v>2.96</v>
      </c>
      <c r="R116" s="135">
        <f t="shared" si="28"/>
        <v>2.96</v>
      </c>
      <c r="S116" s="135">
        <f t="shared" si="28"/>
        <v>2.96</v>
      </c>
      <c r="T116" s="135">
        <f t="shared" si="29"/>
        <v>2.96</v>
      </c>
      <c r="U116" s="135">
        <f t="shared" si="29"/>
        <v>2.96</v>
      </c>
      <c r="V116" s="135">
        <f t="shared" si="29"/>
        <v>2.96</v>
      </c>
      <c r="W116" s="135">
        <f t="shared" si="29"/>
        <v>2.96</v>
      </c>
      <c r="X116" s="135">
        <f t="shared" si="29"/>
        <v>2.96</v>
      </c>
      <c r="Y116" s="135">
        <f t="shared" si="29"/>
        <v>2.96</v>
      </c>
      <c r="Z116" s="135">
        <f t="shared" si="29"/>
        <v>2.96</v>
      </c>
      <c r="AA116" s="135">
        <f t="shared" si="29"/>
        <v>2.96</v>
      </c>
      <c r="AB116" s="135">
        <f t="shared" si="29"/>
        <v>2.96</v>
      </c>
      <c r="AC116" s="135">
        <f t="shared" si="29"/>
        <v>2.96</v>
      </c>
      <c r="AD116" s="135">
        <f t="shared" si="29"/>
        <v>2.96</v>
      </c>
      <c r="AE116" s="135">
        <f t="shared" si="29"/>
        <v>2.96</v>
      </c>
      <c r="AF116" s="135">
        <f t="shared" si="29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7"/>
        <v>8</v>
      </c>
      <c r="C117" s="136">
        <v>8</v>
      </c>
      <c r="D117" s="135">
        <f t="shared" si="28"/>
        <v>8</v>
      </c>
      <c r="E117" s="135">
        <f t="shared" si="28"/>
        <v>8</v>
      </c>
      <c r="F117" s="135">
        <f t="shared" si="28"/>
        <v>8</v>
      </c>
      <c r="G117" s="135">
        <f t="shared" si="28"/>
        <v>8</v>
      </c>
      <c r="H117" s="135">
        <f t="shared" si="28"/>
        <v>8</v>
      </c>
      <c r="I117" s="135">
        <f t="shared" si="28"/>
        <v>8</v>
      </c>
      <c r="J117" s="135">
        <f t="shared" si="28"/>
        <v>8</v>
      </c>
      <c r="K117" s="135">
        <f t="shared" si="28"/>
        <v>8</v>
      </c>
      <c r="L117" s="135">
        <f t="shared" si="28"/>
        <v>8</v>
      </c>
      <c r="M117" s="135">
        <f t="shared" si="28"/>
        <v>8</v>
      </c>
      <c r="N117" s="135">
        <f t="shared" si="28"/>
        <v>8</v>
      </c>
      <c r="O117" s="135">
        <f t="shared" si="28"/>
        <v>8</v>
      </c>
      <c r="P117" s="135">
        <f t="shared" si="28"/>
        <v>8</v>
      </c>
      <c r="Q117" s="135">
        <f t="shared" si="28"/>
        <v>8</v>
      </c>
      <c r="R117" s="135">
        <f t="shared" si="28"/>
        <v>8</v>
      </c>
      <c r="S117" s="135">
        <f t="shared" si="28"/>
        <v>8</v>
      </c>
      <c r="T117" s="135">
        <f t="shared" si="29"/>
        <v>8</v>
      </c>
      <c r="U117" s="135">
        <f t="shared" si="29"/>
        <v>8</v>
      </c>
      <c r="V117" s="135">
        <f t="shared" si="29"/>
        <v>8</v>
      </c>
      <c r="W117" s="135">
        <f t="shared" si="29"/>
        <v>8</v>
      </c>
      <c r="X117" s="135">
        <f t="shared" si="29"/>
        <v>8</v>
      </c>
      <c r="Y117" s="135">
        <f t="shared" si="29"/>
        <v>8</v>
      </c>
      <c r="Z117" s="135">
        <f t="shared" si="29"/>
        <v>8</v>
      </c>
      <c r="AA117" s="135">
        <f t="shared" si="29"/>
        <v>8</v>
      </c>
      <c r="AB117" s="135">
        <f t="shared" si="29"/>
        <v>8</v>
      </c>
      <c r="AC117" s="135">
        <f t="shared" si="29"/>
        <v>8</v>
      </c>
      <c r="AD117" s="135">
        <f t="shared" si="29"/>
        <v>8</v>
      </c>
      <c r="AE117" s="135">
        <f t="shared" si="29"/>
        <v>8</v>
      </c>
      <c r="AF117" s="135">
        <f t="shared" si="29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7"/>
        <v>7</v>
      </c>
      <c r="C118" s="136">
        <v>7</v>
      </c>
      <c r="D118" s="135">
        <f>C118</f>
        <v>7</v>
      </c>
      <c r="E118" s="135">
        <f t="shared" si="28"/>
        <v>7</v>
      </c>
      <c r="F118" s="135">
        <f t="shared" si="28"/>
        <v>7</v>
      </c>
      <c r="G118" s="135">
        <f t="shared" si="28"/>
        <v>7</v>
      </c>
      <c r="H118" s="135">
        <f t="shared" si="28"/>
        <v>7</v>
      </c>
      <c r="I118" s="135">
        <f t="shared" si="28"/>
        <v>7</v>
      </c>
      <c r="J118" s="135">
        <f t="shared" si="28"/>
        <v>7</v>
      </c>
      <c r="K118" s="135">
        <f t="shared" si="28"/>
        <v>7</v>
      </c>
      <c r="L118" s="135">
        <f t="shared" si="28"/>
        <v>7</v>
      </c>
      <c r="M118" s="135">
        <f t="shared" si="28"/>
        <v>7</v>
      </c>
      <c r="N118" s="135">
        <f t="shared" si="28"/>
        <v>7</v>
      </c>
      <c r="O118" s="135">
        <f t="shared" si="28"/>
        <v>7</v>
      </c>
      <c r="P118" s="135">
        <f t="shared" si="28"/>
        <v>7</v>
      </c>
      <c r="Q118" s="135">
        <f t="shared" si="28"/>
        <v>7</v>
      </c>
      <c r="R118" s="135">
        <f t="shared" si="28"/>
        <v>7</v>
      </c>
      <c r="S118" s="135">
        <f t="shared" si="28"/>
        <v>7</v>
      </c>
      <c r="T118" s="135">
        <f t="shared" si="29"/>
        <v>7</v>
      </c>
      <c r="U118" s="135">
        <f t="shared" si="29"/>
        <v>7</v>
      </c>
      <c r="V118" s="135">
        <f t="shared" si="29"/>
        <v>7</v>
      </c>
      <c r="W118" s="135">
        <f t="shared" si="29"/>
        <v>7</v>
      </c>
      <c r="X118" s="135">
        <f t="shared" si="29"/>
        <v>7</v>
      </c>
      <c r="Y118" s="135">
        <f t="shared" si="29"/>
        <v>7</v>
      </c>
      <c r="Z118" s="135">
        <f t="shared" si="29"/>
        <v>7</v>
      </c>
      <c r="AA118" s="135">
        <f t="shared" si="29"/>
        <v>7</v>
      </c>
      <c r="AB118" s="135">
        <f t="shared" si="29"/>
        <v>7</v>
      </c>
      <c r="AC118" s="135">
        <f t="shared" si="29"/>
        <v>7</v>
      </c>
      <c r="AD118" s="135">
        <f t="shared" si="29"/>
        <v>7</v>
      </c>
      <c r="AE118" s="135">
        <f t="shared" si="29"/>
        <v>7</v>
      </c>
      <c r="AF118" s="135">
        <f t="shared" si="29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7"/>
        <v>3.47</v>
      </c>
      <c r="C119" s="136">
        <v>3.47</v>
      </c>
      <c r="D119" s="135">
        <f t="shared" ref="D119:S128" si="30">C119</f>
        <v>3.47</v>
      </c>
      <c r="E119" s="135">
        <f t="shared" si="30"/>
        <v>3.47</v>
      </c>
      <c r="F119" s="135">
        <f t="shared" si="30"/>
        <v>3.47</v>
      </c>
      <c r="G119" s="135">
        <f t="shared" si="30"/>
        <v>3.47</v>
      </c>
      <c r="H119" s="135">
        <f t="shared" si="30"/>
        <v>3.47</v>
      </c>
      <c r="I119" s="135">
        <f t="shared" si="30"/>
        <v>3.47</v>
      </c>
      <c r="J119" s="135">
        <f t="shared" si="30"/>
        <v>3.47</v>
      </c>
      <c r="K119" s="135">
        <f t="shared" si="30"/>
        <v>3.47</v>
      </c>
      <c r="L119" s="135">
        <f t="shared" si="30"/>
        <v>3.47</v>
      </c>
      <c r="M119" s="135">
        <f t="shared" si="30"/>
        <v>3.47</v>
      </c>
      <c r="N119" s="135">
        <f t="shared" si="30"/>
        <v>3.47</v>
      </c>
      <c r="O119" s="135">
        <f t="shared" si="30"/>
        <v>3.47</v>
      </c>
      <c r="P119" s="135">
        <f t="shared" si="30"/>
        <v>3.47</v>
      </c>
      <c r="Q119" s="135">
        <f t="shared" si="30"/>
        <v>3.47</v>
      </c>
      <c r="R119" s="135">
        <f t="shared" si="30"/>
        <v>3.47</v>
      </c>
      <c r="S119" s="135">
        <f t="shared" si="30"/>
        <v>3.47</v>
      </c>
      <c r="T119" s="135">
        <f t="shared" si="29"/>
        <v>3.47</v>
      </c>
      <c r="U119" s="135">
        <f t="shared" si="29"/>
        <v>3.47</v>
      </c>
      <c r="V119" s="135">
        <f t="shared" si="29"/>
        <v>3.47</v>
      </c>
      <c r="W119" s="135">
        <f t="shared" si="29"/>
        <v>3.47</v>
      </c>
      <c r="X119" s="135">
        <f t="shared" si="29"/>
        <v>3.47</v>
      </c>
      <c r="Y119" s="135">
        <f t="shared" si="29"/>
        <v>3.47</v>
      </c>
      <c r="Z119" s="135">
        <f t="shared" si="29"/>
        <v>3.47</v>
      </c>
      <c r="AA119" s="135">
        <f t="shared" si="29"/>
        <v>3.47</v>
      </c>
      <c r="AB119" s="135">
        <f t="shared" si="29"/>
        <v>3.47</v>
      </c>
      <c r="AC119" s="135">
        <f t="shared" si="29"/>
        <v>3.47</v>
      </c>
      <c r="AD119" s="135">
        <f t="shared" si="29"/>
        <v>3.47</v>
      </c>
      <c r="AE119" s="135">
        <f t="shared" si="29"/>
        <v>3.47</v>
      </c>
      <c r="AF119" s="135">
        <f t="shared" si="29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7"/>
        <v>2.1</v>
      </c>
      <c r="C120" s="136">
        <v>2.1</v>
      </c>
      <c r="D120" s="135">
        <f t="shared" si="30"/>
        <v>2.1</v>
      </c>
      <c r="E120" s="135">
        <f t="shared" si="30"/>
        <v>2.1</v>
      </c>
      <c r="F120" s="135">
        <f t="shared" si="30"/>
        <v>2.1</v>
      </c>
      <c r="G120" s="135">
        <f t="shared" si="30"/>
        <v>2.1</v>
      </c>
      <c r="H120" s="135">
        <f t="shared" si="30"/>
        <v>2.1</v>
      </c>
      <c r="I120" s="135">
        <f t="shared" si="30"/>
        <v>2.1</v>
      </c>
      <c r="J120" s="135">
        <f t="shared" si="30"/>
        <v>2.1</v>
      </c>
      <c r="K120" s="135">
        <f t="shared" si="30"/>
        <v>2.1</v>
      </c>
      <c r="L120" s="135">
        <f t="shared" si="30"/>
        <v>2.1</v>
      </c>
      <c r="M120" s="135">
        <f t="shared" si="30"/>
        <v>2.1</v>
      </c>
      <c r="N120" s="135">
        <f t="shared" si="30"/>
        <v>2.1</v>
      </c>
      <c r="O120" s="135">
        <f t="shared" si="30"/>
        <v>2.1</v>
      </c>
      <c r="P120" s="135">
        <f t="shared" si="30"/>
        <v>2.1</v>
      </c>
      <c r="Q120" s="135">
        <f t="shared" si="30"/>
        <v>2.1</v>
      </c>
      <c r="R120" s="135">
        <f t="shared" si="30"/>
        <v>2.1</v>
      </c>
      <c r="S120" s="135">
        <f t="shared" si="30"/>
        <v>2.1</v>
      </c>
      <c r="T120" s="135">
        <f t="shared" si="29"/>
        <v>2.1</v>
      </c>
      <c r="U120" s="135">
        <f t="shared" si="29"/>
        <v>2.1</v>
      </c>
      <c r="V120" s="135">
        <f t="shared" si="29"/>
        <v>2.1</v>
      </c>
      <c r="W120" s="135">
        <f t="shared" si="29"/>
        <v>2.1</v>
      </c>
      <c r="X120" s="135">
        <f t="shared" si="29"/>
        <v>2.1</v>
      </c>
      <c r="Y120" s="135">
        <f t="shared" si="29"/>
        <v>2.1</v>
      </c>
      <c r="Z120" s="135">
        <f t="shared" si="29"/>
        <v>2.1</v>
      </c>
      <c r="AA120" s="135">
        <f t="shared" si="29"/>
        <v>2.1</v>
      </c>
      <c r="AB120" s="135">
        <f t="shared" si="29"/>
        <v>2.1</v>
      </c>
      <c r="AC120" s="135">
        <f t="shared" si="29"/>
        <v>2.1</v>
      </c>
      <c r="AD120" s="135">
        <f t="shared" si="29"/>
        <v>2.1</v>
      </c>
      <c r="AE120" s="135">
        <f t="shared" si="29"/>
        <v>2.1</v>
      </c>
      <c r="AF120" s="135">
        <f t="shared" si="29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7"/>
        <v>9.3000000000000007</v>
      </c>
      <c r="C121" s="136">
        <v>9.3000000000000007</v>
      </c>
      <c r="D121" s="135">
        <f t="shared" si="30"/>
        <v>9.3000000000000007</v>
      </c>
      <c r="E121" s="135">
        <f t="shared" si="30"/>
        <v>9.3000000000000007</v>
      </c>
      <c r="F121" s="135">
        <f t="shared" si="30"/>
        <v>9.3000000000000007</v>
      </c>
      <c r="G121" s="135">
        <f t="shared" si="30"/>
        <v>9.3000000000000007</v>
      </c>
      <c r="H121" s="135">
        <f t="shared" si="30"/>
        <v>9.3000000000000007</v>
      </c>
      <c r="I121" s="135">
        <f t="shared" si="30"/>
        <v>9.3000000000000007</v>
      </c>
      <c r="J121" s="135">
        <f t="shared" si="30"/>
        <v>9.3000000000000007</v>
      </c>
      <c r="K121" s="135">
        <f t="shared" si="30"/>
        <v>9.3000000000000007</v>
      </c>
      <c r="L121" s="135">
        <f t="shared" si="30"/>
        <v>9.3000000000000007</v>
      </c>
      <c r="M121" s="135">
        <f t="shared" si="30"/>
        <v>9.3000000000000007</v>
      </c>
      <c r="N121" s="135">
        <f t="shared" si="30"/>
        <v>9.3000000000000007</v>
      </c>
      <c r="O121" s="135">
        <f t="shared" si="30"/>
        <v>9.3000000000000007</v>
      </c>
      <c r="P121" s="135">
        <f t="shared" si="30"/>
        <v>9.3000000000000007</v>
      </c>
      <c r="Q121" s="135">
        <f t="shared" si="30"/>
        <v>9.3000000000000007</v>
      </c>
      <c r="R121" s="135">
        <f t="shared" si="30"/>
        <v>9.3000000000000007</v>
      </c>
      <c r="S121" s="135">
        <f t="shared" si="30"/>
        <v>9.3000000000000007</v>
      </c>
      <c r="T121" s="135">
        <f t="shared" si="29"/>
        <v>9.3000000000000007</v>
      </c>
      <c r="U121" s="135">
        <f t="shared" si="29"/>
        <v>9.3000000000000007</v>
      </c>
      <c r="V121" s="135">
        <f t="shared" si="29"/>
        <v>9.3000000000000007</v>
      </c>
      <c r="W121" s="135">
        <f t="shared" si="29"/>
        <v>9.3000000000000007</v>
      </c>
      <c r="X121" s="135">
        <f t="shared" si="29"/>
        <v>9.3000000000000007</v>
      </c>
      <c r="Y121" s="135">
        <f t="shared" si="29"/>
        <v>9.3000000000000007</v>
      </c>
      <c r="Z121" s="135">
        <f t="shared" si="29"/>
        <v>9.3000000000000007</v>
      </c>
      <c r="AA121" s="135">
        <f t="shared" si="29"/>
        <v>9.3000000000000007</v>
      </c>
      <c r="AB121" s="135">
        <f t="shared" si="29"/>
        <v>9.3000000000000007</v>
      </c>
      <c r="AC121" s="135">
        <f t="shared" si="29"/>
        <v>9.3000000000000007</v>
      </c>
      <c r="AD121" s="135">
        <f t="shared" si="29"/>
        <v>9.3000000000000007</v>
      </c>
      <c r="AE121" s="135">
        <f t="shared" si="29"/>
        <v>9.3000000000000007</v>
      </c>
      <c r="AF121" s="135">
        <f t="shared" si="29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7"/>
        <v>0</v>
      </c>
      <c r="C122" s="136">
        <v>0</v>
      </c>
      <c r="D122" s="135">
        <f t="shared" si="30"/>
        <v>0</v>
      </c>
      <c r="E122" s="135">
        <f t="shared" si="30"/>
        <v>0</v>
      </c>
      <c r="F122" s="135">
        <f t="shared" si="30"/>
        <v>0</v>
      </c>
      <c r="G122" s="135">
        <f t="shared" si="30"/>
        <v>0</v>
      </c>
      <c r="H122" s="135">
        <f t="shared" si="30"/>
        <v>0</v>
      </c>
      <c r="I122" s="135">
        <f t="shared" si="30"/>
        <v>0</v>
      </c>
      <c r="J122" s="135">
        <f t="shared" si="30"/>
        <v>0</v>
      </c>
      <c r="K122" s="135">
        <f t="shared" si="30"/>
        <v>0</v>
      </c>
      <c r="L122" s="135">
        <f t="shared" si="30"/>
        <v>0</v>
      </c>
      <c r="M122" s="135">
        <f t="shared" si="30"/>
        <v>0</v>
      </c>
      <c r="N122" s="135">
        <f t="shared" si="30"/>
        <v>0</v>
      </c>
      <c r="O122" s="135">
        <f t="shared" si="30"/>
        <v>0</v>
      </c>
      <c r="P122" s="135">
        <f t="shared" si="30"/>
        <v>0</v>
      </c>
      <c r="Q122" s="135">
        <f t="shared" si="30"/>
        <v>0</v>
      </c>
      <c r="R122" s="135">
        <f t="shared" si="30"/>
        <v>0</v>
      </c>
      <c r="S122" s="135">
        <f t="shared" si="30"/>
        <v>0</v>
      </c>
      <c r="T122" s="135">
        <f t="shared" si="29"/>
        <v>0</v>
      </c>
      <c r="U122" s="135">
        <f t="shared" si="29"/>
        <v>0</v>
      </c>
      <c r="V122" s="135">
        <f t="shared" si="29"/>
        <v>0</v>
      </c>
      <c r="W122" s="135">
        <f t="shared" si="29"/>
        <v>0</v>
      </c>
      <c r="X122" s="135">
        <f t="shared" si="29"/>
        <v>0</v>
      </c>
      <c r="Y122" s="135">
        <f t="shared" si="29"/>
        <v>0</v>
      </c>
      <c r="Z122" s="135">
        <f t="shared" si="29"/>
        <v>0</v>
      </c>
      <c r="AA122" s="135">
        <f t="shared" si="29"/>
        <v>0</v>
      </c>
      <c r="AB122" s="135">
        <f t="shared" si="29"/>
        <v>0</v>
      </c>
      <c r="AC122" s="135">
        <f t="shared" si="29"/>
        <v>0</v>
      </c>
      <c r="AD122" s="135">
        <f t="shared" si="29"/>
        <v>0</v>
      </c>
      <c r="AE122" s="135">
        <f t="shared" si="29"/>
        <v>0</v>
      </c>
      <c r="AF122" s="135">
        <f t="shared" si="29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7"/>
        <v>0</v>
      </c>
      <c r="C123" s="136">
        <v>0</v>
      </c>
      <c r="D123" s="135">
        <f t="shared" si="30"/>
        <v>0</v>
      </c>
      <c r="E123" s="135">
        <f t="shared" si="30"/>
        <v>0</v>
      </c>
      <c r="F123" s="135">
        <f t="shared" si="30"/>
        <v>0</v>
      </c>
      <c r="G123" s="135">
        <f t="shared" si="30"/>
        <v>0</v>
      </c>
      <c r="H123" s="135">
        <f t="shared" si="30"/>
        <v>0</v>
      </c>
      <c r="I123" s="135">
        <f t="shared" si="30"/>
        <v>0</v>
      </c>
      <c r="J123" s="135">
        <f t="shared" si="30"/>
        <v>0</v>
      </c>
      <c r="K123" s="135">
        <f t="shared" si="30"/>
        <v>0</v>
      </c>
      <c r="L123" s="135">
        <f t="shared" si="30"/>
        <v>0</v>
      </c>
      <c r="M123" s="135">
        <f t="shared" si="30"/>
        <v>0</v>
      </c>
      <c r="N123" s="135">
        <f t="shared" si="30"/>
        <v>0</v>
      </c>
      <c r="O123" s="135">
        <f t="shared" si="30"/>
        <v>0</v>
      </c>
      <c r="P123" s="135">
        <f t="shared" si="30"/>
        <v>0</v>
      </c>
      <c r="Q123" s="135">
        <f t="shared" si="30"/>
        <v>0</v>
      </c>
      <c r="R123" s="135">
        <f t="shared" si="30"/>
        <v>0</v>
      </c>
      <c r="S123" s="135">
        <f t="shared" si="30"/>
        <v>0</v>
      </c>
      <c r="T123" s="135">
        <f t="shared" si="29"/>
        <v>0</v>
      </c>
      <c r="U123" s="135">
        <f t="shared" si="29"/>
        <v>0</v>
      </c>
      <c r="V123" s="135">
        <f t="shared" si="29"/>
        <v>0</v>
      </c>
      <c r="W123" s="135">
        <f t="shared" si="29"/>
        <v>0</v>
      </c>
      <c r="X123" s="135">
        <f t="shared" si="29"/>
        <v>0</v>
      </c>
      <c r="Y123" s="135">
        <f t="shared" si="29"/>
        <v>0</v>
      </c>
      <c r="Z123" s="135">
        <f t="shared" si="29"/>
        <v>0</v>
      </c>
      <c r="AA123" s="135">
        <f t="shared" si="29"/>
        <v>0</v>
      </c>
      <c r="AB123" s="135">
        <f t="shared" si="29"/>
        <v>0</v>
      </c>
      <c r="AC123" s="135">
        <f t="shared" si="29"/>
        <v>0</v>
      </c>
      <c r="AD123" s="135">
        <f t="shared" si="29"/>
        <v>0</v>
      </c>
      <c r="AE123" s="135">
        <f t="shared" si="29"/>
        <v>0</v>
      </c>
      <c r="AF123" s="135">
        <f t="shared" si="29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7"/>
        <v>5</v>
      </c>
      <c r="C124" s="136">
        <v>5</v>
      </c>
      <c r="D124" s="135">
        <f t="shared" si="30"/>
        <v>5</v>
      </c>
      <c r="E124" s="135">
        <f t="shared" si="30"/>
        <v>5</v>
      </c>
      <c r="F124" s="135">
        <f t="shared" si="30"/>
        <v>5</v>
      </c>
      <c r="G124" s="135">
        <f t="shared" si="30"/>
        <v>5</v>
      </c>
      <c r="H124" s="135">
        <f t="shared" si="30"/>
        <v>5</v>
      </c>
      <c r="I124" s="135">
        <f t="shared" si="30"/>
        <v>5</v>
      </c>
      <c r="J124" s="135">
        <f t="shared" si="30"/>
        <v>5</v>
      </c>
      <c r="K124" s="135">
        <f t="shared" si="30"/>
        <v>5</v>
      </c>
      <c r="L124" s="135">
        <f t="shared" si="30"/>
        <v>5</v>
      </c>
      <c r="M124" s="135">
        <f t="shared" si="30"/>
        <v>5</v>
      </c>
      <c r="N124" s="135">
        <f t="shared" si="30"/>
        <v>5</v>
      </c>
      <c r="O124" s="135">
        <f t="shared" si="30"/>
        <v>5</v>
      </c>
      <c r="P124" s="135">
        <f t="shared" si="30"/>
        <v>5</v>
      </c>
      <c r="Q124" s="135">
        <f t="shared" si="30"/>
        <v>5</v>
      </c>
      <c r="R124" s="135">
        <f t="shared" si="30"/>
        <v>5</v>
      </c>
      <c r="S124" s="135">
        <f t="shared" si="30"/>
        <v>5</v>
      </c>
      <c r="T124" s="135">
        <f t="shared" si="29"/>
        <v>5</v>
      </c>
      <c r="U124" s="135">
        <f t="shared" si="29"/>
        <v>5</v>
      </c>
      <c r="V124" s="135">
        <f t="shared" si="29"/>
        <v>5</v>
      </c>
      <c r="W124" s="135">
        <f t="shared" si="29"/>
        <v>5</v>
      </c>
      <c r="X124" s="135">
        <f t="shared" si="29"/>
        <v>5</v>
      </c>
      <c r="Y124" s="135">
        <f t="shared" si="29"/>
        <v>5</v>
      </c>
      <c r="Z124" s="135">
        <f t="shared" si="29"/>
        <v>5</v>
      </c>
      <c r="AA124" s="135">
        <f t="shared" si="29"/>
        <v>5</v>
      </c>
      <c r="AB124" s="135">
        <f t="shared" si="29"/>
        <v>5</v>
      </c>
      <c r="AC124" s="135">
        <f t="shared" si="29"/>
        <v>5</v>
      </c>
      <c r="AD124" s="135">
        <f t="shared" si="29"/>
        <v>5</v>
      </c>
      <c r="AE124" s="135">
        <f t="shared" si="29"/>
        <v>5</v>
      </c>
      <c r="AF124" s="135">
        <f t="shared" si="29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7"/>
        <v>1</v>
      </c>
      <c r="C125" s="136">
        <v>1</v>
      </c>
      <c r="D125" s="135">
        <f t="shared" si="30"/>
        <v>1</v>
      </c>
      <c r="E125" s="135">
        <f t="shared" si="30"/>
        <v>1</v>
      </c>
      <c r="F125" s="135">
        <f t="shared" si="30"/>
        <v>1</v>
      </c>
      <c r="G125" s="135">
        <f t="shared" si="30"/>
        <v>1</v>
      </c>
      <c r="H125" s="135">
        <f t="shared" si="30"/>
        <v>1</v>
      </c>
      <c r="I125" s="135">
        <f t="shared" si="30"/>
        <v>1</v>
      </c>
      <c r="J125" s="135">
        <f t="shared" si="30"/>
        <v>1</v>
      </c>
      <c r="K125" s="135">
        <f t="shared" si="30"/>
        <v>1</v>
      </c>
      <c r="L125" s="135">
        <f t="shared" si="30"/>
        <v>1</v>
      </c>
      <c r="M125" s="135">
        <f t="shared" si="30"/>
        <v>1</v>
      </c>
      <c r="N125" s="135">
        <f t="shared" si="30"/>
        <v>1</v>
      </c>
      <c r="O125" s="135">
        <f t="shared" si="30"/>
        <v>1</v>
      </c>
      <c r="P125" s="135">
        <f t="shared" si="30"/>
        <v>1</v>
      </c>
      <c r="Q125" s="135">
        <f t="shared" si="30"/>
        <v>1</v>
      </c>
      <c r="R125" s="135">
        <f t="shared" si="30"/>
        <v>1</v>
      </c>
      <c r="S125" s="135">
        <f t="shared" si="30"/>
        <v>1</v>
      </c>
      <c r="T125" s="135">
        <f t="shared" si="29"/>
        <v>1</v>
      </c>
      <c r="U125" s="135">
        <f t="shared" si="29"/>
        <v>1</v>
      </c>
      <c r="V125" s="135">
        <f t="shared" si="29"/>
        <v>1</v>
      </c>
      <c r="W125" s="135">
        <f t="shared" si="29"/>
        <v>1</v>
      </c>
      <c r="X125" s="135">
        <f t="shared" si="29"/>
        <v>1</v>
      </c>
      <c r="Y125" s="135">
        <f t="shared" si="29"/>
        <v>1</v>
      </c>
      <c r="Z125" s="135">
        <f t="shared" si="29"/>
        <v>1</v>
      </c>
      <c r="AA125" s="135">
        <f t="shared" si="29"/>
        <v>1</v>
      </c>
      <c r="AB125" s="135">
        <f t="shared" si="29"/>
        <v>1</v>
      </c>
      <c r="AC125" s="135">
        <f t="shared" si="29"/>
        <v>1</v>
      </c>
      <c r="AD125" s="135">
        <f t="shared" si="29"/>
        <v>1</v>
      </c>
      <c r="AE125" s="135">
        <f t="shared" si="29"/>
        <v>1</v>
      </c>
      <c r="AF125" s="135">
        <f t="shared" si="29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7"/>
        <v>1.58</v>
      </c>
      <c r="C126" s="136">
        <v>1.58</v>
      </c>
      <c r="D126" s="135">
        <f t="shared" si="30"/>
        <v>1.58</v>
      </c>
      <c r="E126" s="135">
        <f t="shared" si="30"/>
        <v>1.58</v>
      </c>
      <c r="F126" s="135">
        <f t="shared" si="30"/>
        <v>1.58</v>
      </c>
      <c r="G126" s="135">
        <f t="shared" si="30"/>
        <v>1.58</v>
      </c>
      <c r="H126" s="135">
        <f t="shared" si="30"/>
        <v>1.58</v>
      </c>
      <c r="I126" s="135">
        <f t="shared" si="30"/>
        <v>1.58</v>
      </c>
      <c r="J126" s="135">
        <f t="shared" si="30"/>
        <v>1.58</v>
      </c>
      <c r="K126" s="135">
        <f t="shared" si="30"/>
        <v>1.58</v>
      </c>
      <c r="L126" s="135">
        <f t="shared" si="30"/>
        <v>1.58</v>
      </c>
      <c r="M126" s="135">
        <f t="shared" si="30"/>
        <v>1.58</v>
      </c>
      <c r="N126" s="135">
        <f t="shared" si="30"/>
        <v>1.58</v>
      </c>
      <c r="O126" s="135">
        <f t="shared" si="30"/>
        <v>1.58</v>
      </c>
      <c r="P126" s="135">
        <f t="shared" si="30"/>
        <v>1.58</v>
      </c>
      <c r="Q126" s="135">
        <f t="shared" si="30"/>
        <v>1.58</v>
      </c>
      <c r="R126" s="135">
        <f t="shared" si="30"/>
        <v>1.58</v>
      </c>
      <c r="S126" s="135">
        <f t="shared" si="30"/>
        <v>1.58</v>
      </c>
      <c r="T126" s="135">
        <f t="shared" si="29"/>
        <v>1.58</v>
      </c>
      <c r="U126" s="135">
        <f t="shared" si="29"/>
        <v>1.58</v>
      </c>
      <c r="V126" s="135">
        <f t="shared" si="29"/>
        <v>1.58</v>
      </c>
      <c r="W126" s="135">
        <f t="shared" si="29"/>
        <v>1.58</v>
      </c>
      <c r="X126" s="135">
        <f t="shared" si="29"/>
        <v>1.58</v>
      </c>
      <c r="Y126" s="135">
        <f t="shared" si="29"/>
        <v>1.58</v>
      </c>
      <c r="Z126" s="135">
        <f t="shared" si="29"/>
        <v>1.58</v>
      </c>
      <c r="AA126" s="135">
        <f t="shared" si="29"/>
        <v>1.58</v>
      </c>
      <c r="AB126" s="135">
        <f t="shared" si="29"/>
        <v>1.58</v>
      </c>
      <c r="AC126" s="135">
        <f t="shared" si="29"/>
        <v>1.58</v>
      </c>
      <c r="AD126" s="135">
        <f t="shared" si="29"/>
        <v>1.58</v>
      </c>
      <c r="AE126" s="135">
        <f t="shared" si="29"/>
        <v>1.58</v>
      </c>
      <c r="AF126" s="135">
        <f t="shared" si="29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7"/>
        <v>1.46</v>
      </c>
      <c r="C127" s="136">
        <v>1.46</v>
      </c>
      <c r="D127" s="135">
        <f t="shared" si="30"/>
        <v>1.46</v>
      </c>
      <c r="E127" s="135">
        <f t="shared" si="30"/>
        <v>1.46</v>
      </c>
      <c r="F127" s="135">
        <f t="shared" si="30"/>
        <v>1.46</v>
      </c>
      <c r="G127" s="135">
        <f t="shared" si="30"/>
        <v>1.46</v>
      </c>
      <c r="H127" s="135">
        <f t="shared" si="30"/>
        <v>1.46</v>
      </c>
      <c r="I127" s="135">
        <f t="shared" si="30"/>
        <v>1.46</v>
      </c>
      <c r="J127" s="135">
        <f t="shared" si="30"/>
        <v>1.46</v>
      </c>
      <c r="K127" s="135">
        <f t="shared" si="30"/>
        <v>1.46</v>
      </c>
      <c r="L127" s="135">
        <f t="shared" si="30"/>
        <v>1.46</v>
      </c>
      <c r="M127" s="135">
        <f t="shared" si="30"/>
        <v>1.46</v>
      </c>
      <c r="N127" s="135">
        <f t="shared" si="30"/>
        <v>1.46</v>
      </c>
      <c r="O127" s="135">
        <f t="shared" si="30"/>
        <v>1.46</v>
      </c>
      <c r="P127" s="135">
        <f t="shared" si="30"/>
        <v>1.46</v>
      </c>
      <c r="Q127" s="135">
        <f t="shared" si="30"/>
        <v>1.46</v>
      </c>
      <c r="R127" s="135">
        <f t="shared" si="30"/>
        <v>1.46</v>
      </c>
      <c r="S127" s="135">
        <f t="shared" si="30"/>
        <v>1.46</v>
      </c>
      <c r="T127" s="135">
        <f t="shared" ref="T127:AF128" si="31">S127</f>
        <v>1.46</v>
      </c>
      <c r="U127" s="135">
        <f t="shared" si="31"/>
        <v>1.46</v>
      </c>
      <c r="V127" s="135">
        <f t="shared" si="31"/>
        <v>1.46</v>
      </c>
      <c r="W127" s="135">
        <f t="shared" si="31"/>
        <v>1.46</v>
      </c>
      <c r="X127" s="135">
        <f t="shared" si="31"/>
        <v>1.46</v>
      </c>
      <c r="Y127" s="135">
        <f t="shared" si="31"/>
        <v>1.46</v>
      </c>
      <c r="Z127" s="135">
        <f t="shared" si="31"/>
        <v>1.46</v>
      </c>
      <c r="AA127" s="135">
        <f t="shared" si="31"/>
        <v>1.46</v>
      </c>
      <c r="AB127" s="135">
        <f t="shared" si="31"/>
        <v>1.46</v>
      </c>
      <c r="AC127" s="135">
        <f t="shared" si="31"/>
        <v>1.46</v>
      </c>
      <c r="AD127" s="135">
        <f t="shared" si="31"/>
        <v>1.46</v>
      </c>
      <c r="AE127" s="135">
        <f t="shared" si="31"/>
        <v>1.46</v>
      </c>
      <c r="AF127" s="135">
        <f t="shared" si="31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7"/>
        <v>1.48</v>
      </c>
      <c r="C128" s="136">
        <v>1.48</v>
      </c>
      <c r="D128" s="135">
        <f t="shared" si="30"/>
        <v>1.48</v>
      </c>
      <c r="E128" s="135">
        <f t="shared" si="30"/>
        <v>1.48</v>
      </c>
      <c r="F128" s="135">
        <f t="shared" si="30"/>
        <v>1.48</v>
      </c>
      <c r="G128" s="135">
        <f t="shared" si="30"/>
        <v>1.48</v>
      </c>
      <c r="H128" s="135">
        <f t="shared" si="30"/>
        <v>1.48</v>
      </c>
      <c r="I128" s="135">
        <f t="shared" si="30"/>
        <v>1.48</v>
      </c>
      <c r="J128" s="135">
        <f t="shared" si="30"/>
        <v>1.48</v>
      </c>
      <c r="K128" s="135">
        <f t="shared" si="30"/>
        <v>1.48</v>
      </c>
      <c r="L128" s="135">
        <f t="shared" si="30"/>
        <v>1.48</v>
      </c>
      <c r="M128" s="135">
        <f t="shared" si="30"/>
        <v>1.48</v>
      </c>
      <c r="N128" s="135">
        <f t="shared" si="30"/>
        <v>1.48</v>
      </c>
      <c r="O128" s="135">
        <f t="shared" si="30"/>
        <v>1.48</v>
      </c>
      <c r="P128" s="135">
        <f t="shared" si="30"/>
        <v>1.48</v>
      </c>
      <c r="Q128" s="135">
        <f t="shared" si="30"/>
        <v>1.48</v>
      </c>
      <c r="R128" s="135">
        <f t="shared" si="30"/>
        <v>1.48</v>
      </c>
      <c r="S128" s="135">
        <f t="shared" si="30"/>
        <v>1.48</v>
      </c>
      <c r="T128" s="135">
        <f t="shared" si="31"/>
        <v>1.48</v>
      </c>
      <c r="U128" s="135">
        <f t="shared" si="31"/>
        <v>1.48</v>
      </c>
      <c r="V128" s="135">
        <f t="shared" si="31"/>
        <v>1.48</v>
      </c>
      <c r="W128" s="135">
        <f t="shared" si="31"/>
        <v>1.48</v>
      </c>
      <c r="X128" s="135">
        <f t="shared" si="31"/>
        <v>1.48</v>
      </c>
      <c r="Y128" s="135">
        <f t="shared" si="31"/>
        <v>1.48</v>
      </c>
      <c r="Z128" s="135">
        <f t="shared" si="31"/>
        <v>1.48</v>
      </c>
      <c r="AA128" s="135">
        <f t="shared" si="31"/>
        <v>1.48</v>
      </c>
      <c r="AB128" s="135">
        <f t="shared" si="31"/>
        <v>1.48</v>
      </c>
      <c r="AC128" s="135">
        <f t="shared" si="31"/>
        <v>1.48</v>
      </c>
      <c r="AD128" s="135">
        <f t="shared" si="31"/>
        <v>1.48</v>
      </c>
      <c r="AE128" s="135">
        <f t="shared" si="31"/>
        <v>1.48</v>
      </c>
      <c r="AF128" s="135">
        <f t="shared" si="31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2">AF130</f>
        <v>2.2000000000000002</v>
      </c>
      <c r="C130" s="136">
        <v>2.2000000000000002</v>
      </c>
      <c r="D130" s="135">
        <f t="shared" ref="D130:S137" si="33">C130</f>
        <v>2.2000000000000002</v>
      </c>
      <c r="E130" s="135">
        <f t="shared" si="33"/>
        <v>2.2000000000000002</v>
      </c>
      <c r="F130" s="135">
        <f t="shared" si="33"/>
        <v>2.2000000000000002</v>
      </c>
      <c r="G130" s="135">
        <f t="shared" si="33"/>
        <v>2.2000000000000002</v>
      </c>
      <c r="H130" s="135">
        <f t="shared" si="33"/>
        <v>2.2000000000000002</v>
      </c>
      <c r="I130" s="135">
        <f t="shared" si="33"/>
        <v>2.2000000000000002</v>
      </c>
      <c r="J130" s="135">
        <f t="shared" si="33"/>
        <v>2.2000000000000002</v>
      </c>
      <c r="K130" s="135">
        <f t="shared" si="33"/>
        <v>2.2000000000000002</v>
      </c>
      <c r="L130" s="135">
        <f t="shared" si="33"/>
        <v>2.2000000000000002</v>
      </c>
      <c r="M130" s="135">
        <f t="shared" si="33"/>
        <v>2.2000000000000002</v>
      </c>
      <c r="N130" s="135">
        <f t="shared" si="33"/>
        <v>2.2000000000000002</v>
      </c>
      <c r="O130" s="135">
        <f t="shared" si="33"/>
        <v>2.2000000000000002</v>
      </c>
      <c r="P130" s="135">
        <f t="shared" si="33"/>
        <v>2.2000000000000002</v>
      </c>
      <c r="Q130" s="135">
        <f t="shared" si="33"/>
        <v>2.2000000000000002</v>
      </c>
      <c r="R130" s="135">
        <f t="shared" si="33"/>
        <v>2.2000000000000002</v>
      </c>
      <c r="S130" s="135">
        <f t="shared" si="33"/>
        <v>2.2000000000000002</v>
      </c>
      <c r="T130" s="135">
        <f t="shared" ref="T130:AF137" si="34">S130</f>
        <v>2.2000000000000002</v>
      </c>
      <c r="U130" s="135">
        <f t="shared" si="34"/>
        <v>2.2000000000000002</v>
      </c>
      <c r="V130" s="135">
        <f t="shared" si="34"/>
        <v>2.2000000000000002</v>
      </c>
      <c r="W130" s="135">
        <f t="shared" si="34"/>
        <v>2.2000000000000002</v>
      </c>
      <c r="X130" s="135">
        <f t="shared" si="34"/>
        <v>2.2000000000000002</v>
      </c>
      <c r="Y130" s="135">
        <f t="shared" si="34"/>
        <v>2.2000000000000002</v>
      </c>
      <c r="Z130" s="135">
        <f t="shared" si="34"/>
        <v>2.2000000000000002</v>
      </c>
      <c r="AA130" s="135">
        <f t="shared" si="34"/>
        <v>2.2000000000000002</v>
      </c>
      <c r="AB130" s="135">
        <f t="shared" si="34"/>
        <v>2.2000000000000002</v>
      </c>
      <c r="AC130" s="135">
        <f t="shared" si="34"/>
        <v>2.2000000000000002</v>
      </c>
      <c r="AD130" s="135">
        <f t="shared" si="34"/>
        <v>2.2000000000000002</v>
      </c>
      <c r="AE130" s="135">
        <f t="shared" si="34"/>
        <v>2.2000000000000002</v>
      </c>
      <c r="AF130" s="135">
        <f t="shared" si="34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2"/>
        <v>2</v>
      </c>
      <c r="C131" s="136">
        <v>2</v>
      </c>
      <c r="D131" s="135">
        <f t="shared" si="33"/>
        <v>2</v>
      </c>
      <c r="E131" s="135">
        <f t="shared" si="33"/>
        <v>2</v>
      </c>
      <c r="F131" s="135">
        <f t="shared" si="33"/>
        <v>2</v>
      </c>
      <c r="G131" s="135">
        <f t="shared" si="33"/>
        <v>2</v>
      </c>
      <c r="H131" s="135">
        <f t="shared" si="33"/>
        <v>2</v>
      </c>
      <c r="I131" s="135">
        <f t="shared" si="33"/>
        <v>2</v>
      </c>
      <c r="J131" s="135">
        <f t="shared" si="33"/>
        <v>2</v>
      </c>
      <c r="K131" s="135">
        <f t="shared" si="33"/>
        <v>2</v>
      </c>
      <c r="L131" s="135">
        <f t="shared" si="33"/>
        <v>2</v>
      </c>
      <c r="M131" s="135">
        <f t="shared" si="33"/>
        <v>2</v>
      </c>
      <c r="N131" s="135">
        <f t="shared" si="33"/>
        <v>2</v>
      </c>
      <c r="O131" s="135">
        <f t="shared" si="33"/>
        <v>2</v>
      </c>
      <c r="P131" s="135">
        <f t="shared" si="33"/>
        <v>2</v>
      </c>
      <c r="Q131" s="135">
        <f t="shared" si="33"/>
        <v>2</v>
      </c>
      <c r="R131" s="135">
        <f t="shared" si="33"/>
        <v>2</v>
      </c>
      <c r="S131" s="135">
        <f t="shared" si="33"/>
        <v>2</v>
      </c>
      <c r="T131" s="135">
        <f t="shared" si="34"/>
        <v>2</v>
      </c>
      <c r="U131" s="135">
        <f t="shared" si="34"/>
        <v>2</v>
      </c>
      <c r="V131" s="135">
        <f t="shared" si="34"/>
        <v>2</v>
      </c>
      <c r="W131" s="135">
        <f t="shared" si="34"/>
        <v>2</v>
      </c>
      <c r="X131" s="135">
        <f t="shared" si="34"/>
        <v>2</v>
      </c>
      <c r="Y131" s="135">
        <f t="shared" si="34"/>
        <v>2</v>
      </c>
      <c r="Z131" s="135">
        <f t="shared" si="34"/>
        <v>2</v>
      </c>
      <c r="AA131" s="135">
        <f t="shared" si="34"/>
        <v>2</v>
      </c>
      <c r="AB131" s="135">
        <f t="shared" si="34"/>
        <v>2</v>
      </c>
      <c r="AC131" s="135">
        <f t="shared" si="34"/>
        <v>2</v>
      </c>
      <c r="AD131" s="135">
        <f t="shared" si="34"/>
        <v>2</v>
      </c>
      <c r="AE131" s="135">
        <f t="shared" si="34"/>
        <v>2</v>
      </c>
      <c r="AF131" s="135">
        <f t="shared" si="34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2"/>
        <v>1.25</v>
      </c>
      <c r="C132" s="136">
        <v>1.25</v>
      </c>
      <c r="D132" s="135">
        <f t="shared" si="33"/>
        <v>1.25</v>
      </c>
      <c r="E132" s="135">
        <f t="shared" si="33"/>
        <v>1.25</v>
      </c>
      <c r="F132" s="135">
        <f t="shared" si="33"/>
        <v>1.25</v>
      </c>
      <c r="G132" s="135">
        <f t="shared" si="33"/>
        <v>1.25</v>
      </c>
      <c r="H132" s="135">
        <f t="shared" si="33"/>
        <v>1.25</v>
      </c>
      <c r="I132" s="135">
        <f t="shared" si="33"/>
        <v>1.25</v>
      </c>
      <c r="J132" s="135">
        <f t="shared" si="33"/>
        <v>1.25</v>
      </c>
      <c r="K132" s="135">
        <f t="shared" si="33"/>
        <v>1.25</v>
      </c>
      <c r="L132" s="135">
        <f t="shared" si="33"/>
        <v>1.25</v>
      </c>
      <c r="M132" s="135">
        <f t="shared" si="33"/>
        <v>1.25</v>
      </c>
      <c r="N132" s="135">
        <f t="shared" si="33"/>
        <v>1.25</v>
      </c>
      <c r="O132" s="135">
        <f t="shared" si="33"/>
        <v>1.25</v>
      </c>
      <c r="P132" s="135">
        <f t="shared" si="33"/>
        <v>1.25</v>
      </c>
      <c r="Q132" s="135">
        <f t="shared" si="33"/>
        <v>1.25</v>
      </c>
      <c r="R132" s="135">
        <f t="shared" si="33"/>
        <v>1.25</v>
      </c>
      <c r="S132" s="135">
        <f t="shared" si="33"/>
        <v>1.25</v>
      </c>
      <c r="T132" s="135">
        <f t="shared" si="34"/>
        <v>1.25</v>
      </c>
      <c r="U132" s="135">
        <f t="shared" si="34"/>
        <v>1.25</v>
      </c>
      <c r="V132" s="135">
        <f t="shared" si="34"/>
        <v>1.25</v>
      </c>
      <c r="W132" s="135">
        <f t="shared" si="34"/>
        <v>1.25</v>
      </c>
      <c r="X132" s="135">
        <f t="shared" si="34"/>
        <v>1.25</v>
      </c>
      <c r="Y132" s="135">
        <f t="shared" si="34"/>
        <v>1.25</v>
      </c>
      <c r="Z132" s="135">
        <f t="shared" si="34"/>
        <v>1.25</v>
      </c>
      <c r="AA132" s="135">
        <f t="shared" si="34"/>
        <v>1.25</v>
      </c>
      <c r="AB132" s="135">
        <f t="shared" si="34"/>
        <v>1.25</v>
      </c>
      <c r="AC132" s="135">
        <f t="shared" si="34"/>
        <v>1.25</v>
      </c>
      <c r="AD132" s="135">
        <f t="shared" si="34"/>
        <v>1.25</v>
      </c>
      <c r="AE132" s="135">
        <f t="shared" si="34"/>
        <v>1.25</v>
      </c>
      <c r="AF132" s="135">
        <f t="shared" si="34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2"/>
        <v>1.1499999999999999</v>
      </c>
      <c r="C133" s="136">
        <v>1.1499999999999999</v>
      </c>
      <c r="D133" s="135">
        <f t="shared" si="33"/>
        <v>1.1499999999999999</v>
      </c>
      <c r="E133" s="135">
        <f t="shared" si="33"/>
        <v>1.1499999999999999</v>
      </c>
      <c r="F133" s="135">
        <f t="shared" si="33"/>
        <v>1.1499999999999999</v>
      </c>
      <c r="G133" s="135">
        <f t="shared" si="33"/>
        <v>1.1499999999999999</v>
      </c>
      <c r="H133" s="135">
        <f t="shared" si="33"/>
        <v>1.1499999999999999</v>
      </c>
      <c r="I133" s="135">
        <f t="shared" si="33"/>
        <v>1.1499999999999999</v>
      </c>
      <c r="J133" s="135">
        <f t="shared" si="33"/>
        <v>1.1499999999999999</v>
      </c>
      <c r="K133" s="135">
        <f t="shared" si="33"/>
        <v>1.1499999999999999</v>
      </c>
      <c r="L133" s="135">
        <f t="shared" si="33"/>
        <v>1.1499999999999999</v>
      </c>
      <c r="M133" s="135">
        <f t="shared" si="33"/>
        <v>1.1499999999999999</v>
      </c>
      <c r="N133" s="135">
        <f t="shared" si="33"/>
        <v>1.1499999999999999</v>
      </c>
      <c r="O133" s="135">
        <f t="shared" si="33"/>
        <v>1.1499999999999999</v>
      </c>
      <c r="P133" s="135">
        <f t="shared" si="33"/>
        <v>1.1499999999999999</v>
      </c>
      <c r="Q133" s="135">
        <f t="shared" si="33"/>
        <v>1.1499999999999999</v>
      </c>
      <c r="R133" s="135">
        <f t="shared" si="33"/>
        <v>1.1499999999999999</v>
      </c>
      <c r="S133" s="135">
        <f t="shared" si="33"/>
        <v>1.1499999999999999</v>
      </c>
      <c r="T133" s="135">
        <f t="shared" si="34"/>
        <v>1.1499999999999999</v>
      </c>
      <c r="U133" s="135">
        <f t="shared" si="34"/>
        <v>1.1499999999999999</v>
      </c>
      <c r="V133" s="135">
        <f t="shared" si="34"/>
        <v>1.1499999999999999</v>
      </c>
      <c r="W133" s="135">
        <f t="shared" si="34"/>
        <v>1.1499999999999999</v>
      </c>
      <c r="X133" s="135">
        <f t="shared" si="34"/>
        <v>1.1499999999999999</v>
      </c>
      <c r="Y133" s="135">
        <f t="shared" si="34"/>
        <v>1.1499999999999999</v>
      </c>
      <c r="Z133" s="135">
        <f t="shared" si="34"/>
        <v>1.1499999999999999</v>
      </c>
      <c r="AA133" s="135">
        <f t="shared" si="34"/>
        <v>1.1499999999999999</v>
      </c>
      <c r="AB133" s="135">
        <f t="shared" si="34"/>
        <v>1.1499999999999999</v>
      </c>
      <c r="AC133" s="135">
        <f t="shared" si="34"/>
        <v>1.1499999999999999</v>
      </c>
      <c r="AD133" s="135">
        <f t="shared" si="34"/>
        <v>1.1499999999999999</v>
      </c>
      <c r="AE133" s="135">
        <f t="shared" si="34"/>
        <v>1.1499999999999999</v>
      </c>
      <c r="AF133" s="135">
        <f t="shared" si="34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2"/>
        <v>2.133</v>
      </c>
      <c r="C134" s="136">
        <v>2.133</v>
      </c>
      <c r="D134" s="135">
        <f t="shared" si="33"/>
        <v>2.133</v>
      </c>
      <c r="E134" s="135">
        <f t="shared" si="33"/>
        <v>2.133</v>
      </c>
      <c r="F134" s="135">
        <f t="shared" si="33"/>
        <v>2.133</v>
      </c>
      <c r="G134" s="135">
        <f t="shared" si="33"/>
        <v>2.133</v>
      </c>
      <c r="H134" s="135">
        <f t="shared" si="33"/>
        <v>2.133</v>
      </c>
      <c r="I134" s="135">
        <f t="shared" si="33"/>
        <v>2.133</v>
      </c>
      <c r="J134" s="135">
        <f t="shared" si="33"/>
        <v>2.133</v>
      </c>
      <c r="K134" s="135">
        <f t="shared" si="33"/>
        <v>2.133</v>
      </c>
      <c r="L134" s="135">
        <f t="shared" si="33"/>
        <v>2.133</v>
      </c>
      <c r="M134" s="135">
        <f t="shared" si="33"/>
        <v>2.133</v>
      </c>
      <c r="N134" s="135">
        <f t="shared" si="33"/>
        <v>2.133</v>
      </c>
      <c r="O134" s="135">
        <f t="shared" si="33"/>
        <v>2.133</v>
      </c>
      <c r="P134" s="135">
        <f t="shared" si="33"/>
        <v>2.133</v>
      </c>
      <c r="Q134" s="135">
        <f t="shared" si="33"/>
        <v>2.133</v>
      </c>
      <c r="R134" s="135">
        <f t="shared" si="33"/>
        <v>2.133</v>
      </c>
      <c r="S134" s="135">
        <f t="shared" si="33"/>
        <v>2.133</v>
      </c>
      <c r="T134" s="135">
        <f t="shared" si="34"/>
        <v>2.133</v>
      </c>
      <c r="U134" s="135">
        <f t="shared" si="34"/>
        <v>2.133</v>
      </c>
      <c r="V134" s="135">
        <f t="shared" si="34"/>
        <v>2.133</v>
      </c>
      <c r="W134" s="135">
        <f t="shared" si="34"/>
        <v>2.133</v>
      </c>
      <c r="X134" s="135">
        <f t="shared" si="34"/>
        <v>2.133</v>
      </c>
      <c r="Y134" s="135">
        <f t="shared" si="34"/>
        <v>2.133</v>
      </c>
      <c r="Z134" s="135">
        <f t="shared" si="34"/>
        <v>2.133</v>
      </c>
      <c r="AA134" s="135">
        <f t="shared" si="34"/>
        <v>2.133</v>
      </c>
      <c r="AB134" s="135">
        <f t="shared" si="34"/>
        <v>2.133</v>
      </c>
      <c r="AC134" s="135">
        <f t="shared" si="34"/>
        <v>2.133</v>
      </c>
      <c r="AD134" s="135">
        <f t="shared" si="34"/>
        <v>2.133</v>
      </c>
      <c r="AE134" s="135">
        <f t="shared" si="34"/>
        <v>2.133</v>
      </c>
      <c r="AF134" s="135">
        <f t="shared" si="34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2"/>
        <v>2.09</v>
      </c>
      <c r="C135" s="136">
        <v>2.09</v>
      </c>
      <c r="D135" s="135">
        <f t="shared" si="33"/>
        <v>2.09</v>
      </c>
      <c r="E135" s="135">
        <f t="shared" si="33"/>
        <v>2.09</v>
      </c>
      <c r="F135" s="135">
        <f t="shared" si="33"/>
        <v>2.09</v>
      </c>
      <c r="G135" s="135">
        <f t="shared" si="33"/>
        <v>2.09</v>
      </c>
      <c r="H135" s="135">
        <f t="shared" si="33"/>
        <v>2.09</v>
      </c>
      <c r="I135" s="135">
        <f t="shared" si="33"/>
        <v>2.09</v>
      </c>
      <c r="J135" s="135">
        <f t="shared" si="33"/>
        <v>2.09</v>
      </c>
      <c r="K135" s="135">
        <f t="shared" si="33"/>
        <v>2.09</v>
      </c>
      <c r="L135" s="135">
        <f t="shared" si="33"/>
        <v>2.09</v>
      </c>
      <c r="M135" s="135">
        <f t="shared" si="33"/>
        <v>2.09</v>
      </c>
      <c r="N135" s="135">
        <f t="shared" si="33"/>
        <v>2.09</v>
      </c>
      <c r="O135" s="135">
        <f t="shared" si="33"/>
        <v>2.09</v>
      </c>
      <c r="P135" s="135">
        <f t="shared" si="33"/>
        <v>2.09</v>
      </c>
      <c r="Q135" s="135">
        <f t="shared" si="33"/>
        <v>2.09</v>
      </c>
      <c r="R135" s="135">
        <f t="shared" si="33"/>
        <v>2.09</v>
      </c>
      <c r="S135" s="135">
        <f t="shared" si="33"/>
        <v>2.09</v>
      </c>
      <c r="T135" s="135">
        <f t="shared" si="34"/>
        <v>2.09</v>
      </c>
      <c r="U135" s="135">
        <f t="shared" si="34"/>
        <v>2.09</v>
      </c>
      <c r="V135" s="135">
        <f t="shared" si="34"/>
        <v>2.09</v>
      </c>
      <c r="W135" s="135">
        <f t="shared" si="34"/>
        <v>2.09</v>
      </c>
      <c r="X135" s="135">
        <f t="shared" si="34"/>
        <v>2.09</v>
      </c>
      <c r="Y135" s="135">
        <f t="shared" si="34"/>
        <v>2.09</v>
      </c>
      <c r="Z135" s="135">
        <f t="shared" si="34"/>
        <v>2.09</v>
      </c>
      <c r="AA135" s="135">
        <f t="shared" si="34"/>
        <v>2.09</v>
      </c>
      <c r="AB135" s="135">
        <f t="shared" si="34"/>
        <v>2.09</v>
      </c>
      <c r="AC135" s="135">
        <f t="shared" si="34"/>
        <v>2.09</v>
      </c>
      <c r="AD135" s="135">
        <f t="shared" si="34"/>
        <v>2.09</v>
      </c>
      <c r="AE135" s="135">
        <f t="shared" si="34"/>
        <v>2.09</v>
      </c>
      <c r="AF135" s="135">
        <f t="shared" si="34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2"/>
        <v>1.1399999999999999</v>
      </c>
      <c r="C136" s="136">
        <v>1.1399999999999999</v>
      </c>
      <c r="D136" s="135">
        <f t="shared" si="33"/>
        <v>1.1399999999999999</v>
      </c>
      <c r="E136" s="135">
        <f t="shared" si="33"/>
        <v>1.1399999999999999</v>
      </c>
      <c r="F136" s="135">
        <f t="shared" si="33"/>
        <v>1.1399999999999999</v>
      </c>
      <c r="G136" s="135">
        <f t="shared" si="33"/>
        <v>1.1399999999999999</v>
      </c>
      <c r="H136" s="135">
        <f t="shared" si="33"/>
        <v>1.1399999999999999</v>
      </c>
      <c r="I136" s="135">
        <f t="shared" si="33"/>
        <v>1.1399999999999999</v>
      </c>
      <c r="J136" s="135">
        <f t="shared" si="33"/>
        <v>1.1399999999999999</v>
      </c>
      <c r="K136" s="135">
        <f t="shared" si="33"/>
        <v>1.1399999999999999</v>
      </c>
      <c r="L136" s="135">
        <f t="shared" si="33"/>
        <v>1.1399999999999999</v>
      </c>
      <c r="M136" s="135">
        <f t="shared" si="33"/>
        <v>1.1399999999999999</v>
      </c>
      <c r="N136" s="135">
        <f t="shared" si="33"/>
        <v>1.1399999999999999</v>
      </c>
      <c r="O136" s="135">
        <f t="shared" si="33"/>
        <v>1.1399999999999999</v>
      </c>
      <c r="P136" s="135">
        <f t="shared" si="33"/>
        <v>1.1399999999999999</v>
      </c>
      <c r="Q136" s="135">
        <f t="shared" si="33"/>
        <v>1.1399999999999999</v>
      </c>
      <c r="R136" s="135">
        <f t="shared" si="33"/>
        <v>1.1399999999999999</v>
      </c>
      <c r="S136" s="135">
        <f t="shared" si="33"/>
        <v>1.1399999999999999</v>
      </c>
      <c r="T136" s="135">
        <f t="shared" si="34"/>
        <v>1.1399999999999999</v>
      </c>
      <c r="U136" s="135">
        <f t="shared" si="34"/>
        <v>1.1399999999999999</v>
      </c>
      <c r="V136" s="135">
        <f t="shared" si="34"/>
        <v>1.1399999999999999</v>
      </c>
      <c r="W136" s="135">
        <f t="shared" si="34"/>
        <v>1.1399999999999999</v>
      </c>
      <c r="X136" s="135">
        <f t="shared" si="34"/>
        <v>1.1399999999999999</v>
      </c>
      <c r="Y136" s="135">
        <f t="shared" si="34"/>
        <v>1.1399999999999999</v>
      </c>
      <c r="Z136" s="135">
        <f t="shared" si="34"/>
        <v>1.1399999999999999</v>
      </c>
      <c r="AA136" s="135">
        <f t="shared" si="34"/>
        <v>1.1399999999999999</v>
      </c>
      <c r="AB136" s="135">
        <f t="shared" si="34"/>
        <v>1.1399999999999999</v>
      </c>
      <c r="AC136" s="135">
        <f t="shared" si="34"/>
        <v>1.1399999999999999</v>
      </c>
      <c r="AD136" s="135">
        <f t="shared" si="34"/>
        <v>1.1399999999999999</v>
      </c>
      <c r="AE136" s="135">
        <f t="shared" si="34"/>
        <v>1.1399999999999999</v>
      </c>
      <c r="AF136" s="135">
        <f t="shared" si="34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2"/>
        <v>0.82</v>
      </c>
      <c r="C137" s="136">
        <v>0.82</v>
      </c>
      <c r="D137" s="135">
        <f t="shared" si="33"/>
        <v>0.82</v>
      </c>
      <c r="E137" s="135">
        <f t="shared" si="33"/>
        <v>0.82</v>
      </c>
      <c r="F137" s="135">
        <f t="shared" si="33"/>
        <v>0.82</v>
      </c>
      <c r="G137" s="135">
        <f t="shared" si="33"/>
        <v>0.82</v>
      </c>
      <c r="H137" s="135">
        <f t="shared" si="33"/>
        <v>0.82</v>
      </c>
      <c r="I137" s="135">
        <f t="shared" si="33"/>
        <v>0.82</v>
      </c>
      <c r="J137" s="135">
        <f t="shared" si="33"/>
        <v>0.82</v>
      </c>
      <c r="K137" s="135">
        <f t="shared" si="33"/>
        <v>0.82</v>
      </c>
      <c r="L137" s="135">
        <f t="shared" si="33"/>
        <v>0.82</v>
      </c>
      <c r="M137" s="135">
        <f t="shared" si="33"/>
        <v>0.82</v>
      </c>
      <c r="N137" s="135">
        <f t="shared" si="33"/>
        <v>0.82</v>
      </c>
      <c r="O137" s="135">
        <f t="shared" si="33"/>
        <v>0.82</v>
      </c>
      <c r="P137" s="135">
        <f t="shared" si="33"/>
        <v>0.82</v>
      </c>
      <c r="Q137" s="135">
        <f t="shared" si="33"/>
        <v>0.82</v>
      </c>
      <c r="R137" s="135">
        <f t="shared" si="33"/>
        <v>0.82</v>
      </c>
      <c r="S137" s="135">
        <f t="shared" si="33"/>
        <v>0.82</v>
      </c>
      <c r="T137" s="135">
        <f t="shared" si="34"/>
        <v>0.82</v>
      </c>
      <c r="U137" s="135">
        <f t="shared" si="34"/>
        <v>0.82</v>
      </c>
      <c r="V137" s="135">
        <f t="shared" si="34"/>
        <v>0.82</v>
      </c>
      <c r="W137" s="135">
        <f t="shared" si="34"/>
        <v>0.82</v>
      </c>
      <c r="X137" s="135">
        <f t="shared" si="34"/>
        <v>0.82</v>
      </c>
      <c r="Y137" s="135">
        <f t="shared" si="34"/>
        <v>0.82</v>
      </c>
      <c r="Z137" s="135">
        <f t="shared" si="34"/>
        <v>0.82</v>
      </c>
      <c r="AA137" s="135">
        <f t="shared" si="34"/>
        <v>0.82</v>
      </c>
      <c r="AB137" s="135">
        <f t="shared" si="34"/>
        <v>0.82</v>
      </c>
      <c r="AC137" s="135">
        <f t="shared" si="34"/>
        <v>0.82</v>
      </c>
      <c r="AD137" s="135">
        <f t="shared" si="34"/>
        <v>0.82</v>
      </c>
      <c r="AE137" s="135">
        <f t="shared" si="34"/>
        <v>0.82</v>
      </c>
      <c r="AF137" s="135">
        <f t="shared" si="34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5">AF139</f>
        <v>2</v>
      </c>
      <c r="C139" s="136">
        <v>2</v>
      </c>
      <c r="D139" s="135">
        <f t="shared" ref="D139:S145" si="36">C139</f>
        <v>2</v>
      </c>
      <c r="E139" s="135">
        <f t="shared" si="36"/>
        <v>2</v>
      </c>
      <c r="F139" s="135">
        <f t="shared" si="36"/>
        <v>2</v>
      </c>
      <c r="G139" s="135">
        <f t="shared" si="36"/>
        <v>2</v>
      </c>
      <c r="H139" s="135">
        <f t="shared" si="36"/>
        <v>2</v>
      </c>
      <c r="I139" s="135">
        <f t="shared" si="36"/>
        <v>2</v>
      </c>
      <c r="J139" s="135">
        <f t="shared" si="36"/>
        <v>2</v>
      </c>
      <c r="K139" s="135">
        <f t="shared" si="36"/>
        <v>2</v>
      </c>
      <c r="L139" s="135">
        <f t="shared" si="36"/>
        <v>2</v>
      </c>
      <c r="M139" s="135">
        <f t="shared" si="36"/>
        <v>2</v>
      </c>
      <c r="N139" s="135">
        <f t="shared" si="36"/>
        <v>2</v>
      </c>
      <c r="O139" s="135">
        <f t="shared" si="36"/>
        <v>2</v>
      </c>
      <c r="P139" s="135">
        <f t="shared" si="36"/>
        <v>2</v>
      </c>
      <c r="Q139" s="135">
        <f t="shared" si="36"/>
        <v>2</v>
      </c>
      <c r="R139" s="135">
        <f t="shared" si="36"/>
        <v>2</v>
      </c>
      <c r="S139" s="135">
        <f t="shared" si="36"/>
        <v>2</v>
      </c>
      <c r="T139" s="135">
        <f t="shared" ref="T139:AF145" si="37">S139</f>
        <v>2</v>
      </c>
      <c r="U139" s="135">
        <f t="shared" si="37"/>
        <v>2</v>
      </c>
      <c r="V139" s="135">
        <f t="shared" si="37"/>
        <v>2</v>
      </c>
      <c r="W139" s="135">
        <f t="shared" si="37"/>
        <v>2</v>
      </c>
      <c r="X139" s="135">
        <f t="shared" si="37"/>
        <v>2</v>
      </c>
      <c r="Y139" s="135">
        <f t="shared" si="37"/>
        <v>2</v>
      </c>
      <c r="Z139" s="135">
        <f t="shared" si="37"/>
        <v>2</v>
      </c>
      <c r="AA139" s="135">
        <f t="shared" si="37"/>
        <v>2</v>
      </c>
      <c r="AB139" s="135">
        <f t="shared" si="37"/>
        <v>2</v>
      </c>
      <c r="AC139" s="135">
        <f t="shared" si="37"/>
        <v>2</v>
      </c>
      <c r="AD139" s="135">
        <f t="shared" si="37"/>
        <v>2</v>
      </c>
      <c r="AE139" s="135">
        <f t="shared" si="37"/>
        <v>2</v>
      </c>
      <c r="AF139" s="135">
        <f t="shared" si="37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5"/>
        <v>5.61</v>
      </c>
      <c r="C140" s="136">
        <v>5.61</v>
      </c>
      <c r="D140" s="135">
        <f t="shared" si="36"/>
        <v>5.61</v>
      </c>
      <c r="E140" s="135">
        <f t="shared" si="36"/>
        <v>5.61</v>
      </c>
      <c r="F140" s="135">
        <f t="shared" si="36"/>
        <v>5.61</v>
      </c>
      <c r="G140" s="135">
        <f t="shared" si="36"/>
        <v>5.61</v>
      </c>
      <c r="H140" s="135">
        <f t="shared" si="36"/>
        <v>5.61</v>
      </c>
      <c r="I140" s="135">
        <f t="shared" si="36"/>
        <v>5.61</v>
      </c>
      <c r="J140" s="135">
        <f t="shared" si="36"/>
        <v>5.61</v>
      </c>
      <c r="K140" s="135">
        <f t="shared" si="36"/>
        <v>5.61</v>
      </c>
      <c r="L140" s="135">
        <f t="shared" si="36"/>
        <v>5.61</v>
      </c>
      <c r="M140" s="135">
        <f t="shared" si="36"/>
        <v>5.61</v>
      </c>
      <c r="N140" s="135">
        <f t="shared" si="36"/>
        <v>5.61</v>
      </c>
      <c r="O140" s="135">
        <f t="shared" si="36"/>
        <v>5.61</v>
      </c>
      <c r="P140" s="135">
        <f t="shared" si="36"/>
        <v>5.61</v>
      </c>
      <c r="Q140" s="135">
        <f t="shared" si="36"/>
        <v>5.61</v>
      </c>
      <c r="R140" s="135">
        <f t="shared" si="36"/>
        <v>5.61</v>
      </c>
      <c r="S140" s="135">
        <f t="shared" si="36"/>
        <v>5.61</v>
      </c>
      <c r="T140" s="135">
        <f t="shared" si="37"/>
        <v>5.61</v>
      </c>
      <c r="U140" s="135">
        <f t="shared" si="37"/>
        <v>5.61</v>
      </c>
      <c r="V140" s="135">
        <f t="shared" si="37"/>
        <v>5.61</v>
      </c>
      <c r="W140" s="135">
        <f t="shared" si="37"/>
        <v>5.61</v>
      </c>
      <c r="X140" s="135">
        <f t="shared" si="37"/>
        <v>5.61</v>
      </c>
      <c r="Y140" s="135">
        <f t="shared" si="37"/>
        <v>5.61</v>
      </c>
      <c r="Z140" s="135">
        <f t="shared" si="37"/>
        <v>5.61</v>
      </c>
      <c r="AA140" s="135">
        <f t="shared" si="37"/>
        <v>5.61</v>
      </c>
      <c r="AB140" s="135">
        <f t="shared" si="37"/>
        <v>5.61</v>
      </c>
      <c r="AC140" s="135">
        <f t="shared" si="37"/>
        <v>5.61</v>
      </c>
      <c r="AD140" s="135">
        <f t="shared" si="37"/>
        <v>5.61</v>
      </c>
      <c r="AE140" s="135">
        <f t="shared" si="37"/>
        <v>5.61</v>
      </c>
      <c r="AF140" s="135">
        <f t="shared" si="37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5"/>
        <v>1.25</v>
      </c>
      <c r="C141" s="136">
        <v>1.25</v>
      </c>
      <c r="D141" s="135">
        <f t="shared" si="36"/>
        <v>1.25</v>
      </c>
      <c r="E141" s="135">
        <f t="shared" si="36"/>
        <v>1.25</v>
      </c>
      <c r="F141" s="135">
        <f t="shared" si="36"/>
        <v>1.25</v>
      </c>
      <c r="G141" s="135">
        <f t="shared" si="36"/>
        <v>1.25</v>
      </c>
      <c r="H141" s="135">
        <f t="shared" si="36"/>
        <v>1.25</v>
      </c>
      <c r="I141" s="135">
        <f t="shared" si="36"/>
        <v>1.25</v>
      </c>
      <c r="J141" s="135">
        <f t="shared" si="36"/>
        <v>1.25</v>
      </c>
      <c r="K141" s="135">
        <f t="shared" si="36"/>
        <v>1.25</v>
      </c>
      <c r="L141" s="135">
        <f t="shared" si="36"/>
        <v>1.25</v>
      </c>
      <c r="M141" s="135">
        <f t="shared" si="36"/>
        <v>1.25</v>
      </c>
      <c r="N141" s="135">
        <f t="shared" si="36"/>
        <v>1.25</v>
      </c>
      <c r="O141" s="135">
        <f t="shared" si="36"/>
        <v>1.25</v>
      </c>
      <c r="P141" s="135">
        <f t="shared" si="36"/>
        <v>1.25</v>
      </c>
      <c r="Q141" s="135">
        <f t="shared" si="36"/>
        <v>1.25</v>
      </c>
      <c r="R141" s="135">
        <f t="shared" si="36"/>
        <v>1.25</v>
      </c>
      <c r="S141" s="135">
        <f t="shared" si="36"/>
        <v>1.25</v>
      </c>
      <c r="T141" s="135">
        <f t="shared" si="37"/>
        <v>1.25</v>
      </c>
      <c r="U141" s="135">
        <f t="shared" si="37"/>
        <v>1.25</v>
      </c>
      <c r="V141" s="135">
        <f t="shared" si="37"/>
        <v>1.25</v>
      </c>
      <c r="W141" s="135">
        <f t="shared" si="37"/>
        <v>1.25</v>
      </c>
      <c r="X141" s="135">
        <f t="shared" si="37"/>
        <v>1.25</v>
      </c>
      <c r="Y141" s="135">
        <f t="shared" si="37"/>
        <v>1.25</v>
      </c>
      <c r="Z141" s="135">
        <f t="shared" si="37"/>
        <v>1.25</v>
      </c>
      <c r="AA141" s="135">
        <f t="shared" si="37"/>
        <v>1.25</v>
      </c>
      <c r="AB141" s="135">
        <f t="shared" si="37"/>
        <v>1.25</v>
      </c>
      <c r="AC141" s="135">
        <f t="shared" si="37"/>
        <v>1.25</v>
      </c>
      <c r="AD141" s="135">
        <f t="shared" si="37"/>
        <v>1.25</v>
      </c>
      <c r="AE141" s="135">
        <f t="shared" si="37"/>
        <v>1.25</v>
      </c>
      <c r="AF141" s="135">
        <f t="shared" si="37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5"/>
        <v>1.25</v>
      </c>
      <c r="C142" s="136">
        <v>1.25</v>
      </c>
      <c r="D142" s="135">
        <f t="shared" si="36"/>
        <v>1.25</v>
      </c>
      <c r="E142" s="135">
        <f t="shared" si="36"/>
        <v>1.25</v>
      </c>
      <c r="F142" s="135">
        <f t="shared" si="36"/>
        <v>1.25</v>
      </c>
      <c r="G142" s="135">
        <f t="shared" si="36"/>
        <v>1.25</v>
      </c>
      <c r="H142" s="135">
        <f t="shared" si="36"/>
        <v>1.25</v>
      </c>
      <c r="I142" s="135">
        <f t="shared" si="36"/>
        <v>1.25</v>
      </c>
      <c r="J142" s="135">
        <f t="shared" si="36"/>
        <v>1.25</v>
      </c>
      <c r="K142" s="135">
        <f t="shared" si="36"/>
        <v>1.25</v>
      </c>
      <c r="L142" s="135">
        <f t="shared" si="36"/>
        <v>1.25</v>
      </c>
      <c r="M142" s="135">
        <f t="shared" si="36"/>
        <v>1.25</v>
      </c>
      <c r="N142" s="135">
        <f t="shared" si="36"/>
        <v>1.25</v>
      </c>
      <c r="O142" s="135">
        <f t="shared" si="36"/>
        <v>1.25</v>
      </c>
      <c r="P142" s="135">
        <f t="shared" si="36"/>
        <v>1.25</v>
      </c>
      <c r="Q142" s="135">
        <f t="shared" si="36"/>
        <v>1.25</v>
      </c>
      <c r="R142" s="135">
        <f t="shared" si="36"/>
        <v>1.25</v>
      </c>
      <c r="S142" s="135">
        <f t="shared" si="36"/>
        <v>1.25</v>
      </c>
      <c r="T142" s="135">
        <f t="shared" si="37"/>
        <v>1.25</v>
      </c>
      <c r="U142" s="135">
        <f t="shared" si="37"/>
        <v>1.25</v>
      </c>
      <c r="V142" s="135">
        <f t="shared" si="37"/>
        <v>1.25</v>
      </c>
      <c r="W142" s="135">
        <f t="shared" si="37"/>
        <v>1.25</v>
      </c>
      <c r="X142" s="135">
        <f t="shared" si="37"/>
        <v>1.25</v>
      </c>
      <c r="Y142" s="135">
        <f t="shared" si="37"/>
        <v>1.25</v>
      </c>
      <c r="Z142" s="135">
        <f t="shared" si="37"/>
        <v>1.25</v>
      </c>
      <c r="AA142" s="135">
        <f t="shared" si="37"/>
        <v>1.25</v>
      </c>
      <c r="AB142" s="135">
        <f t="shared" si="37"/>
        <v>1.25</v>
      </c>
      <c r="AC142" s="135">
        <f t="shared" si="37"/>
        <v>1.25</v>
      </c>
      <c r="AD142" s="135">
        <f t="shared" si="37"/>
        <v>1.25</v>
      </c>
      <c r="AE142" s="135">
        <f t="shared" si="37"/>
        <v>1.25</v>
      </c>
      <c r="AF142" s="135">
        <f t="shared" si="37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5"/>
        <v>1.46</v>
      </c>
      <c r="C143" s="136">
        <v>1.46</v>
      </c>
      <c r="D143" s="135">
        <f t="shared" si="36"/>
        <v>1.46</v>
      </c>
      <c r="E143" s="135">
        <f t="shared" si="36"/>
        <v>1.46</v>
      </c>
      <c r="F143" s="135">
        <f t="shared" si="36"/>
        <v>1.46</v>
      </c>
      <c r="G143" s="135">
        <f t="shared" si="36"/>
        <v>1.46</v>
      </c>
      <c r="H143" s="135">
        <f t="shared" si="36"/>
        <v>1.46</v>
      </c>
      <c r="I143" s="135">
        <f t="shared" si="36"/>
        <v>1.46</v>
      </c>
      <c r="J143" s="135">
        <f t="shared" si="36"/>
        <v>1.46</v>
      </c>
      <c r="K143" s="135">
        <f t="shared" si="36"/>
        <v>1.46</v>
      </c>
      <c r="L143" s="135">
        <f t="shared" si="36"/>
        <v>1.46</v>
      </c>
      <c r="M143" s="135">
        <f t="shared" si="36"/>
        <v>1.46</v>
      </c>
      <c r="N143" s="135">
        <f t="shared" si="36"/>
        <v>1.46</v>
      </c>
      <c r="O143" s="135">
        <f t="shared" si="36"/>
        <v>1.46</v>
      </c>
      <c r="P143" s="135">
        <f t="shared" si="36"/>
        <v>1.46</v>
      </c>
      <c r="Q143" s="135">
        <f t="shared" si="36"/>
        <v>1.46</v>
      </c>
      <c r="R143" s="135">
        <f t="shared" si="36"/>
        <v>1.46</v>
      </c>
      <c r="S143" s="135">
        <f t="shared" si="36"/>
        <v>1.46</v>
      </c>
      <c r="T143" s="135">
        <f t="shared" si="37"/>
        <v>1.46</v>
      </c>
      <c r="U143" s="135">
        <f t="shared" si="37"/>
        <v>1.46</v>
      </c>
      <c r="V143" s="135">
        <f t="shared" si="37"/>
        <v>1.46</v>
      </c>
      <c r="W143" s="135">
        <f t="shared" si="37"/>
        <v>1.46</v>
      </c>
      <c r="X143" s="135">
        <f t="shared" si="37"/>
        <v>1.46</v>
      </c>
      <c r="Y143" s="135">
        <f t="shared" si="37"/>
        <v>1.46</v>
      </c>
      <c r="Z143" s="135">
        <f t="shared" si="37"/>
        <v>1.46</v>
      </c>
      <c r="AA143" s="135">
        <f t="shared" si="37"/>
        <v>1.46</v>
      </c>
      <c r="AB143" s="135">
        <f t="shared" si="37"/>
        <v>1.46</v>
      </c>
      <c r="AC143" s="135">
        <f t="shared" si="37"/>
        <v>1.46</v>
      </c>
      <c r="AD143" s="135">
        <f t="shared" si="37"/>
        <v>1.46</v>
      </c>
      <c r="AE143" s="135">
        <f t="shared" si="37"/>
        <v>1.46</v>
      </c>
      <c r="AF143" s="135">
        <f t="shared" si="37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5"/>
        <v>3</v>
      </c>
      <c r="C144" s="136">
        <v>3</v>
      </c>
      <c r="D144" s="135">
        <f t="shared" si="36"/>
        <v>3</v>
      </c>
      <c r="E144" s="135">
        <f t="shared" si="36"/>
        <v>3</v>
      </c>
      <c r="F144" s="135">
        <f t="shared" si="36"/>
        <v>3</v>
      </c>
      <c r="G144" s="135">
        <f t="shared" si="36"/>
        <v>3</v>
      </c>
      <c r="H144" s="135">
        <f t="shared" si="36"/>
        <v>3</v>
      </c>
      <c r="I144" s="135">
        <f t="shared" si="36"/>
        <v>3</v>
      </c>
      <c r="J144" s="135">
        <f t="shared" si="36"/>
        <v>3</v>
      </c>
      <c r="K144" s="135">
        <f t="shared" si="36"/>
        <v>3</v>
      </c>
      <c r="L144" s="135">
        <f t="shared" si="36"/>
        <v>3</v>
      </c>
      <c r="M144" s="135">
        <f t="shared" si="36"/>
        <v>3</v>
      </c>
      <c r="N144" s="135">
        <f t="shared" si="36"/>
        <v>3</v>
      </c>
      <c r="O144" s="135">
        <f t="shared" si="36"/>
        <v>3</v>
      </c>
      <c r="P144" s="135">
        <f t="shared" si="36"/>
        <v>3</v>
      </c>
      <c r="Q144" s="135">
        <f t="shared" si="36"/>
        <v>3</v>
      </c>
      <c r="R144" s="135">
        <f t="shared" si="36"/>
        <v>3</v>
      </c>
      <c r="S144" s="135">
        <f t="shared" si="36"/>
        <v>3</v>
      </c>
      <c r="T144" s="135">
        <f t="shared" si="37"/>
        <v>3</v>
      </c>
      <c r="U144" s="135">
        <f t="shared" si="37"/>
        <v>3</v>
      </c>
      <c r="V144" s="135">
        <f t="shared" si="37"/>
        <v>3</v>
      </c>
      <c r="W144" s="135">
        <f t="shared" si="37"/>
        <v>3</v>
      </c>
      <c r="X144" s="135">
        <f t="shared" si="37"/>
        <v>3</v>
      </c>
      <c r="Y144" s="135">
        <f t="shared" si="37"/>
        <v>3</v>
      </c>
      <c r="Z144" s="135">
        <f t="shared" si="37"/>
        <v>3</v>
      </c>
      <c r="AA144" s="135">
        <f t="shared" si="37"/>
        <v>3</v>
      </c>
      <c r="AB144" s="135">
        <f t="shared" si="37"/>
        <v>3</v>
      </c>
      <c r="AC144" s="135">
        <f t="shared" si="37"/>
        <v>3</v>
      </c>
      <c r="AD144" s="135">
        <f t="shared" si="37"/>
        <v>3</v>
      </c>
      <c r="AE144" s="135">
        <f t="shared" si="37"/>
        <v>3</v>
      </c>
      <c r="AF144" s="135">
        <f t="shared" si="37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5"/>
        <v>3.3</v>
      </c>
      <c r="C145" s="136">
        <v>3.3</v>
      </c>
      <c r="D145" s="135">
        <f t="shared" si="36"/>
        <v>3.3</v>
      </c>
      <c r="E145" s="135">
        <f t="shared" si="36"/>
        <v>3.3</v>
      </c>
      <c r="F145" s="135">
        <f t="shared" si="36"/>
        <v>3.3</v>
      </c>
      <c r="G145" s="135">
        <f t="shared" si="36"/>
        <v>3.3</v>
      </c>
      <c r="H145" s="135">
        <f t="shared" si="36"/>
        <v>3.3</v>
      </c>
      <c r="I145" s="135">
        <f t="shared" si="36"/>
        <v>3.3</v>
      </c>
      <c r="J145" s="135">
        <f t="shared" si="36"/>
        <v>3.3</v>
      </c>
      <c r="K145" s="135">
        <f t="shared" si="36"/>
        <v>3.3</v>
      </c>
      <c r="L145" s="135">
        <f t="shared" si="36"/>
        <v>3.3</v>
      </c>
      <c r="M145" s="135">
        <f t="shared" si="36"/>
        <v>3.3</v>
      </c>
      <c r="N145" s="135">
        <f t="shared" si="36"/>
        <v>3.3</v>
      </c>
      <c r="O145" s="135">
        <f t="shared" si="36"/>
        <v>3.3</v>
      </c>
      <c r="P145" s="135">
        <f t="shared" si="36"/>
        <v>3.3</v>
      </c>
      <c r="Q145" s="135">
        <f t="shared" si="36"/>
        <v>3.3</v>
      </c>
      <c r="R145" s="135">
        <f t="shared" si="36"/>
        <v>3.3</v>
      </c>
      <c r="S145" s="135">
        <f t="shared" si="36"/>
        <v>3.3</v>
      </c>
      <c r="T145" s="135">
        <f t="shared" si="37"/>
        <v>3.3</v>
      </c>
      <c r="U145" s="135">
        <f t="shared" si="37"/>
        <v>3.3</v>
      </c>
      <c r="V145" s="135">
        <f t="shared" si="37"/>
        <v>3.3</v>
      </c>
      <c r="W145" s="135">
        <f t="shared" si="37"/>
        <v>3.3</v>
      </c>
      <c r="X145" s="135">
        <f t="shared" si="37"/>
        <v>3.3</v>
      </c>
      <c r="Y145" s="135">
        <f t="shared" si="37"/>
        <v>3.3</v>
      </c>
      <c r="Z145" s="135">
        <f t="shared" si="37"/>
        <v>3.3</v>
      </c>
      <c r="AA145" s="135">
        <f t="shared" si="37"/>
        <v>3.3</v>
      </c>
      <c r="AB145" s="135">
        <f t="shared" si="37"/>
        <v>3.3</v>
      </c>
      <c r="AC145" s="135">
        <f t="shared" si="37"/>
        <v>3.3</v>
      </c>
      <c r="AD145" s="135">
        <f t="shared" si="37"/>
        <v>3.3</v>
      </c>
      <c r="AE145" s="135">
        <f t="shared" si="37"/>
        <v>3.3</v>
      </c>
      <c r="AF145" s="135">
        <f t="shared" si="37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38">C147</f>
        <v>1.76</v>
      </c>
      <c r="E147" s="135">
        <f t="shared" si="38"/>
        <v>1.76</v>
      </c>
      <c r="F147" s="135">
        <f t="shared" si="38"/>
        <v>1.76</v>
      </c>
      <c r="G147" s="135">
        <f t="shared" si="38"/>
        <v>1.76</v>
      </c>
      <c r="H147" s="135">
        <f t="shared" si="38"/>
        <v>1.76</v>
      </c>
      <c r="I147" s="135">
        <f t="shared" si="38"/>
        <v>1.76</v>
      </c>
      <c r="J147" s="135">
        <f t="shared" si="38"/>
        <v>1.76</v>
      </c>
      <c r="K147" s="135">
        <f t="shared" si="38"/>
        <v>1.76</v>
      </c>
      <c r="L147" s="135">
        <f t="shared" si="38"/>
        <v>1.76</v>
      </c>
      <c r="M147" s="135">
        <f t="shared" si="38"/>
        <v>1.76</v>
      </c>
      <c r="N147" s="135">
        <f t="shared" si="38"/>
        <v>1.76</v>
      </c>
      <c r="O147" s="135">
        <f t="shared" si="38"/>
        <v>1.76</v>
      </c>
      <c r="P147" s="135">
        <f t="shared" si="38"/>
        <v>1.76</v>
      </c>
      <c r="Q147" s="135">
        <f t="shared" si="38"/>
        <v>1.76</v>
      </c>
      <c r="R147" s="135">
        <f t="shared" si="38"/>
        <v>1.76</v>
      </c>
      <c r="S147" s="135">
        <f t="shared" si="38"/>
        <v>1.76</v>
      </c>
      <c r="T147" s="135">
        <f t="shared" ref="T147:AF148" si="39">S147</f>
        <v>1.76</v>
      </c>
      <c r="U147" s="135">
        <f t="shared" si="39"/>
        <v>1.76</v>
      </c>
      <c r="V147" s="135">
        <f t="shared" si="39"/>
        <v>1.76</v>
      </c>
      <c r="W147" s="135">
        <f t="shared" si="39"/>
        <v>1.76</v>
      </c>
      <c r="X147" s="135">
        <f t="shared" si="39"/>
        <v>1.76</v>
      </c>
      <c r="Y147" s="135">
        <f t="shared" si="39"/>
        <v>1.76</v>
      </c>
      <c r="Z147" s="135">
        <f t="shared" si="39"/>
        <v>1.76</v>
      </c>
      <c r="AA147" s="135">
        <f t="shared" si="39"/>
        <v>1.76</v>
      </c>
      <c r="AB147" s="135">
        <f t="shared" si="39"/>
        <v>1.76</v>
      </c>
      <c r="AC147" s="135">
        <f t="shared" si="39"/>
        <v>1.76</v>
      </c>
      <c r="AD147" s="135">
        <f t="shared" si="39"/>
        <v>1.76</v>
      </c>
      <c r="AE147" s="135">
        <f t="shared" si="39"/>
        <v>1.76</v>
      </c>
      <c r="AF147" s="135">
        <f t="shared" si="39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38"/>
        <v>0</v>
      </c>
      <c r="E148" s="135">
        <f t="shared" si="38"/>
        <v>0</v>
      </c>
      <c r="F148" s="135">
        <f t="shared" si="38"/>
        <v>0</v>
      </c>
      <c r="G148" s="135">
        <f t="shared" si="38"/>
        <v>0</v>
      </c>
      <c r="H148" s="135">
        <f t="shared" si="38"/>
        <v>0</v>
      </c>
      <c r="I148" s="135">
        <f t="shared" si="38"/>
        <v>0</v>
      </c>
      <c r="J148" s="135">
        <f t="shared" si="38"/>
        <v>0</v>
      </c>
      <c r="K148" s="135">
        <f t="shared" si="38"/>
        <v>0</v>
      </c>
      <c r="L148" s="135">
        <f t="shared" si="38"/>
        <v>0</v>
      </c>
      <c r="M148" s="135">
        <f t="shared" si="38"/>
        <v>0</v>
      </c>
      <c r="N148" s="135">
        <f t="shared" si="38"/>
        <v>0</v>
      </c>
      <c r="O148" s="135">
        <f t="shared" si="38"/>
        <v>0</v>
      </c>
      <c r="P148" s="135">
        <f t="shared" si="38"/>
        <v>0</v>
      </c>
      <c r="Q148" s="135">
        <f t="shared" si="38"/>
        <v>0</v>
      </c>
      <c r="R148" s="135">
        <f t="shared" si="38"/>
        <v>0</v>
      </c>
      <c r="S148" s="135">
        <f t="shared" si="38"/>
        <v>0</v>
      </c>
      <c r="T148" s="135">
        <f t="shared" si="39"/>
        <v>0</v>
      </c>
      <c r="U148" s="135">
        <f t="shared" si="39"/>
        <v>0</v>
      </c>
      <c r="V148" s="135">
        <f t="shared" si="39"/>
        <v>0</v>
      </c>
      <c r="W148" s="135">
        <f t="shared" si="39"/>
        <v>0</v>
      </c>
      <c r="X148" s="135">
        <f t="shared" si="39"/>
        <v>0</v>
      </c>
      <c r="Y148" s="135">
        <f t="shared" si="39"/>
        <v>0</v>
      </c>
      <c r="Z148" s="135">
        <f t="shared" si="39"/>
        <v>0</v>
      </c>
      <c r="AA148" s="135">
        <f t="shared" si="39"/>
        <v>0</v>
      </c>
      <c r="AB148" s="135">
        <f t="shared" si="39"/>
        <v>0</v>
      </c>
      <c r="AC148" s="135">
        <f t="shared" si="39"/>
        <v>0</v>
      </c>
      <c r="AD148" s="135">
        <f t="shared" si="39"/>
        <v>0</v>
      </c>
      <c r="AE148" s="135">
        <f t="shared" si="39"/>
        <v>0</v>
      </c>
      <c r="AF148" s="135">
        <f t="shared" si="39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0">C150</f>
        <v>0.1</v>
      </c>
      <c r="E150" s="135">
        <f t="shared" si="40"/>
        <v>0.1</v>
      </c>
      <c r="F150" s="135">
        <f t="shared" si="40"/>
        <v>0.1</v>
      </c>
      <c r="G150" s="135">
        <f t="shared" si="40"/>
        <v>0.1</v>
      </c>
      <c r="H150" s="135">
        <f t="shared" si="40"/>
        <v>0.1</v>
      </c>
      <c r="I150" s="135">
        <f t="shared" si="40"/>
        <v>0.1</v>
      </c>
      <c r="J150" s="135">
        <f t="shared" si="40"/>
        <v>0.1</v>
      </c>
      <c r="K150" s="135">
        <f t="shared" si="40"/>
        <v>0.1</v>
      </c>
      <c r="L150" s="135">
        <f t="shared" si="40"/>
        <v>0.1</v>
      </c>
      <c r="M150" s="135">
        <f t="shared" si="40"/>
        <v>0.1</v>
      </c>
      <c r="N150" s="135">
        <f t="shared" si="40"/>
        <v>0.1</v>
      </c>
      <c r="O150" s="135">
        <f t="shared" si="40"/>
        <v>0.1</v>
      </c>
      <c r="P150" s="135">
        <f t="shared" si="40"/>
        <v>0.1</v>
      </c>
      <c r="Q150" s="135">
        <f t="shared" si="40"/>
        <v>0.1</v>
      </c>
      <c r="R150" s="135">
        <f t="shared" si="40"/>
        <v>0.1</v>
      </c>
      <c r="S150" s="135">
        <f t="shared" si="40"/>
        <v>0.1</v>
      </c>
      <c r="T150" s="135">
        <f t="shared" ref="T150:AF153" si="41">S150</f>
        <v>0.1</v>
      </c>
      <c r="U150" s="135">
        <f t="shared" si="41"/>
        <v>0.1</v>
      </c>
      <c r="V150" s="135">
        <f t="shared" si="41"/>
        <v>0.1</v>
      </c>
      <c r="W150" s="135">
        <f t="shared" si="41"/>
        <v>0.1</v>
      </c>
      <c r="X150" s="135">
        <f t="shared" si="41"/>
        <v>0.1</v>
      </c>
      <c r="Y150" s="135">
        <f t="shared" si="41"/>
        <v>0.1</v>
      </c>
      <c r="Z150" s="135">
        <f t="shared" si="41"/>
        <v>0.1</v>
      </c>
      <c r="AA150" s="135">
        <f t="shared" si="41"/>
        <v>0.1</v>
      </c>
      <c r="AB150" s="135">
        <f t="shared" si="41"/>
        <v>0.1</v>
      </c>
      <c r="AC150" s="135">
        <f t="shared" si="41"/>
        <v>0.1</v>
      </c>
      <c r="AD150" s="135">
        <f t="shared" si="41"/>
        <v>0.1</v>
      </c>
      <c r="AE150" s="135">
        <f t="shared" si="41"/>
        <v>0.1</v>
      </c>
      <c r="AF150" s="135">
        <f t="shared" si="41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0"/>
        <v>2.0499999999999998</v>
      </c>
      <c r="E151" s="135">
        <f t="shared" si="40"/>
        <v>2.0499999999999998</v>
      </c>
      <c r="F151" s="135">
        <f t="shared" si="40"/>
        <v>2.0499999999999998</v>
      </c>
      <c r="G151" s="135">
        <f t="shared" si="40"/>
        <v>2.0499999999999998</v>
      </c>
      <c r="H151" s="135">
        <f t="shared" si="40"/>
        <v>2.0499999999999998</v>
      </c>
      <c r="I151" s="135">
        <f t="shared" si="40"/>
        <v>2.0499999999999998</v>
      </c>
      <c r="J151" s="135">
        <f t="shared" si="40"/>
        <v>2.0499999999999998</v>
      </c>
      <c r="K151" s="135">
        <f t="shared" si="40"/>
        <v>2.0499999999999998</v>
      </c>
      <c r="L151" s="135">
        <f t="shared" si="40"/>
        <v>2.0499999999999998</v>
      </c>
      <c r="M151" s="135">
        <f t="shared" si="40"/>
        <v>2.0499999999999998</v>
      </c>
      <c r="N151" s="135">
        <f t="shared" si="40"/>
        <v>2.0499999999999998</v>
      </c>
      <c r="O151" s="135">
        <f t="shared" si="40"/>
        <v>2.0499999999999998</v>
      </c>
      <c r="P151" s="135">
        <f t="shared" si="40"/>
        <v>2.0499999999999998</v>
      </c>
      <c r="Q151" s="135">
        <f t="shared" si="40"/>
        <v>2.0499999999999998</v>
      </c>
      <c r="R151" s="135">
        <f t="shared" si="40"/>
        <v>2.0499999999999998</v>
      </c>
      <c r="S151" s="135">
        <f t="shared" si="40"/>
        <v>2.0499999999999998</v>
      </c>
      <c r="T151" s="135">
        <f t="shared" si="41"/>
        <v>2.0499999999999998</v>
      </c>
      <c r="U151" s="135">
        <f t="shared" si="41"/>
        <v>2.0499999999999998</v>
      </c>
      <c r="V151" s="135">
        <f t="shared" si="41"/>
        <v>2.0499999999999998</v>
      </c>
      <c r="W151" s="135">
        <f t="shared" si="41"/>
        <v>2.0499999999999998</v>
      </c>
      <c r="X151" s="135">
        <f t="shared" si="41"/>
        <v>2.0499999999999998</v>
      </c>
      <c r="Y151" s="135">
        <f t="shared" si="41"/>
        <v>2.0499999999999998</v>
      </c>
      <c r="Z151" s="135">
        <f t="shared" si="41"/>
        <v>2.0499999999999998</v>
      </c>
      <c r="AA151" s="135">
        <f t="shared" si="41"/>
        <v>2.0499999999999998</v>
      </c>
      <c r="AB151" s="135">
        <f t="shared" si="41"/>
        <v>2.0499999999999998</v>
      </c>
      <c r="AC151" s="135">
        <f t="shared" si="41"/>
        <v>2.0499999999999998</v>
      </c>
      <c r="AD151" s="135">
        <f t="shared" si="41"/>
        <v>2.0499999999999998</v>
      </c>
      <c r="AE151" s="135">
        <f t="shared" si="41"/>
        <v>2.0499999999999998</v>
      </c>
      <c r="AF151" s="135">
        <f t="shared" si="41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0"/>
        <v>2.7</v>
      </c>
      <c r="E152" s="135">
        <f t="shared" si="40"/>
        <v>2.7</v>
      </c>
      <c r="F152" s="135">
        <f t="shared" si="40"/>
        <v>2.7</v>
      </c>
      <c r="G152" s="135">
        <f t="shared" si="40"/>
        <v>2.7</v>
      </c>
      <c r="H152" s="135">
        <f t="shared" si="40"/>
        <v>2.7</v>
      </c>
      <c r="I152" s="135">
        <f t="shared" si="40"/>
        <v>2.7</v>
      </c>
      <c r="J152" s="135">
        <f t="shared" si="40"/>
        <v>2.7</v>
      </c>
      <c r="K152" s="135">
        <f t="shared" si="40"/>
        <v>2.7</v>
      </c>
      <c r="L152" s="135">
        <f t="shared" si="40"/>
        <v>2.7</v>
      </c>
      <c r="M152" s="135">
        <f t="shared" si="40"/>
        <v>2.7</v>
      </c>
      <c r="N152" s="135">
        <f t="shared" si="40"/>
        <v>2.7</v>
      </c>
      <c r="O152" s="135">
        <f t="shared" si="40"/>
        <v>2.7</v>
      </c>
      <c r="P152" s="135">
        <f t="shared" si="40"/>
        <v>2.7</v>
      </c>
      <c r="Q152" s="135">
        <f t="shared" si="40"/>
        <v>2.7</v>
      </c>
      <c r="R152" s="135">
        <f t="shared" si="40"/>
        <v>2.7</v>
      </c>
      <c r="S152" s="135">
        <f t="shared" si="40"/>
        <v>2.7</v>
      </c>
      <c r="T152" s="135">
        <f t="shared" si="41"/>
        <v>2.7</v>
      </c>
      <c r="U152" s="135">
        <f t="shared" si="41"/>
        <v>2.7</v>
      </c>
      <c r="V152" s="135">
        <f t="shared" si="41"/>
        <v>2.7</v>
      </c>
      <c r="W152" s="135">
        <f t="shared" si="41"/>
        <v>2.7</v>
      </c>
      <c r="X152" s="135">
        <f t="shared" si="41"/>
        <v>2.7</v>
      </c>
      <c r="Y152" s="135">
        <f t="shared" si="41"/>
        <v>2.7</v>
      </c>
      <c r="Z152" s="135">
        <f t="shared" si="41"/>
        <v>2.7</v>
      </c>
      <c r="AA152" s="135">
        <f t="shared" si="41"/>
        <v>2.7</v>
      </c>
      <c r="AB152" s="135">
        <f t="shared" si="41"/>
        <v>2.7</v>
      </c>
      <c r="AC152" s="135">
        <f t="shared" si="41"/>
        <v>2.7</v>
      </c>
      <c r="AD152" s="135">
        <f t="shared" si="41"/>
        <v>2.7</v>
      </c>
      <c r="AE152" s="135">
        <f t="shared" si="41"/>
        <v>2.7</v>
      </c>
      <c r="AF152" s="135">
        <f t="shared" si="41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0"/>
        <v>2.15</v>
      </c>
      <c r="E153" s="135">
        <f t="shared" si="40"/>
        <v>2.15</v>
      </c>
      <c r="F153" s="135">
        <f t="shared" si="40"/>
        <v>2.15</v>
      </c>
      <c r="G153" s="135">
        <f t="shared" si="40"/>
        <v>2.15</v>
      </c>
      <c r="H153" s="135">
        <f t="shared" si="40"/>
        <v>2.15</v>
      </c>
      <c r="I153" s="135">
        <f t="shared" si="40"/>
        <v>2.15</v>
      </c>
      <c r="J153" s="135">
        <f t="shared" si="40"/>
        <v>2.15</v>
      </c>
      <c r="K153" s="135">
        <f t="shared" si="40"/>
        <v>2.15</v>
      </c>
      <c r="L153" s="135">
        <f t="shared" si="40"/>
        <v>2.15</v>
      </c>
      <c r="M153" s="135">
        <f t="shared" si="40"/>
        <v>2.15</v>
      </c>
      <c r="N153" s="135">
        <f t="shared" si="40"/>
        <v>2.15</v>
      </c>
      <c r="O153" s="135">
        <f t="shared" si="40"/>
        <v>2.15</v>
      </c>
      <c r="P153" s="135">
        <f t="shared" si="40"/>
        <v>2.15</v>
      </c>
      <c r="Q153" s="135">
        <f t="shared" si="40"/>
        <v>2.15</v>
      </c>
      <c r="R153" s="135">
        <f t="shared" si="40"/>
        <v>2.15</v>
      </c>
      <c r="S153" s="135">
        <f t="shared" si="40"/>
        <v>2.15</v>
      </c>
      <c r="T153" s="135">
        <f t="shared" si="41"/>
        <v>2.15</v>
      </c>
      <c r="U153" s="135">
        <f t="shared" si="41"/>
        <v>2.15</v>
      </c>
      <c r="V153" s="135">
        <f t="shared" si="41"/>
        <v>2.15</v>
      </c>
      <c r="W153" s="135">
        <f t="shared" si="41"/>
        <v>2.15</v>
      </c>
      <c r="X153" s="135">
        <f t="shared" si="41"/>
        <v>2.15</v>
      </c>
      <c r="Y153" s="135">
        <f t="shared" si="41"/>
        <v>2.15</v>
      </c>
      <c r="Z153" s="135">
        <f t="shared" si="41"/>
        <v>2.15</v>
      </c>
      <c r="AA153" s="135">
        <f t="shared" si="41"/>
        <v>2.15</v>
      </c>
      <c r="AB153" s="135">
        <f t="shared" si="41"/>
        <v>2.15</v>
      </c>
      <c r="AC153" s="135">
        <f t="shared" si="41"/>
        <v>2.15</v>
      </c>
      <c r="AD153" s="135">
        <f t="shared" si="41"/>
        <v>2.15</v>
      </c>
      <c r="AE153" s="135">
        <f t="shared" si="41"/>
        <v>2.15</v>
      </c>
      <c r="AF153" s="135">
        <f t="shared" si="41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2">AF155</f>
        <v>0.9</v>
      </c>
      <c r="C155" s="136">
        <v>0.9</v>
      </c>
      <c r="D155" s="135">
        <f t="shared" ref="D155:S167" si="43">C155</f>
        <v>0.9</v>
      </c>
      <c r="E155" s="135">
        <f t="shared" si="43"/>
        <v>0.9</v>
      </c>
      <c r="F155" s="135">
        <f t="shared" si="43"/>
        <v>0.9</v>
      </c>
      <c r="G155" s="135">
        <f t="shared" si="43"/>
        <v>0.9</v>
      </c>
      <c r="H155" s="135">
        <f t="shared" si="43"/>
        <v>0.9</v>
      </c>
      <c r="I155" s="135">
        <f t="shared" si="43"/>
        <v>0.9</v>
      </c>
      <c r="J155" s="135">
        <f t="shared" si="43"/>
        <v>0.9</v>
      </c>
      <c r="K155" s="135">
        <f t="shared" si="43"/>
        <v>0.9</v>
      </c>
      <c r="L155" s="135">
        <f t="shared" si="43"/>
        <v>0.9</v>
      </c>
      <c r="M155" s="135">
        <f t="shared" si="43"/>
        <v>0.9</v>
      </c>
      <c r="N155" s="135">
        <f t="shared" si="43"/>
        <v>0.9</v>
      </c>
      <c r="O155" s="135">
        <f t="shared" si="43"/>
        <v>0.9</v>
      </c>
      <c r="P155" s="135">
        <f t="shared" si="43"/>
        <v>0.9</v>
      </c>
      <c r="Q155" s="135">
        <f t="shared" si="43"/>
        <v>0.9</v>
      </c>
      <c r="R155" s="135">
        <f t="shared" si="43"/>
        <v>0.9</v>
      </c>
      <c r="S155" s="135">
        <f t="shared" si="43"/>
        <v>0.9</v>
      </c>
      <c r="T155" s="135">
        <f t="shared" ref="S155:AF167" si="44">S155</f>
        <v>0.9</v>
      </c>
      <c r="U155" s="135">
        <f t="shared" si="44"/>
        <v>0.9</v>
      </c>
      <c r="V155" s="135">
        <f t="shared" si="44"/>
        <v>0.9</v>
      </c>
      <c r="W155" s="135">
        <f t="shared" si="44"/>
        <v>0.9</v>
      </c>
      <c r="X155" s="135">
        <f t="shared" si="44"/>
        <v>0.9</v>
      </c>
      <c r="Y155" s="135">
        <f t="shared" si="44"/>
        <v>0.9</v>
      </c>
      <c r="Z155" s="135">
        <f t="shared" si="44"/>
        <v>0.9</v>
      </c>
      <c r="AA155" s="135">
        <f t="shared" si="44"/>
        <v>0.9</v>
      </c>
      <c r="AB155" s="135">
        <f t="shared" si="44"/>
        <v>0.9</v>
      </c>
      <c r="AC155" s="135">
        <f t="shared" si="44"/>
        <v>0.9</v>
      </c>
      <c r="AD155" s="135">
        <f t="shared" si="44"/>
        <v>0.9</v>
      </c>
      <c r="AE155" s="135">
        <f t="shared" si="44"/>
        <v>0.9</v>
      </c>
      <c r="AF155" s="135">
        <f t="shared" si="44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2"/>
        <v>1.08</v>
      </c>
      <c r="C156" s="136">
        <v>1.08</v>
      </c>
      <c r="D156" s="135">
        <f t="shared" si="43"/>
        <v>1.08</v>
      </c>
      <c r="E156" s="135">
        <f t="shared" si="43"/>
        <v>1.08</v>
      </c>
      <c r="F156" s="135">
        <f t="shared" si="43"/>
        <v>1.08</v>
      </c>
      <c r="G156" s="135">
        <f t="shared" si="43"/>
        <v>1.08</v>
      </c>
      <c r="H156" s="135">
        <f t="shared" si="43"/>
        <v>1.08</v>
      </c>
      <c r="I156" s="135">
        <f t="shared" si="43"/>
        <v>1.08</v>
      </c>
      <c r="J156" s="135">
        <f t="shared" si="43"/>
        <v>1.08</v>
      </c>
      <c r="K156" s="135">
        <f t="shared" si="43"/>
        <v>1.08</v>
      </c>
      <c r="L156" s="135">
        <f t="shared" si="43"/>
        <v>1.08</v>
      </c>
      <c r="M156" s="135">
        <f t="shared" si="43"/>
        <v>1.08</v>
      </c>
      <c r="N156" s="135">
        <f t="shared" si="43"/>
        <v>1.08</v>
      </c>
      <c r="O156" s="135">
        <f t="shared" si="43"/>
        <v>1.08</v>
      </c>
      <c r="P156" s="135">
        <f t="shared" si="43"/>
        <v>1.08</v>
      </c>
      <c r="Q156" s="135">
        <f t="shared" si="43"/>
        <v>1.08</v>
      </c>
      <c r="R156" s="135">
        <f t="shared" si="43"/>
        <v>1.08</v>
      </c>
      <c r="S156" s="135">
        <f t="shared" si="43"/>
        <v>1.08</v>
      </c>
      <c r="T156" s="135">
        <f t="shared" si="44"/>
        <v>1.08</v>
      </c>
      <c r="U156" s="135">
        <f t="shared" si="44"/>
        <v>1.08</v>
      </c>
      <c r="V156" s="135">
        <f t="shared" si="44"/>
        <v>1.08</v>
      </c>
      <c r="W156" s="135">
        <f t="shared" si="44"/>
        <v>1.08</v>
      </c>
      <c r="X156" s="135">
        <f t="shared" si="44"/>
        <v>1.08</v>
      </c>
      <c r="Y156" s="135">
        <f t="shared" si="44"/>
        <v>1.08</v>
      </c>
      <c r="Z156" s="135">
        <f t="shared" si="44"/>
        <v>1.08</v>
      </c>
      <c r="AA156" s="135">
        <f t="shared" si="44"/>
        <v>1.08</v>
      </c>
      <c r="AB156" s="135">
        <f t="shared" si="44"/>
        <v>1.08</v>
      </c>
      <c r="AC156" s="135">
        <f t="shared" si="44"/>
        <v>1.08</v>
      </c>
      <c r="AD156" s="135">
        <f t="shared" si="44"/>
        <v>1.08</v>
      </c>
      <c r="AE156" s="135">
        <f t="shared" si="44"/>
        <v>1.08</v>
      </c>
      <c r="AF156" s="135">
        <f t="shared" si="44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2"/>
        <v>2.37</v>
      </c>
      <c r="C157" s="136">
        <v>2.37</v>
      </c>
      <c r="D157" s="135">
        <f t="shared" si="43"/>
        <v>2.37</v>
      </c>
      <c r="E157" s="135">
        <f t="shared" si="43"/>
        <v>2.37</v>
      </c>
      <c r="F157" s="135">
        <f t="shared" si="43"/>
        <v>2.37</v>
      </c>
      <c r="G157" s="135">
        <f t="shared" si="43"/>
        <v>2.37</v>
      </c>
      <c r="H157" s="135">
        <f t="shared" si="43"/>
        <v>2.37</v>
      </c>
      <c r="I157" s="135">
        <f t="shared" si="43"/>
        <v>2.37</v>
      </c>
      <c r="J157" s="135">
        <f t="shared" si="43"/>
        <v>2.37</v>
      </c>
      <c r="K157" s="135">
        <f t="shared" si="43"/>
        <v>2.37</v>
      </c>
      <c r="L157" s="135">
        <f t="shared" si="43"/>
        <v>2.37</v>
      </c>
      <c r="M157" s="135">
        <f t="shared" si="43"/>
        <v>2.37</v>
      </c>
      <c r="N157" s="135">
        <f t="shared" si="43"/>
        <v>2.37</v>
      </c>
      <c r="O157" s="135">
        <f t="shared" si="43"/>
        <v>2.37</v>
      </c>
      <c r="P157" s="135">
        <f t="shared" si="43"/>
        <v>2.37</v>
      </c>
      <c r="Q157" s="135">
        <f t="shared" si="43"/>
        <v>2.37</v>
      </c>
      <c r="R157" s="135">
        <f t="shared" si="43"/>
        <v>2.37</v>
      </c>
      <c r="S157" s="135">
        <f t="shared" si="43"/>
        <v>2.37</v>
      </c>
      <c r="T157" s="135">
        <f t="shared" si="44"/>
        <v>2.37</v>
      </c>
      <c r="U157" s="135">
        <f t="shared" si="44"/>
        <v>2.37</v>
      </c>
      <c r="V157" s="135">
        <f t="shared" si="44"/>
        <v>2.37</v>
      </c>
      <c r="W157" s="135">
        <f t="shared" si="44"/>
        <v>2.37</v>
      </c>
      <c r="X157" s="135">
        <f t="shared" si="44"/>
        <v>2.37</v>
      </c>
      <c r="Y157" s="135">
        <f t="shared" si="44"/>
        <v>2.37</v>
      </c>
      <c r="Z157" s="135">
        <f t="shared" si="44"/>
        <v>2.37</v>
      </c>
      <c r="AA157" s="135">
        <f t="shared" si="44"/>
        <v>2.37</v>
      </c>
      <c r="AB157" s="135">
        <f t="shared" si="44"/>
        <v>2.37</v>
      </c>
      <c r="AC157" s="135">
        <f t="shared" si="44"/>
        <v>2.37</v>
      </c>
      <c r="AD157" s="135">
        <f t="shared" si="44"/>
        <v>2.37</v>
      </c>
      <c r="AE157" s="135">
        <f t="shared" si="44"/>
        <v>2.37</v>
      </c>
      <c r="AF157" s="135">
        <f t="shared" si="44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2"/>
        <v>1.81</v>
      </c>
      <c r="C158" s="136">
        <v>1.81</v>
      </c>
      <c r="D158" s="135">
        <f t="shared" si="43"/>
        <v>1.81</v>
      </c>
      <c r="E158" s="135">
        <f t="shared" si="43"/>
        <v>1.81</v>
      </c>
      <c r="F158" s="135">
        <f t="shared" si="43"/>
        <v>1.81</v>
      </c>
      <c r="G158" s="135">
        <f t="shared" si="43"/>
        <v>1.81</v>
      </c>
      <c r="H158" s="135">
        <f t="shared" si="43"/>
        <v>1.81</v>
      </c>
      <c r="I158" s="135">
        <f t="shared" si="43"/>
        <v>1.81</v>
      </c>
      <c r="J158" s="135">
        <f t="shared" si="43"/>
        <v>1.81</v>
      </c>
      <c r="K158" s="135">
        <f t="shared" si="43"/>
        <v>1.81</v>
      </c>
      <c r="L158" s="135">
        <f t="shared" si="43"/>
        <v>1.81</v>
      </c>
      <c r="M158" s="135">
        <f t="shared" si="43"/>
        <v>1.81</v>
      </c>
      <c r="N158" s="135">
        <f t="shared" si="43"/>
        <v>1.81</v>
      </c>
      <c r="O158" s="135">
        <f t="shared" si="43"/>
        <v>1.81</v>
      </c>
      <c r="P158" s="135">
        <f t="shared" si="43"/>
        <v>1.81</v>
      </c>
      <c r="Q158" s="135">
        <f t="shared" si="43"/>
        <v>1.81</v>
      </c>
      <c r="R158" s="135">
        <f t="shared" si="43"/>
        <v>1.81</v>
      </c>
      <c r="S158" s="135">
        <f t="shared" si="43"/>
        <v>1.81</v>
      </c>
      <c r="T158" s="135">
        <f t="shared" si="44"/>
        <v>1.81</v>
      </c>
      <c r="U158" s="135">
        <f t="shared" si="44"/>
        <v>1.81</v>
      </c>
      <c r="V158" s="135">
        <f t="shared" si="44"/>
        <v>1.81</v>
      </c>
      <c r="W158" s="135">
        <f t="shared" si="44"/>
        <v>1.81</v>
      </c>
      <c r="X158" s="135">
        <f t="shared" si="44"/>
        <v>1.81</v>
      </c>
      <c r="Y158" s="135">
        <f t="shared" si="44"/>
        <v>1.81</v>
      </c>
      <c r="Z158" s="135">
        <f t="shared" si="44"/>
        <v>1.81</v>
      </c>
      <c r="AA158" s="135">
        <f t="shared" si="44"/>
        <v>1.81</v>
      </c>
      <c r="AB158" s="135">
        <f t="shared" si="44"/>
        <v>1.81</v>
      </c>
      <c r="AC158" s="135">
        <f t="shared" si="44"/>
        <v>1.81</v>
      </c>
      <c r="AD158" s="135">
        <f t="shared" si="44"/>
        <v>1.81</v>
      </c>
      <c r="AE158" s="135">
        <f t="shared" si="44"/>
        <v>1.81</v>
      </c>
      <c r="AF158" s="135">
        <f t="shared" si="44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2"/>
        <v>1.0900000000000001</v>
      </c>
      <c r="C159" s="136">
        <v>1.0900000000000001</v>
      </c>
      <c r="D159" s="135">
        <f t="shared" si="43"/>
        <v>1.0900000000000001</v>
      </c>
      <c r="E159" s="135">
        <f t="shared" si="43"/>
        <v>1.0900000000000001</v>
      </c>
      <c r="F159" s="135">
        <f t="shared" si="43"/>
        <v>1.0900000000000001</v>
      </c>
      <c r="G159" s="135">
        <f t="shared" si="43"/>
        <v>1.0900000000000001</v>
      </c>
      <c r="H159" s="135">
        <f t="shared" si="43"/>
        <v>1.0900000000000001</v>
      </c>
      <c r="I159" s="135">
        <f t="shared" si="43"/>
        <v>1.0900000000000001</v>
      </c>
      <c r="J159" s="135">
        <f t="shared" si="43"/>
        <v>1.0900000000000001</v>
      </c>
      <c r="K159" s="135">
        <f t="shared" si="43"/>
        <v>1.0900000000000001</v>
      </c>
      <c r="L159" s="135">
        <f t="shared" si="43"/>
        <v>1.0900000000000001</v>
      </c>
      <c r="M159" s="135">
        <f t="shared" si="43"/>
        <v>1.0900000000000001</v>
      </c>
      <c r="N159" s="135">
        <f t="shared" si="43"/>
        <v>1.0900000000000001</v>
      </c>
      <c r="O159" s="135">
        <f t="shared" si="43"/>
        <v>1.0900000000000001</v>
      </c>
      <c r="P159" s="135">
        <f t="shared" si="43"/>
        <v>1.0900000000000001</v>
      </c>
      <c r="Q159" s="135">
        <f t="shared" si="43"/>
        <v>1.0900000000000001</v>
      </c>
      <c r="R159" s="135">
        <f t="shared" si="43"/>
        <v>1.0900000000000001</v>
      </c>
      <c r="S159" s="135">
        <f t="shared" si="43"/>
        <v>1.0900000000000001</v>
      </c>
      <c r="T159" s="135">
        <f t="shared" si="44"/>
        <v>1.0900000000000001</v>
      </c>
      <c r="U159" s="135">
        <f t="shared" si="44"/>
        <v>1.0900000000000001</v>
      </c>
      <c r="V159" s="135">
        <f t="shared" si="44"/>
        <v>1.0900000000000001</v>
      </c>
      <c r="W159" s="135">
        <f t="shared" si="44"/>
        <v>1.0900000000000001</v>
      </c>
      <c r="X159" s="135">
        <f t="shared" si="44"/>
        <v>1.0900000000000001</v>
      </c>
      <c r="Y159" s="135">
        <f t="shared" si="44"/>
        <v>1.0900000000000001</v>
      </c>
      <c r="Z159" s="135">
        <f t="shared" si="44"/>
        <v>1.0900000000000001</v>
      </c>
      <c r="AA159" s="135">
        <f t="shared" si="44"/>
        <v>1.0900000000000001</v>
      </c>
      <c r="AB159" s="135">
        <f t="shared" si="44"/>
        <v>1.0900000000000001</v>
      </c>
      <c r="AC159" s="135">
        <f t="shared" si="44"/>
        <v>1.0900000000000001</v>
      </c>
      <c r="AD159" s="135">
        <f t="shared" si="44"/>
        <v>1.0900000000000001</v>
      </c>
      <c r="AE159" s="135">
        <f t="shared" si="44"/>
        <v>1.0900000000000001</v>
      </c>
      <c r="AF159" s="135">
        <f t="shared" si="44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2"/>
        <v>1.58</v>
      </c>
      <c r="C160" s="136">
        <v>1.58</v>
      </c>
      <c r="D160" s="135">
        <f t="shared" si="43"/>
        <v>1.58</v>
      </c>
      <c r="E160" s="135">
        <f t="shared" si="43"/>
        <v>1.58</v>
      </c>
      <c r="F160" s="135">
        <f t="shared" si="43"/>
        <v>1.58</v>
      </c>
      <c r="G160" s="135">
        <f t="shared" si="43"/>
        <v>1.58</v>
      </c>
      <c r="H160" s="135">
        <f t="shared" si="43"/>
        <v>1.58</v>
      </c>
      <c r="I160" s="135">
        <f t="shared" si="43"/>
        <v>1.58</v>
      </c>
      <c r="J160" s="135">
        <f t="shared" si="43"/>
        <v>1.58</v>
      </c>
      <c r="K160" s="135">
        <f t="shared" si="43"/>
        <v>1.58</v>
      </c>
      <c r="L160" s="135">
        <f t="shared" si="43"/>
        <v>1.58</v>
      </c>
      <c r="M160" s="135">
        <f t="shared" si="43"/>
        <v>1.58</v>
      </c>
      <c r="N160" s="135">
        <f t="shared" si="43"/>
        <v>1.58</v>
      </c>
      <c r="O160" s="135">
        <f t="shared" si="43"/>
        <v>1.58</v>
      </c>
      <c r="P160" s="135">
        <f t="shared" si="43"/>
        <v>1.58</v>
      </c>
      <c r="Q160" s="135">
        <f t="shared" si="43"/>
        <v>1.58</v>
      </c>
      <c r="R160" s="135">
        <f t="shared" si="43"/>
        <v>1.58</v>
      </c>
      <c r="S160" s="135">
        <f t="shared" si="43"/>
        <v>1.58</v>
      </c>
      <c r="T160" s="135">
        <f t="shared" si="44"/>
        <v>1.58</v>
      </c>
      <c r="U160" s="135">
        <f t="shared" si="44"/>
        <v>1.58</v>
      </c>
      <c r="V160" s="135">
        <f t="shared" si="44"/>
        <v>1.58</v>
      </c>
      <c r="W160" s="135">
        <f t="shared" si="44"/>
        <v>1.58</v>
      </c>
      <c r="X160" s="135">
        <f t="shared" si="44"/>
        <v>1.58</v>
      </c>
      <c r="Y160" s="135">
        <f t="shared" si="44"/>
        <v>1.58</v>
      </c>
      <c r="Z160" s="135">
        <f t="shared" si="44"/>
        <v>1.58</v>
      </c>
      <c r="AA160" s="135">
        <f t="shared" si="44"/>
        <v>1.58</v>
      </c>
      <c r="AB160" s="135">
        <f t="shared" si="44"/>
        <v>1.58</v>
      </c>
      <c r="AC160" s="135">
        <f t="shared" si="44"/>
        <v>1.58</v>
      </c>
      <c r="AD160" s="135">
        <f t="shared" si="44"/>
        <v>1.58</v>
      </c>
      <c r="AE160" s="135">
        <f t="shared" si="44"/>
        <v>1.58</v>
      </c>
      <c r="AF160" s="135">
        <f t="shared" si="44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2"/>
        <v>2</v>
      </c>
      <c r="C161" s="136">
        <v>2</v>
      </c>
      <c r="D161" s="135">
        <f t="shared" si="43"/>
        <v>2</v>
      </c>
      <c r="E161" s="135">
        <f t="shared" si="43"/>
        <v>2</v>
      </c>
      <c r="F161" s="135">
        <f t="shared" si="43"/>
        <v>2</v>
      </c>
      <c r="G161" s="135">
        <f t="shared" si="43"/>
        <v>2</v>
      </c>
      <c r="H161" s="135">
        <f t="shared" si="43"/>
        <v>2</v>
      </c>
      <c r="I161" s="135">
        <f t="shared" si="43"/>
        <v>2</v>
      </c>
      <c r="J161" s="135">
        <f t="shared" si="43"/>
        <v>2</v>
      </c>
      <c r="K161" s="135">
        <f t="shared" si="43"/>
        <v>2</v>
      </c>
      <c r="L161" s="135">
        <f t="shared" si="43"/>
        <v>2</v>
      </c>
      <c r="M161" s="135">
        <f t="shared" si="43"/>
        <v>2</v>
      </c>
      <c r="N161" s="135">
        <f t="shared" si="43"/>
        <v>2</v>
      </c>
      <c r="O161" s="135">
        <f t="shared" si="43"/>
        <v>2</v>
      </c>
      <c r="P161" s="135">
        <f t="shared" si="43"/>
        <v>2</v>
      </c>
      <c r="Q161" s="135">
        <f t="shared" si="43"/>
        <v>2</v>
      </c>
      <c r="R161" s="135">
        <f t="shared" si="43"/>
        <v>2</v>
      </c>
      <c r="S161" s="135">
        <f t="shared" si="43"/>
        <v>2</v>
      </c>
      <c r="T161" s="135">
        <f t="shared" si="44"/>
        <v>2</v>
      </c>
      <c r="U161" s="135">
        <f t="shared" si="44"/>
        <v>2</v>
      </c>
      <c r="V161" s="135">
        <f t="shared" si="44"/>
        <v>2</v>
      </c>
      <c r="W161" s="135">
        <f t="shared" si="44"/>
        <v>2</v>
      </c>
      <c r="X161" s="135">
        <f t="shared" si="44"/>
        <v>2</v>
      </c>
      <c r="Y161" s="135">
        <f t="shared" si="44"/>
        <v>2</v>
      </c>
      <c r="Z161" s="135">
        <f t="shared" si="44"/>
        <v>2</v>
      </c>
      <c r="AA161" s="135">
        <f t="shared" si="44"/>
        <v>2</v>
      </c>
      <c r="AB161" s="135">
        <f t="shared" si="44"/>
        <v>2</v>
      </c>
      <c r="AC161" s="135">
        <f t="shared" si="44"/>
        <v>2</v>
      </c>
      <c r="AD161" s="135">
        <f t="shared" si="44"/>
        <v>2</v>
      </c>
      <c r="AE161" s="135">
        <f t="shared" si="44"/>
        <v>2</v>
      </c>
      <c r="AF161" s="135">
        <f t="shared" si="44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2"/>
        <v>0.47</v>
      </c>
      <c r="C162" s="136">
        <v>0.47</v>
      </c>
      <c r="D162" s="135">
        <f t="shared" si="43"/>
        <v>0.47</v>
      </c>
      <c r="E162" s="135">
        <f t="shared" si="43"/>
        <v>0.47</v>
      </c>
      <c r="F162" s="135">
        <f t="shared" si="43"/>
        <v>0.47</v>
      </c>
      <c r="G162" s="135">
        <f t="shared" si="43"/>
        <v>0.47</v>
      </c>
      <c r="H162" s="135">
        <f t="shared" si="43"/>
        <v>0.47</v>
      </c>
      <c r="I162" s="135">
        <f t="shared" si="43"/>
        <v>0.47</v>
      </c>
      <c r="J162" s="135">
        <f t="shared" si="43"/>
        <v>0.47</v>
      </c>
      <c r="K162" s="135">
        <f t="shared" si="43"/>
        <v>0.47</v>
      </c>
      <c r="L162" s="135">
        <f t="shared" si="43"/>
        <v>0.47</v>
      </c>
      <c r="M162" s="135">
        <f t="shared" si="43"/>
        <v>0.47</v>
      </c>
      <c r="N162" s="135">
        <f t="shared" si="43"/>
        <v>0.47</v>
      </c>
      <c r="O162" s="135">
        <f t="shared" si="43"/>
        <v>0.47</v>
      </c>
      <c r="P162" s="135">
        <f t="shared" si="43"/>
        <v>0.47</v>
      </c>
      <c r="Q162" s="135">
        <f t="shared" si="43"/>
        <v>0.47</v>
      </c>
      <c r="R162" s="135">
        <f t="shared" si="43"/>
        <v>0.47</v>
      </c>
      <c r="S162" s="135">
        <f t="shared" si="43"/>
        <v>0.47</v>
      </c>
      <c r="T162" s="135">
        <f t="shared" si="44"/>
        <v>0.47</v>
      </c>
      <c r="U162" s="135">
        <f t="shared" si="44"/>
        <v>0.47</v>
      </c>
      <c r="V162" s="135">
        <f t="shared" si="44"/>
        <v>0.47</v>
      </c>
      <c r="W162" s="135">
        <f t="shared" si="44"/>
        <v>0.47</v>
      </c>
      <c r="X162" s="135">
        <f t="shared" si="44"/>
        <v>0.47</v>
      </c>
      <c r="Y162" s="135">
        <f t="shared" si="44"/>
        <v>0.47</v>
      </c>
      <c r="Z162" s="135">
        <f t="shared" si="44"/>
        <v>0.47</v>
      </c>
      <c r="AA162" s="135">
        <f t="shared" si="44"/>
        <v>0.47</v>
      </c>
      <c r="AB162" s="135">
        <f t="shared" si="44"/>
        <v>0.47</v>
      </c>
      <c r="AC162" s="135">
        <f t="shared" si="44"/>
        <v>0.47</v>
      </c>
      <c r="AD162" s="135">
        <f t="shared" si="44"/>
        <v>0.47</v>
      </c>
      <c r="AE162" s="135">
        <f t="shared" si="44"/>
        <v>0.47</v>
      </c>
      <c r="AF162" s="135">
        <f t="shared" si="44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2"/>
        <v>0</v>
      </c>
      <c r="C163" s="136">
        <v>0</v>
      </c>
      <c r="D163" s="135">
        <f t="shared" si="43"/>
        <v>0</v>
      </c>
      <c r="E163" s="135">
        <f t="shared" si="43"/>
        <v>0</v>
      </c>
      <c r="F163" s="135">
        <f t="shared" si="43"/>
        <v>0</v>
      </c>
      <c r="G163" s="135">
        <f t="shared" si="43"/>
        <v>0</v>
      </c>
      <c r="H163" s="135">
        <f t="shared" si="43"/>
        <v>0</v>
      </c>
      <c r="I163" s="135">
        <f t="shared" si="43"/>
        <v>0</v>
      </c>
      <c r="J163" s="135">
        <f t="shared" si="43"/>
        <v>0</v>
      </c>
      <c r="K163" s="135">
        <f t="shared" si="43"/>
        <v>0</v>
      </c>
      <c r="L163" s="135">
        <f t="shared" si="43"/>
        <v>0</v>
      </c>
      <c r="M163" s="135">
        <f t="shared" si="43"/>
        <v>0</v>
      </c>
      <c r="N163" s="135">
        <f t="shared" si="43"/>
        <v>0</v>
      </c>
      <c r="O163" s="135">
        <f t="shared" si="43"/>
        <v>0</v>
      </c>
      <c r="P163" s="135">
        <f t="shared" si="43"/>
        <v>0</v>
      </c>
      <c r="Q163" s="135">
        <f t="shared" si="43"/>
        <v>0</v>
      </c>
      <c r="R163" s="135">
        <f t="shared" si="43"/>
        <v>0</v>
      </c>
      <c r="S163" s="135">
        <f t="shared" si="43"/>
        <v>0</v>
      </c>
      <c r="T163" s="135">
        <f t="shared" si="44"/>
        <v>0</v>
      </c>
      <c r="U163" s="135">
        <f t="shared" si="44"/>
        <v>0</v>
      </c>
      <c r="V163" s="135">
        <f t="shared" si="44"/>
        <v>0</v>
      </c>
      <c r="W163" s="135">
        <f t="shared" si="44"/>
        <v>0</v>
      </c>
      <c r="X163" s="135">
        <f t="shared" si="44"/>
        <v>0</v>
      </c>
      <c r="Y163" s="135">
        <f t="shared" si="44"/>
        <v>0</v>
      </c>
      <c r="Z163" s="135">
        <f t="shared" si="44"/>
        <v>0</v>
      </c>
      <c r="AA163" s="135">
        <f t="shared" si="44"/>
        <v>0</v>
      </c>
      <c r="AB163" s="135">
        <f t="shared" si="44"/>
        <v>0</v>
      </c>
      <c r="AC163" s="135">
        <f t="shared" si="44"/>
        <v>0</v>
      </c>
      <c r="AD163" s="135">
        <f t="shared" si="44"/>
        <v>0</v>
      </c>
      <c r="AE163" s="135">
        <f t="shared" si="44"/>
        <v>0</v>
      </c>
      <c r="AF163" s="135">
        <f t="shared" si="44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2"/>
        <v>0</v>
      </c>
      <c r="C164" s="136">
        <v>0</v>
      </c>
      <c r="D164" s="135">
        <f t="shared" si="43"/>
        <v>0</v>
      </c>
      <c r="E164" s="135">
        <f t="shared" si="43"/>
        <v>0</v>
      </c>
      <c r="F164" s="135">
        <f t="shared" si="43"/>
        <v>0</v>
      </c>
      <c r="G164" s="135">
        <f t="shared" si="43"/>
        <v>0</v>
      </c>
      <c r="H164" s="135">
        <f t="shared" si="43"/>
        <v>0</v>
      </c>
      <c r="I164" s="135">
        <f t="shared" si="43"/>
        <v>0</v>
      </c>
      <c r="J164" s="135">
        <f t="shared" si="43"/>
        <v>0</v>
      </c>
      <c r="K164" s="135">
        <f t="shared" si="43"/>
        <v>0</v>
      </c>
      <c r="L164" s="135">
        <f t="shared" si="43"/>
        <v>0</v>
      </c>
      <c r="M164" s="135">
        <f t="shared" si="43"/>
        <v>0</v>
      </c>
      <c r="N164" s="135">
        <f t="shared" si="43"/>
        <v>0</v>
      </c>
      <c r="O164" s="135">
        <f t="shared" si="43"/>
        <v>0</v>
      </c>
      <c r="P164" s="135">
        <f t="shared" si="43"/>
        <v>0</v>
      </c>
      <c r="Q164" s="135">
        <f t="shared" si="43"/>
        <v>0</v>
      </c>
      <c r="R164" s="135">
        <f t="shared" si="43"/>
        <v>0</v>
      </c>
      <c r="S164" s="135">
        <f t="shared" si="44"/>
        <v>0</v>
      </c>
      <c r="T164" s="135">
        <f t="shared" si="44"/>
        <v>0</v>
      </c>
      <c r="U164" s="135">
        <f t="shared" si="44"/>
        <v>0</v>
      </c>
      <c r="V164" s="135">
        <f t="shared" si="44"/>
        <v>0</v>
      </c>
      <c r="W164" s="135">
        <f t="shared" si="44"/>
        <v>0</v>
      </c>
      <c r="X164" s="135">
        <f t="shared" si="44"/>
        <v>0</v>
      </c>
      <c r="Y164" s="135">
        <f t="shared" si="44"/>
        <v>0</v>
      </c>
      <c r="Z164" s="135">
        <f t="shared" si="44"/>
        <v>0</v>
      </c>
      <c r="AA164" s="135">
        <f t="shared" si="44"/>
        <v>0</v>
      </c>
      <c r="AB164" s="135">
        <f t="shared" si="44"/>
        <v>0</v>
      </c>
      <c r="AC164" s="135">
        <f t="shared" si="44"/>
        <v>0</v>
      </c>
      <c r="AD164" s="135">
        <f t="shared" si="44"/>
        <v>0</v>
      </c>
      <c r="AE164" s="135">
        <f t="shared" si="44"/>
        <v>0</v>
      </c>
      <c r="AF164" s="135">
        <f t="shared" si="44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2"/>
        <v>0.8</v>
      </c>
      <c r="C165" s="136">
        <v>0.8</v>
      </c>
      <c r="D165" s="135">
        <f t="shared" si="43"/>
        <v>0.8</v>
      </c>
      <c r="E165" s="135">
        <f t="shared" si="43"/>
        <v>0.8</v>
      </c>
      <c r="F165" s="135">
        <f t="shared" si="43"/>
        <v>0.8</v>
      </c>
      <c r="G165" s="135">
        <f t="shared" si="43"/>
        <v>0.8</v>
      </c>
      <c r="H165" s="135">
        <f t="shared" si="43"/>
        <v>0.8</v>
      </c>
      <c r="I165" s="135">
        <f t="shared" si="43"/>
        <v>0.8</v>
      </c>
      <c r="J165" s="135">
        <f t="shared" si="43"/>
        <v>0.8</v>
      </c>
      <c r="K165" s="135">
        <f t="shared" si="43"/>
        <v>0.8</v>
      </c>
      <c r="L165" s="135">
        <f t="shared" si="43"/>
        <v>0.8</v>
      </c>
      <c r="M165" s="135">
        <f t="shared" si="43"/>
        <v>0.8</v>
      </c>
      <c r="N165" s="135">
        <f t="shared" si="43"/>
        <v>0.8</v>
      </c>
      <c r="O165" s="135">
        <f t="shared" si="43"/>
        <v>0.8</v>
      </c>
      <c r="P165" s="135">
        <f t="shared" si="43"/>
        <v>0.8</v>
      </c>
      <c r="Q165" s="135">
        <f t="shared" si="43"/>
        <v>0.8</v>
      </c>
      <c r="R165" s="135">
        <f t="shared" si="43"/>
        <v>0.8</v>
      </c>
      <c r="S165" s="135">
        <f t="shared" si="44"/>
        <v>0.8</v>
      </c>
      <c r="T165" s="135">
        <f t="shared" si="44"/>
        <v>0.8</v>
      </c>
      <c r="U165" s="135">
        <f t="shared" si="44"/>
        <v>0.8</v>
      </c>
      <c r="V165" s="135">
        <f t="shared" si="44"/>
        <v>0.8</v>
      </c>
      <c r="W165" s="135">
        <f t="shared" si="44"/>
        <v>0.8</v>
      </c>
      <c r="X165" s="135">
        <f t="shared" si="44"/>
        <v>0.8</v>
      </c>
      <c r="Y165" s="135">
        <f t="shared" si="44"/>
        <v>0.8</v>
      </c>
      <c r="Z165" s="135">
        <f t="shared" si="44"/>
        <v>0.8</v>
      </c>
      <c r="AA165" s="135">
        <f t="shared" si="44"/>
        <v>0.8</v>
      </c>
      <c r="AB165" s="135">
        <f t="shared" si="44"/>
        <v>0.8</v>
      </c>
      <c r="AC165" s="135">
        <f t="shared" si="44"/>
        <v>0.8</v>
      </c>
      <c r="AD165" s="135">
        <f t="shared" si="44"/>
        <v>0.8</v>
      </c>
      <c r="AE165" s="135">
        <f t="shared" si="44"/>
        <v>0.8</v>
      </c>
      <c r="AF165" s="135">
        <f t="shared" si="44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2"/>
        <v>1.5</v>
      </c>
      <c r="C166" s="136">
        <v>1.5</v>
      </c>
      <c r="D166" s="135">
        <f t="shared" si="43"/>
        <v>1.5</v>
      </c>
      <c r="E166" s="135">
        <f t="shared" si="43"/>
        <v>1.5</v>
      </c>
      <c r="F166" s="135">
        <f t="shared" si="43"/>
        <v>1.5</v>
      </c>
      <c r="G166" s="135">
        <f t="shared" si="43"/>
        <v>1.5</v>
      </c>
      <c r="H166" s="135">
        <f t="shared" si="43"/>
        <v>1.5</v>
      </c>
      <c r="I166" s="135">
        <f t="shared" si="43"/>
        <v>1.5</v>
      </c>
      <c r="J166" s="135">
        <f t="shared" si="43"/>
        <v>1.5</v>
      </c>
      <c r="K166" s="135">
        <f t="shared" si="43"/>
        <v>1.5</v>
      </c>
      <c r="L166" s="135">
        <f t="shared" si="43"/>
        <v>1.5</v>
      </c>
      <c r="M166" s="135">
        <f t="shared" si="43"/>
        <v>1.5</v>
      </c>
      <c r="N166" s="135">
        <f t="shared" si="43"/>
        <v>1.5</v>
      </c>
      <c r="O166" s="135">
        <f t="shared" si="43"/>
        <v>1.5</v>
      </c>
      <c r="P166" s="135">
        <f t="shared" si="43"/>
        <v>1.5</v>
      </c>
      <c r="Q166" s="135">
        <f t="shared" si="43"/>
        <v>1.5</v>
      </c>
      <c r="R166" s="135">
        <f t="shared" si="43"/>
        <v>1.5</v>
      </c>
      <c r="S166" s="135">
        <f t="shared" si="44"/>
        <v>1.5</v>
      </c>
      <c r="T166" s="135">
        <f t="shared" si="44"/>
        <v>1.5</v>
      </c>
      <c r="U166" s="135">
        <f t="shared" si="44"/>
        <v>1.5</v>
      </c>
      <c r="V166" s="135">
        <f t="shared" si="44"/>
        <v>1.5</v>
      </c>
      <c r="W166" s="135">
        <f t="shared" si="44"/>
        <v>1.5</v>
      </c>
      <c r="X166" s="135">
        <f t="shared" si="44"/>
        <v>1.5</v>
      </c>
      <c r="Y166" s="135">
        <f t="shared" si="44"/>
        <v>1.5</v>
      </c>
      <c r="Z166" s="135">
        <f t="shared" si="44"/>
        <v>1.5</v>
      </c>
      <c r="AA166" s="135">
        <f t="shared" si="44"/>
        <v>1.5</v>
      </c>
      <c r="AB166" s="135">
        <f t="shared" si="44"/>
        <v>1.5</v>
      </c>
      <c r="AC166" s="135">
        <f t="shared" si="44"/>
        <v>1.5</v>
      </c>
      <c r="AD166" s="135">
        <f t="shared" si="44"/>
        <v>1.5</v>
      </c>
      <c r="AE166" s="135">
        <f t="shared" si="44"/>
        <v>1.5</v>
      </c>
      <c r="AF166" s="135">
        <f t="shared" si="44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2"/>
        <v>1</v>
      </c>
      <c r="C167" s="136">
        <v>1</v>
      </c>
      <c r="D167" s="135">
        <f t="shared" si="43"/>
        <v>1</v>
      </c>
      <c r="E167" s="135">
        <f t="shared" si="43"/>
        <v>1</v>
      </c>
      <c r="F167" s="135">
        <f t="shared" si="43"/>
        <v>1</v>
      </c>
      <c r="G167" s="135">
        <f t="shared" si="43"/>
        <v>1</v>
      </c>
      <c r="H167" s="135">
        <f t="shared" si="43"/>
        <v>1</v>
      </c>
      <c r="I167" s="135">
        <f t="shared" si="43"/>
        <v>1</v>
      </c>
      <c r="J167" s="135">
        <f t="shared" si="43"/>
        <v>1</v>
      </c>
      <c r="K167" s="135">
        <f t="shared" si="43"/>
        <v>1</v>
      </c>
      <c r="L167" s="135">
        <f t="shared" si="43"/>
        <v>1</v>
      </c>
      <c r="M167" s="135">
        <f t="shared" si="43"/>
        <v>1</v>
      </c>
      <c r="N167" s="135">
        <f t="shared" si="43"/>
        <v>1</v>
      </c>
      <c r="O167" s="135">
        <f t="shared" si="43"/>
        <v>1</v>
      </c>
      <c r="P167" s="135">
        <f t="shared" si="43"/>
        <v>1</v>
      </c>
      <c r="Q167" s="135">
        <f t="shared" si="43"/>
        <v>1</v>
      </c>
      <c r="R167" s="135">
        <f t="shared" si="43"/>
        <v>1</v>
      </c>
      <c r="S167" s="135">
        <f t="shared" si="44"/>
        <v>1</v>
      </c>
      <c r="T167" s="135">
        <f t="shared" si="44"/>
        <v>1</v>
      </c>
      <c r="U167" s="135">
        <f t="shared" si="44"/>
        <v>1</v>
      </c>
      <c r="V167" s="135">
        <f t="shared" si="44"/>
        <v>1</v>
      </c>
      <c r="W167" s="135">
        <f t="shared" si="44"/>
        <v>1</v>
      </c>
      <c r="X167" s="135">
        <f t="shared" si="44"/>
        <v>1</v>
      </c>
      <c r="Y167" s="135">
        <f t="shared" si="44"/>
        <v>1</v>
      </c>
      <c r="Z167" s="135">
        <f t="shared" si="44"/>
        <v>1</v>
      </c>
      <c r="AA167" s="135">
        <f t="shared" si="44"/>
        <v>1</v>
      </c>
      <c r="AB167" s="135">
        <f t="shared" si="44"/>
        <v>1</v>
      </c>
      <c r="AC167" s="135">
        <f t="shared" si="44"/>
        <v>1</v>
      </c>
      <c r="AD167" s="135">
        <f t="shared" si="44"/>
        <v>1</v>
      </c>
      <c r="AE167" s="135">
        <f t="shared" si="44"/>
        <v>1</v>
      </c>
      <c r="AF167" s="135">
        <f t="shared" si="44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5">AF169</f>
        <v>1</v>
      </c>
      <c r="C169" s="136">
        <v>1</v>
      </c>
      <c r="D169" s="135">
        <f t="shared" ref="D169:S176" si="46">C169</f>
        <v>1</v>
      </c>
      <c r="E169" s="135">
        <f t="shared" si="46"/>
        <v>1</v>
      </c>
      <c r="F169" s="135">
        <f t="shared" si="46"/>
        <v>1</v>
      </c>
      <c r="G169" s="135">
        <f t="shared" si="46"/>
        <v>1</v>
      </c>
      <c r="H169" s="135">
        <f t="shared" si="46"/>
        <v>1</v>
      </c>
      <c r="I169" s="135">
        <f t="shared" si="46"/>
        <v>1</v>
      </c>
      <c r="J169" s="135">
        <f t="shared" si="46"/>
        <v>1</v>
      </c>
      <c r="K169" s="135">
        <f t="shared" si="46"/>
        <v>1</v>
      </c>
      <c r="L169" s="135">
        <f t="shared" si="46"/>
        <v>1</v>
      </c>
      <c r="M169" s="135">
        <f t="shared" si="46"/>
        <v>1</v>
      </c>
      <c r="N169" s="135">
        <f t="shared" si="46"/>
        <v>1</v>
      </c>
      <c r="O169" s="135">
        <f t="shared" si="46"/>
        <v>1</v>
      </c>
      <c r="P169" s="135">
        <f t="shared" si="46"/>
        <v>1</v>
      </c>
      <c r="Q169" s="135">
        <f t="shared" si="46"/>
        <v>1</v>
      </c>
      <c r="R169" s="135">
        <f t="shared" si="46"/>
        <v>1</v>
      </c>
      <c r="S169" s="135">
        <f t="shared" si="46"/>
        <v>1</v>
      </c>
      <c r="T169" s="135">
        <f t="shared" ref="S169:AF176" si="47">S169</f>
        <v>1</v>
      </c>
      <c r="U169" s="135">
        <f t="shared" si="47"/>
        <v>1</v>
      </c>
      <c r="V169" s="135">
        <f t="shared" si="47"/>
        <v>1</v>
      </c>
      <c r="W169" s="135">
        <f t="shared" si="47"/>
        <v>1</v>
      </c>
      <c r="X169" s="135">
        <f t="shared" si="47"/>
        <v>1</v>
      </c>
      <c r="Y169" s="135">
        <f t="shared" si="47"/>
        <v>1</v>
      </c>
      <c r="Z169" s="135">
        <f t="shared" si="47"/>
        <v>1</v>
      </c>
      <c r="AA169" s="135">
        <f t="shared" si="47"/>
        <v>1</v>
      </c>
      <c r="AB169" s="135">
        <f t="shared" si="47"/>
        <v>1</v>
      </c>
      <c r="AC169" s="135">
        <f t="shared" si="47"/>
        <v>1</v>
      </c>
      <c r="AD169" s="135">
        <f t="shared" si="47"/>
        <v>1</v>
      </c>
      <c r="AE169" s="135">
        <f t="shared" si="47"/>
        <v>1</v>
      </c>
      <c r="AF169" s="135">
        <f t="shared" si="47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5"/>
        <v>0.42</v>
      </c>
      <c r="C170" s="136">
        <v>0.42</v>
      </c>
      <c r="D170" s="135">
        <f t="shared" si="46"/>
        <v>0.42</v>
      </c>
      <c r="E170" s="135">
        <f t="shared" si="46"/>
        <v>0.42</v>
      </c>
      <c r="F170" s="135">
        <f t="shared" si="46"/>
        <v>0.42</v>
      </c>
      <c r="G170" s="135">
        <f t="shared" si="46"/>
        <v>0.42</v>
      </c>
      <c r="H170" s="135">
        <f t="shared" si="46"/>
        <v>0.42</v>
      </c>
      <c r="I170" s="135">
        <f t="shared" si="46"/>
        <v>0.42</v>
      </c>
      <c r="J170" s="135">
        <f t="shared" si="46"/>
        <v>0.42</v>
      </c>
      <c r="K170" s="135">
        <f t="shared" si="46"/>
        <v>0.42</v>
      </c>
      <c r="L170" s="135">
        <f t="shared" si="46"/>
        <v>0.42</v>
      </c>
      <c r="M170" s="135">
        <f t="shared" si="46"/>
        <v>0.42</v>
      </c>
      <c r="N170" s="135">
        <f t="shared" si="46"/>
        <v>0.42</v>
      </c>
      <c r="O170" s="135">
        <f t="shared" si="46"/>
        <v>0.42</v>
      </c>
      <c r="P170" s="135">
        <f t="shared" si="46"/>
        <v>0.42</v>
      </c>
      <c r="Q170" s="135">
        <f t="shared" si="46"/>
        <v>0.42</v>
      </c>
      <c r="R170" s="135">
        <f t="shared" si="46"/>
        <v>0.42</v>
      </c>
      <c r="S170" s="135">
        <f t="shared" si="47"/>
        <v>0.42</v>
      </c>
      <c r="T170" s="135">
        <f t="shared" si="47"/>
        <v>0.42</v>
      </c>
      <c r="U170" s="135">
        <f t="shared" si="47"/>
        <v>0.42</v>
      </c>
      <c r="V170" s="135">
        <f t="shared" si="47"/>
        <v>0.42</v>
      </c>
      <c r="W170" s="135">
        <f t="shared" si="47"/>
        <v>0.42</v>
      </c>
      <c r="X170" s="135">
        <f t="shared" si="47"/>
        <v>0.42</v>
      </c>
      <c r="Y170" s="135">
        <f t="shared" si="47"/>
        <v>0.42</v>
      </c>
      <c r="Z170" s="135">
        <f t="shared" si="47"/>
        <v>0.42</v>
      </c>
      <c r="AA170" s="135">
        <f t="shared" si="47"/>
        <v>0.42</v>
      </c>
      <c r="AB170" s="135">
        <f t="shared" si="47"/>
        <v>0.42</v>
      </c>
      <c r="AC170" s="135">
        <f t="shared" si="47"/>
        <v>0.42</v>
      </c>
      <c r="AD170" s="135">
        <f t="shared" si="47"/>
        <v>0.42</v>
      </c>
      <c r="AE170" s="135">
        <f t="shared" si="47"/>
        <v>0.42</v>
      </c>
      <c r="AF170" s="135">
        <f t="shared" si="47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5"/>
        <v>0.46</v>
      </c>
      <c r="C171" s="136">
        <v>0.46</v>
      </c>
      <c r="D171" s="135">
        <f t="shared" si="46"/>
        <v>0.46</v>
      </c>
      <c r="E171" s="135">
        <f t="shared" si="46"/>
        <v>0.46</v>
      </c>
      <c r="F171" s="135">
        <f t="shared" si="46"/>
        <v>0.46</v>
      </c>
      <c r="G171" s="135">
        <f t="shared" si="46"/>
        <v>0.46</v>
      </c>
      <c r="H171" s="135">
        <f t="shared" si="46"/>
        <v>0.46</v>
      </c>
      <c r="I171" s="135">
        <f t="shared" si="46"/>
        <v>0.46</v>
      </c>
      <c r="J171" s="135">
        <f t="shared" si="46"/>
        <v>0.46</v>
      </c>
      <c r="K171" s="135">
        <f t="shared" si="46"/>
        <v>0.46</v>
      </c>
      <c r="L171" s="135">
        <f t="shared" si="46"/>
        <v>0.46</v>
      </c>
      <c r="M171" s="135">
        <f t="shared" si="46"/>
        <v>0.46</v>
      </c>
      <c r="N171" s="135">
        <f t="shared" si="46"/>
        <v>0.46</v>
      </c>
      <c r="O171" s="135">
        <f t="shared" si="46"/>
        <v>0.46</v>
      </c>
      <c r="P171" s="135">
        <f t="shared" si="46"/>
        <v>0.46</v>
      </c>
      <c r="Q171" s="135">
        <f t="shared" si="46"/>
        <v>0.46</v>
      </c>
      <c r="R171" s="135">
        <f t="shared" si="46"/>
        <v>0.46</v>
      </c>
      <c r="S171" s="135">
        <f t="shared" si="47"/>
        <v>0.46</v>
      </c>
      <c r="T171" s="135">
        <f t="shared" si="47"/>
        <v>0.46</v>
      </c>
      <c r="U171" s="135">
        <f t="shared" si="47"/>
        <v>0.46</v>
      </c>
      <c r="V171" s="135">
        <f t="shared" si="47"/>
        <v>0.46</v>
      </c>
      <c r="W171" s="135">
        <f t="shared" si="47"/>
        <v>0.46</v>
      </c>
      <c r="X171" s="135">
        <f t="shared" si="47"/>
        <v>0.46</v>
      </c>
      <c r="Y171" s="135">
        <f t="shared" si="47"/>
        <v>0.46</v>
      </c>
      <c r="Z171" s="135">
        <f t="shared" si="47"/>
        <v>0.46</v>
      </c>
      <c r="AA171" s="135">
        <f t="shared" si="47"/>
        <v>0.46</v>
      </c>
      <c r="AB171" s="135">
        <f t="shared" si="47"/>
        <v>0.46</v>
      </c>
      <c r="AC171" s="135">
        <f t="shared" si="47"/>
        <v>0.46</v>
      </c>
      <c r="AD171" s="135">
        <f t="shared" si="47"/>
        <v>0.46</v>
      </c>
      <c r="AE171" s="135">
        <f t="shared" si="47"/>
        <v>0.46</v>
      </c>
      <c r="AF171" s="135">
        <f t="shared" si="47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5"/>
        <v>0.85</v>
      </c>
      <c r="C172" s="136">
        <v>0.85</v>
      </c>
      <c r="D172" s="135">
        <f t="shared" si="46"/>
        <v>0.85</v>
      </c>
      <c r="E172" s="135">
        <f t="shared" si="46"/>
        <v>0.85</v>
      </c>
      <c r="F172" s="135">
        <f t="shared" si="46"/>
        <v>0.85</v>
      </c>
      <c r="G172" s="135">
        <f t="shared" si="46"/>
        <v>0.85</v>
      </c>
      <c r="H172" s="135">
        <f t="shared" si="46"/>
        <v>0.85</v>
      </c>
      <c r="I172" s="135">
        <f t="shared" si="46"/>
        <v>0.85</v>
      </c>
      <c r="J172" s="135">
        <f t="shared" si="46"/>
        <v>0.85</v>
      </c>
      <c r="K172" s="135">
        <f t="shared" si="46"/>
        <v>0.85</v>
      </c>
      <c r="L172" s="135">
        <f t="shared" si="46"/>
        <v>0.85</v>
      </c>
      <c r="M172" s="135">
        <f t="shared" si="46"/>
        <v>0.85</v>
      </c>
      <c r="N172" s="135">
        <f t="shared" si="46"/>
        <v>0.85</v>
      </c>
      <c r="O172" s="135">
        <f t="shared" si="46"/>
        <v>0.85</v>
      </c>
      <c r="P172" s="135">
        <f t="shared" si="46"/>
        <v>0.85</v>
      </c>
      <c r="Q172" s="135">
        <f t="shared" si="46"/>
        <v>0.85</v>
      </c>
      <c r="R172" s="135">
        <f t="shared" si="46"/>
        <v>0.85</v>
      </c>
      <c r="S172" s="135">
        <f t="shared" si="47"/>
        <v>0.85</v>
      </c>
      <c r="T172" s="135">
        <f t="shared" si="47"/>
        <v>0.85</v>
      </c>
      <c r="U172" s="135">
        <f t="shared" si="47"/>
        <v>0.85</v>
      </c>
      <c r="V172" s="135">
        <f t="shared" si="47"/>
        <v>0.85</v>
      </c>
      <c r="W172" s="135">
        <f t="shared" si="47"/>
        <v>0.85</v>
      </c>
      <c r="X172" s="135">
        <f t="shared" si="47"/>
        <v>0.85</v>
      </c>
      <c r="Y172" s="135">
        <f t="shared" si="47"/>
        <v>0.85</v>
      </c>
      <c r="Z172" s="135">
        <f t="shared" si="47"/>
        <v>0.85</v>
      </c>
      <c r="AA172" s="135">
        <f t="shared" si="47"/>
        <v>0.85</v>
      </c>
      <c r="AB172" s="135">
        <f t="shared" si="47"/>
        <v>0.85</v>
      </c>
      <c r="AC172" s="135">
        <f t="shared" si="47"/>
        <v>0.85</v>
      </c>
      <c r="AD172" s="135">
        <f t="shared" si="47"/>
        <v>0.85</v>
      </c>
      <c r="AE172" s="135">
        <f t="shared" si="47"/>
        <v>0.85</v>
      </c>
      <c r="AF172" s="135">
        <f t="shared" si="47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5"/>
        <v>0.9</v>
      </c>
      <c r="C173" s="136">
        <v>0.9</v>
      </c>
      <c r="D173" s="135">
        <f t="shared" si="46"/>
        <v>0.9</v>
      </c>
      <c r="E173" s="135">
        <f t="shared" si="46"/>
        <v>0.9</v>
      </c>
      <c r="F173" s="135">
        <f t="shared" si="46"/>
        <v>0.9</v>
      </c>
      <c r="G173" s="135">
        <f t="shared" si="46"/>
        <v>0.9</v>
      </c>
      <c r="H173" s="135">
        <f t="shared" si="46"/>
        <v>0.9</v>
      </c>
      <c r="I173" s="135">
        <f t="shared" si="46"/>
        <v>0.9</v>
      </c>
      <c r="J173" s="135">
        <f t="shared" si="46"/>
        <v>0.9</v>
      </c>
      <c r="K173" s="135">
        <f t="shared" si="46"/>
        <v>0.9</v>
      </c>
      <c r="L173" s="135">
        <f t="shared" si="46"/>
        <v>0.9</v>
      </c>
      <c r="M173" s="135">
        <f t="shared" si="46"/>
        <v>0.9</v>
      </c>
      <c r="N173" s="135">
        <f t="shared" si="46"/>
        <v>0.9</v>
      </c>
      <c r="O173" s="135">
        <f t="shared" si="46"/>
        <v>0.9</v>
      </c>
      <c r="P173" s="135">
        <f t="shared" si="46"/>
        <v>0.9</v>
      </c>
      <c r="Q173" s="135">
        <f t="shared" si="46"/>
        <v>0.9</v>
      </c>
      <c r="R173" s="135">
        <f t="shared" si="46"/>
        <v>0.9</v>
      </c>
      <c r="S173" s="135">
        <f t="shared" si="47"/>
        <v>0.9</v>
      </c>
      <c r="T173" s="135">
        <f t="shared" si="47"/>
        <v>0.9</v>
      </c>
      <c r="U173" s="135">
        <f t="shared" si="47"/>
        <v>0.9</v>
      </c>
      <c r="V173" s="135">
        <f t="shared" si="47"/>
        <v>0.9</v>
      </c>
      <c r="W173" s="135">
        <f t="shared" si="47"/>
        <v>0.9</v>
      </c>
      <c r="X173" s="135">
        <f t="shared" si="47"/>
        <v>0.9</v>
      </c>
      <c r="Y173" s="135">
        <f t="shared" si="47"/>
        <v>0.9</v>
      </c>
      <c r="Z173" s="135">
        <f t="shared" si="47"/>
        <v>0.9</v>
      </c>
      <c r="AA173" s="135">
        <f t="shared" si="47"/>
        <v>0.9</v>
      </c>
      <c r="AB173" s="135">
        <f t="shared" si="47"/>
        <v>0.9</v>
      </c>
      <c r="AC173" s="135">
        <f t="shared" si="47"/>
        <v>0.9</v>
      </c>
      <c r="AD173" s="135">
        <f t="shared" si="47"/>
        <v>0.9</v>
      </c>
      <c r="AE173" s="135">
        <f t="shared" si="47"/>
        <v>0.9</v>
      </c>
      <c r="AF173" s="135">
        <f t="shared" si="47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5"/>
        <v>0.44</v>
      </c>
      <c r="C174" s="136">
        <v>0.44</v>
      </c>
      <c r="D174" s="135">
        <f t="shared" si="46"/>
        <v>0.44</v>
      </c>
      <c r="E174" s="135">
        <f t="shared" si="46"/>
        <v>0.44</v>
      </c>
      <c r="F174" s="135">
        <f t="shared" si="46"/>
        <v>0.44</v>
      </c>
      <c r="G174" s="135">
        <f t="shared" si="46"/>
        <v>0.44</v>
      </c>
      <c r="H174" s="135">
        <f t="shared" si="46"/>
        <v>0.44</v>
      </c>
      <c r="I174" s="135">
        <f t="shared" si="46"/>
        <v>0.44</v>
      </c>
      <c r="J174" s="135">
        <f t="shared" si="46"/>
        <v>0.44</v>
      </c>
      <c r="K174" s="135">
        <f t="shared" si="46"/>
        <v>0.44</v>
      </c>
      <c r="L174" s="135">
        <f t="shared" si="46"/>
        <v>0.44</v>
      </c>
      <c r="M174" s="135">
        <f t="shared" si="46"/>
        <v>0.44</v>
      </c>
      <c r="N174" s="135">
        <f t="shared" si="46"/>
        <v>0.44</v>
      </c>
      <c r="O174" s="135">
        <f t="shared" si="46"/>
        <v>0.44</v>
      </c>
      <c r="P174" s="135">
        <f t="shared" si="46"/>
        <v>0.44</v>
      </c>
      <c r="Q174" s="135">
        <f t="shared" si="46"/>
        <v>0.44</v>
      </c>
      <c r="R174" s="135">
        <f t="shared" si="46"/>
        <v>0.44</v>
      </c>
      <c r="S174" s="135">
        <f t="shared" si="47"/>
        <v>0.44</v>
      </c>
      <c r="T174" s="135">
        <f t="shared" si="47"/>
        <v>0.44</v>
      </c>
      <c r="U174" s="135">
        <f t="shared" si="47"/>
        <v>0.44</v>
      </c>
      <c r="V174" s="135">
        <f t="shared" si="47"/>
        <v>0.44</v>
      </c>
      <c r="W174" s="135">
        <f t="shared" si="47"/>
        <v>0.44</v>
      </c>
      <c r="X174" s="135">
        <f t="shared" si="47"/>
        <v>0.44</v>
      </c>
      <c r="Y174" s="135">
        <f t="shared" si="47"/>
        <v>0.44</v>
      </c>
      <c r="Z174" s="135">
        <f t="shared" si="47"/>
        <v>0.44</v>
      </c>
      <c r="AA174" s="135">
        <f t="shared" si="47"/>
        <v>0.44</v>
      </c>
      <c r="AB174" s="135">
        <f t="shared" si="47"/>
        <v>0.44</v>
      </c>
      <c r="AC174" s="135">
        <f t="shared" si="47"/>
        <v>0.44</v>
      </c>
      <c r="AD174" s="135">
        <f t="shared" si="47"/>
        <v>0.44</v>
      </c>
      <c r="AE174" s="135">
        <f t="shared" si="47"/>
        <v>0.44</v>
      </c>
      <c r="AF174" s="135">
        <f t="shared" si="47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5"/>
        <v>2.1</v>
      </c>
      <c r="C175" s="136">
        <v>2.1</v>
      </c>
      <c r="D175" s="135">
        <f t="shared" si="46"/>
        <v>2.1</v>
      </c>
      <c r="E175" s="135">
        <f t="shared" si="46"/>
        <v>2.1</v>
      </c>
      <c r="F175" s="135">
        <f t="shared" si="46"/>
        <v>2.1</v>
      </c>
      <c r="G175" s="135">
        <f t="shared" si="46"/>
        <v>2.1</v>
      </c>
      <c r="H175" s="135">
        <f t="shared" si="46"/>
        <v>2.1</v>
      </c>
      <c r="I175" s="135">
        <f t="shared" si="46"/>
        <v>2.1</v>
      </c>
      <c r="J175" s="135">
        <f t="shared" si="46"/>
        <v>2.1</v>
      </c>
      <c r="K175" s="135">
        <f t="shared" si="46"/>
        <v>2.1</v>
      </c>
      <c r="L175" s="135">
        <f t="shared" si="46"/>
        <v>2.1</v>
      </c>
      <c r="M175" s="135">
        <f t="shared" si="46"/>
        <v>2.1</v>
      </c>
      <c r="N175" s="135">
        <f t="shared" si="46"/>
        <v>2.1</v>
      </c>
      <c r="O175" s="135">
        <f t="shared" si="46"/>
        <v>2.1</v>
      </c>
      <c r="P175" s="135">
        <f t="shared" si="46"/>
        <v>2.1</v>
      </c>
      <c r="Q175" s="135">
        <f t="shared" si="46"/>
        <v>2.1</v>
      </c>
      <c r="R175" s="135">
        <f t="shared" si="46"/>
        <v>2.1</v>
      </c>
      <c r="S175" s="135">
        <f t="shared" si="47"/>
        <v>2.1</v>
      </c>
      <c r="T175" s="135">
        <f t="shared" si="47"/>
        <v>2.1</v>
      </c>
      <c r="U175" s="135">
        <f t="shared" si="47"/>
        <v>2.1</v>
      </c>
      <c r="V175" s="135">
        <f t="shared" si="47"/>
        <v>2.1</v>
      </c>
      <c r="W175" s="135">
        <f t="shared" si="47"/>
        <v>2.1</v>
      </c>
      <c r="X175" s="135">
        <f t="shared" si="47"/>
        <v>2.1</v>
      </c>
      <c r="Y175" s="135">
        <f t="shared" si="47"/>
        <v>2.1</v>
      </c>
      <c r="Z175" s="135">
        <f t="shared" si="47"/>
        <v>2.1</v>
      </c>
      <c r="AA175" s="135">
        <f t="shared" si="47"/>
        <v>2.1</v>
      </c>
      <c r="AB175" s="135">
        <f t="shared" si="47"/>
        <v>2.1</v>
      </c>
      <c r="AC175" s="135">
        <f t="shared" si="47"/>
        <v>2.1</v>
      </c>
      <c r="AD175" s="135">
        <f t="shared" si="47"/>
        <v>2.1</v>
      </c>
      <c r="AE175" s="135">
        <f t="shared" si="47"/>
        <v>2.1</v>
      </c>
      <c r="AF175" s="135">
        <f t="shared" si="47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5"/>
        <v>0.9</v>
      </c>
      <c r="C176" s="136">
        <v>0.9</v>
      </c>
      <c r="D176" s="135">
        <f t="shared" si="46"/>
        <v>0.9</v>
      </c>
      <c r="E176" s="135">
        <f t="shared" si="46"/>
        <v>0.9</v>
      </c>
      <c r="F176" s="135">
        <f t="shared" si="46"/>
        <v>0.9</v>
      </c>
      <c r="G176" s="135">
        <f t="shared" si="46"/>
        <v>0.9</v>
      </c>
      <c r="H176" s="135">
        <f t="shared" si="46"/>
        <v>0.9</v>
      </c>
      <c r="I176" s="135">
        <f t="shared" si="46"/>
        <v>0.9</v>
      </c>
      <c r="J176" s="135">
        <f t="shared" si="46"/>
        <v>0.9</v>
      </c>
      <c r="K176" s="135">
        <f t="shared" si="46"/>
        <v>0.9</v>
      </c>
      <c r="L176" s="135">
        <f t="shared" si="46"/>
        <v>0.9</v>
      </c>
      <c r="M176" s="135">
        <f t="shared" si="46"/>
        <v>0.9</v>
      </c>
      <c r="N176" s="135">
        <f t="shared" si="46"/>
        <v>0.9</v>
      </c>
      <c r="O176" s="135">
        <f t="shared" si="46"/>
        <v>0.9</v>
      </c>
      <c r="P176" s="135">
        <f t="shared" si="46"/>
        <v>0.9</v>
      </c>
      <c r="Q176" s="135">
        <f t="shared" si="46"/>
        <v>0.9</v>
      </c>
      <c r="R176" s="135">
        <f t="shared" si="46"/>
        <v>0.9</v>
      </c>
      <c r="S176" s="135">
        <f t="shared" si="47"/>
        <v>0.9</v>
      </c>
      <c r="T176" s="135">
        <f t="shared" si="47"/>
        <v>0.9</v>
      </c>
      <c r="U176" s="135">
        <f t="shared" si="47"/>
        <v>0.9</v>
      </c>
      <c r="V176" s="135">
        <f t="shared" si="47"/>
        <v>0.9</v>
      </c>
      <c r="W176" s="135">
        <f t="shared" si="47"/>
        <v>0.9</v>
      </c>
      <c r="X176" s="135">
        <f t="shared" si="47"/>
        <v>0.9</v>
      </c>
      <c r="Y176" s="135">
        <f t="shared" si="47"/>
        <v>0.9</v>
      </c>
      <c r="Z176" s="135">
        <f t="shared" si="47"/>
        <v>0.9</v>
      </c>
      <c r="AA176" s="135">
        <f t="shared" si="47"/>
        <v>0.9</v>
      </c>
      <c r="AB176" s="135">
        <f t="shared" si="47"/>
        <v>0.9</v>
      </c>
      <c r="AC176" s="135">
        <f t="shared" si="47"/>
        <v>0.9</v>
      </c>
      <c r="AD176" s="135">
        <f t="shared" si="47"/>
        <v>0.9</v>
      </c>
      <c r="AE176" s="135">
        <f t="shared" si="47"/>
        <v>0.9</v>
      </c>
      <c r="AF176" s="135">
        <f t="shared" si="47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48">AF178</f>
        <v>0.57999999999999996</v>
      </c>
      <c r="C178" s="136">
        <v>0.57999999999999996</v>
      </c>
      <c r="D178" s="135">
        <f t="shared" ref="D178:S190" si="49">C178</f>
        <v>0.57999999999999996</v>
      </c>
      <c r="E178" s="135">
        <f t="shared" si="49"/>
        <v>0.57999999999999996</v>
      </c>
      <c r="F178" s="135">
        <f t="shared" si="49"/>
        <v>0.57999999999999996</v>
      </c>
      <c r="G178" s="135">
        <f t="shared" si="49"/>
        <v>0.57999999999999996</v>
      </c>
      <c r="H178" s="135">
        <f t="shared" si="49"/>
        <v>0.57999999999999996</v>
      </c>
      <c r="I178" s="135">
        <f t="shared" si="49"/>
        <v>0.57999999999999996</v>
      </c>
      <c r="J178" s="135">
        <f t="shared" si="49"/>
        <v>0.57999999999999996</v>
      </c>
      <c r="K178" s="135">
        <f t="shared" si="49"/>
        <v>0.57999999999999996</v>
      </c>
      <c r="L178" s="135">
        <f t="shared" si="49"/>
        <v>0.57999999999999996</v>
      </c>
      <c r="M178" s="135">
        <f t="shared" si="49"/>
        <v>0.57999999999999996</v>
      </c>
      <c r="N178" s="135">
        <f t="shared" si="49"/>
        <v>0.57999999999999996</v>
      </c>
      <c r="O178" s="135">
        <f t="shared" si="49"/>
        <v>0.57999999999999996</v>
      </c>
      <c r="P178" s="135">
        <f t="shared" si="49"/>
        <v>0.57999999999999996</v>
      </c>
      <c r="Q178" s="135">
        <f t="shared" si="49"/>
        <v>0.57999999999999996</v>
      </c>
      <c r="R178" s="135">
        <f t="shared" si="49"/>
        <v>0.57999999999999996</v>
      </c>
      <c r="S178" s="135">
        <f t="shared" si="49"/>
        <v>0.57999999999999996</v>
      </c>
      <c r="T178" s="135">
        <f t="shared" ref="S178:AF190" si="50">S178</f>
        <v>0.57999999999999996</v>
      </c>
      <c r="U178" s="135">
        <f t="shared" si="50"/>
        <v>0.57999999999999996</v>
      </c>
      <c r="V178" s="135">
        <f t="shared" si="50"/>
        <v>0.57999999999999996</v>
      </c>
      <c r="W178" s="135">
        <f t="shared" si="50"/>
        <v>0.57999999999999996</v>
      </c>
      <c r="X178" s="135">
        <f t="shared" si="50"/>
        <v>0.57999999999999996</v>
      </c>
      <c r="Y178" s="135">
        <f t="shared" si="50"/>
        <v>0.57999999999999996</v>
      </c>
      <c r="Z178" s="135">
        <f t="shared" si="50"/>
        <v>0.57999999999999996</v>
      </c>
      <c r="AA178" s="135">
        <f t="shared" si="50"/>
        <v>0.57999999999999996</v>
      </c>
      <c r="AB178" s="135">
        <f t="shared" si="50"/>
        <v>0.57999999999999996</v>
      </c>
      <c r="AC178" s="135">
        <f t="shared" si="50"/>
        <v>0.57999999999999996</v>
      </c>
      <c r="AD178" s="135">
        <f t="shared" si="50"/>
        <v>0.57999999999999996</v>
      </c>
      <c r="AE178" s="135">
        <f t="shared" si="50"/>
        <v>0.57999999999999996</v>
      </c>
      <c r="AF178" s="135">
        <f t="shared" si="50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48"/>
        <v>0.8</v>
      </c>
      <c r="C179" s="136">
        <v>0.8</v>
      </c>
      <c r="D179" s="135">
        <f t="shared" si="49"/>
        <v>0.8</v>
      </c>
      <c r="E179" s="135">
        <f t="shared" si="49"/>
        <v>0.8</v>
      </c>
      <c r="F179" s="135">
        <f t="shared" si="49"/>
        <v>0.8</v>
      </c>
      <c r="G179" s="135">
        <f t="shared" si="49"/>
        <v>0.8</v>
      </c>
      <c r="H179" s="135">
        <f t="shared" si="49"/>
        <v>0.8</v>
      </c>
      <c r="I179" s="135">
        <f t="shared" si="49"/>
        <v>0.8</v>
      </c>
      <c r="J179" s="135">
        <f t="shared" si="49"/>
        <v>0.8</v>
      </c>
      <c r="K179" s="135">
        <f t="shared" si="49"/>
        <v>0.8</v>
      </c>
      <c r="L179" s="135">
        <f t="shared" si="49"/>
        <v>0.8</v>
      </c>
      <c r="M179" s="135">
        <f t="shared" si="49"/>
        <v>0.8</v>
      </c>
      <c r="N179" s="135">
        <f t="shared" si="49"/>
        <v>0.8</v>
      </c>
      <c r="O179" s="135">
        <f t="shared" si="49"/>
        <v>0.8</v>
      </c>
      <c r="P179" s="135">
        <f t="shared" si="49"/>
        <v>0.8</v>
      </c>
      <c r="Q179" s="135">
        <f t="shared" si="49"/>
        <v>0.8</v>
      </c>
      <c r="R179" s="135">
        <f t="shared" si="49"/>
        <v>0.8</v>
      </c>
      <c r="S179" s="135">
        <f t="shared" si="49"/>
        <v>0.8</v>
      </c>
      <c r="T179" s="135">
        <f t="shared" si="50"/>
        <v>0.8</v>
      </c>
      <c r="U179" s="135">
        <f t="shared" si="50"/>
        <v>0.8</v>
      </c>
      <c r="V179" s="135">
        <f t="shared" si="50"/>
        <v>0.8</v>
      </c>
      <c r="W179" s="135">
        <f t="shared" si="50"/>
        <v>0.8</v>
      </c>
      <c r="X179" s="135">
        <f t="shared" si="50"/>
        <v>0.8</v>
      </c>
      <c r="Y179" s="135">
        <f t="shared" si="50"/>
        <v>0.8</v>
      </c>
      <c r="Z179" s="135">
        <f t="shared" si="50"/>
        <v>0.8</v>
      </c>
      <c r="AA179" s="135">
        <f t="shared" si="50"/>
        <v>0.8</v>
      </c>
      <c r="AB179" s="135">
        <f t="shared" si="50"/>
        <v>0.8</v>
      </c>
      <c r="AC179" s="135">
        <f t="shared" si="50"/>
        <v>0.8</v>
      </c>
      <c r="AD179" s="135">
        <f t="shared" si="50"/>
        <v>0.8</v>
      </c>
      <c r="AE179" s="135">
        <f t="shared" si="50"/>
        <v>0.8</v>
      </c>
      <c r="AF179" s="135">
        <f t="shared" si="50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48"/>
        <v>0</v>
      </c>
      <c r="C180" s="136">
        <v>0</v>
      </c>
      <c r="D180" s="135">
        <f t="shared" si="49"/>
        <v>0</v>
      </c>
      <c r="E180" s="135">
        <f t="shared" si="49"/>
        <v>0</v>
      </c>
      <c r="F180" s="135">
        <f t="shared" si="49"/>
        <v>0</v>
      </c>
      <c r="G180" s="135">
        <f t="shared" si="49"/>
        <v>0</v>
      </c>
      <c r="H180" s="135">
        <f t="shared" si="49"/>
        <v>0</v>
      </c>
      <c r="I180" s="135">
        <f t="shared" si="49"/>
        <v>0</v>
      </c>
      <c r="J180" s="135">
        <f t="shared" si="49"/>
        <v>0</v>
      </c>
      <c r="K180" s="135">
        <f t="shared" si="49"/>
        <v>0</v>
      </c>
      <c r="L180" s="135">
        <f t="shared" si="49"/>
        <v>0</v>
      </c>
      <c r="M180" s="135">
        <f t="shared" si="49"/>
        <v>0</v>
      </c>
      <c r="N180" s="135">
        <f t="shared" si="49"/>
        <v>0</v>
      </c>
      <c r="O180" s="135">
        <f t="shared" si="49"/>
        <v>0</v>
      </c>
      <c r="P180" s="135">
        <f t="shared" si="49"/>
        <v>0</v>
      </c>
      <c r="Q180" s="135">
        <f t="shared" si="49"/>
        <v>0</v>
      </c>
      <c r="R180" s="135">
        <f t="shared" si="49"/>
        <v>0</v>
      </c>
      <c r="S180" s="135">
        <f t="shared" si="49"/>
        <v>0</v>
      </c>
      <c r="T180" s="135">
        <f t="shared" si="50"/>
        <v>0</v>
      </c>
      <c r="U180" s="135">
        <f t="shared" si="50"/>
        <v>0</v>
      </c>
      <c r="V180" s="135">
        <f t="shared" si="50"/>
        <v>0</v>
      </c>
      <c r="W180" s="135">
        <f t="shared" si="50"/>
        <v>0</v>
      </c>
      <c r="X180" s="135">
        <f t="shared" si="50"/>
        <v>0</v>
      </c>
      <c r="Y180" s="135">
        <f t="shared" si="50"/>
        <v>0</v>
      </c>
      <c r="Z180" s="135">
        <f t="shared" si="50"/>
        <v>0</v>
      </c>
      <c r="AA180" s="135">
        <f t="shared" si="50"/>
        <v>0</v>
      </c>
      <c r="AB180" s="135">
        <f t="shared" si="50"/>
        <v>0</v>
      </c>
      <c r="AC180" s="135">
        <f t="shared" si="50"/>
        <v>0</v>
      </c>
      <c r="AD180" s="135">
        <f t="shared" si="50"/>
        <v>0</v>
      </c>
      <c r="AE180" s="135">
        <f t="shared" si="50"/>
        <v>0</v>
      </c>
      <c r="AF180" s="135">
        <f t="shared" si="50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48"/>
        <v>0.6</v>
      </c>
      <c r="C181" s="136">
        <v>0.6</v>
      </c>
      <c r="D181" s="135">
        <f t="shared" si="49"/>
        <v>0.6</v>
      </c>
      <c r="E181" s="135">
        <f t="shared" si="49"/>
        <v>0.6</v>
      </c>
      <c r="F181" s="135">
        <f t="shared" si="49"/>
        <v>0.6</v>
      </c>
      <c r="G181" s="135">
        <f t="shared" si="49"/>
        <v>0.6</v>
      </c>
      <c r="H181" s="135">
        <f t="shared" si="49"/>
        <v>0.6</v>
      </c>
      <c r="I181" s="135">
        <f t="shared" si="49"/>
        <v>0.6</v>
      </c>
      <c r="J181" s="135">
        <f t="shared" si="49"/>
        <v>0.6</v>
      </c>
      <c r="K181" s="135">
        <f t="shared" si="49"/>
        <v>0.6</v>
      </c>
      <c r="L181" s="135">
        <f t="shared" si="49"/>
        <v>0.6</v>
      </c>
      <c r="M181" s="135">
        <f t="shared" si="49"/>
        <v>0.6</v>
      </c>
      <c r="N181" s="135">
        <f t="shared" si="49"/>
        <v>0.6</v>
      </c>
      <c r="O181" s="135">
        <f t="shared" si="49"/>
        <v>0.6</v>
      </c>
      <c r="P181" s="135">
        <f t="shared" si="49"/>
        <v>0.6</v>
      </c>
      <c r="Q181" s="135">
        <f t="shared" si="49"/>
        <v>0.6</v>
      </c>
      <c r="R181" s="135">
        <f t="shared" si="49"/>
        <v>0.6</v>
      </c>
      <c r="S181" s="135">
        <f t="shared" si="49"/>
        <v>0.6</v>
      </c>
      <c r="T181" s="135">
        <f t="shared" si="50"/>
        <v>0.6</v>
      </c>
      <c r="U181" s="135">
        <f t="shared" si="50"/>
        <v>0.6</v>
      </c>
      <c r="V181" s="135">
        <f t="shared" si="50"/>
        <v>0.6</v>
      </c>
      <c r="W181" s="135">
        <f t="shared" si="50"/>
        <v>0.6</v>
      </c>
      <c r="X181" s="135">
        <f t="shared" si="50"/>
        <v>0.6</v>
      </c>
      <c r="Y181" s="135">
        <f t="shared" si="50"/>
        <v>0.6</v>
      </c>
      <c r="Z181" s="135">
        <f t="shared" si="50"/>
        <v>0.6</v>
      </c>
      <c r="AA181" s="135">
        <f t="shared" si="50"/>
        <v>0.6</v>
      </c>
      <c r="AB181" s="135">
        <f t="shared" si="50"/>
        <v>0.6</v>
      </c>
      <c r="AC181" s="135">
        <f t="shared" si="50"/>
        <v>0.6</v>
      </c>
      <c r="AD181" s="135">
        <f t="shared" si="50"/>
        <v>0.6</v>
      </c>
      <c r="AE181" s="135">
        <f t="shared" si="50"/>
        <v>0.6</v>
      </c>
      <c r="AF181" s="135">
        <f t="shared" si="50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48"/>
        <v>0.6</v>
      </c>
      <c r="C182" s="136">
        <v>0.6</v>
      </c>
      <c r="D182" s="135">
        <f t="shared" si="49"/>
        <v>0.6</v>
      </c>
      <c r="E182" s="135">
        <f t="shared" si="49"/>
        <v>0.6</v>
      </c>
      <c r="F182" s="135">
        <f t="shared" si="49"/>
        <v>0.6</v>
      </c>
      <c r="G182" s="135">
        <f t="shared" si="49"/>
        <v>0.6</v>
      </c>
      <c r="H182" s="135">
        <f t="shared" si="49"/>
        <v>0.6</v>
      </c>
      <c r="I182" s="135">
        <f t="shared" si="49"/>
        <v>0.6</v>
      </c>
      <c r="J182" s="135">
        <f t="shared" si="49"/>
        <v>0.6</v>
      </c>
      <c r="K182" s="135">
        <f t="shared" si="49"/>
        <v>0.6</v>
      </c>
      <c r="L182" s="135">
        <f t="shared" si="49"/>
        <v>0.6</v>
      </c>
      <c r="M182" s="135">
        <f t="shared" si="49"/>
        <v>0.6</v>
      </c>
      <c r="N182" s="135">
        <f t="shared" si="49"/>
        <v>0.6</v>
      </c>
      <c r="O182" s="135">
        <f t="shared" si="49"/>
        <v>0.6</v>
      </c>
      <c r="P182" s="135">
        <f t="shared" si="49"/>
        <v>0.6</v>
      </c>
      <c r="Q182" s="135">
        <f t="shared" si="49"/>
        <v>0.6</v>
      </c>
      <c r="R182" s="135">
        <f t="shared" si="49"/>
        <v>0.6</v>
      </c>
      <c r="S182" s="135">
        <f t="shared" si="49"/>
        <v>0.6</v>
      </c>
      <c r="T182" s="135">
        <f t="shared" si="50"/>
        <v>0.6</v>
      </c>
      <c r="U182" s="135">
        <f t="shared" si="50"/>
        <v>0.6</v>
      </c>
      <c r="V182" s="135">
        <f t="shared" si="50"/>
        <v>0.6</v>
      </c>
      <c r="W182" s="135">
        <f t="shared" si="50"/>
        <v>0.6</v>
      </c>
      <c r="X182" s="135">
        <f t="shared" si="50"/>
        <v>0.6</v>
      </c>
      <c r="Y182" s="135">
        <f t="shared" si="50"/>
        <v>0.6</v>
      </c>
      <c r="Z182" s="135">
        <f t="shared" si="50"/>
        <v>0.6</v>
      </c>
      <c r="AA182" s="135">
        <f t="shared" si="50"/>
        <v>0.6</v>
      </c>
      <c r="AB182" s="135">
        <f t="shared" si="50"/>
        <v>0.6</v>
      </c>
      <c r="AC182" s="135">
        <f t="shared" si="50"/>
        <v>0.6</v>
      </c>
      <c r="AD182" s="135">
        <f t="shared" si="50"/>
        <v>0.6</v>
      </c>
      <c r="AE182" s="135">
        <f t="shared" si="50"/>
        <v>0.6</v>
      </c>
      <c r="AF182" s="135">
        <f t="shared" si="50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48"/>
        <v>0.35</v>
      </c>
      <c r="C183" s="136">
        <v>0.35</v>
      </c>
      <c r="D183" s="135">
        <f t="shared" si="49"/>
        <v>0.35</v>
      </c>
      <c r="E183" s="135">
        <f t="shared" si="49"/>
        <v>0.35</v>
      </c>
      <c r="F183" s="135">
        <f t="shared" si="49"/>
        <v>0.35</v>
      </c>
      <c r="G183" s="135">
        <f t="shared" si="49"/>
        <v>0.35</v>
      </c>
      <c r="H183" s="135">
        <f t="shared" si="49"/>
        <v>0.35</v>
      </c>
      <c r="I183" s="135">
        <f t="shared" si="49"/>
        <v>0.35</v>
      </c>
      <c r="J183" s="135">
        <f t="shared" si="49"/>
        <v>0.35</v>
      </c>
      <c r="K183" s="135">
        <f t="shared" si="49"/>
        <v>0.35</v>
      </c>
      <c r="L183" s="135">
        <f t="shared" si="49"/>
        <v>0.35</v>
      </c>
      <c r="M183" s="135">
        <f t="shared" si="49"/>
        <v>0.35</v>
      </c>
      <c r="N183" s="135">
        <f t="shared" si="49"/>
        <v>0.35</v>
      </c>
      <c r="O183" s="135">
        <f t="shared" si="49"/>
        <v>0.35</v>
      </c>
      <c r="P183" s="135">
        <f t="shared" si="49"/>
        <v>0.35</v>
      </c>
      <c r="Q183" s="135">
        <f t="shared" si="49"/>
        <v>0.35</v>
      </c>
      <c r="R183" s="135">
        <f t="shared" si="49"/>
        <v>0.35</v>
      </c>
      <c r="S183" s="135">
        <f t="shared" si="49"/>
        <v>0.35</v>
      </c>
      <c r="T183" s="135">
        <f t="shared" si="50"/>
        <v>0.35</v>
      </c>
      <c r="U183" s="135">
        <f t="shared" si="50"/>
        <v>0.35</v>
      </c>
      <c r="V183" s="135">
        <f t="shared" si="50"/>
        <v>0.35</v>
      </c>
      <c r="W183" s="135">
        <f t="shared" si="50"/>
        <v>0.35</v>
      </c>
      <c r="X183" s="135">
        <f t="shared" si="50"/>
        <v>0.35</v>
      </c>
      <c r="Y183" s="135">
        <f t="shared" si="50"/>
        <v>0.35</v>
      </c>
      <c r="Z183" s="135">
        <f t="shared" si="50"/>
        <v>0.35</v>
      </c>
      <c r="AA183" s="135">
        <f t="shared" si="50"/>
        <v>0.35</v>
      </c>
      <c r="AB183" s="135">
        <f t="shared" si="50"/>
        <v>0.35</v>
      </c>
      <c r="AC183" s="135">
        <f t="shared" si="50"/>
        <v>0.35</v>
      </c>
      <c r="AD183" s="135">
        <f t="shared" si="50"/>
        <v>0.35</v>
      </c>
      <c r="AE183" s="135">
        <f t="shared" si="50"/>
        <v>0.35</v>
      </c>
      <c r="AF183" s="135">
        <f t="shared" si="50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48"/>
        <v>0.28999999999999998</v>
      </c>
      <c r="C184" s="136">
        <v>0.28999999999999998</v>
      </c>
      <c r="D184" s="135">
        <f t="shared" si="49"/>
        <v>0.28999999999999998</v>
      </c>
      <c r="E184" s="135">
        <f t="shared" si="49"/>
        <v>0.28999999999999998</v>
      </c>
      <c r="F184" s="135">
        <f t="shared" si="49"/>
        <v>0.28999999999999998</v>
      </c>
      <c r="G184" s="135">
        <f t="shared" si="49"/>
        <v>0.28999999999999998</v>
      </c>
      <c r="H184" s="135">
        <f t="shared" si="49"/>
        <v>0.28999999999999998</v>
      </c>
      <c r="I184" s="135">
        <f t="shared" si="49"/>
        <v>0.28999999999999998</v>
      </c>
      <c r="J184" s="135">
        <f t="shared" si="49"/>
        <v>0.28999999999999998</v>
      </c>
      <c r="K184" s="135">
        <f t="shared" si="49"/>
        <v>0.28999999999999998</v>
      </c>
      <c r="L184" s="135">
        <f t="shared" si="49"/>
        <v>0.28999999999999998</v>
      </c>
      <c r="M184" s="135">
        <f t="shared" si="49"/>
        <v>0.28999999999999998</v>
      </c>
      <c r="N184" s="135">
        <f t="shared" si="49"/>
        <v>0.28999999999999998</v>
      </c>
      <c r="O184" s="135">
        <f t="shared" si="49"/>
        <v>0.28999999999999998</v>
      </c>
      <c r="P184" s="135">
        <f t="shared" si="49"/>
        <v>0.28999999999999998</v>
      </c>
      <c r="Q184" s="135">
        <f t="shared" si="49"/>
        <v>0.28999999999999998</v>
      </c>
      <c r="R184" s="135">
        <f t="shared" si="49"/>
        <v>0.28999999999999998</v>
      </c>
      <c r="S184" s="135">
        <f t="shared" si="49"/>
        <v>0.28999999999999998</v>
      </c>
      <c r="T184" s="135">
        <f t="shared" si="50"/>
        <v>0.28999999999999998</v>
      </c>
      <c r="U184" s="135">
        <f t="shared" si="50"/>
        <v>0.28999999999999998</v>
      </c>
      <c r="V184" s="135">
        <f t="shared" si="50"/>
        <v>0.28999999999999998</v>
      </c>
      <c r="W184" s="135">
        <f t="shared" si="50"/>
        <v>0.28999999999999998</v>
      </c>
      <c r="X184" s="135">
        <f t="shared" si="50"/>
        <v>0.28999999999999998</v>
      </c>
      <c r="Y184" s="135">
        <f t="shared" si="50"/>
        <v>0.28999999999999998</v>
      </c>
      <c r="Z184" s="135">
        <f t="shared" si="50"/>
        <v>0.28999999999999998</v>
      </c>
      <c r="AA184" s="135">
        <f t="shared" si="50"/>
        <v>0.28999999999999998</v>
      </c>
      <c r="AB184" s="135">
        <f t="shared" si="50"/>
        <v>0.28999999999999998</v>
      </c>
      <c r="AC184" s="135">
        <f t="shared" si="50"/>
        <v>0.28999999999999998</v>
      </c>
      <c r="AD184" s="135">
        <f t="shared" si="50"/>
        <v>0.28999999999999998</v>
      </c>
      <c r="AE184" s="135">
        <f t="shared" si="50"/>
        <v>0.28999999999999998</v>
      </c>
      <c r="AF184" s="135">
        <f t="shared" si="50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48"/>
        <v>0.06</v>
      </c>
      <c r="C185" s="136">
        <v>0.06</v>
      </c>
      <c r="D185" s="135">
        <f t="shared" si="49"/>
        <v>0.06</v>
      </c>
      <c r="E185" s="135">
        <f t="shared" si="49"/>
        <v>0.06</v>
      </c>
      <c r="F185" s="135">
        <f t="shared" si="49"/>
        <v>0.06</v>
      </c>
      <c r="G185" s="135">
        <f t="shared" si="49"/>
        <v>0.06</v>
      </c>
      <c r="H185" s="135">
        <f t="shared" si="49"/>
        <v>0.06</v>
      </c>
      <c r="I185" s="135">
        <f t="shared" si="49"/>
        <v>0.06</v>
      </c>
      <c r="J185" s="135">
        <f t="shared" si="49"/>
        <v>0.06</v>
      </c>
      <c r="K185" s="135">
        <f t="shared" si="49"/>
        <v>0.06</v>
      </c>
      <c r="L185" s="135">
        <f t="shared" si="49"/>
        <v>0.06</v>
      </c>
      <c r="M185" s="135">
        <f t="shared" si="49"/>
        <v>0.06</v>
      </c>
      <c r="N185" s="135">
        <f t="shared" si="49"/>
        <v>0.06</v>
      </c>
      <c r="O185" s="135">
        <f t="shared" si="49"/>
        <v>0.06</v>
      </c>
      <c r="P185" s="135">
        <f t="shared" si="49"/>
        <v>0.06</v>
      </c>
      <c r="Q185" s="135">
        <f t="shared" si="49"/>
        <v>0.06</v>
      </c>
      <c r="R185" s="135">
        <f t="shared" si="49"/>
        <v>0.06</v>
      </c>
      <c r="S185" s="135">
        <f t="shared" si="49"/>
        <v>0.06</v>
      </c>
      <c r="T185" s="135">
        <f t="shared" si="50"/>
        <v>0.06</v>
      </c>
      <c r="U185" s="135">
        <f t="shared" si="50"/>
        <v>0.06</v>
      </c>
      <c r="V185" s="135">
        <f t="shared" si="50"/>
        <v>0.06</v>
      </c>
      <c r="W185" s="135">
        <f t="shared" si="50"/>
        <v>0.06</v>
      </c>
      <c r="X185" s="135">
        <f t="shared" si="50"/>
        <v>0.06</v>
      </c>
      <c r="Y185" s="135">
        <f t="shared" si="50"/>
        <v>0.06</v>
      </c>
      <c r="Z185" s="135">
        <f t="shared" si="50"/>
        <v>0.06</v>
      </c>
      <c r="AA185" s="135">
        <f t="shared" si="50"/>
        <v>0.06</v>
      </c>
      <c r="AB185" s="135">
        <f t="shared" si="50"/>
        <v>0.06</v>
      </c>
      <c r="AC185" s="135">
        <f t="shared" si="50"/>
        <v>0.06</v>
      </c>
      <c r="AD185" s="135">
        <f t="shared" si="50"/>
        <v>0.06</v>
      </c>
      <c r="AE185" s="135">
        <f t="shared" si="50"/>
        <v>0.06</v>
      </c>
      <c r="AF185" s="135">
        <f t="shared" si="50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48"/>
        <v>0.11</v>
      </c>
      <c r="C186" s="136">
        <v>0.11</v>
      </c>
      <c r="D186" s="135">
        <f t="shared" si="49"/>
        <v>0.11</v>
      </c>
      <c r="E186" s="135">
        <f t="shared" si="49"/>
        <v>0.11</v>
      </c>
      <c r="F186" s="135">
        <f t="shared" si="49"/>
        <v>0.11</v>
      </c>
      <c r="G186" s="135">
        <f t="shared" si="49"/>
        <v>0.11</v>
      </c>
      <c r="H186" s="135">
        <f t="shared" si="49"/>
        <v>0.11</v>
      </c>
      <c r="I186" s="135">
        <f t="shared" si="49"/>
        <v>0.11</v>
      </c>
      <c r="J186" s="135">
        <f t="shared" si="49"/>
        <v>0.11</v>
      </c>
      <c r="K186" s="135">
        <f t="shared" si="49"/>
        <v>0.11</v>
      </c>
      <c r="L186" s="135">
        <f t="shared" si="49"/>
        <v>0.11</v>
      </c>
      <c r="M186" s="135">
        <f t="shared" si="49"/>
        <v>0.11</v>
      </c>
      <c r="N186" s="135">
        <f t="shared" si="49"/>
        <v>0.11</v>
      </c>
      <c r="O186" s="135">
        <f t="shared" si="49"/>
        <v>0.11</v>
      </c>
      <c r="P186" s="135">
        <f t="shared" si="49"/>
        <v>0.11</v>
      </c>
      <c r="Q186" s="135">
        <f t="shared" si="49"/>
        <v>0.11</v>
      </c>
      <c r="R186" s="135">
        <f t="shared" si="49"/>
        <v>0.11</v>
      </c>
      <c r="S186" s="135">
        <f t="shared" si="49"/>
        <v>0.11</v>
      </c>
      <c r="T186" s="135">
        <f t="shared" si="50"/>
        <v>0.11</v>
      </c>
      <c r="U186" s="135">
        <f t="shared" si="50"/>
        <v>0.11</v>
      </c>
      <c r="V186" s="135">
        <f t="shared" si="50"/>
        <v>0.11</v>
      </c>
      <c r="W186" s="135">
        <f t="shared" si="50"/>
        <v>0.11</v>
      </c>
      <c r="X186" s="135">
        <f t="shared" si="50"/>
        <v>0.11</v>
      </c>
      <c r="Y186" s="135">
        <f t="shared" si="50"/>
        <v>0.11</v>
      </c>
      <c r="Z186" s="135">
        <f t="shared" si="50"/>
        <v>0.11</v>
      </c>
      <c r="AA186" s="135">
        <f t="shared" si="50"/>
        <v>0.11</v>
      </c>
      <c r="AB186" s="135">
        <f t="shared" si="50"/>
        <v>0.11</v>
      </c>
      <c r="AC186" s="135">
        <f t="shared" si="50"/>
        <v>0.11</v>
      </c>
      <c r="AD186" s="135">
        <f t="shared" si="50"/>
        <v>0.11</v>
      </c>
      <c r="AE186" s="135">
        <f t="shared" si="50"/>
        <v>0.11</v>
      </c>
      <c r="AF186" s="135">
        <f t="shared" si="50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48"/>
        <v>0.1</v>
      </c>
      <c r="C187" s="136">
        <v>0.1</v>
      </c>
      <c r="D187" s="135">
        <f t="shared" si="49"/>
        <v>0.1</v>
      </c>
      <c r="E187" s="135">
        <f t="shared" si="49"/>
        <v>0.1</v>
      </c>
      <c r="F187" s="135">
        <f t="shared" si="49"/>
        <v>0.1</v>
      </c>
      <c r="G187" s="135">
        <f t="shared" si="49"/>
        <v>0.1</v>
      </c>
      <c r="H187" s="135">
        <f t="shared" si="49"/>
        <v>0.1</v>
      </c>
      <c r="I187" s="135">
        <f t="shared" si="49"/>
        <v>0.1</v>
      </c>
      <c r="J187" s="135">
        <f t="shared" si="49"/>
        <v>0.1</v>
      </c>
      <c r="K187" s="135">
        <f t="shared" si="49"/>
        <v>0.1</v>
      </c>
      <c r="L187" s="135">
        <f t="shared" si="49"/>
        <v>0.1</v>
      </c>
      <c r="M187" s="135">
        <f t="shared" si="49"/>
        <v>0.1</v>
      </c>
      <c r="N187" s="135">
        <f t="shared" si="49"/>
        <v>0.1</v>
      </c>
      <c r="O187" s="135">
        <f t="shared" si="49"/>
        <v>0.1</v>
      </c>
      <c r="P187" s="135">
        <f t="shared" si="49"/>
        <v>0.1</v>
      </c>
      <c r="Q187" s="135">
        <f t="shared" si="49"/>
        <v>0.1</v>
      </c>
      <c r="R187" s="135">
        <f t="shared" si="49"/>
        <v>0.1</v>
      </c>
      <c r="S187" s="135">
        <f t="shared" si="50"/>
        <v>0.1</v>
      </c>
      <c r="T187" s="135">
        <f t="shared" si="50"/>
        <v>0.1</v>
      </c>
      <c r="U187" s="135">
        <f t="shared" si="50"/>
        <v>0.1</v>
      </c>
      <c r="V187" s="135">
        <f t="shared" si="50"/>
        <v>0.1</v>
      </c>
      <c r="W187" s="135">
        <f t="shared" si="50"/>
        <v>0.1</v>
      </c>
      <c r="X187" s="135">
        <f t="shared" si="50"/>
        <v>0.1</v>
      </c>
      <c r="Y187" s="135">
        <f t="shared" si="50"/>
        <v>0.1</v>
      </c>
      <c r="Z187" s="135">
        <f t="shared" si="50"/>
        <v>0.1</v>
      </c>
      <c r="AA187" s="135">
        <f t="shared" si="50"/>
        <v>0.1</v>
      </c>
      <c r="AB187" s="135">
        <f t="shared" si="50"/>
        <v>0.1</v>
      </c>
      <c r="AC187" s="135">
        <f t="shared" si="50"/>
        <v>0.1</v>
      </c>
      <c r="AD187" s="135">
        <f t="shared" si="50"/>
        <v>0.1</v>
      </c>
      <c r="AE187" s="135">
        <f t="shared" si="50"/>
        <v>0.1</v>
      </c>
      <c r="AF187" s="135">
        <f t="shared" si="50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48"/>
        <v>0.09</v>
      </c>
      <c r="C188" s="136">
        <v>0.09</v>
      </c>
      <c r="D188" s="135">
        <f t="shared" si="49"/>
        <v>0.09</v>
      </c>
      <c r="E188" s="135">
        <f t="shared" si="49"/>
        <v>0.09</v>
      </c>
      <c r="F188" s="135">
        <f t="shared" si="49"/>
        <v>0.09</v>
      </c>
      <c r="G188" s="135">
        <f t="shared" si="49"/>
        <v>0.09</v>
      </c>
      <c r="H188" s="135">
        <f t="shared" si="49"/>
        <v>0.09</v>
      </c>
      <c r="I188" s="135">
        <f t="shared" si="49"/>
        <v>0.09</v>
      </c>
      <c r="J188" s="135">
        <f t="shared" si="49"/>
        <v>0.09</v>
      </c>
      <c r="K188" s="135">
        <f t="shared" si="49"/>
        <v>0.09</v>
      </c>
      <c r="L188" s="135">
        <f t="shared" si="49"/>
        <v>0.09</v>
      </c>
      <c r="M188" s="135">
        <f t="shared" si="49"/>
        <v>0.09</v>
      </c>
      <c r="N188" s="135">
        <f t="shared" si="49"/>
        <v>0.09</v>
      </c>
      <c r="O188" s="135">
        <f t="shared" si="49"/>
        <v>0.09</v>
      </c>
      <c r="P188" s="135">
        <f t="shared" si="49"/>
        <v>0.09</v>
      </c>
      <c r="Q188" s="135">
        <f t="shared" si="49"/>
        <v>0.09</v>
      </c>
      <c r="R188" s="135">
        <f t="shared" si="49"/>
        <v>0.09</v>
      </c>
      <c r="S188" s="135">
        <f t="shared" si="50"/>
        <v>0.09</v>
      </c>
      <c r="T188" s="135">
        <f t="shared" si="50"/>
        <v>0.09</v>
      </c>
      <c r="U188" s="135">
        <f t="shared" si="50"/>
        <v>0.09</v>
      </c>
      <c r="V188" s="135">
        <f t="shared" si="50"/>
        <v>0.09</v>
      </c>
      <c r="W188" s="135">
        <f t="shared" si="50"/>
        <v>0.09</v>
      </c>
      <c r="X188" s="135">
        <f t="shared" si="50"/>
        <v>0.09</v>
      </c>
      <c r="Y188" s="135">
        <f t="shared" si="50"/>
        <v>0.09</v>
      </c>
      <c r="Z188" s="135">
        <f t="shared" si="50"/>
        <v>0.09</v>
      </c>
      <c r="AA188" s="135">
        <f t="shared" si="50"/>
        <v>0.09</v>
      </c>
      <c r="AB188" s="135">
        <f t="shared" si="50"/>
        <v>0.09</v>
      </c>
      <c r="AC188" s="135">
        <f t="shared" si="50"/>
        <v>0.09</v>
      </c>
      <c r="AD188" s="135">
        <f t="shared" si="50"/>
        <v>0.09</v>
      </c>
      <c r="AE188" s="135">
        <f t="shared" si="50"/>
        <v>0.09</v>
      </c>
      <c r="AF188" s="135">
        <f t="shared" si="50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48"/>
        <v>0.04</v>
      </c>
      <c r="C189" s="52">
        <v>0.04</v>
      </c>
      <c r="D189" s="135">
        <f t="shared" si="49"/>
        <v>0.04</v>
      </c>
      <c r="E189" s="135">
        <f t="shared" si="49"/>
        <v>0.04</v>
      </c>
      <c r="F189" s="135">
        <f t="shared" si="49"/>
        <v>0.04</v>
      </c>
      <c r="G189" s="135">
        <f t="shared" si="49"/>
        <v>0.04</v>
      </c>
      <c r="H189" s="135">
        <f t="shared" si="49"/>
        <v>0.04</v>
      </c>
      <c r="I189" s="135">
        <f t="shared" si="49"/>
        <v>0.04</v>
      </c>
      <c r="J189" s="135">
        <f t="shared" si="49"/>
        <v>0.04</v>
      </c>
      <c r="K189" s="135">
        <f t="shared" si="49"/>
        <v>0.04</v>
      </c>
      <c r="L189" s="135">
        <f t="shared" si="49"/>
        <v>0.04</v>
      </c>
      <c r="M189" s="135">
        <f t="shared" si="49"/>
        <v>0.04</v>
      </c>
      <c r="N189" s="135">
        <f t="shared" si="49"/>
        <v>0.04</v>
      </c>
      <c r="O189" s="135">
        <f t="shared" si="49"/>
        <v>0.04</v>
      </c>
      <c r="P189" s="135">
        <f t="shared" si="49"/>
        <v>0.04</v>
      </c>
      <c r="Q189" s="135">
        <f t="shared" si="49"/>
        <v>0.04</v>
      </c>
      <c r="R189" s="135">
        <f t="shared" si="49"/>
        <v>0.04</v>
      </c>
      <c r="S189" s="135">
        <f t="shared" si="50"/>
        <v>0.04</v>
      </c>
      <c r="T189" s="135">
        <f t="shared" si="50"/>
        <v>0.04</v>
      </c>
      <c r="U189" s="135">
        <f t="shared" si="50"/>
        <v>0.04</v>
      </c>
      <c r="V189" s="135">
        <f t="shared" si="50"/>
        <v>0.04</v>
      </c>
      <c r="W189" s="135">
        <f t="shared" si="50"/>
        <v>0.04</v>
      </c>
      <c r="X189" s="135">
        <f t="shared" si="50"/>
        <v>0.04</v>
      </c>
      <c r="Y189" s="135">
        <f t="shared" si="50"/>
        <v>0.04</v>
      </c>
      <c r="Z189" s="135">
        <f t="shared" si="50"/>
        <v>0.04</v>
      </c>
      <c r="AA189" s="135">
        <f t="shared" si="50"/>
        <v>0.04</v>
      </c>
      <c r="AB189" s="135">
        <f t="shared" si="50"/>
        <v>0.04</v>
      </c>
      <c r="AC189" s="135">
        <f t="shared" si="50"/>
        <v>0.04</v>
      </c>
      <c r="AD189" s="135">
        <f t="shared" si="50"/>
        <v>0.04</v>
      </c>
      <c r="AE189" s="135">
        <f t="shared" si="50"/>
        <v>0.04</v>
      </c>
      <c r="AF189" s="135">
        <f t="shared" si="50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48"/>
        <v>2.3E-2</v>
      </c>
      <c r="C190" s="52">
        <v>2.3E-2</v>
      </c>
      <c r="D190" s="135">
        <f>C190</f>
        <v>2.3E-2</v>
      </c>
      <c r="E190" s="135">
        <f t="shared" si="49"/>
        <v>2.3E-2</v>
      </c>
      <c r="F190" s="135">
        <f t="shared" si="49"/>
        <v>2.3E-2</v>
      </c>
      <c r="G190" s="135">
        <f t="shared" si="49"/>
        <v>2.3E-2</v>
      </c>
      <c r="H190" s="135">
        <f t="shared" si="49"/>
        <v>2.3E-2</v>
      </c>
      <c r="I190" s="135">
        <f t="shared" si="49"/>
        <v>2.3E-2</v>
      </c>
      <c r="J190" s="135">
        <f t="shared" si="49"/>
        <v>2.3E-2</v>
      </c>
      <c r="K190" s="135">
        <f t="shared" si="49"/>
        <v>2.3E-2</v>
      </c>
      <c r="L190" s="135">
        <f t="shared" si="49"/>
        <v>2.3E-2</v>
      </c>
      <c r="M190" s="135">
        <f t="shared" si="49"/>
        <v>2.3E-2</v>
      </c>
      <c r="N190" s="135">
        <f t="shared" si="49"/>
        <v>2.3E-2</v>
      </c>
      <c r="O190" s="135">
        <f t="shared" si="49"/>
        <v>2.3E-2</v>
      </c>
      <c r="P190" s="135">
        <f t="shared" si="49"/>
        <v>2.3E-2</v>
      </c>
      <c r="Q190" s="135">
        <f t="shared" si="49"/>
        <v>2.3E-2</v>
      </c>
      <c r="R190" s="135">
        <f t="shared" si="49"/>
        <v>2.3E-2</v>
      </c>
      <c r="S190" s="135">
        <f t="shared" si="50"/>
        <v>2.3E-2</v>
      </c>
      <c r="T190" s="135">
        <f t="shared" si="50"/>
        <v>2.3E-2</v>
      </c>
      <c r="U190" s="135">
        <f t="shared" si="50"/>
        <v>2.3E-2</v>
      </c>
      <c r="V190" s="135">
        <f t="shared" si="50"/>
        <v>2.3E-2</v>
      </c>
      <c r="W190" s="135">
        <f t="shared" si="50"/>
        <v>2.3E-2</v>
      </c>
      <c r="X190" s="135">
        <f t="shared" si="50"/>
        <v>2.3E-2</v>
      </c>
      <c r="Y190" s="135">
        <f t="shared" si="50"/>
        <v>2.3E-2</v>
      </c>
      <c r="Z190" s="135">
        <f t="shared" si="50"/>
        <v>2.3E-2</v>
      </c>
      <c r="AA190" s="135">
        <f t="shared" si="50"/>
        <v>2.3E-2</v>
      </c>
      <c r="AB190" s="135">
        <f t="shared" si="50"/>
        <v>2.3E-2</v>
      </c>
      <c r="AC190" s="135">
        <f t="shared" si="50"/>
        <v>2.3E-2</v>
      </c>
      <c r="AD190" s="135">
        <f t="shared" si="50"/>
        <v>2.3E-2</v>
      </c>
      <c r="AE190" s="135">
        <f t="shared" si="50"/>
        <v>2.3E-2</v>
      </c>
      <c r="AF190" s="135">
        <f t="shared" si="50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1">SUM(C101:C190)</f>
        <v>194.70600000000002</v>
      </c>
      <c r="D191" s="140">
        <f t="shared" si="51"/>
        <v>194.70600000000002</v>
      </c>
      <c r="E191" s="140">
        <f t="shared" si="51"/>
        <v>194.70600000000002</v>
      </c>
      <c r="F191" s="140">
        <f t="shared" si="51"/>
        <v>194.70600000000002</v>
      </c>
      <c r="G191" s="140">
        <f t="shared" si="51"/>
        <v>194.70600000000002</v>
      </c>
      <c r="H191" s="140">
        <f t="shared" si="51"/>
        <v>194.70600000000002</v>
      </c>
      <c r="I191" s="140">
        <f t="shared" si="51"/>
        <v>194.70600000000002</v>
      </c>
      <c r="J191" s="140">
        <f t="shared" si="51"/>
        <v>192.10600000000005</v>
      </c>
      <c r="K191" s="140">
        <f t="shared" si="51"/>
        <v>192.10600000000005</v>
      </c>
      <c r="L191" s="140">
        <f t="shared" si="51"/>
        <v>192.10600000000005</v>
      </c>
      <c r="M191" s="140">
        <f t="shared" si="51"/>
        <v>192.10600000000005</v>
      </c>
      <c r="N191" s="140">
        <f t="shared" si="51"/>
        <v>192.10600000000005</v>
      </c>
      <c r="O191" s="140">
        <f t="shared" si="51"/>
        <v>192.10600000000005</v>
      </c>
      <c r="P191" s="140">
        <f t="shared" si="51"/>
        <v>192.10600000000005</v>
      </c>
      <c r="Q191" s="140">
        <f t="shared" si="51"/>
        <v>192.10600000000005</v>
      </c>
      <c r="R191" s="140">
        <f t="shared" si="51"/>
        <v>192.10600000000005</v>
      </c>
      <c r="S191" s="140">
        <f t="shared" si="51"/>
        <v>192.10600000000005</v>
      </c>
      <c r="T191" s="140">
        <f t="shared" si="51"/>
        <v>192.10600000000005</v>
      </c>
      <c r="U191" s="140">
        <f t="shared" si="51"/>
        <v>192.10600000000005</v>
      </c>
      <c r="V191" s="140">
        <f t="shared" si="51"/>
        <v>192.10600000000005</v>
      </c>
      <c r="W191" s="140">
        <f t="shared" si="51"/>
        <v>192.10600000000005</v>
      </c>
      <c r="X191" s="140">
        <f t="shared" si="51"/>
        <v>192.10600000000005</v>
      </c>
      <c r="Y191" s="140">
        <f t="shared" si="51"/>
        <v>192.10600000000005</v>
      </c>
      <c r="Z191" s="140">
        <f t="shared" si="51"/>
        <v>192.10600000000005</v>
      </c>
      <c r="AA191" s="140">
        <f t="shared" si="51"/>
        <v>192.10600000000005</v>
      </c>
      <c r="AB191" s="140">
        <f t="shared" si="51"/>
        <v>192.10600000000005</v>
      </c>
      <c r="AC191" s="140">
        <f t="shared" si="51"/>
        <v>192.10600000000005</v>
      </c>
      <c r="AD191" s="140">
        <f t="shared" si="51"/>
        <v>192.10600000000005</v>
      </c>
      <c r="AE191" s="140">
        <f t="shared" si="51"/>
        <v>192.10600000000005</v>
      </c>
      <c r="AF191" s="140">
        <f t="shared" si="51"/>
        <v>192.10600000000005</v>
      </c>
      <c r="AG191" s="141">
        <f t="shared" si="51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2">AF193</f>
        <v>0.3</v>
      </c>
      <c r="C193" s="142">
        <v>0.3</v>
      </c>
      <c r="D193" s="142">
        <f t="shared" ref="D193:S198" si="53">C193</f>
        <v>0.3</v>
      </c>
      <c r="E193" s="142">
        <f t="shared" si="53"/>
        <v>0.3</v>
      </c>
      <c r="F193" s="142">
        <f t="shared" si="53"/>
        <v>0.3</v>
      </c>
      <c r="G193" s="142">
        <f t="shared" si="53"/>
        <v>0.3</v>
      </c>
      <c r="H193" s="142">
        <f t="shared" si="53"/>
        <v>0.3</v>
      </c>
      <c r="I193" s="142">
        <f t="shared" si="53"/>
        <v>0.3</v>
      </c>
      <c r="J193" s="142">
        <f t="shared" si="53"/>
        <v>0.3</v>
      </c>
      <c r="K193" s="142">
        <f t="shared" si="53"/>
        <v>0.3</v>
      </c>
      <c r="L193" s="142">
        <f t="shared" si="53"/>
        <v>0.3</v>
      </c>
      <c r="M193" s="142">
        <f t="shared" si="53"/>
        <v>0.3</v>
      </c>
      <c r="N193" s="142">
        <f t="shared" si="53"/>
        <v>0.3</v>
      </c>
      <c r="O193" s="142">
        <f t="shared" si="53"/>
        <v>0.3</v>
      </c>
      <c r="P193" s="142">
        <f t="shared" si="53"/>
        <v>0.3</v>
      </c>
      <c r="Q193" s="142">
        <f t="shared" si="53"/>
        <v>0.3</v>
      </c>
      <c r="R193" s="142">
        <f t="shared" si="53"/>
        <v>0.3</v>
      </c>
      <c r="S193" s="142">
        <f t="shared" si="53"/>
        <v>0.3</v>
      </c>
      <c r="T193" s="142">
        <f t="shared" ref="T193:AF198" si="54">S193</f>
        <v>0.3</v>
      </c>
      <c r="U193" s="142">
        <f t="shared" si="54"/>
        <v>0.3</v>
      </c>
      <c r="V193" s="142">
        <f t="shared" si="54"/>
        <v>0.3</v>
      </c>
      <c r="W193" s="142">
        <f t="shared" si="54"/>
        <v>0.3</v>
      </c>
      <c r="X193" s="142">
        <f t="shared" si="54"/>
        <v>0.3</v>
      </c>
      <c r="Y193" s="142">
        <f t="shared" si="54"/>
        <v>0.3</v>
      </c>
      <c r="Z193" s="142">
        <f t="shared" si="54"/>
        <v>0.3</v>
      </c>
      <c r="AA193" s="142">
        <f t="shared" si="54"/>
        <v>0.3</v>
      </c>
      <c r="AB193" s="142">
        <f t="shared" si="54"/>
        <v>0.3</v>
      </c>
      <c r="AC193" s="142">
        <f t="shared" si="54"/>
        <v>0.3</v>
      </c>
      <c r="AD193" s="142">
        <f t="shared" si="54"/>
        <v>0.3</v>
      </c>
      <c r="AE193" s="142">
        <f t="shared" si="54"/>
        <v>0.3</v>
      </c>
      <c r="AF193" s="142">
        <f t="shared" si="54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2"/>
        <v>0.4</v>
      </c>
      <c r="C194" s="135">
        <v>0.4</v>
      </c>
      <c r="D194" s="135">
        <f t="shared" si="53"/>
        <v>0.4</v>
      </c>
      <c r="E194" s="135">
        <f t="shared" si="53"/>
        <v>0.4</v>
      </c>
      <c r="F194" s="135">
        <f t="shared" si="53"/>
        <v>0.4</v>
      </c>
      <c r="G194" s="135">
        <f t="shared" si="53"/>
        <v>0.4</v>
      </c>
      <c r="H194" s="135">
        <f t="shared" si="53"/>
        <v>0.4</v>
      </c>
      <c r="I194" s="135">
        <f t="shared" si="53"/>
        <v>0.4</v>
      </c>
      <c r="J194" s="135">
        <f t="shared" si="53"/>
        <v>0.4</v>
      </c>
      <c r="K194" s="135">
        <f t="shared" si="53"/>
        <v>0.4</v>
      </c>
      <c r="L194" s="135">
        <f t="shared" si="53"/>
        <v>0.4</v>
      </c>
      <c r="M194" s="135">
        <f t="shared" si="53"/>
        <v>0.4</v>
      </c>
      <c r="N194" s="135">
        <f t="shared" si="53"/>
        <v>0.4</v>
      </c>
      <c r="O194" s="135">
        <f t="shared" si="53"/>
        <v>0.4</v>
      </c>
      <c r="P194" s="135">
        <f t="shared" si="53"/>
        <v>0.4</v>
      </c>
      <c r="Q194" s="135">
        <f t="shared" si="53"/>
        <v>0.4</v>
      </c>
      <c r="R194" s="135">
        <f t="shared" si="53"/>
        <v>0.4</v>
      </c>
      <c r="S194" s="135">
        <f t="shared" si="53"/>
        <v>0.4</v>
      </c>
      <c r="T194" s="135">
        <f t="shared" si="54"/>
        <v>0.4</v>
      </c>
      <c r="U194" s="135">
        <f t="shared" si="54"/>
        <v>0.4</v>
      </c>
      <c r="V194" s="135">
        <f t="shared" si="54"/>
        <v>0.4</v>
      </c>
      <c r="W194" s="135">
        <f>V194</f>
        <v>0.4</v>
      </c>
      <c r="X194" s="135">
        <f>W194</f>
        <v>0.4</v>
      </c>
      <c r="Y194" s="135">
        <f t="shared" si="54"/>
        <v>0.4</v>
      </c>
      <c r="Z194" s="135">
        <f t="shared" si="54"/>
        <v>0.4</v>
      </c>
      <c r="AA194" s="135">
        <f t="shared" si="54"/>
        <v>0.4</v>
      </c>
      <c r="AB194" s="135">
        <f t="shared" si="54"/>
        <v>0.4</v>
      </c>
      <c r="AC194" s="135">
        <f t="shared" si="54"/>
        <v>0.4</v>
      </c>
      <c r="AD194" s="135">
        <f t="shared" si="54"/>
        <v>0.4</v>
      </c>
      <c r="AE194" s="135">
        <f t="shared" si="54"/>
        <v>0.4</v>
      </c>
      <c r="AF194" s="135">
        <f t="shared" si="54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2"/>
        <v>1.5</v>
      </c>
      <c r="C195" s="135">
        <v>1.5</v>
      </c>
      <c r="D195" s="135">
        <f t="shared" si="53"/>
        <v>1.5</v>
      </c>
      <c r="E195" s="135">
        <f t="shared" si="53"/>
        <v>1.5</v>
      </c>
      <c r="F195" s="135">
        <f t="shared" si="53"/>
        <v>1.5</v>
      </c>
      <c r="G195" s="135">
        <f t="shared" si="53"/>
        <v>1.5</v>
      </c>
      <c r="H195" s="135">
        <f t="shared" si="53"/>
        <v>1.5</v>
      </c>
      <c r="I195" s="135">
        <f t="shared" si="53"/>
        <v>1.5</v>
      </c>
      <c r="J195" s="135">
        <f t="shared" si="53"/>
        <v>1.5</v>
      </c>
      <c r="K195" s="135">
        <f t="shared" si="53"/>
        <v>1.5</v>
      </c>
      <c r="L195" s="135">
        <f t="shared" si="53"/>
        <v>1.5</v>
      </c>
      <c r="M195" s="135">
        <f t="shared" si="53"/>
        <v>1.5</v>
      </c>
      <c r="N195" s="135">
        <f t="shared" si="53"/>
        <v>1.5</v>
      </c>
      <c r="O195" s="135">
        <f t="shared" si="53"/>
        <v>1.5</v>
      </c>
      <c r="P195" s="135">
        <f t="shared" si="53"/>
        <v>1.5</v>
      </c>
      <c r="Q195" s="135">
        <f t="shared" si="53"/>
        <v>1.5</v>
      </c>
      <c r="R195" s="135">
        <f t="shared" si="53"/>
        <v>1.5</v>
      </c>
      <c r="S195" s="135">
        <f t="shared" si="53"/>
        <v>1.5</v>
      </c>
      <c r="T195" s="135">
        <f t="shared" si="54"/>
        <v>1.5</v>
      </c>
      <c r="U195" s="135">
        <f t="shared" si="54"/>
        <v>1.5</v>
      </c>
      <c r="V195" s="135">
        <f t="shared" si="54"/>
        <v>1.5</v>
      </c>
      <c r="W195" s="135">
        <f t="shared" si="54"/>
        <v>1.5</v>
      </c>
      <c r="X195" s="135">
        <f t="shared" si="54"/>
        <v>1.5</v>
      </c>
      <c r="Y195" s="135">
        <f t="shared" si="54"/>
        <v>1.5</v>
      </c>
      <c r="Z195" s="135">
        <f t="shared" si="54"/>
        <v>1.5</v>
      </c>
      <c r="AA195" s="135">
        <f t="shared" si="54"/>
        <v>1.5</v>
      </c>
      <c r="AB195" s="135">
        <f t="shared" si="54"/>
        <v>1.5</v>
      </c>
      <c r="AC195" s="135">
        <f t="shared" si="54"/>
        <v>1.5</v>
      </c>
      <c r="AD195" s="135">
        <f t="shared" si="54"/>
        <v>1.5</v>
      </c>
      <c r="AE195" s="135">
        <f t="shared" si="54"/>
        <v>1.5</v>
      </c>
      <c r="AF195" s="135">
        <f t="shared" si="54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2"/>
        <v>0.3</v>
      </c>
      <c r="C196" s="135">
        <v>0.3</v>
      </c>
      <c r="D196" s="135">
        <f t="shared" si="53"/>
        <v>0.3</v>
      </c>
      <c r="E196" s="135">
        <f t="shared" si="53"/>
        <v>0.3</v>
      </c>
      <c r="F196" s="135">
        <f t="shared" si="53"/>
        <v>0.3</v>
      </c>
      <c r="G196" s="135">
        <f t="shared" si="53"/>
        <v>0.3</v>
      </c>
      <c r="H196" s="135">
        <f t="shared" si="53"/>
        <v>0.3</v>
      </c>
      <c r="I196" s="135">
        <f t="shared" si="53"/>
        <v>0.3</v>
      </c>
      <c r="J196" s="135">
        <f t="shared" si="53"/>
        <v>0.3</v>
      </c>
      <c r="K196" s="135">
        <f t="shared" si="53"/>
        <v>0.3</v>
      </c>
      <c r="L196" s="135">
        <f t="shared" si="53"/>
        <v>0.3</v>
      </c>
      <c r="M196" s="135">
        <f t="shared" si="53"/>
        <v>0.3</v>
      </c>
      <c r="N196" s="135">
        <f t="shared" si="53"/>
        <v>0.3</v>
      </c>
      <c r="O196" s="135">
        <f t="shared" si="53"/>
        <v>0.3</v>
      </c>
      <c r="P196" s="135">
        <f t="shared" si="53"/>
        <v>0.3</v>
      </c>
      <c r="Q196" s="135">
        <f t="shared" si="53"/>
        <v>0.3</v>
      </c>
      <c r="R196" s="135">
        <f t="shared" si="53"/>
        <v>0.3</v>
      </c>
      <c r="S196" s="135">
        <f t="shared" si="53"/>
        <v>0.3</v>
      </c>
      <c r="T196" s="135">
        <f t="shared" si="54"/>
        <v>0.3</v>
      </c>
      <c r="U196" s="135">
        <f t="shared" si="54"/>
        <v>0.3</v>
      </c>
      <c r="V196" s="135">
        <f t="shared" si="54"/>
        <v>0.3</v>
      </c>
      <c r="W196" s="135">
        <f t="shared" si="54"/>
        <v>0.3</v>
      </c>
      <c r="X196" s="135">
        <f t="shared" si="54"/>
        <v>0.3</v>
      </c>
      <c r="Y196" s="135">
        <f t="shared" si="54"/>
        <v>0.3</v>
      </c>
      <c r="Z196" s="135">
        <f t="shared" si="54"/>
        <v>0.3</v>
      </c>
      <c r="AA196" s="135">
        <f t="shared" si="54"/>
        <v>0.3</v>
      </c>
      <c r="AB196" s="135">
        <f t="shared" si="54"/>
        <v>0.3</v>
      </c>
      <c r="AC196" s="135">
        <f t="shared" si="54"/>
        <v>0.3</v>
      </c>
      <c r="AD196" s="135">
        <f t="shared" si="54"/>
        <v>0.3</v>
      </c>
      <c r="AE196" s="135">
        <f t="shared" si="54"/>
        <v>0.3</v>
      </c>
      <c r="AF196" s="135">
        <f t="shared" si="54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2"/>
        <v>0.4</v>
      </c>
      <c r="C197" s="135">
        <v>0.4</v>
      </c>
      <c r="D197" s="135">
        <f t="shared" si="53"/>
        <v>0.4</v>
      </c>
      <c r="E197" s="135">
        <f t="shared" si="53"/>
        <v>0.4</v>
      </c>
      <c r="F197" s="135">
        <f t="shared" si="53"/>
        <v>0.4</v>
      </c>
      <c r="G197" s="135">
        <f t="shared" si="53"/>
        <v>0.4</v>
      </c>
      <c r="H197" s="135">
        <f t="shared" si="53"/>
        <v>0.4</v>
      </c>
      <c r="I197" s="135">
        <f t="shared" si="53"/>
        <v>0.4</v>
      </c>
      <c r="J197" s="135">
        <f t="shared" si="53"/>
        <v>0.4</v>
      </c>
      <c r="K197" s="135">
        <f t="shared" si="53"/>
        <v>0.4</v>
      </c>
      <c r="L197" s="135">
        <f t="shared" si="53"/>
        <v>0.4</v>
      </c>
      <c r="M197" s="135">
        <f t="shared" si="53"/>
        <v>0.4</v>
      </c>
      <c r="N197" s="135">
        <f t="shared" si="53"/>
        <v>0.4</v>
      </c>
      <c r="O197" s="135">
        <f t="shared" si="53"/>
        <v>0.4</v>
      </c>
      <c r="P197" s="135">
        <f t="shared" si="53"/>
        <v>0.4</v>
      </c>
      <c r="Q197" s="135">
        <f t="shared" si="53"/>
        <v>0.4</v>
      </c>
      <c r="R197" s="135">
        <f t="shared" si="53"/>
        <v>0.4</v>
      </c>
      <c r="S197" s="135">
        <f t="shared" si="53"/>
        <v>0.4</v>
      </c>
      <c r="T197" s="135">
        <f t="shared" si="54"/>
        <v>0.4</v>
      </c>
      <c r="U197" s="135">
        <f t="shared" si="54"/>
        <v>0.4</v>
      </c>
      <c r="V197" s="135">
        <f t="shared" si="54"/>
        <v>0.4</v>
      </c>
      <c r="W197" s="135">
        <f t="shared" si="54"/>
        <v>0.4</v>
      </c>
      <c r="X197" s="135">
        <f t="shared" si="54"/>
        <v>0.4</v>
      </c>
      <c r="Y197" s="135">
        <f t="shared" si="54"/>
        <v>0.4</v>
      </c>
      <c r="Z197" s="135">
        <f t="shared" si="54"/>
        <v>0.4</v>
      </c>
      <c r="AA197" s="135">
        <f t="shared" si="54"/>
        <v>0.4</v>
      </c>
      <c r="AB197" s="135">
        <f t="shared" si="54"/>
        <v>0.4</v>
      </c>
      <c r="AC197" s="135">
        <f t="shared" si="54"/>
        <v>0.4</v>
      </c>
      <c r="AD197" s="135">
        <f t="shared" si="54"/>
        <v>0.4</v>
      </c>
      <c r="AE197" s="135">
        <f t="shared" si="54"/>
        <v>0.4</v>
      </c>
      <c r="AF197" s="135">
        <f t="shared" si="54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2"/>
        <v>0.64</v>
      </c>
      <c r="C198" s="145">
        <v>0.64</v>
      </c>
      <c r="D198" s="145">
        <f t="shared" si="53"/>
        <v>0.64</v>
      </c>
      <c r="E198" s="145">
        <f t="shared" si="53"/>
        <v>0.64</v>
      </c>
      <c r="F198" s="145">
        <f t="shared" si="53"/>
        <v>0.64</v>
      </c>
      <c r="G198" s="145">
        <f t="shared" si="53"/>
        <v>0.64</v>
      </c>
      <c r="H198" s="145">
        <f t="shared" si="53"/>
        <v>0.64</v>
      </c>
      <c r="I198" s="145">
        <f t="shared" si="53"/>
        <v>0.64</v>
      </c>
      <c r="J198" s="145">
        <f t="shared" si="53"/>
        <v>0.64</v>
      </c>
      <c r="K198" s="145">
        <f t="shared" si="53"/>
        <v>0.64</v>
      </c>
      <c r="L198" s="145">
        <f t="shared" si="53"/>
        <v>0.64</v>
      </c>
      <c r="M198" s="145">
        <f t="shared" si="53"/>
        <v>0.64</v>
      </c>
      <c r="N198" s="145">
        <f t="shared" si="53"/>
        <v>0.64</v>
      </c>
      <c r="O198" s="145">
        <f t="shared" si="53"/>
        <v>0.64</v>
      </c>
      <c r="P198" s="145">
        <f t="shared" si="53"/>
        <v>0.64</v>
      </c>
      <c r="Q198" s="145">
        <f t="shared" si="53"/>
        <v>0.64</v>
      </c>
      <c r="R198" s="145">
        <f t="shared" si="53"/>
        <v>0.64</v>
      </c>
      <c r="S198" s="145">
        <f t="shared" si="53"/>
        <v>0.64</v>
      </c>
      <c r="T198" s="145">
        <f t="shared" si="54"/>
        <v>0.64</v>
      </c>
      <c r="U198" s="145">
        <f t="shared" si="54"/>
        <v>0.64</v>
      </c>
      <c r="V198" s="145">
        <f t="shared" si="54"/>
        <v>0.64</v>
      </c>
      <c r="W198" s="145">
        <f t="shared" si="54"/>
        <v>0.64</v>
      </c>
      <c r="X198" s="145">
        <f t="shared" si="54"/>
        <v>0.64</v>
      </c>
      <c r="Y198" s="145">
        <f t="shared" si="54"/>
        <v>0.64</v>
      </c>
      <c r="Z198" s="145">
        <f t="shared" si="54"/>
        <v>0.64</v>
      </c>
      <c r="AA198" s="145">
        <f t="shared" si="54"/>
        <v>0.64</v>
      </c>
      <c r="AB198" s="145">
        <f t="shared" si="54"/>
        <v>0.64</v>
      </c>
      <c r="AC198" s="145">
        <f t="shared" si="54"/>
        <v>0.64</v>
      </c>
      <c r="AD198" s="145">
        <f t="shared" si="54"/>
        <v>0.64</v>
      </c>
      <c r="AE198" s="145">
        <f t="shared" si="54"/>
        <v>0.64</v>
      </c>
      <c r="AF198" s="145">
        <f t="shared" si="54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5">SUM(D193:D198)</f>
        <v>3.54</v>
      </c>
      <c r="E199" s="148">
        <f t="shared" si="55"/>
        <v>3.54</v>
      </c>
      <c r="F199" s="148">
        <f t="shared" si="55"/>
        <v>3.54</v>
      </c>
      <c r="G199" s="148">
        <f t="shared" si="55"/>
        <v>3.54</v>
      </c>
      <c r="H199" s="148">
        <f t="shared" si="55"/>
        <v>3.54</v>
      </c>
      <c r="I199" s="148">
        <f t="shared" si="55"/>
        <v>3.54</v>
      </c>
      <c r="J199" s="148">
        <f t="shared" si="55"/>
        <v>3.54</v>
      </c>
      <c r="K199" s="148">
        <f t="shared" si="55"/>
        <v>3.54</v>
      </c>
      <c r="L199" s="148">
        <f t="shared" si="55"/>
        <v>3.54</v>
      </c>
      <c r="M199" s="148">
        <f>SUM(M193:M198)</f>
        <v>3.54</v>
      </c>
      <c r="N199" s="148">
        <f t="shared" ref="N199:S199" si="56">SUM(N193:N198)</f>
        <v>3.54</v>
      </c>
      <c r="O199" s="148">
        <f t="shared" si="56"/>
        <v>3.54</v>
      </c>
      <c r="P199" s="148">
        <f t="shared" si="56"/>
        <v>3.54</v>
      </c>
      <c r="Q199" s="148">
        <f t="shared" si="56"/>
        <v>3.54</v>
      </c>
      <c r="R199" s="148">
        <f t="shared" si="56"/>
        <v>3.54</v>
      </c>
      <c r="S199" s="148">
        <f t="shared" si="56"/>
        <v>3.54</v>
      </c>
      <c r="T199" s="148">
        <f>SUM(T193:T198)</f>
        <v>3.54</v>
      </c>
      <c r="U199" s="148">
        <f t="shared" ref="U199:AG199" si="57">SUM(U193:U198)</f>
        <v>3.54</v>
      </c>
      <c r="V199" s="148">
        <f t="shared" si="57"/>
        <v>3.54</v>
      </c>
      <c r="W199" s="148">
        <f t="shared" si="57"/>
        <v>3.54</v>
      </c>
      <c r="X199" s="148">
        <f t="shared" si="57"/>
        <v>3.54</v>
      </c>
      <c r="Y199" s="148">
        <f t="shared" si="57"/>
        <v>3.54</v>
      </c>
      <c r="Z199" s="148">
        <f t="shared" si="57"/>
        <v>3.54</v>
      </c>
      <c r="AA199" s="148">
        <f t="shared" si="57"/>
        <v>3.54</v>
      </c>
      <c r="AB199" s="148">
        <f t="shared" si="57"/>
        <v>3.54</v>
      </c>
      <c r="AC199" s="148">
        <f t="shared" si="57"/>
        <v>3.54</v>
      </c>
      <c r="AD199" s="148">
        <f t="shared" si="57"/>
        <v>3.54</v>
      </c>
      <c r="AE199" s="148">
        <f t="shared" si="57"/>
        <v>3.54</v>
      </c>
      <c r="AF199" s="148">
        <f t="shared" si="57"/>
        <v>3.54</v>
      </c>
      <c r="AG199" s="149">
        <f t="shared" si="57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3.54</v>
      </c>
      <c r="C208" s="163">
        <f>INDEX(G9:N9,1,MATCH(MAX(G75:N75),G75:N75,0))</f>
        <v>0.20833333333333301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new_sample (2)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e">
        <f ca="1">"Pie Chart of Daily Peak Demand(Inclusive of Export) of Nepal ("&amp;A4&amp;" "&amp;B4&amp;")"</f>
        <v>#VALUE!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58">B75</f>
        <v>3.54</v>
      </c>
      <c r="U213" s="173">
        <f t="shared" si="58"/>
        <v>3.54</v>
      </c>
      <c r="V213" s="173">
        <f t="shared" si="58"/>
        <v>3.54</v>
      </c>
      <c r="W213" s="173">
        <f t="shared" si="58"/>
        <v>3.54</v>
      </c>
      <c r="X213" s="173">
        <f t="shared" si="58"/>
        <v>3.54</v>
      </c>
      <c r="Y213" s="173">
        <f t="shared" si="58"/>
        <v>3.54</v>
      </c>
      <c r="Z213" s="173">
        <f t="shared" si="58"/>
        <v>3.54</v>
      </c>
      <c r="AA213" s="173">
        <f t="shared" si="58"/>
        <v>3.54</v>
      </c>
      <c r="AB213" s="173">
        <f t="shared" si="58"/>
        <v>3.54</v>
      </c>
      <c r="AC213" s="173">
        <f t="shared" si="58"/>
        <v>3.54</v>
      </c>
      <c r="AD213" s="173">
        <f t="shared" si="58"/>
        <v>3.54</v>
      </c>
      <c r="AE213" s="173">
        <f t="shared" si="58"/>
        <v>3.54</v>
      </c>
      <c r="AF213" s="173">
        <f t="shared" si="58"/>
        <v>3.54</v>
      </c>
      <c r="AG213" s="173">
        <f t="shared" si="58"/>
        <v>3.54</v>
      </c>
      <c r="AH213" s="173">
        <f t="shared" si="58"/>
        <v>3.54</v>
      </c>
      <c r="AI213" s="173">
        <f t="shared" si="58"/>
        <v>3.54</v>
      </c>
      <c r="AJ213" s="173">
        <f t="shared" si="58"/>
        <v>3.54</v>
      </c>
      <c r="AK213" s="173">
        <f t="shared" si="58"/>
        <v>3.54</v>
      </c>
      <c r="AL213" s="173">
        <f t="shared" si="58"/>
        <v>3.54</v>
      </c>
      <c r="AM213" s="173">
        <f t="shared" si="58"/>
        <v>3.54</v>
      </c>
      <c r="AN213" s="173">
        <f t="shared" si="58"/>
        <v>3.54</v>
      </c>
      <c r="AO213" s="173">
        <f t="shared" si="58"/>
        <v>3.54</v>
      </c>
      <c r="AP213" s="173">
        <f t="shared" si="58"/>
        <v>3.54</v>
      </c>
      <c r="AQ213" s="173">
        <f t="shared" si="58"/>
        <v>3.54</v>
      </c>
      <c r="AR213" s="173">
        <f t="shared" si="58"/>
        <v>3.54</v>
      </c>
      <c r="AS213" s="173">
        <f t="shared" si="58"/>
        <v>3.54</v>
      </c>
      <c r="AT213" s="173">
        <f t="shared" si="58"/>
        <v>3.54</v>
      </c>
      <c r="AU213" s="173">
        <f t="shared" si="58"/>
        <v>3.54</v>
      </c>
      <c r="AV213" s="173">
        <f t="shared" si="58"/>
        <v>3.54</v>
      </c>
      <c r="AW213" s="173">
        <f t="shared" si="58"/>
        <v>3.54</v>
      </c>
      <c r="AX213" s="173">
        <f t="shared" si="58"/>
        <v>3.54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59">C198</f>
        <v>0.64</v>
      </c>
      <c r="C234" s="176">
        <f t="shared" si="59"/>
        <v>0.64</v>
      </c>
      <c r="D234" s="176">
        <f t="shared" si="59"/>
        <v>0.64</v>
      </c>
      <c r="E234" s="176">
        <f t="shared" si="59"/>
        <v>0.64</v>
      </c>
      <c r="F234" s="176">
        <f t="shared" si="59"/>
        <v>0.64</v>
      </c>
      <c r="G234" s="176">
        <f t="shared" si="59"/>
        <v>0.64</v>
      </c>
      <c r="H234" s="176">
        <f t="shared" si="59"/>
        <v>0.64</v>
      </c>
      <c r="I234" s="176">
        <f t="shared" si="59"/>
        <v>0.64</v>
      </c>
      <c r="J234" s="176">
        <f t="shared" si="59"/>
        <v>0.64</v>
      </c>
      <c r="K234" s="176">
        <f t="shared" si="59"/>
        <v>0.64</v>
      </c>
      <c r="L234" s="176">
        <f t="shared" si="59"/>
        <v>0.64</v>
      </c>
      <c r="M234" s="176">
        <f t="shared" si="59"/>
        <v>0.64</v>
      </c>
      <c r="N234" s="176">
        <f t="shared" si="59"/>
        <v>0.64</v>
      </c>
      <c r="O234" s="176">
        <f t="shared" si="59"/>
        <v>0.64</v>
      </c>
      <c r="P234" s="176">
        <f t="shared" si="59"/>
        <v>0.64</v>
      </c>
      <c r="Q234" s="176">
        <f t="shared" si="59"/>
        <v>0.64</v>
      </c>
      <c r="R234" s="176">
        <f t="shared" si="59"/>
        <v>0.64</v>
      </c>
      <c r="S234" s="176">
        <f t="shared" si="59"/>
        <v>0.64</v>
      </c>
      <c r="T234" s="176">
        <f t="shared" si="59"/>
        <v>0.64</v>
      </c>
      <c r="U234" s="176">
        <f t="shared" si="59"/>
        <v>0.64</v>
      </c>
      <c r="V234" s="176">
        <f t="shared" si="59"/>
        <v>0.64</v>
      </c>
      <c r="W234" s="176">
        <f t="shared" si="59"/>
        <v>0.64</v>
      </c>
      <c r="X234" s="176">
        <f t="shared" si="59"/>
        <v>0.64</v>
      </c>
      <c r="Y234" s="176">
        <f t="shared" si="59"/>
        <v>0.64</v>
      </c>
      <c r="Z234" s="176">
        <f t="shared" si="59"/>
        <v>0.64</v>
      </c>
      <c r="AA234" s="176">
        <f t="shared" si="59"/>
        <v>0.64</v>
      </c>
      <c r="AB234" s="176">
        <f t="shared" si="59"/>
        <v>0.64</v>
      </c>
      <c r="AC234" s="176">
        <f t="shared" si="59"/>
        <v>0.64</v>
      </c>
      <c r="AD234" s="176">
        <f t="shared" si="59"/>
        <v>0.64</v>
      </c>
      <c r="AE234" s="176">
        <f t="shared" si="59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0">IF(C202&lt;100,"",C202-520)</f>
        <v/>
      </c>
      <c r="D235" s="119" t="str">
        <f t="shared" si="60"/>
        <v/>
      </c>
      <c r="E235" s="119" t="str">
        <f t="shared" si="60"/>
        <v/>
      </c>
      <c r="F235" s="119" t="str">
        <f t="shared" si="60"/>
        <v/>
      </c>
      <c r="G235" s="119" t="str">
        <f t="shared" si="60"/>
        <v/>
      </c>
      <c r="H235" s="119" t="str">
        <f t="shared" si="60"/>
        <v/>
      </c>
      <c r="I235" s="119" t="str">
        <f t="shared" si="60"/>
        <v/>
      </c>
      <c r="J235" s="119" t="str">
        <f t="shared" si="60"/>
        <v/>
      </c>
      <c r="K235" s="119" t="str">
        <f t="shared" si="60"/>
        <v/>
      </c>
      <c r="L235" s="119" t="str">
        <f t="shared" si="60"/>
        <v/>
      </c>
      <c r="M235" s="119" t="str">
        <f t="shared" si="60"/>
        <v/>
      </c>
      <c r="N235" s="119" t="str">
        <f t="shared" si="60"/>
        <v/>
      </c>
      <c r="O235" s="119" t="str">
        <f t="shared" si="60"/>
        <v/>
      </c>
      <c r="P235" s="119" t="str">
        <f t="shared" si="60"/>
        <v/>
      </c>
      <c r="Q235" s="119" t="str">
        <f t="shared" si="60"/>
        <v/>
      </c>
      <c r="R235" s="119" t="str">
        <f t="shared" si="60"/>
        <v/>
      </c>
      <c r="S235" s="119" t="str">
        <f t="shared" si="60"/>
        <v/>
      </c>
      <c r="T235" s="119" t="str">
        <f t="shared" si="60"/>
        <v/>
      </c>
      <c r="U235" s="119" t="str">
        <f t="shared" si="60"/>
        <v/>
      </c>
      <c r="V235" s="119" t="str">
        <f t="shared" si="60"/>
        <v/>
      </c>
      <c r="W235" s="119" t="str">
        <f t="shared" si="60"/>
        <v/>
      </c>
      <c r="X235" s="119" t="str">
        <f t="shared" si="60"/>
        <v/>
      </c>
      <c r="Y235" s="119" t="str">
        <f t="shared" si="60"/>
        <v/>
      </c>
      <c r="Z235" s="119" t="str">
        <f t="shared" si="60"/>
        <v/>
      </c>
      <c r="AA235" s="119" t="str">
        <f t="shared" si="60"/>
        <v/>
      </c>
      <c r="AB235" s="119" t="str">
        <f t="shared" si="60"/>
        <v/>
      </c>
      <c r="AC235" s="119" t="str">
        <f t="shared" si="60"/>
        <v/>
      </c>
      <c r="AD235" s="119" t="str">
        <f t="shared" si="60"/>
        <v/>
      </c>
      <c r="AE235" s="119" t="str">
        <f t="shared" si="60"/>
        <v/>
      </c>
      <c r="AF235" s="119" t="str">
        <f t="shared" si="60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1">IF(B203&lt;100,"",B203-620)</f>
        <v/>
      </c>
      <c r="C236" s="119" t="str">
        <f t="shared" si="61"/>
        <v/>
      </c>
      <c r="D236" s="119" t="str">
        <f t="shared" si="61"/>
        <v/>
      </c>
      <c r="E236" s="119" t="str">
        <f t="shared" si="61"/>
        <v/>
      </c>
      <c r="F236" s="119" t="str">
        <f t="shared" si="61"/>
        <v/>
      </c>
      <c r="G236" s="119" t="str">
        <f t="shared" si="61"/>
        <v/>
      </c>
      <c r="H236" s="119" t="str">
        <f t="shared" si="61"/>
        <v/>
      </c>
      <c r="I236" s="119" t="str">
        <f t="shared" si="61"/>
        <v/>
      </c>
      <c r="J236" s="119" t="str">
        <f t="shared" si="61"/>
        <v/>
      </c>
      <c r="K236" s="119" t="str">
        <f t="shared" si="61"/>
        <v/>
      </c>
      <c r="L236" s="119" t="str">
        <f t="shared" si="61"/>
        <v/>
      </c>
      <c r="M236" s="119" t="str">
        <f t="shared" si="61"/>
        <v/>
      </c>
      <c r="N236" s="119" t="str">
        <f t="shared" si="61"/>
        <v/>
      </c>
      <c r="O236" s="119" t="str">
        <f t="shared" si="61"/>
        <v/>
      </c>
      <c r="P236" s="119" t="str">
        <f t="shared" si="61"/>
        <v/>
      </c>
      <c r="Q236" s="119" t="str">
        <f t="shared" si="61"/>
        <v/>
      </c>
      <c r="R236" s="119" t="str">
        <f t="shared" si="61"/>
        <v/>
      </c>
      <c r="S236" s="119" t="str">
        <f t="shared" si="61"/>
        <v/>
      </c>
      <c r="T236" s="119" t="str">
        <f t="shared" si="61"/>
        <v/>
      </c>
      <c r="U236" s="119" t="str">
        <f t="shared" si="61"/>
        <v/>
      </c>
      <c r="V236" s="119" t="str">
        <f t="shared" si="61"/>
        <v/>
      </c>
      <c r="W236" s="119" t="str">
        <f t="shared" si="61"/>
        <v/>
      </c>
      <c r="X236" s="119" t="str">
        <f t="shared" si="61"/>
        <v/>
      </c>
      <c r="Y236" s="119" t="str">
        <f t="shared" si="61"/>
        <v/>
      </c>
      <c r="Z236" s="119" t="str">
        <f t="shared" si="61"/>
        <v/>
      </c>
      <c r="AA236" s="119" t="str">
        <f t="shared" si="61"/>
        <v/>
      </c>
      <c r="AB236" s="119" t="str">
        <f t="shared" si="61"/>
        <v/>
      </c>
      <c r="AC236" s="119" t="str">
        <f t="shared" si="61"/>
        <v/>
      </c>
      <c r="AD236" s="119" t="str">
        <f t="shared" si="61"/>
        <v/>
      </c>
      <c r="AE236" s="119" t="str">
        <f t="shared" si="61"/>
        <v/>
      </c>
      <c r="AF236" s="119" t="str">
        <f t="shared" si="61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2">IF(B204&lt;100,"",B204-330)</f>
        <v/>
      </c>
      <c r="C237" s="119" t="str">
        <f t="shared" si="62"/>
        <v/>
      </c>
      <c r="D237" s="119" t="str">
        <f t="shared" si="62"/>
        <v/>
      </c>
      <c r="E237" s="119" t="str">
        <f t="shared" si="62"/>
        <v/>
      </c>
      <c r="F237" s="119" t="str">
        <f t="shared" si="62"/>
        <v/>
      </c>
      <c r="G237" s="119" t="str">
        <f t="shared" si="62"/>
        <v/>
      </c>
      <c r="H237" s="119" t="str">
        <f t="shared" si="62"/>
        <v/>
      </c>
      <c r="I237" s="119" t="str">
        <f t="shared" si="62"/>
        <v/>
      </c>
      <c r="J237" s="119" t="str">
        <f t="shared" si="62"/>
        <v/>
      </c>
      <c r="K237" s="119" t="str">
        <f t="shared" si="62"/>
        <v/>
      </c>
      <c r="L237" s="119" t="str">
        <f t="shared" si="62"/>
        <v/>
      </c>
      <c r="M237" s="119" t="str">
        <f t="shared" si="62"/>
        <v/>
      </c>
      <c r="N237" s="119" t="str">
        <f t="shared" si="62"/>
        <v/>
      </c>
      <c r="O237" s="119" t="str">
        <f t="shared" si="62"/>
        <v/>
      </c>
      <c r="P237" s="119" t="str">
        <f t="shared" si="62"/>
        <v/>
      </c>
      <c r="Q237" s="119" t="str">
        <f t="shared" si="62"/>
        <v/>
      </c>
      <c r="R237" s="119" t="str">
        <f t="shared" si="62"/>
        <v/>
      </c>
      <c r="S237" s="119" t="str">
        <f t="shared" si="62"/>
        <v/>
      </c>
      <c r="T237" s="119" t="str">
        <f t="shared" si="62"/>
        <v/>
      </c>
      <c r="U237" s="119" t="str">
        <f t="shared" si="62"/>
        <v/>
      </c>
      <c r="V237" s="119" t="str">
        <f t="shared" si="62"/>
        <v/>
      </c>
      <c r="W237" s="119" t="str">
        <f t="shared" si="62"/>
        <v/>
      </c>
      <c r="X237" s="119" t="str">
        <f t="shared" si="62"/>
        <v/>
      </c>
      <c r="Y237" s="119" t="str">
        <f t="shared" si="62"/>
        <v/>
      </c>
      <c r="Z237" s="119" t="str">
        <f t="shared" si="62"/>
        <v/>
      </c>
      <c r="AA237" s="119" t="str">
        <f t="shared" si="62"/>
        <v/>
      </c>
      <c r="AB237" s="119" t="str">
        <f t="shared" si="62"/>
        <v/>
      </c>
      <c r="AC237" s="119" t="str">
        <f t="shared" si="62"/>
        <v/>
      </c>
      <c r="AD237" s="119" t="str">
        <f t="shared" si="62"/>
        <v/>
      </c>
      <c r="AE237" s="119" t="str">
        <f t="shared" si="62"/>
        <v/>
      </c>
      <c r="AF237" s="119" t="str">
        <f t="shared" si="62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3">IF(C205&lt;100,"",C205-1500)</f>
        <v/>
      </c>
      <c r="D238" s="119" t="str">
        <f t="shared" si="63"/>
        <v/>
      </c>
      <c r="E238" s="119" t="str">
        <f t="shared" si="63"/>
        <v/>
      </c>
      <c r="F238" s="119" t="str">
        <f t="shared" si="63"/>
        <v/>
      </c>
      <c r="G238" s="119" t="str">
        <f t="shared" si="63"/>
        <v/>
      </c>
      <c r="H238" s="119" t="str">
        <f t="shared" si="63"/>
        <v/>
      </c>
      <c r="I238" s="119" t="str">
        <f t="shared" si="63"/>
        <v/>
      </c>
      <c r="J238" s="119" t="str">
        <f t="shared" si="63"/>
        <v/>
      </c>
      <c r="K238" s="119" t="str">
        <f t="shared" si="63"/>
        <v/>
      </c>
      <c r="L238" s="119" t="str">
        <f t="shared" si="63"/>
        <v/>
      </c>
      <c r="M238" s="119" t="str">
        <f t="shared" si="63"/>
        <v/>
      </c>
      <c r="N238" s="119" t="str">
        <f t="shared" si="63"/>
        <v/>
      </c>
      <c r="O238" s="119" t="str">
        <f t="shared" si="63"/>
        <v/>
      </c>
      <c r="P238" s="119" t="str">
        <f t="shared" si="63"/>
        <v/>
      </c>
      <c r="Q238" s="119" t="str">
        <f t="shared" si="63"/>
        <v/>
      </c>
      <c r="R238" s="119" t="str">
        <f t="shared" si="63"/>
        <v/>
      </c>
      <c r="S238" s="119" t="str">
        <f t="shared" si="63"/>
        <v/>
      </c>
      <c r="T238" s="119" t="str">
        <f t="shared" si="63"/>
        <v/>
      </c>
      <c r="U238" s="119" t="str">
        <f t="shared" si="63"/>
        <v/>
      </c>
      <c r="V238" s="119" t="str">
        <f t="shared" si="63"/>
        <v/>
      </c>
      <c r="W238" s="119" t="str">
        <f t="shared" si="63"/>
        <v/>
      </c>
      <c r="X238" s="119" t="str">
        <f t="shared" si="63"/>
        <v/>
      </c>
      <c r="Y238" s="119" t="str">
        <f t="shared" si="63"/>
        <v/>
      </c>
      <c r="Z238" s="119" t="str">
        <f t="shared" si="63"/>
        <v/>
      </c>
      <c r="AA238" s="119" t="str">
        <f t="shared" si="63"/>
        <v/>
      </c>
      <c r="AB238" s="119" t="str">
        <f t="shared" si="63"/>
        <v/>
      </c>
      <c r="AC238" s="119" t="str">
        <f t="shared" si="63"/>
        <v/>
      </c>
      <c r="AD238" s="119" t="str">
        <f t="shared" si="63"/>
        <v/>
      </c>
      <c r="AE238" s="119" t="str">
        <f t="shared" si="63"/>
        <v/>
      </c>
      <c r="AF238" s="119" t="str">
        <f t="shared" si="63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3:AF199 B193:B199 C68:AF72 AB84:AF91 B84:B91 M53:AF55 B73:AF80 B9:AF10 B191:AF191 AF57:AF67 B53:B72 D36:AF36 B36 AG73 AB94:AF99 B94:B99 U212:AF212">
    <cfRule type="expression" dxfId="803" priority="251">
      <formula>B$9&gt;=20/24</formula>
    </cfRule>
    <cfRule type="expression" dxfId="802" priority="252">
      <formula>AND(B$9&gt;=14/24,B$9&lt;20/24)</formula>
    </cfRule>
    <cfRule type="expression" dxfId="801" priority="253">
      <formula>AND(B$9&gt;=8/24,B$9&lt;14/24)</formula>
    </cfRule>
    <cfRule type="expression" dxfId="800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99" priority="246">
      <formula>M$9&gt;=20/24</formula>
    </cfRule>
    <cfRule type="expression" dxfId="798" priority="247">
      <formula>AND(M$9&gt;=14/24,M$9&lt;20/24)</formula>
    </cfRule>
    <cfRule type="expression" dxfId="797" priority="248">
      <formula>AND(M$9&gt;=8/24,M$9&lt;14/24)</formula>
    </cfRule>
    <cfRule type="expression" dxfId="796" priority="249">
      <formula>M$9&lt;8/24</formula>
    </cfRule>
  </conditionalFormatting>
  <conditionalFormatting sqref="M43:R43">
    <cfRule type="expression" dxfId="795" priority="242">
      <formula>M$9&gt;=20/24</formula>
    </cfRule>
    <cfRule type="expression" dxfId="794" priority="243">
      <formula>AND(M$9&gt;=14/24,M$9&lt;20/24)</formula>
    </cfRule>
    <cfRule type="expression" dxfId="793" priority="244">
      <formula>AND(M$9&gt;=8/24,M$9&lt;14/24)</formula>
    </cfRule>
    <cfRule type="expression" dxfId="792" priority="245">
      <formula>M$9&lt;8/24</formula>
    </cfRule>
  </conditionalFormatting>
  <conditionalFormatting sqref="Z32:AE32">
    <cfRule type="expression" dxfId="791" priority="238">
      <formula>Z$9&gt;=20/24</formula>
    </cfRule>
    <cfRule type="expression" dxfId="790" priority="239">
      <formula>AND(Z$9&gt;=14/24,Z$9&lt;20/24)</formula>
    </cfRule>
    <cfRule type="expression" dxfId="789" priority="240">
      <formula>AND(Z$9&gt;=8/24,Z$9&lt;14/24)</formula>
    </cfRule>
    <cfRule type="expression" dxfId="788" priority="241">
      <formula>Z$9&lt;8/24</formula>
    </cfRule>
  </conditionalFormatting>
  <conditionalFormatting sqref="S39:AE39">
    <cfRule type="expression" dxfId="787" priority="234">
      <formula>S$9&gt;=20/24</formula>
    </cfRule>
    <cfRule type="expression" dxfId="786" priority="235">
      <formula>AND(S$9&gt;=14/24,S$9&lt;20/24)</formula>
    </cfRule>
    <cfRule type="expression" dxfId="785" priority="236">
      <formula>AND(S$9&gt;=8/24,S$9&lt;14/24)</formula>
    </cfRule>
    <cfRule type="expression" dxfId="784" priority="237">
      <formula>S$9&lt;8/24</formula>
    </cfRule>
  </conditionalFormatting>
  <conditionalFormatting sqref="S57:AE57">
    <cfRule type="expression" dxfId="783" priority="230">
      <formula>S$9&gt;=20/24</formula>
    </cfRule>
    <cfRule type="expression" dxfId="782" priority="231">
      <formula>AND(S$9&gt;=14/24,S$9&lt;20/24)</formula>
    </cfRule>
    <cfRule type="expression" dxfId="781" priority="232">
      <formula>AND(S$9&gt;=8/24,S$9&lt;14/24)</formula>
    </cfRule>
    <cfRule type="expression" dxfId="780" priority="233">
      <formula>S$9&lt;8/24</formula>
    </cfRule>
  </conditionalFormatting>
  <conditionalFormatting sqref="S81:AA81">
    <cfRule type="expression" dxfId="779" priority="226">
      <formula>S$9&gt;=20/24</formula>
    </cfRule>
    <cfRule type="expression" dxfId="778" priority="227">
      <formula>AND(S$9&gt;=14/24,S$9&lt;20/24)</formula>
    </cfRule>
    <cfRule type="expression" dxfId="777" priority="228">
      <formula>AND(S$9&gt;=8/24,S$9&lt;14/24)</formula>
    </cfRule>
    <cfRule type="expression" dxfId="776" priority="229">
      <formula>S$9&lt;8/24</formula>
    </cfRule>
  </conditionalFormatting>
  <conditionalFormatting sqref="U84:AA84">
    <cfRule type="expression" dxfId="775" priority="222">
      <formula>U$9&gt;=20/24</formula>
    </cfRule>
    <cfRule type="expression" dxfId="774" priority="223">
      <formula>AND(U$9&gt;=14/24,U$9&lt;20/24)</formula>
    </cfRule>
    <cfRule type="expression" dxfId="773" priority="224">
      <formula>AND(U$9&gt;=8/24,U$9&lt;14/24)</formula>
    </cfRule>
    <cfRule type="expression" dxfId="772" priority="225">
      <formula>U$9&lt;8/24</formula>
    </cfRule>
  </conditionalFormatting>
  <conditionalFormatting sqref="M35:R35">
    <cfRule type="expression" dxfId="771" priority="218">
      <formula>M$9&gt;=20/24</formula>
    </cfRule>
    <cfRule type="expression" dxfId="770" priority="219">
      <formula>AND(M$9&gt;=14/24,M$9&lt;20/24)</formula>
    </cfRule>
    <cfRule type="expression" dxfId="769" priority="220">
      <formula>AND(M$9&gt;=8/24,M$9&lt;14/24)</formula>
    </cfRule>
    <cfRule type="expression" dxfId="768" priority="221">
      <formula>M$9&lt;8/24</formula>
    </cfRule>
  </conditionalFormatting>
  <conditionalFormatting sqref="M49:T49">
    <cfRule type="expression" dxfId="767" priority="214">
      <formula>M$9&gt;=20/24</formula>
    </cfRule>
    <cfRule type="expression" dxfId="766" priority="215">
      <formula>AND(M$9&gt;=14/24,M$9&lt;20/24)</formula>
    </cfRule>
    <cfRule type="expression" dxfId="765" priority="216">
      <formula>AND(M$9&gt;=8/24,M$9&lt;14/24)</formula>
    </cfRule>
    <cfRule type="expression" dxfId="764" priority="217">
      <formula>M$9&lt;8/24</formula>
    </cfRule>
  </conditionalFormatting>
  <conditionalFormatting sqref="M50:R50">
    <cfRule type="expression" dxfId="763" priority="210">
      <formula>M$9&gt;=20/24</formula>
    </cfRule>
    <cfRule type="expression" dxfId="762" priority="211">
      <formula>AND(M$9&gt;=14/24,M$9&lt;20/24)</formula>
    </cfRule>
    <cfRule type="expression" dxfId="761" priority="212">
      <formula>AND(M$9&gt;=8/24,M$9&lt;14/24)</formula>
    </cfRule>
    <cfRule type="expression" dxfId="760" priority="213">
      <formula>M$9&lt;8/24</formula>
    </cfRule>
  </conditionalFormatting>
  <conditionalFormatting sqref="M45:R48">
    <cfRule type="expression" dxfId="759" priority="206">
      <formula>M$9&gt;=20/24</formula>
    </cfRule>
    <cfRule type="expression" dxfId="758" priority="207">
      <formula>AND(M$9&gt;=14/24,M$9&lt;20/24)</formula>
    </cfRule>
    <cfRule type="expression" dxfId="757" priority="208">
      <formula>AND(M$9&gt;=8/24,M$9&lt;14/24)</formula>
    </cfRule>
    <cfRule type="expression" dxfId="756" priority="209">
      <formula>M$9&lt;8/24</formula>
    </cfRule>
  </conditionalFormatting>
  <conditionalFormatting sqref="S37:AE37">
    <cfRule type="expression" dxfId="755" priority="202">
      <formula>S$9&gt;=20/24</formula>
    </cfRule>
    <cfRule type="expression" dxfId="754" priority="203">
      <formula>AND(S$9&gt;=14/24,S$9&lt;20/24)</formula>
    </cfRule>
    <cfRule type="expression" dxfId="753" priority="204">
      <formula>AND(S$9&gt;=8/24,S$9&lt;14/24)</formula>
    </cfRule>
    <cfRule type="expression" dxfId="752" priority="205">
      <formula>S$9&lt;8/24</formula>
    </cfRule>
  </conditionalFormatting>
  <conditionalFormatting sqref="S31:Y32 S35:AE35">
    <cfRule type="expression" dxfId="751" priority="198">
      <formula>S$9&gt;=20/24</formula>
    </cfRule>
    <cfRule type="expression" dxfId="750" priority="199">
      <formula>AND(S$9&gt;=14/24,S$9&lt;20/24)</formula>
    </cfRule>
    <cfRule type="expression" dxfId="749" priority="200">
      <formula>AND(S$9&gt;=8/24,S$9&lt;14/24)</formula>
    </cfRule>
    <cfRule type="expression" dxfId="748" priority="201">
      <formula>S$9&lt;8/24</formula>
    </cfRule>
  </conditionalFormatting>
  <conditionalFormatting sqref="S42:T43 U43:Y43 S45:AE48">
    <cfRule type="expression" dxfId="747" priority="194">
      <formula>S$9&gt;=20/24</formula>
    </cfRule>
    <cfRule type="expression" dxfId="746" priority="195">
      <formula>AND(S$9&gt;=14/24,S$9&lt;20/24)</formula>
    </cfRule>
    <cfRule type="expression" dxfId="745" priority="196">
      <formula>AND(S$9&gt;=8/24,S$9&lt;14/24)</formula>
    </cfRule>
    <cfRule type="expression" dxfId="744" priority="197">
      <formula>S$9&lt;8/24</formula>
    </cfRule>
  </conditionalFormatting>
  <conditionalFormatting sqref="S49:AE49">
    <cfRule type="expression" dxfId="743" priority="190">
      <formula>S$9&gt;=20/24</formula>
    </cfRule>
    <cfRule type="expression" dxfId="742" priority="191">
      <formula>AND(S$9&gt;=14/24,S$9&lt;20/24)</formula>
    </cfRule>
    <cfRule type="expression" dxfId="741" priority="192">
      <formula>AND(S$9&gt;=8/24,S$9&lt;14/24)</formula>
    </cfRule>
    <cfRule type="expression" dxfId="740" priority="193">
      <formula>S$9&lt;8/24</formula>
    </cfRule>
  </conditionalFormatting>
  <conditionalFormatting sqref="S50:AE50">
    <cfRule type="expression" dxfId="739" priority="186">
      <formula>S$9&gt;=20/24</formula>
    </cfRule>
    <cfRule type="expression" dxfId="738" priority="187">
      <formula>AND(S$9&gt;=14/24,S$9&lt;20/24)</formula>
    </cfRule>
    <cfRule type="expression" dxfId="737" priority="188">
      <formula>AND(S$9&gt;=8/24,S$9&lt;14/24)</formula>
    </cfRule>
    <cfRule type="expression" dxfId="736" priority="189">
      <formula>S$9&lt;8/24</formula>
    </cfRule>
  </conditionalFormatting>
  <conditionalFormatting sqref="S60:T67 X60:AE67">
    <cfRule type="expression" dxfId="735" priority="182">
      <formula>S$9&gt;=20/24</formula>
    </cfRule>
    <cfRule type="expression" dxfId="734" priority="183">
      <formula>AND(S$9&gt;=14/24,S$9&lt;20/24)</formula>
    </cfRule>
    <cfRule type="expression" dxfId="733" priority="184">
      <formula>AND(S$9&gt;=8/24,S$9&lt;14/24)</formula>
    </cfRule>
    <cfRule type="expression" dxfId="732" priority="185">
      <formula>S$9&lt;8/24</formula>
    </cfRule>
  </conditionalFormatting>
  <conditionalFormatting sqref="C62:I62 I63:I67 J62:L67">
    <cfRule type="expression" dxfId="731" priority="178">
      <formula>C$9&gt;=20/24</formula>
    </cfRule>
    <cfRule type="expression" dxfId="730" priority="179">
      <formula>AND(C$9&gt;=14/24,C$9&lt;20/24)</formula>
    </cfRule>
    <cfRule type="expression" dxfId="729" priority="180">
      <formula>AND(C$9&gt;=8/24,C$9&lt;14/24)</formula>
    </cfRule>
    <cfRule type="expression" dxfId="728" priority="181">
      <formula>C$9&lt;8/24</formula>
    </cfRule>
  </conditionalFormatting>
  <conditionalFormatting sqref="U94:AA97">
    <cfRule type="expression" dxfId="727" priority="174">
      <formula>U$9&gt;=20/24</formula>
    </cfRule>
    <cfRule type="expression" dxfId="726" priority="175">
      <formula>AND(U$9&gt;=14/24,U$9&lt;20/24)</formula>
    </cfRule>
    <cfRule type="expression" dxfId="725" priority="176">
      <formula>AND(U$9&gt;=8/24,U$9&lt;14/24)</formula>
    </cfRule>
    <cfRule type="expression" dxfId="724" priority="177">
      <formula>U$9&lt;8/24</formula>
    </cfRule>
  </conditionalFormatting>
  <conditionalFormatting sqref="AG51 C12:R14 C16:R17 Z16:Z17 C18:Z32 C11:AF11 AA16:AF32 B34:AF56 Z12:AF15 B11:B32">
    <cfRule type="expression" dxfId="723" priority="173">
      <formula>B11&gt;$AG11</formula>
    </cfRule>
  </conditionalFormatting>
  <conditionalFormatting sqref="A100:A156 A84:A97 A11:A14 A16:A32 A45:A72 A80:A82 A74:A78 A35:A43 A169:A199">
    <cfRule type="expression" dxfId="722" priority="172">
      <formula>$AH11=0</formula>
    </cfRule>
  </conditionalFormatting>
  <conditionalFormatting sqref="U98:AA98">
    <cfRule type="expression" dxfId="721" priority="168">
      <formula>U$9&gt;=20/24</formula>
    </cfRule>
    <cfRule type="expression" dxfId="720" priority="169">
      <formula>AND(U$9&gt;=14/24,U$9&lt;20/24)</formula>
    </cfRule>
    <cfRule type="expression" dxfId="719" priority="170">
      <formula>AND(U$9&gt;=8/24,U$9&lt;14/24)</formula>
    </cfRule>
    <cfRule type="expression" dxfId="718" priority="171">
      <formula>U$9&lt;8/24</formula>
    </cfRule>
  </conditionalFormatting>
  <conditionalFormatting sqref="A98">
    <cfRule type="expression" dxfId="717" priority="167">
      <formula>$AH98=0</formula>
    </cfRule>
  </conditionalFormatting>
  <conditionalFormatting sqref="C36">
    <cfRule type="expression" dxfId="716" priority="163">
      <formula>C$9&gt;=20/24</formula>
    </cfRule>
    <cfRule type="expression" dxfId="715" priority="164">
      <formula>AND(C$9&gt;=14/24,C$9&lt;20/24)</formula>
    </cfRule>
    <cfRule type="expression" dxfId="714" priority="165">
      <formula>AND(C$9&gt;=8/24,C$9&lt;14/24)</formula>
    </cfRule>
    <cfRule type="expression" dxfId="713" priority="166">
      <formula>C$9&lt;8/24</formula>
    </cfRule>
  </conditionalFormatting>
  <conditionalFormatting sqref="E63:H67">
    <cfRule type="expression" dxfId="712" priority="159">
      <formula>E$9&gt;=20/24</formula>
    </cfRule>
    <cfRule type="expression" dxfId="711" priority="160">
      <formula>AND(E$9&gt;=14/24,E$9&lt;20/24)</formula>
    </cfRule>
    <cfRule type="expression" dxfId="710" priority="161">
      <formula>AND(E$9&gt;=8/24,E$9&lt;14/24)</formula>
    </cfRule>
    <cfRule type="expression" dxfId="709" priority="162">
      <formula>E$9&lt;8/24</formula>
    </cfRule>
  </conditionalFormatting>
  <conditionalFormatting sqref="M62:M67">
    <cfRule type="expression" dxfId="708" priority="155">
      <formula>M$9&gt;=20/24</formula>
    </cfRule>
    <cfRule type="expression" dxfId="707" priority="156">
      <formula>AND(M$9&gt;=14/24,M$9&lt;20/24)</formula>
    </cfRule>
    <cfRule type="expression" dxfId="706" priority="157">
      <formula>AND(M$9&gt;=8/24,M$9&lt;14/24)</formula>
    </cfRule>
    <cfRule type="expression" dxfId="705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704" priority="150">
      <formula>Z$9&gt;=20/24</formula>
    </cfRule>
    <cfRule type="expression" dxfId="703" priority="151">
      <formula>AND(Z$9&gt;=14/24,Z$9&lt;20/24)</formula>
    </cfRule>
    <cfRule type="expression" dxfId="702" priority="152">
      <formula>AND(Z$9&gt;=8/24,Z$9&lt;14/24)</formula>
    </cfRule>
    <cfRule type="expression" dxfId="701" priority="153">
      <formula>Z$9&lt;8/24</formula>
    </cfRule>
  </conditionalFormatting>
  <conditionalFormatting sqref="M34:R34">
    <cfRule type="expression" dxfId="700" priority="146">
      <formula>M$9&gt;=20/24</formula>
    </cfRule>
    <cfRule type="expression" dxfId="699" priority="147">
      <formula>AND(M$9&gt;=14/24,M$9&lt;20/24)</formula>
    </cfRule>
    <cfRule type="expression" dxfId="698" priority="148">
      <formula>AND(M$9&gt;=8/24,M$9&lt;14/24)</formula>
    </cfRule>
    <cfRule type="expression" dxfId="697" priority="149">
      <formula>M$9&lt;8/24</formula>
    </cfRule>
  </conditionalFormatting>
  <conditionalFormatting sqref="S34:Y34">
    <cfRule type="expression" dxfId="696" priority="142">
      <formula>S$9&gt;=20/24</formula>
    </cfRule>
    <cfRule type="expression" dxfId="695" priority="143">
      <formula>AND(S$9&gt;=14/24,S$9&lt;20/24)</formula>
    </cfRule>
    <cfRule type="expression" dxfId="694" priority="144">
      <formula>AND(S$9&gt;=8/24,S$9&lt;14/24)</formula>
    </cfRule>
    <cfRule type="expression" dxfId="693" priority="145">
      <formula>S$9&lt;8/24</formula>
    </cfRule>
  </conditionalFormatting>
  <conditionalFormatting sqref="A34">
    <cfRule type="expression" dxfId="692" priority="141">
      <formula>$AH34=0</formula>
    </cfRule>
  </conditionalFormatting>
  <conditionalFormatting sqref="A83">
    <cfRule type="expression" dxfId="691" priority="140">
      <formula>$AH83=0</formula>
    </cfRule>
  </conditionalFormatting>
  <conditionalFormatting sqref="Z15:AE15">
    <cfRule type="expression" dxfId="690" priority="136">
      <formula>Z$9&gt;=20/24</formula>
    </cfRule>
    <cfRule type="expression" dxfId="689" priority="137">
      <formula>AND(Z$9&gt;=14/24,Z$9&lt;20/24)</formula>
    </cfRule>
    <cfRule type="expression" dxfId="688" priority="138">
      <formula>AND(Z$9&gt;=8/24,Z$9&lt;14/24)</formula>
    </cfRule>
    <cfRule type="expression" dxfId="687" priority="139">
      <formula>Z$9&lt;8/24</formula>
    </cfRule>
  </conditionalFormatting>
  <conditionalFormatting sqref="M15:R15">
    <cfRule type="expression" dxfId="686" priority="132">
      <formula>M$9&gt;=20/24</formula>
    </cfRule>
    <cfRule type="expression" dxfId="685" priority="133">
      <formula>AND(M$9&gt;=14/24,M$9&lt;20/24)</formula>
    </cfRule>
    <cfRule type="expression" dxfId="684" priority="134">
      <formula>AND(M$9&gt;=8/24,M$9&lt;14/24)</formula>
    </cfRule>
    <cfRule type="expression" dxfId="683" priority="135">
      <formula>M$9&lt;8/24</formula>
    </cfRule>
  </conditionalFormatting>
  <conditionalFormatting sqref="C15:R15">
    <cfRule type="expression" dxfId="682" priority="131">
      <formula>C15&gt;$AG15</formula>
    </cfRule>
  </conditionalFormatting>
  <conditionalFormatting sqref="A15">
    <cfRule type="expression" dxfId="681" priority="130">
      <formula>$AH15=0</formula>
    </cfRule>
  </conditionalFormatting>
  <conditionalFormatting sqref="A163:A168">
    <cfRule type="expression" dxfId="680" priority="129">
      <formula>$AH163=0</formula>
    </cfRule>
  </conditionalFormatting>
  <conditionalFormatting sqref="A157:A162">
    <cfRule type="expression" dxfId="679" priority="128">
      <formula>$AH157=0</formula>
    </cfRule>
  </conditionalFormatting>
  <conditionalFormatting sqref="Z44:AE44">
    <cfRule type="expression" dxfId="678" priority="124">
      <formula>Z$9&gt;=20/24</formula>
    </cfRule>
    <cfRule type="expression" dxfId="677" priority="125">
      <formula>AND(Z$9&gt;=14/24,Z$9&lt;20/24)</formula>
    </cfRule>
    <cfRule type="expression" dxfId="676" priority="126">
      <formula>AND(Z$9&gt;=8/24,Z$9&lt;14/24)</formula>
    </cfRule>
    <cfRule type="expression" dxfId="675" priority="127">
      <formula>Z$9&lt;8/24</formula>
    </cfRule>
  </conditionalFormatting>
  <conditionalFormatting sqref="M44:R44">
    <cfRule type="expression" dxfId="674" priority="120">
      <formula>M$9&gt;=20/24</formula>
    </cfRule>
    <cfRule type="expression" dxfId="673" priority="121">
      <formula>AND(M$9&gt;=14/24,M$9&lt;20/24)</formula>
    </cfRule>
    <cfRule type="expression" dxfId="672" priority="122">
      <formula>AND(M$9&gt;=8/24,M$9&lt;14/24)</formula>
    </cfRule>
    <cfRule type="expression" dxfId="671" priority="123">
      <formula>M$9&lt;8/24</formula>
    </cfRule>
  </conditionalFormatting>
  <conditionalFormatting sqref="S44:Y44">
    <cfRule type="expression" dxfId="670" priority="116">
      <formula>S$9&gt;=20/24</formula>
    </cfRule>
    <cfRule type="expression" dxfId="669" priority="117">
      <formula>AND(S$9&gt;=14/24,S$9&lt;20/24)</formula>
    </cfRule>
    <cfRule type="expression" dxfId="668" priority="118">
      <formula>AND(S$9&gt;=8/24,S$9&lt;14/24)</formula>
    </cfRule>
    <cfRule type="expression" dxfId="667" priority="119">
      <formula>S$9&lt;8/24</formula>
    </cfRule>
  </conditionalFormatting>
  <conditionalFormatting sqref="A44">
    <cfRule type="expression" dxfId="666" priority="115">
      <formula>$AH44=0</formula>
    </cfRule>
  </conditionalFormatting>
  <conditionalFormatting sqref="A79">
    <cfRule type="expression" dxfId="665" priority="114">
      <formula>$AH79=0</formula>
    </cfRule>
  </conditionalFormatting>
  <conditionalFormatting sqref="A73">
    <cfRule type="expression" dxfId="664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663" priority="109">
      <formula>U$9&gt;=20/24</formula>
    </cfRule>
    <cfRule type="expression" dxfId="662" priority="110">
      <formula>AND(U$9&gt;=14/24,U$9&lt;20/24)</formula>
    </cfRule>
    <cfRule type="expression" dxfId="661" priority="111">
      <formula>AND(U$9&gt;=8/24,U$9&lt;14/24)</formula>
    </cfRule>
    <cfRule type="expression" dxfId="660" priority="112">
      <formula>U$9&lt;8/24</formula>
    </cfRule>
  </conditionalFormatting>
  <conditionalFormatting sqref="U85:W91">
    <cfRule type="expression" dxfId="659" priority="105">
      <formula>U$9&gt;=20/24</formula>
    </cfRule>
    <cfRule type="expression" dxfId="658" priority="106">
      <formula>AND(U$9&gt;=14/24,U$9&lt;20/24)</formula>
    </cfRule>
    <cfRule type="expression" dxfId="657" priority="107">
      <formula>AND(U$9&gt;=8/24,U$9&lt;14/24)</formula>
    </cfRule>
    <cfRule type="expression" dxfId="656" priority="108">
      <formula>U$9&lt;8/24</formula>
    </cfRule>
  </conditionalFormatting>
  <conditionalFormatting sqref="C84:R91 S85:T91">
    <cfRule type="expression" dxfId="655" priority="101">
      <formula>C$9&gt;=20/24</formula>
    </cfRule>
    <cfRule type="expression" dxfId="654" priority="102">
      <formula>AND(C$9&gt;=14/24,C$9&lt;20/24)</formula>
    </cfRule>
    <cfRule type="expression" dxfId="653" priority="103">
      <formula>AND(C$9&gt;=8/24,C$9&lt;14/24)</formula>
    </cfRule>
    <cfRule type="expression" dxfId="652" priority="104">
      <formula>C$9&lt;8/24</formula>
    </cfRule>
  </conditionalFormatting>
  <conditionalFormatting sqref="S84:T84">
    <cfRule type="expression" dxfId="651" priority="97">
      <formula>S$9&gt;=20/24</formula>
    </cfRule>
    <cfRule type="expression" dxfId="650" priority="98">
      <formula>AND(S$9&gt;=14/24,S$9&lt;20/24)</formula>
    </cfRule>
    <cfRule type="expression" dxfId="649" priority="99">
      <formula>AND(S$9&gt;=8/24,S$9&lt;14/24)</formula>
    </cfRule>
    <cfRule type="expression" dxfId="648" priority="100">
      <formula>S$9&lt;8/24</formula>
    </cfRule>
  </conditionalFormatting>
  <conditionalFormatting sqref="C95:M97 C94:F94">
    <cfRule type="expression" dxfId="647" priority="93">
      <formula>C$9&gt;=20/24</formula>
    </cfRule>
    <cfRule type="expression" dxfId="646" priority="94">
      <formula>AND(C$9&gt;=14/24,C$9&lt;20/24)</formula>
    </cfRule>
    <cfRule type="expression" dxfId="645" priority="95">
      <formula>AND(C$9&gt;=8/24,C$9&lt;14/24)</formula>
    </cfRule>
    <cfRule type="expression" dxfId="644" priority="96">
      <formula>C$9&lt;8/24</formula>
    </cfRule>
  </conditionalFormatting>
  <conditionalFormatting sqref="N95:R97 O94:R94">
    <cfRule type="expression" dxfId="643" priority="89">
      <formula>N$9&gt;=20/24</formula>
    </cfRule>
    <cfRule type="expression" dxfId="642" priority="90">
      <formula>AND(N$9&gt;=14/24,N$9&lt;20/24)</formula>
    </cfRule>
    <cfRule type="expression" dxfId="641" priority="91">
      <formula>AND(N$9&gt;=8/24,N$9&lt;14/24)</formula>
    </cfRule>
    <cfRule type="expression" dxfId="640" priority="92">
      <formula>N$9&lt;8/24</formula>
    </cfRule>
  </conditionalFormatting>
  <conditionalFormatting sqref="S94:T97">
    <cfRule type="expression" dxfId="639" priority="85">
      <formula>S$9&gt;=20/24</formula>
    </cfRule>
    <cfRule type="expression" dxfId="638" priority="86">
      <formula>AND(S$9&gt;=14/24,S$9&lt;20/24)</formula>
    </cfRule>
    <cfRule type="expression" dxfId="637" priority="87">
      <formula>AND(S$9&gt;=8/24,S$9&lt;14/24)</formula>
    </cfRule>
    <cfRule type="expression" dxfId="636" priority="88">
      <formula>S$9&lt;8/24</formula>
    </cfRule>
  </conditionalFormatting>
  <conditionalFormatting sqref="C98:M98">
    <cfRule type="expression" dxfId="635" priority="81">
      <formula>C$9&gt;=20/24</formula>
    </cfRule>
    <cfRule type="expression" dxfId="634" priority="82">
      <formula>AND(C$9&gt;=14/24,C$9&lt;20/24)</formula>
    </cfRule>
    <cfRule type="expression" dxfId="633" priority="83">
      <formula>AND(C$9&gt;=8/24,C$9&lt;14/24)</formula>
    </cfRule>
    <cfRule type="expression" dxfId="632" priority="84">
      <formula>C$9&lt;8/24</formula>
    </cfRule>
  </conditionalFormatting>
  <conditionalFormatting sqref="N98:R98">
    <cfRule type="expression" dxfId="631" priority="77">
      <formula>N$9&gt;=20/24</formula>
    </cfRule>
    <cfRule type="expression" dxfId="630" priority="78">
      <formula>AND(N$9&gt;=14/24,N$9&lt;20/24)</formula>
    </cfRule>
    <cfRule type="expression" dxfId="629" priority="79">
      <formula>AND(N$9&gt;=8/24,N$9&lt;14/24)</formula>
    </cfRule>
    <cfRule type="expression" dxfId="628" priority="80">
      <formula>N$9&lt;8/24</formula>
    </cfRule>
  </conditionalFormatting>
  <conditionalFormatting sqref="S98:T98">
    <cfRule type="expression" dxfId="627" priority="73">
      <formula>S$9&gt;=20/24</formula>
    </cfRule>
    <cfRule type="expression" dxfId="626" priority="74">
      <formula>AND(S$9&gt;=14/24,S$9&lt;20/24)</formula>
    </cfRule>
    <cfRule type="expression" dxfId="625" priority="75">
      <formula>AND(S$9&gt;=8/24,S$9&lt;14/24)</formula>
    </cfRule>
    <cfRule type="expression" dxfId="624" priority="76">
      <formula>S$9&lt;8/24</formula>
    </cfRule>
  </conditionalFormatting>
  <conditionalFormatting sqref="M94:N94">
    <cfRule type="expression" dxfId="623" priority="69">
      <formula>M$9&gt;=20/24</formula>
    </cfRule>
    <cfRule type="expression" dxfId="622" priority="70">
      <formula>AND(M$9&gt;=14/24,M$9&lt;20/24)</formula>
    </cfRule>
    <cfRule type="expression" dxfId="621" priority="71">
      <formula>AND(M$9&gt;=8/24,M$9&lt;14/24)</formula>
    </cfRule>
    <cfRule type="expression" dxfId="620" priority="72">
      <formula>M$9&lt;8/24</formula>
    </cfRule>
  </conditionalFormatting>
  <conditionalFormatting sqref="G94:L94">
    <cfRule type="expression" dxfId="619" priority="65">
      <formula>G$9&gt;=20/24</formula>
    </cfRule>
    <cfRule type="expression" dxfId="618" priority="66">
      <formula>AND(G$9&gt;=14/24,G$9&lt;20/24)</formula>
    </cfRule>
    <cfRule type="expression" dxfId="617" priority="67">
      <formula>AND(G$9&gt;=8/24,G$9&lt;14/24)</formula>
    </cfRule>
    <cfRule type="expression" dxfId="616" priority="68">
      <formula>G$9&lt;8/24</formula>
    </cfRule>
  </conditionalFormatting>
  <conditionalFormatting sqref="U94:W94">
    <cfRule type="expression" dxfId="615" priority="61">
      <formula>U$9&gt;=20/24</formula>
    </cfRule>
    <cfRule type="expression" dxfId="614" priority="62">
      <formula>AND(U$9&gt;=14/24,U$9&lt;20/24)</formula>
    </cfRule>
    <cfRule type="expression" dxfId="613" priority="63">
      <formula>AND(U$9&gt;=8/24,U$9&lt;14/24)</formula>
    </cfRule>
    <cfRule type="expression" dxfId="612" priority="64">
      <formula>U$9&lt;8/24</formula>
    </cfRule>
  </conditionalFormatting>
  <conditionalFormatting sqref="N94:T94">
    <cfRule type="expression" dxfId="611" priority="57">
      <formula>N$9&gt;=20/24</formula>
    </cfRule>
    <cfRule type="expression" dxfId="610" priority="58">
      <formula>AND(N$9&gt;=14/24,N$9&lt;20/24)</formula>
    </cfRule>
    <cfRule type="expression" dxfId="609" priority="59">
      <formula>AND(N$9&gt;=8/24,N$9&lt;14/24)</formula>
    </cfRule>
    <cfRule type="expression" dxfId="608" priority="60">
      <formula>N$9&lt;8/24</formula>
    </cfRule>
  </conditionalFormatting>
  <conditionalFormatting sqref="U99:AA99">
    <cfRule type="expression" dxfId="607" priority="53">
      <formula>U$9&gt;=20/24</formula>
    </cfRule>
    <cfRule type="expression" dxfId="606" priority="54">
      <formula>AND(U$9&gt;=14/24,U$9&lt;20/24)</formula>
    </cfRule>
    <cfRule type="expression" dxfId="605" priority="55">
      <formula>AND(U$9&gt;=8/24,U$9&lt;14/24)</formula>
    </cfRule>
    <cfRule type="expression" dxfId="604" priority="56">
      <formula>U$9&lt;8/24</formula>
    </cfRule>
  </conditionalFormatting>
  <conditionalFormatting sqref="C99:M99">
    <cfRule type="expression" dxfId="603" priority="49">
      <formula>C$9&gt;=20/24</formula>
    </cfRule>
    <cfRule type="expression" dxfId="602" priority="50">
      <formula>AND(C$9&gt;=14/24,C$9&lt;20/24)</formula>
    </cfRule>
    <cfRule type="expression" dxfId="601" priority="51">
      <formula>AND(C$9&gt;=8/24,C$9&lt;14/24)</formula>
    </cfRule>
    <cfRule type="expression" dxfId="600" priority="52">
      <formula>C$9&lt;8/24</formula>
    </cfRule>
  </conditionalFormatting>
  <conditionalFormatting sqref="N99:R99">
    <cfRule type="expression" dxfId="599" priority="45">
      <formula>N$9&gt;=20/24</formula>
    </cfRule>
    <cfRule type="expression" dxfId="598" priority="46">
      <formula>AND(N$9&gt;=14/24,N$9&lt;20/24)</formula>
    </cfRule>
    <cfRule type="expression" dxfId="597" priority="47">
      <formula>AND(N$9&gt;=8/24,N$9&lt;14/24)</formula>
    </cfRule>
    <cfRule type="expression" dxfId="596" priority="48">
      <formula>N$9&lt;8/24</formula>
    </cfRule>
  </conditionalFormatting>
  <conditionalFormatting sqref="S99:T99">
    <cfRule type="expression" dxfId="595" priority="41">
      <formula>S$9&gt;=20/24</formula>
    </cfRule>
    <cfRule type="expression" dxfId="594" priority="42">
      <formula>AND(S$9&gt;=14/24,S$9&lt;20/24)</formula>
    </cfRule>
    <cfRule type="expression" dxfId="593" priority="43">
      <formula>AND(S$9&gt;=8/24,S$9&lt;14/24)</formula>
    </cfRule>
    <cfRule type="expression" dxfId="592" priority="44">
      <formula>S$9&lt;8/24</formula>
    </cfRule>
  </conditionalFormatting>
  <conditionalFormatting sqref="S12:Y16">
    <cfRule type="expression" dxfId="591" priority="37">
      <formula>S$9&gt;=20/24</formula>
    </cfRule>
    <cfRule type="expression" dxfId="590" priority="38">
      <formula>AND(S$9&gt;=14/24,S$9&lt;20/24)</formula>
    </cfRule>
    <cfRule type="expression" dxfId="589" priority="39">
      <formula>AND(S$9&gt;=8/24,S$9&lt;14/24)</formula>
    </cfRule>
    <cfRule type="expression" dxfId="588" priority="40">
      <formula>S$9&lt;8/24</formula>
    </cfRule>
  </conditionalFormatting>
  <conditionalFormatting sqref="S17:Y17">
    <cfRule type="expression" dxfId="587" priority="33">
      <formula>S$9&gt;=20/24</formula>
    </cfRule>
    <cfRule type="expression" dxfId="586" priority="34">
      <formula>AND(S$9&gt;=14/24,S$9&lt;20/24)</formula>
    </cfRule>
    <cfRule type="expression" dxfId="585" priority="35">
      <formula>AND(S$9&gt;=8/24,S$9&lt;14/24)</formula>
    </cfRule>
    <cfRule type="expression" dxfId="584" priority="36">
      <formula>S$9&lt;8/24</formula>
    </cfRule>
  </conditionalFormatting>
  <conditionalFormatting sqref="S12:Y13">
    <cfRule type="expression" dxfId="583" priority="29">
      <formula>S$9&gt;=20/24</formula>
    </cfRule>
    <cfRule type="expression" dxfId="582" priority="30">
      <formula>AND(S$9&gt;=14/24,S$9&lt;20/24)</formula>
    </cfRule>
    <cfRule type="expression" dxfId="581" priority="31">
      <formula>AND(S$9&gt;=8/24,S$9&lt;14/24)</formula>
    </cfRule>
    <cfRule type="expression" dxfId="580" priority="32">
      <formula>S$9&lt;8/24</formula>
    </cfRule>
  </conditionalFormatting>
  <conditionalFormatting sqref="AB58:AE59">
    <cfRule type="expression" dxfId="579" priority="25">
      <formula>AB$9&gt;=20/24</formula>
    </cfRule>
    <cfRule type="expression" dxfId="578" priority="26">
      <formula>AND(AB$9&gt;=14/24,AB$9&lt;20/24)</formula>
    </cfRule>
    <cfRule type="expression" dxfId="577" priority="27">
      <formula>AND(AB$9&gt;=8/24,AB$9&lt;14/24)</formula>
    </cfRule>
    <cfRule type="expression" dxfId="576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5" priority="258">
      <formula>C$9&gt;=20/24</formula>
    </cfRule>
    <cfRule type="expression" dxfId="574" priority="259">
      <formula>AND(C$9&gt;=14/24,C$9&lt;20/24)</formula>
    </cfRule>
    <cfRule type="expression" dxfId="573" priority="260">
      <formula>AND(C$9&gt;=8/24,C$9&lt;14/24)</formula>
    </cfRule>
    <cfRule type="expression" dxfId="572" priority="261">
      <formula>C$9&lt;8/24</formula>
    </cfRule>
  </conditionalFormatting>
  <conditionalFormatting sqref="A200">
    <cfRule type="expression" dxfId="571" priority="262">
      <formula>$AH200=0</formula>
    </cfRule>
  </conditionalFormatting>
  <conditionalFormatting sqref="AG212">
    <cfRule type="expression" dxfId="570" priority="263">
      <formula>B$9&gt;=20/24</formula>
    </cfRule>
    <cfRule type="expression" dxfId="569" priority="264">
      <formula>AND(B$9&gt;=14/24,B$9&lt;20/24)</formula>
    </cfRule>
    <cfRule type="expression" dxfId="568" priority="265">
      <formula>AND(B$9&gt;=8/24,B$9&lt;14/24)</formula>
    </cfRule>
    <cfRule type="expression" dxfId="567" priority="266">
      <formula>B$9&lt;8/24</formula>
    </cfRule>
  </conditionalFormatting>
  <conditionalFormatting sqref="S8">
    <cfRule type="expression" dxfId="566" priority="19">
      <formula>U$9&gt;=20/24</formula>
    </cfRule>
    <cfRule type="expression" dxfId="565" priority="20">
      <formula>AND(U$9&gt;=14/24,U$9&lt;20/24)</formula>
    </cfRule>
    <cfRule type="expression" dxfId="564" priority="21">
      <formula>AND(U$9&gt;=8/24,U$9&lt;14/24)</formula>
    </cfRule>
    <cfRule type="expression" dxfId="563" priority="22">
      <formula>U$9&lt;8/24</formula>
    </cfRule>
  </conditionalFormatting>
  <conditionalFormatting sqref="AB8">
    <cfRule type="expression" dxfId="562" priority="15">
      <formula>AD$9&gt;=20/24</formula>
    </cfRule>
    <cfRule type="expression" dxfId="561" priority="16">
      <formula>AND(AD$9&gt;=14/24,AD$9&lt;20/24)</formula>
    </cfRule>
    <cfRule type="expression" dxfId="560" priority="17">
      <formula>AND(AD$9&gt;=8/24,AD$9&lt;14/24)</formula>
    </cfRule>
    <cfRule type="expression" dxfId="559" priority="18">
      <formula>AD$9&lt;8/24</formula>
    </cfRule>
  </conditionalFormatting>
  <conditionalFormatting sqref="AH212:AX212">
    <cfRule type="expression" dxfId="558" priority="267">
      <formula>AG$9&gt;=20/24</formula>
    </cfRule>
    <cfRule type="expression" dxfId="557" priority="268">
      <formula>AND(AG$9&gt;=14/24,AG$9&lt;20/24)</formula>
    </cfRule>
    <cfRule type="expression" dxfId="556" priority="269">
      <formula>AND(AG$9&gt;=8/24,AG$9&lt;14/24)</formula>
    </cfRule>
    <cfRule type="expression" dxfId="555" priority="270">
      <formula>AG$9&lt;8/24</formula>
    </cfRule>
  </conditionalFormatting>
  <conditionalFormatting sqref="T212">
    <cfRule type="expression" dxfId="554" priority="271">
      <formula>AX$9&gt;=20/24</formula>
    </cfRule>
    <cfRule type="expression" dxfId="553" priority="272">
      <formula>AND(AX$9&gt;=14/24,AX$9&lt;20/24)</formula>
    </cfRule>
    <cfRule type="expression" dxfId="552" priority="273">
      <formula>AND(AX$9&gt;=8/24,AX$9&lt;14/24)</formula>
    </cfRule>
    <cfRule type="expression" dxfId="551" priority="274">
      <formula>AX$9&lt;8/24</formula>
    </cfRule>
  </conditionalFormatting>
  <conditionalFormatting sqref="A99">
    <cfRule type="expression" dxfId="550" priority="14">
      <formula>$AH99=0</formula>
    </cfRule>
  </conditionalFormatting>
  <conditionalFormatting sqref="M33:R33">
    <cfRule type="expression" dxfId="549" priority="10">
      <formula>M$9&gt;=20/24</formula>
    </cfRule>
    <cfRule type="expression" dxfId="548" priority="11">
      <formula>AND(M$9&gt;=14/24,M$9&lt;20/24)</formula>
    </cfRule>
    <cfRule type="expression" dxfId="547" priority="12">
      <formula>AND(M$9&gt;=8/24,M$9&lt;14/24)</formula>
    </cfRule>
    <cfRule type="expression" dxfId="546" priority="13">
      <formula>M$9&lt;8/24</formula>
    </cfRule>
  </conditionalFormatting>
  <conditionalFormatting sqref="Z33:AE33">
    <cfRule type="expression" dxfId="545" priority="6">
      <formula>Z$9&gt;=20/24</formula>
    </cfRule>
    <cfRule type="expression" dxfId="544" priority="7">
      <formula>AND(Z$9&gt;=14/24,Z$9&lt;20/24)</formula>
    </cfRule>
    <cfRule type="expression" dxfId="543" priority="8">
      <formula>AND(Z$9&gt;=8/24,Z$9&lt;14/24)</formula>
    </cfRule>
    <cfRule type="expression" dxfId="542" priority="9">
      <formula>Z$9&lt;8/24</formula>
    </cfRule>
  </conditionalFormatting>
  <conditionalFormatting sqref="S33:Y33">
    <cfRule type="expression" dxfId="541" priority="2">
      <formula>S$9&gt;=20/24</formula>
    </cfRule>
    <cfRule type="expression" dxfId="540" priority="3">
      <formula>AND(S$9&gt;=14/24,S$9&lt;20/24)</formula>
    </cfRule>
    <cfRule type="expression" dxfId="539" priority="4">
      <formula>AND(S$9&gt;=8/24,S$9&lt;14/24)</formula>
    </cfRule>
    <cfRule type="expression" dxfId="538" priority="5">
      <formula>S$9&lt;8/24</formula>
    </cfRule>
  </conditionalFormatting>
  <conditionalFormatting sqref="B33:AF33">
    <cfRule type="expression" dxfId="537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6CF2AB12-4DB7-48EA-8833-59DB2B357A9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A74" sqref="A74:XFD7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e">
        <f ca="1">"2078/"&amp;"10/"&amp;INT(MID(CELL("filename",D6),FIND("]",CELL("filename",D6))+1,200))</f>
        <v>#VALUE!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0"/>
      <c r="O11" s="50"/>
      <c r="P11" s="50"/>
      <c r="Q11" s="50"/>
      <c r="R11" s="177"/>
      <c r="S11" s="50"/>
      <c r="T11" s="50"/>
      <c r="U11" s="50"/>
      <c r="V11" s="50"/>
      <c r="W11" s="50"/>
      <c r="X11" s="50"/>
      <c r="Y11" s="50"/>
      <c r="Z11" s="51"/>
      <c r="AA11" s="50"/>
      <c r="AB11" s="50"/>
      <c r="AC11" s="50"/>
      <c r="AD11" s="50"/>
      <c r="AE11" s="50"/>
      <c r="AF11" s="49"/>
      <c r="AG11" s="52">
        <v>456</v>
      </c>
      <c r="AH11" s="53">
        <f>MAX(B11:AF11)</f>
        <v>0</v>
      </c>
      <c r="AI11" s="54">
        <f>MIN(B11:AF11)</f>
        <v>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7"/>
      <c r="T12" s="57"/>
      <c r="U12" s="57"/>
      <c r="V12" s="57"/>
      <c r="W12" s="57"/>
      <c r="X12" s="57"/>
      <c r="Y12" s="57"/>
      <c r="Z12" s="50"/>
      <c r="AA12" s="50"/>
      <c r="AB12" s="50"/>
      <c r="AC12" s="50"/>
      <c r="AD12" s="50"/>
      <c r="AE12" s="50"/>
      <c r="AF12" s="49"/>
      <c r="AG12" s="58">
        <v>60</v>
      </c>
      <c r="AH12" s="53">
        <f t="shared" ref="AH12:AH75" si="2">MAX(B12:AF12)</f>
        <v>0</v>
      </c>
      <c r="AI12" s="54">
        <f t="shared" ref="AI12:AI75" si="3">MIN(B12:AF12)</f>
        <v>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57"/>
      <c r="T13" s="57"/>
      <c r="U13" s="57"/>
      <c r="V13" s="57"/>
      <c r="W13" s="57"/>
      <c r="X13" s="57"/>
      <c r="Y13" s="57"/>
      <c r="Z13" s="50"/>
      <c r="AA13" s="50"/>
      <c r="AB13" s="50"/>
      <c r="AC13" s="50"/>
      <c r="AD13" s="50"/>
      <c r="AE13" s="50"/>
      <c r="AF13" s="49"/>
      <c r="AG13" s="58">
        <v>52.4</v>
      </c>
      <c r="AH13" s="53">
        <f t="shared" si="2"/>
        <v>0</v>
      </c>
      <c r="AI13" s="54">
        <f t="shared" si="3"/>
        <v>0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0"/>
      <c r="O14" s="50"/>
      <c r="P14" s="50"/>
      <c r="Q14" s="50"/>
      <c r="R14" s="50"/>
      <c r="S14" s="59"/>
      <c r="T14" s="59"/>
      <c r="U14" s="59"/>
      <c r="V14" s="59"/>
      <c r="W14" s="59"/>
      <c r="X14" s="59"/>
      <c r="Y14" s="59"/>
      <c r="Z14" s="50"/>
      <c r="AA14" s="50"/>
      <c r="AB14" s="50"/>
      <c r="AC14" s="50"/>
      <c r="AD14" s="50"/>
      <c r="AE14" s="50"/>
      <c r="AF14" s="49"/>
      <c r="AG14" s="58">
        <v>50</v>
      </c>
      <c r="AH14" s="53">
        <f t="shared" si="2"/>
        <v>0</v>
      </c>
      <c r="AI14" s="54">
        <f t="shared" si="3"/>
        <v>0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50"/>
      <c r="N15" s="50"/>
      <c r="O15" s="50"/>
      <c r="P15" s="50"/>
      <c r="Q15" s="50"/>
      <c r="R15" s="50"/>
      <c r="S15" s="59"/>
      <c r="T15" s="59"/>
      <c r="U15" s="59"/>
      <c r="V15" s="59"/>
      <c r="W15" s="59"/>
      <c r="X15" s="59"/>
      <c r="Y15" s="59"/>
      <c r="Z15" s="50"/>
      <c r="AA15" s="50"/>
      <c r="AB15" s="50"/>
      <c r="AC15" s="50"/>
      <c r="AD15" s="50"/>
      <c r="AE15" s="50"/>
      <c r="AF15" s="60"/>
      <c r="AG15" s="61">
        <v>45</v>
      </c>
      <c r="AH15" s="53">
        <f t="shared" si="2"/>
        <v>0</v>
      </c>
      <c r="AI15" s="54">
        <f t="shared" si="3"/>
        <v>0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0"/>
      <c r="O16" s="50"/>
      <c r="P16" s="50"/>
      <c r="Q16" s="50"/>
      <c r="R16" s="50"/>
      <c r="S16" s="62"/>
      <c r="T16" s="62"/>
      <c r="U16" s="62"/>
      <c r="V16" s="62"/>
      <c r="W16" s="62"/>
      <c r="X16" s="62"/>
      <c r="Y16" s="62"/>
      <c r="Z16" s="50"/>
      <c r="AA16" s="50"/>
      <c r="AB16" s="50"/>
      <c r="AC16" s="50"/>
      <c r="AD16" s="50"/>
      <c r="AE16" s="50"/>
      <c r="AF16" s="49"/>
      <c r="AG16" s="58">
        <v>45</v>
      </c>
      <c r="AH16" s="53">
        <f t="shared" si="2"/>
        <v>0</v>
      </c>
      <c r="AI16" s="54">
        <f t="shared" si="3"/>
        <v>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59"/>
      <c r="T17" s="59"/>
      <c r="U17" s="59"/>
      <c r="V17" s="59"/>
      <c r="W17" s="59"/>
      <c r="X17" s="59"/>
      <c r="Y17" s="59"/>
      <c r="Z17" s="50"/>
      <c r="AA17" s="50"/>
      <c r="AB17" s="50"/>
      <c r="AC17" s="50"/>
      <c r="AD17" s="50"/>
      <c r="AE17" s="50"/>
      <c r="AF17" s="49"/>
      <c r="AG17" s="58">
        <v>42</v>
      </c>
      <c r="AH17" s="53">
        <f t="shared" si="2"/>
        <v>0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49"/>
      <c r="AG18" s="58">
        <v>36</v>
      </c>
      <c r="AH18" s="53">
        <f t="shared" si="2"/>
        <v>0</v>
      </c>
      <c r="AI18" s="54">
        <f t="shared" si="3"/>
        <v>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49"/>
      <c r="AG19" s="58">
        <v>30</v>
      </c>
      <c r="AH19" s="53">
        <f t="shared" si="2"/>
        <v>0</v>
      </c>
      <c r="AI19" s="54">
        <f t="shared" si="3"/>
        <v>0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9"/>
      <c r="AG20" s="58">
        <v>27</v>
      </c>
      <c r="AH20" s="53">
        <f t="shared" si="2"/>
        <v>0</v>
      </c>
      <c r="AI20" s="54">
        <f t="shared" si="3"/>
        <v>0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49"/>
      <c r="AG21" s="58">
        <v>25</v>
      </c>
      <c r="AH21" s="53">
        <f t="shared" si="2"/>
        <v>0</v>
      </c>
      <c r="AI21" s="54">
        <f t="shared" si="3"/>
        <v>0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49"/>
      <c r="AG22" s="58">
        <v>25</v>
      </c>
      <c r="AH22" s="53">
        <f t="shared" si="2"/>
        <v>0</v>
      </c>
      <c r="AI22" s="54">
        <f t="shared" si="3"/>
        <v>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49"/>
      <c r="AG23" s="58">
        <v>25</v>
      </c>
      <c r="AH23" s="53">
        <f t="shared" si="2"/>
        <v>0</v>
      </c>
      <c r="AI23" s="54">
        <f t="shared" si="3"/>
        <v>0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49"/>
      <c r="AG24" s="58">
        <v>25</v>
      </c>
      <c r="AH24" s="53">
        <f t="shared" si="2"/>
        <v>0</v>
      </c>
      <c r="AI24" s="54">
        <f t="shared" si="3"/>
        <v>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49"/>
      <c r="AG25" s="58">
        <v>24.2</v>
      </c>
      <c r="AH25" s="53">
        <f t="shared" si="2"/>
        <v>0</v>
      </c>
      <c r="AI25" s="54">
        <f t="shared" si="3"/>
        <v>0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49"/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49"/>
      <c r="AC27" s="49"/>
      <c r="AD27" s="49"/>
      <c r="AE27" s="49"/>
      <c r="AF27" s="49"/>
      <c r="AG27" s="58">
        <v>23.5</v>
      </c>
      <c r="AH27" s="53">
        <f t="shared" si="2"/>
        <v>0</v>
      </c>
      <c r="AI27" s="54">
        <f t="shared" si="3"/>
        <v>0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/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  <c r="AG29" s="58">
        <v>22.1</v>
      </c>
      <c r="AH29" s="53">
        <f t="shared" si="2"/>
        <v>0</v>
      </c>
      <c r="AI29" s="54">
        <f t="shared" si="3"/>
        <v>0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49"/>
      <c r="AG30" s="58">
        <v>22.1</v>
      </c>
      <c r="AH30" s="53">
        <f t="shared" si="2"/>
        <v>0</v>
      </c>
      <c r="AI30" s="54">
        <f t="shared" si="3"/>
        <v>0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60"/>
      <c r="AG31" s="61">
        <v>22</v>
      </c>
      <c r="AH31" s="53">
        <f t="shared" si="2"/>
        <v>0</v>
      </c>
      <c r="AI31" s="54">
        <f t="shared" si="3"/>
        <v>0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60"/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60"/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60"/>
      <c r="AG34" s="66">
        <v>20</v>
      </c>
      <c r="AH34" s="53">
        <f t="shared" si="2"/>
        <v>0</v>
      </c>
      <c r="AI34" s="54">
        <f t="shared" si="3"/>
        <v>0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60"/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6">
        <v>85</v>
      </c>
      <c r="AH36" s="53">
        <f t="shared" si="2"/>
        <v>0</v>
      </c>
      <c r="AI36" s="54">
        <f t="shared" si="3"/>
        <v>0</v>
      </c>
      <c r="AK36" s="55"/>
    </row>
    <row r="37" spans="1:88" ht="15.75" thickBot="1" x14ac:dyDescent="0.3">
      <c r="A37" s="68" t="s">
        <v>45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0"/>
      <c r="AG37" s="66">
        <v>240</v>
      </c>
      <c r="AH37" s="53">
        <f t="shared" si="2"/>
        <v>0</v>
      </c>
      <c r="AI37" s="54">
        <f t="shared" si="3"/>
        <v>0</v>
      </c>
      <c r="AK37" s="55"/>
    </row>
    <row r="38" spans="1:88" ht="15.75" thickBot="1" x14ac:dyDescent="0.3">
      <c r="A38" s="70" t="s">
        <v>46</v>
      </c>
      <c r="B38" s="71">
        <f>SUM(B11:B36)</f>
        <v>0</v>
      </c>
      <c r="C38" s="71">
        <f t="shared" ref="C38:AF38" si="4">SUM(C11:C36)</f>
        <v>0</v>
      </c>
      <c r="D38" s="71">
        <f t="shared" si="4"/>
        <v>0</v>
      </c>
      <c r="E38" s="71">
        <f t="shared" si="4"/>
        <v>0</v>
      </c>
      <c r="F38" s="71">
        <f t="shared" si="4"/>
        <v>0</v>
      </c>
      <c r="G38" s="71">
        <f t="shared" si="4"/>
        <v>0</v>
      </c>
      <c r="H38" s="71">
        <f t="shared" si="4"/>
        <v>0</v>
      </c>
      <c r="I38" s="71">
        <f t="shared" si="4"/>
        <v>0</v>
      </c>
      <c r="J38" s="71">
        <f t="shared" si="4"/>
        <v>0</v>
      </c>
      <c r="K38" s="71">
        <f t="shared" si="4"/>
        <v>0</v>
      </c>
      <c r="L38" s="71">
        <f t="shared" si="4"/>
        <v>0</v>
      </c>
      <c r="M38" s="71">
        <f t="shared" si="4"/>
        <v>0</v>
      </c>
      <c r="N38" s="71">
        <f t="shared" si="4"/>
        <v>0</v>
      </c>
      <c r="O38" s="71">
        <f t="shared" si="4"/>
        <v>0</v>
      </c>
      <c r="P38" s="71">
        <f t="shared" si="4"/>
        <v>0</v>
      </c>
      <c r="Q38" s="71">
        <f t="shared" si="4"/>
        <v>0</v>
      </c>
      <c r="R38" s="71">
        <f t="shared" si="4"/>
        <v>0</v>
      </c>
      <c r="S38" s="71">
        <f t="shared" si="4"/>
        <v>0</v>
      </c>
      <c r="T38" s="71">
        <f t="shared" si="4"/>
        <v>0</v>
      </c>
      <c r="U38" s="71">
        <f t="shared" si="4"/>
        <v>0</v>
      </c>
      <c r="V38" s="71">
        <f t="shared" si="4"/>
        <v>0</v>
      </c>
      <c r="W38" s="71">
        <f t="shared" si="4"/>
        <v>0</v>
      </c>
      <c r="X38" s="71">
        <f t="shared" si="4"/>
        <v>0</v>
      </c>
      <c r="Y38" s="71">
        <f t="shared" si="4"/>
        <v>0</v>
      </c>
      <c r="Z38" s="71">
        <f t="shared" si="4"/>
        <v>0</v>
      </c>
      <c r="AA38" s="71">
        <f t="shared" si="4"/>
        <v>0</v>
      </c>
      <c r="AB38" s="71">
        <f t="shared" si="4"/>
        <v>0</v>
      </c>
      <c r="AC38" s="71">
        <f t="shared" si="4"/>
        <v>0</v>
      </c>
      <c r="AD38" s="71">
        <f t="shared" si="4"/>
        <v>0</v>
      </c>
      <c r="AE38" s="71">
        <f t="shared" si="4"/>
        <v>0</v>
      </c>
      <c r="AF38" s="71">
        <f t="shared" si="4"/>
        <v>0</v>
      </c>
      <c r="AG38" s="66">
        <f>SUM(AG11:AG37)</f>
        <v>1492.8299999999997</v>
      </c>
      <c r="AH38" s="53">
        <f t="shared" si="2"/>
        <v>0</v>
      </c>
      <c r="AI38" s="54">
        <f t="shared" si="3"/>
        <v>0</v>
      </c>
      <c r="AK38" s="55"/>
    </row>
    <row r="39" spans="1:88" x14ac:dyDescent="0.25">
      <c r="A39" s="56" t="s">
        <v>47</v>
      </c>
      <c r="B39" s="4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/>
      <c r="AG39" s="61">
        <v>144</v>
      </c>
      <c r="AH39" s="53">
        <f t="shared" si="2"/>
        <v>0</v>
      </c>
      <c r="AI39" s="54">
        <f t="shared" si="3"/>
        <v>0</v>
      </c>
      <c r="AK39" s="55"/>
    </row>
    <row r="40" spans="1:88" x14ac:dyDescent="0.25">
      <c r="A40" s="65" t="s">
        <v>48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60"/>
      <c r="AG40" s="66">
        <v>70</v>
      </c>
      <c r="AH40" s="53">
        <f t="shared" si="2"/>
        <v>0</v>
      </c>
      <c r="AI40" s="54">
        <f t="shared" si="3"/>
        <v>0</v>
      </c>
      <c r="AK40" s="55"/>
    </row>
    <row r="41" spans="1:88" x14ac:dyDescent="0.25">
      <c r="A41" s="65" t="s">
        <v>49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60"/>
      <c r="AG41" s="66">
        <v>69</v>
      </c>
      <c r="AH41" s="53">
        <f t="shared" si="2"/>
        <v>0</v>
      </c>
      <c r="AI41" s="54">
        <f t="shared" si="3"/>
        <v>0</v>
      </c>
      <c r="AK41" s="55"/>
    </row>
    <row r="42" spans="1:88" x14ac:dyDescent="0.25">
      <c r="A42" s="65" t="s">
        <v>50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60"/>
      <c r="AG42" s="66">
        <v>60</v>
      </c>
      <c r="AH42" s="53">
        <f t="shared" si="2"/>
        <v>0</v>
      </c>
      <c r="AI42" s="54">
        <f t="shared" si="3"/>
        <v>0</v>
      </c>
      <c r="AK42" s="55"/>
    </row>
    <row r="43" spans="1:88" x14ac:dyDescent="0.25">
      <c r="A43" s="65" t="s">
        <v>51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2"/>
      <c r="AA43" s="72"/>
      <c r="AB43" s="72"/>
      <c r="AC43" s="72"/>
      <c r="AD43" s="72"/>
      <c r="AE43" s="72"/>
      <c r="AF43" s="60"/>
      <c r="AG43" s="66">
        <v>30</v>
      </c>
      <c r="AH43" s="53">
        <f t="shared" si="2"/>
        <v>0</v>
      </c>
      <c r="AI43" s="54">
        <f t="shared" si="3"/>
        <v>0</v>
      </c>
      <c r="AK43" s="55"/>
    </row>
    <row r="44" spans="1:88" x14ac:dyDescent="0.25">
      <c r="A44" s="65" t="s">
        <v>52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60"/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60"/>
      <c r="AG45" s="66">
        <v>24</v>
      </c>
      <c r="AH45" s="53">
        <f t="shared" si="2"/>
        <v>0</v>
      </c>
      <c r="AI45" s="54">
        <f t="shared" si="3"/>
        <v>0</v>
      </c>
      <c r="AK45" s="55"/>
    </row>
    <row r="46" spans="1:88" x14ac:dyDescent="0.25">
      <c r="A46" s="65" t="s">
        <v>54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60"/>
      <c r="AG46" s="66">
        <v>15</v>
      </c>
      <c r="AH46" s="53">
        <f t="shared" si="2"/>
        <v>0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60"/>
      <c r="AG47" s="66">
        <v>14.1</v>
      </c>
      <c r="AH47" s="53">
        <f t="shared" si="2"/>
        <v>0</v>
      </c>
      <c r="AI47" s="54">
        <f t="shared" si="3"/>
        <v>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60"/>
      <c r="AG48" s="66">
        <v>14</v>
      </c>
      <c r="AH48" s="53">
        <f t="shared" si="2"/>
        <v>0</v>
      </c>
      <c r="AI48" s="54">
        <f t="shared" si="3"/>
        <v>0</v>
      </c>
      <c r="AK48" s="55"/>
    </row>
    <row r="49" spans="1:37" x14ac:dyDescent="0.25">
      <c r="A49" s="65" t="s">
        <v>57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60"/>
      <c r="AG49" s="66">
        <v>10.050000000000001</v>
      </c>
      <c r="AH49" s="53">
        <f t="shared" si="2"/>
        <v>0</v>
      </c>
      <c r="AI49" s="54">
        <f t="shared" si="3"/>
        <v>0</v>
      </c>
      <c r="AK49" s="55"/>
    </row>
    <row r="50" spans="1:37" x14ac:dyDescent="0.25">
      <c r="A50" s="65" t="s">
        <v>58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60"/>
      <c r="AG50" s="66">
        <v>6.2</v>
      </c>
      <c r="AH50" s="53">
        <f t="shared" si="2"/>
        <v>0</v>
      </c>
      <c r="AI50" s="54">
        <f t="shared" si="3"/>
        <v>0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3.54</v>
      </c>
      <c r="C52" s="71">
        <f t="shared" ref="C52:AF52" si="6">SUM(C39:C51)</f>
        <v>3.54</v>
      </c>
      <c r="D52" s="71">
        <f t="shared" si="6"/>
        <v>3.54</v>
      </c>
      <c r="E52" s="71">
        <f t="shared" si="6"/>
        <v>3.54</v>
      </c>
      <c r="F52" s="71">
        <f t="shared" si="6"/>
        <v>3.54</v>
      </c>
      <c r="G52" s="71">
        <f t="shared" si="6"/>
        <v>3.54</v>
      </c>
      <c r="H52" s="71">
        <f t="shared" si="6"/>
        <v>3.54</v>
      </c>
      <c r="I52" s="71">
        <f t="shared" si="6"/>
        <v>3.54</v>
      </c>
      <c r="J52" s="71">
        <f t="shared" si="6"/>
        <v>3.54</v>
      </c>
      <c r="K52" s="71">
        <f t="shared" si="6"/>
        <v>3.54</v>
      </c>
      <c r="L52" s="71">
        <f t="shared" si="6"/>
        <v>3.54</v>
      </c>
      <c r="M52" s="71">
        <f t="shared" si="6"/>
        <v>3.54</v>
      </c>
      <c r="N52" s="71">
        <f t="shared" si="6"/>
        <v>3.54</v>
      </c>
      <c r="O52" s="71">
        <f t="shared" si="6"/>
        <v>3.54</v>
      </c>
      <c r="P52" s="71">
        <f t="shared" si="6"/>
        <v>3.54</v>
      </c>
      <c r="Q52" s="71">
        <f t="shared" si="6"/>
        <v>3.54</v>
      </c>
      <c r="R52" s="71">
        <f t="shared" si="6"/>
        <v>3.54</v>
      </c>
      <c r="S52" s="71">
        <f t="shared" si="6"/>
        <v>3.54</v>
      </c>
      <c r="T52" s="71">
        <f t="shared" si="6"/>
        <v>3.54</v>
      </c>
      <c r="U52" s="71">
        <f t="shared" si="6"/>
        <v>3.54</v>
      </c>
      <c r="V52" s="71">
        <f t="shared" si="6"/>
        <v>3.54</v>
      </c>
      <c r="W52" s="71">
        <f t="shared" si="6"/>
        <v>3.54</v>
      </c>
      <c r="X52" s="71">
        <f t="shared" si="6"/>
        <v>3.54</v>
      </c>
      <c r="Y52" s="71">
        <f t="shared" si="6"/>
        <v>3.54</v>
      </c>
      <c r="Z52" s="71">
        <f t="shared" si="6"/>
        <v>3.54</v>
      </c>
      <c r="AA52" s="71">
        <f t="shared" si="6"/>
        <v>3.54</v>
      </c>
      <c r="AB52" s="71">
        <f t="shared" si="6"/>
        <v>3.54</v>
      </c>
      <c r="AC52" s="71">
        <f t="shared" si="6"/>
        <v>3.54</v>
      </c>
      <c r="AD52" s="71">
        <f t="shared" si="6"/>
        <v>3.54</v>
      </c>
      <c r="AE52" s="71">
        <f t="shared" si="6"/>
        <v>3.54</v>
      </c>
      <c r="AF52" s="71">
        <f t="shared" si="6"/>
        <v>3.54</v>
      </c>
      <c r="AG52" s="76">
        <f>SUM(AG39:AG51)</f>
        <v>489.91</v>
      </c>
      <c r="AH52" s="53">
        <f t="shared" si="2"/>
        <v>3.54</v>
      </c>
      <c r="AI52" s="54">
        <f t="shared" si="3"/>
        <v>3.54</v>
      </c>
      <c r="AK52" s="55"/>
    </row>
    <row r="53" spans="1:37" x14ac:dyDescent="0.25">
      <c r="A53" s="56" t="s">
        <v>61</v>
      </c>
      <c r="B53" s="5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77"/>
      <c r="N53" s="77"/>
      <c r="O53" s="77"/>
      <c r="P53" s="77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61">
        <v>60</v>
      </c>
      <c r="AH53" s="53">
        <f t="shared" si="2"/>
        <v>0</v>
      </c>
      <c r="AI53" s="54">
        <f t="shared" si="3"/>
        <v>0</v>
      </c>
      <c r="AK53" s="55"/>
    </row>
    <row r="54" spans="1:37" x14ac:dyDescent="0.25">
      <c r="A54" s="65" t="s">
        <v>62</v>
      </c>
      <c r="B54" s="7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77"/>
      <c r="N54" s="77"/>
      <c r="O54" s="77"/>
      <c r="P54" s="77"/>
      <c r="Q54" s="72"/>
      <c r="R54" s="72"/>
      <c r="S54" s="50"/>
      <c r="T54" s="50"/>
      <c r="U54" s="50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66">
        <v>32</v>
      </c>
      <c r="AH54" s="53">
        <f t="shared" si="2"/>
        <v>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80"/>
      <c r="N55" s="80"/>
      <c r="O55" s="80"/>
      <c r="P55" s="80"/>
      <c r="Q55" s="78"/>
      <c r="R55" s="78"/>
      <c r="S55" s="50"/>
      <c r="T55" s="50"/>
      <c r="U55" s="50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81">
        <v>14</v>
      </c>
      <c r="AH55" s="53">
        <f t="shared" si="2"/>
        <v>0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0</v>
      </c>
      <c r="M56" s="71">
        <f t="shared" si="7"/>
        <v>0</v>
      </c>
      <c r="N56" s="71">
        <f t="shared" si="7"/>
        <v>0</v>
      </c>
      <c r="O56" s="71">
        <f t="shared" si="7"/>
        <v>0</v>
      </c>
      <c r="P56" s="71">
        <f t="shared" si="7"/>
        <v>0</v>
      </c>
      <c r="Q56" s="71">
        <f t="shared" si="7"/>
        <v>0</v>
      </c>
      <c r="R56" s="71">
        <f t="shared" si="7"/>
        <v>0</v>
      </c>
      <c r="S56" s="71">
        <f t="shared" si="7"/>
        <v>0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0</v>
      </c>
      <c r="X56" s="71">
        <f t="shared" si="7"/>
        <v>0</v>
      </c>
      <c r="Y56" s="71">
        <f t="shared" si="7"/>
        <v>0</v>
      </c>
      <c r="Z56" s="71">
        <f t="shared" si="7"/>
        <v>0</v>
      </c>
      <c r="AA56" s="71">
        <f t="shared" si="7"/>
        <v>0</v>
      </c>
      <c r="AB56" s="71">
        <f t="shared" si="7"/>
        <v>0</v>
      </c>
      <c r="AC56" s="71">
        <f t="shared" si="7"/>
        <v>0</v>
      </c>
      <c r="AD56" s="71">
        <f t="shared" si="7"/>
        <v>0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0</v>
      </c>
      <c r="AI56" s="54">
        <f t="shared" si="3"/>
        <v>0</v>
      </c>
      <c r="AK56" s="55"/>
    </row>
    <row r="57" spans="1:37" x14ac:dyDescent="0.25">
      <c r="A57" s="56" t="s">
        <v>65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61"/>
      <c r="AH57" s="53">
        <f t="shared" si="2"/>
        <v>0</v>
      </c>
      <c r="AI57" s="54">
        <f t="shared" si="3"/>
        <v>0</v>
      </c>
      <c r="AK57" s="55"/>
    </row>
    <row r="58" spans="1:37" x14ac:dyDescent="0.25">
      <c r="A58" s="65" t="s">
        <v>66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82"/>
      <c r="Y58" s="82"/>
      <c r="Z58" s="82"/>
      <c r="AA58" s="82"/>
      <c r="AB58" s="72"/>
      <c r="AC58" s="72"/>
      <c r="AD58" s="72"/>
      <c r="AE58" s="72"/>
      <c r="AF58" s="72"/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/>
      <c r="C59" s="72"/>
      <c r="D59" s="72"/>
      <c r="E59" s="72"/>
      <c r="F59" s="72"/>
      <c r="G59" s="72"/>
      <c r="H59" s="50"/>
      <c r="I59" s="50"/>
      <c r="J59" s="50"/>
      <c r="K59" s="50"/>
      <c r="L59" s="50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83"/>
      <c r="Y59" s="83"/>
      <c r="Z59" s="83"/>
      <c r="AA59" s="83"/>
      <c r="AB59" s="72"/>
      <c r="AC59" s="72"/>
      <c r="AD59" s="72"/>
      <c r="AE59" s="72"/>
      <c r="AF59" s="72"/>
      <c r="AG59" s="84"/>
      <c r="AH59" s="53">
        <f t="shared" si="2"/>
        <v>0</v>
      </c>
      <c r="AI59" s="54">
        <f t="shared" si="3"/>
        <v>0</v>
      </c>
      <c r="AK59" s="55"/>
    </row>
    <row r="60" spans="1:37" x14ac:dyDescent="0.25">
      <c r="A60" s="65" t="s">
        <v>68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57"/>
      <c r="AG60" s="84"/>
      <c r="AH60" s="53">
        <f t="shared" si="2"/>
        <v>0</v>
      </c>
      <c r="AI60" s="54">
        <f t="shared" si="3"/>
        <v>0</v>
      </c>
      <c r="AK60" s="55"/>
    </row>
    <row r="61" spans="1:37" x14ac:dyDescent="0.25">
      <c r="A61" s="65" t="s">
        <v>69</v>
      </c>
      <c r="B61" s="50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84"/>
      <c r="AH61" s="53">
        <f t="shared" si="2"/>
        <v>0</v>
      </c>
      <c r="AI61" s="54">
        <f t="shared" si="3"/>
        <v>0</v>
      </c>
      <c r="AK61" s="55"/>
    </row>
    <row r="62" spans="1:37" x14ac:dyDescent="0.25">
      <c r="A62" s="65" t="s">
        <v>70</v>
      </c>
      <c r="B62" s="59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/>
      <c r="C63" s="57"/>
      <c r="D63" s="57"/>
      <c r="E63" s="57"/>
      <c r="F63" s="57"/>
      <c r="G63" s="57"/>
      <c r="H63" s="57"/>
      <c r="I63" s="50"/>
      <c r="J63" s="50"/>
      <c r="K63" s="50"/>
      <c r="L63" s="50"/>
      <c r="M63" s="50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/>
      <c r="C66" s="57"/>
      <c r="D66" s="57"/>
      <c r="E66" s="57"/>
      <c r="F66" s="57"/>
      <c r="G66" s="57"/>
      <c r="H66" s="57"/>
      <c r="I66" s="72"/>
      <c r="J66" s="72"/>
      <c r="K66" s="72"/>
      <c r="L66" s="72"/>
      <c r="M66" s="7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/>
      <c r="C67" s="57"/>
      <c r="D67" s="57"/>
      <c r="E67" s="57"/>
      <c r="F67" s="57"/>
      <c r="G67" s="57"/>
      <c r="H67" s="57"/>
      <c r="I67" s="50"/>
      <c r="J67" s="50"/>
      <c r="K67" s="50"/>
      <c r="L67" s="50"/>
      <c r="M67" s="50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0</v>
      </c>
      <c r="C68" s="71">
        <f>SUM(C57:C67)</f>
        <v>0</v>
      </c>
      <c r="D68" s="71">
        <f t="shared" ref="D68:AF68" si="8">SUM(D57:D67)</f>
        <v>0</v>
      </c>
      <c r="E68" s="71">
        <f t="shared" si="8"/>
        <v>0</v>
      </c>
      <c r="F68" s="71">
        <f t="shared" si="8"/>
        <v>0</v>
      </c>
      <c r="G68" s="71">
        <f t="shared" si="8"/>
        <v>0</v>
      </c>
      <c r="H68" s="71">
        <f t="shared" si="8"/>
        <v>0</v>
      </c>
      <c r="I68" s="71">
        <f t="shared" si="8"/>
        <v>0</v>
      </c>
      <c r="J68" s="71">
        <f t="shared" si="8"/>
        <v>0</v>
      </c>
      <c r="K68" s="71">
        <f t="shared" si="8"/>
        <v>0</v>
      </c>
      <c r="L68" s="71">
        <f t="shared" si="8"/>
        <v>0</v>
      </c>
      <c r="M68" s="71">
        <f t="shared" si="8"/>
        <v>0</v>
      </c>
      <c r="N68" s="71">
        <f t="shared" si="8"/>
        <v>0</v>
      </c>
      <c r="O68" s="71">
        <f t="shared" si="8"/>
        <v>0</v>
      </c>
      <c r="P68" s="71">
        <f t="shared" si="8"/>
        <v>0</v>
      </c>
      <c r="Q68" s="71">
        <f t="shared" si="8"/>
        <v>0</v>
      </c>
      <c r="R68" s="71">
        <f t="shared" si="8"/>
        <v>0</v>
      </c>
      <c r="S68" s="71">
        <f t="shared" si="8"/>
        <v>0</v>
      </c>
      <c r="T68" s="71">
        <f t="shared" si="8"/>
        <v>0</v>
      </c>
      <c r="U68" s="71">
        <f t="shared" si="8"/>
        <v>0</v>
      </c>
      <c r="V68" s="71">
        <f t="shared" si="8"/>
        <v>0</v>
      </c>
      <c r="W68" s="71">
        <f t="shared" si="8"/>
        <v>0</v>
      </c>
      <c r="X68" s="71">
        <f t="shared" si="8"/>
        <v>0</v>
      </c>
      <c r="Y68" s="71">
        <f t="shared" si="8"/>
        <v>0</v>
      </c>
      <c r="Z68" s="71">
        <f t="shared" si="8"/>
        <v>0</v>
      </c>
      <c r="AA68" s="71">
        <f t="shared" si="8"/>
        <v>0</v>
      </c>
      <c r="AB68" s="71">
        <f t="shared" si="8"/>
        <v>0</v>
      </c>
      <c r="AC68" s="71">
        <f t="shared" si="8"/>
        <v>0</v>
      </c>
      <c r="AD68" s="71">
        <f t="shared" si="8"/>
        <v>0</v>
      </c>
      <c r="AE68" s="71">
        <f t="shared" si="8"/>
        <v>0</v>
      </c>
      <c r="AF68" s="71">
        <f t="shared" si="8"/>
        <v>0</v>
      </c>
      <c r="AG68" s="76">
        <f>SUM(AG57:AG67)</f>
        <v>0</v>
      </c>
      <c r="AH68" s="53">
        <f t="shared" si="2"/>
        <v>0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3.54</v>
      </c>
      <c r="C73" s="88">
        <f>C68+C56+C52+C38+C72</f>
        <v>3.54</v>
      </c>
      <c r="D73" s="88">
        <f t="shared" ref="D73:AG73" si="10">D68+D56+D52+D38+D72</f>
        <v>3.54</v>
      </c>
      <c r="E73" s="88">
        <f t="shared" si="10"/>
        <v>3.54</v>
      </c>
      <c r="F73" s="88">
        <f t="shared" si="10"/>
        <v>3.54</v>
      </c>
      <c r="G73" s="88">
        <f t="shared" si="10"/>
        <v>3.54</v>
      </c>
      <c r="H73" s="88">
        <f t="shared" si="10"/>
        <v>3.54</v>
      </c>
      <c r="I73" s="88">
        <f t="shared" si="10"/>
        <v>3.54</v>
      </c>
      <c r="J73" s="88">
        <f t="shared" si="10"/>
        <v>3.54</v>
      </c>
      <c r="K73" s="88">
        <f t="shared" si="10"/>
        <v>3.54</v>
      </c>
      <c r="L73" s="88">
        <f t="shared" si="10"/>
        <v>3.54</v>
      </c>
      <c r="M73" s="88">
        <f t="shared" si="10"/>
        <v>3.54</v>
      </c>
      <c r="N73" s="88">
        <f t="shared" si="10"/>
        <v>3.54</v>
      </c>
      <c r="O73" s="88">
        <f t="shared" si="10"/>
        <v>3.54</v>
      </c>
      <c r="P73" s="88">
        <f t="shared" si="10"/>
        <v>3.54</v>
      </c>
      <c r="Q73" s="88">
        <f t="shared" si="10"/>
        <v>3.54</v>
      </c>
      <c r="R73" s="88">
        <f t="shared" si="10"/>
        <v>3.54</v>
      </c>
      <c r="S73" s="88">
        <f t="shared" si="10"/>
        <v>3.54</v>
      </c>
      <c r="T73" s="88">
        <f t="shared" si="10"/>
        <v>3.54</v>
      </c>
      <c r="U73" s="88">
        <f t="shared" si="10"/>
        <v>3.54</v>
      </c>
      <c r="V73" s="88">
        <f t="shared" si="10"/>
        <v>3.54</v>
      </c>
      <c r="W73" s="88">
        <f t="shared" si="10"/>
        <v>3.54</v>
      </c>
      <c r="X73" s="88">
        <f t="shared" si="10"/>
        <v>3.54</v>
      </c>
      <c r="Y73" s="88">
        <f t="shared" si="10"/>
        <v>3.54</v>
      </c>
      <c r="Z73" s="88">
        <f t="shared" si="10"/>
        <v>3.54</v>
      </c>
      <c r="AA73" s="88">
        <f t="shared" si="10"/>
        <v>3.54</v>
      </c>
      <c r="AB73" s="88">
        <f t="shared" si="10"/>
        <v>3.54</v>
      </c>
      <c r="AC73" s="88">
        <f t="shared" si="10"/>
        <v>3.54</v>
      </c>
      <c r="AD73" s="88">
        <f t="shared" si="10"/>
        <v>3.54</v>
      </c>
      <c r="AE73" s="88">
        <f t="shared" si="10"/>
        <v>3.54</v>
      </c>
      <c r="AF73" s="88">
        <f t="shared" si="10"/>
        <v>3.54</v>
      </c>
      <c r="AG73" s="88">
        <f t="shared" si="10"/>
        <v>2144.14</v>
      </c>
      <c r="AH73" s="53">
        <f t="shared" si="2"/>
        <v>3.54</v>
      </c>
      <c r="AI73" s="54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3.54</v>
      </c>
      <c r="C75" s="88">
        <f>C73+C74</f>
        <v>3.54</v>
      </c>
      <c r="D75" s="88">
        <f t="shared" ref="D75:AF75" si="11">D72+D68+D56+D52+D38+D74</f>
        <v>3.54</v>
      </c>
      <c r="E75" s="88">
        <f t="shared" si="11"/>
        <v>3.54</v>
      </c>
      <c r="F75" s="88">
        <f t="shared" si="11"/>
        <v>3.54</v>
      </c>
      <c r="G75" s="88">
        <f t="shared" si="11"/>
        <v>3.54</v>
      </c>
      <c r="H75" s="88">
        <f t="shared" si="11"/>
        <v>3.54</v>
      </c>
      <c r="I75" s="88">
        <f t="shared" si="11"/>
        <v>3.54</v>
      </c>
      <c r="J75" s="88">
        <f t="shared" si="11"/>
        <v>3.54</v>
      </c>
      <c r="K75" s="88">
        <f t="shared" si="11"/>
        <v>3.54</v>
      </c>
      <c r="L75" s="88">
        <f t="shared" si="11"/>
        <v>3.54</v>
      </c>
      <c r="M75" s="88">
        <f t="shared" si="11"/>
        <v>3.54</v>
      </c>
      <c r="N75" s="88">
        <f t="shared" si="11"/>
        <v>3.54</v>
      </c>
      <c r="O75" s="88">
        <f t="shared" si="11"/>
        <v>3.54</v>
      </c>
      <c r="P75" s="88">
        <f t="shared" si="11"/>
        <v>3.54</v>
      </c>
      <c r="Q75" s="88">
        <f t="shared" si="11"/>
        <v>3.54</v>
      </c>
      <c r="R75" s="88">
        <f t="shared" si="11"/>
        <v>3.54</v>
      </c>
      <c r="S75" s="88">
        <f t="shared" si="11"/>
        <v>3.54</v>
      </c>
      <c r="T75" s="88">
        <f t="shared" si="11"/>
        <v>3.54</v>
      </c>
      <c r="U75" s="88">
        <f t="shared" si="11"/>
        <v>3.54</v>
      </c>
      <c r="V75" s="88">
        <f t="shared" si="11"/>
        <v>3.54</v>
      </c>
      <c r="W75" s="88">
        <f t="shared" si="11"/>
        <v>3.54</v>
      </c>
      <c r="X75" s="88">
        <f t="shared" si="11"/>
        <v>3.54</v>
      </c>
      <c r="Y75" s="88">
        <f t="shared" si="11"/>
        <v>3.54</v>
      </c>
      <c r="Z75" s="88">
        <f t="shared" si="11"/>
        <v>3.54</v>
      </c>
      <c r="AA75" s="88">
        <f t="shared" si="11"/>
        <v>3.54</v>
      </c>
      <c r="AB75" s="88">
        <f t="shared" si="11"/>
        <v>3.54</v>
      </c>
      <c r="AC75" s="88">
        <f t="shared" si="11"/>
        <v>3.54</v>
      </c>
      <c r="AD75" s="88">
        <f t="shared" si="11"/>
        <v>3.54</v>
      </c>
      <c r="AE75" s="88">
        <f t="shared" si="11"/>
        <v>3.54</v>
      </c>
      <c r="AF75" s="88">
        <f t="shared" si="11"/>
        <v>3.54</v>
      </c>
      <c r="AG75" s="76">
        <f>AG72+AG68+AG56+AG52+AG38+AG74</f>
        <v>2144.14</v>
      </c>
      <c r="AH75" s="53">
        <f t="shared" si="2"/>
        <v>3.54</v>
      </c>
      <c r="AI75" s="54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7.08</v>
      </c>
      <c r="C83" s="71">
        <f t="shared" ref="C83:AG83" si="20">SUM(C70:C82)</f>
        <v>7.08</v>
      </c>
      <c r="D83" s="71">
        <f t="shared" si="20"/>
        <v>7.08</v>
      </c>
      <c r="E83" s="71">
        <f t="shared" si="20"/>
        <v>7.08</v>
      </c>
      <c r="F83" s="71">
        <f t="shared" si="20"/>
        <v>7.08</v>
      </c>
      <c r="G83" s="71">
        <f t="shared" si="20"/>
        <v>7.08</v>
      </c>
      <c r="H83" s="71">
        <f t="shared" si="20"/>
        <v>7.08</v>
      </c>
      <c r="I83" s="71">
        <f t="shared" si="20"/>
        <v>7.08</v>
      </c>
      <c r="J83" s="71">
        <f t="shared" si="20"/>
        <v>7.08</v>
      </c>
      <c r="K83" s="71">
        <f t="shared" si="20"/>
        <v>7.08</v>
      </c>
      <c r="L83" s="71">
        <f t="shared" si="20"/>
        <v>7.08</v>
      </c>
      <c r="M83" s="71">
        <f t="shared" si="20"/>
        <v>7.08</v>
      </c>
      <c r="N83" s="71">
        <f t="shared" si="20"/>
        <v>7.08</v>
      </c>
      <c r="O83" s="71">
        <f t="shared" si="20"/>
        <v>7.08</v>
      </c>
      <c r="P83" s="71">
        <f t="shared" si="20"/>
        <v>7.08</v>
      </c>
      <c r="Q83" s="71">
        <f t="shared" si="20"/>
        <v>7.08</v>
      </c>
      <c r="R83" s="71">
        <f t="shared" si="20"/>
        <v>7.08</v>
      </c>
      <c r="S83" s="71">
        <f t="shared" si="20"/>
        <v>7.08</v>
      </c>
      <c r="T83" s="71">
        <f t="shared" si="20"/>
        <v>7.08</v>
      </c>
      <c r="U83" s="71">
        <f t="shared" si="20"/>
        <v>7.08</v>
      </c>
      <c r="V83" s="71">
        <f t="shared" si="20"/>
        <v>7.08</v>
      </c>
      <c r="W83" s="71">
        <f t="shared" si="20"/>
        <v>7.08</v>
      </c>
      <c r="X83" s="71">
        <f t="shared" si="20"/>
        <v>7.08</v>
      </c>
      <c r="Y83" s="71">
        <f t="shared" si="20"/>
        <v>7.08</v>
      </c>
      <c r="Z83" s="71">
        <f t="shared" si="20"/>
        <v>7.08</v>
      </c>
      <c r="AA83" s="71">
        <f t="shared" si="20"/>
        <v>7.08</v>
      </c>
      <c r="AB83" s="71">
        <f t="shared" si="20"/>
        <v>7.08</v>
      </c>
      <c r="AC83" s="71">
        <f t="shared" si="20"/>
        <v>7.08</v>
      </c>
      <c r="AD83" s="71">
        <f t="shared" si="20"/>
        <v>7.08</v>
      </c>
      <c r="AE83" s="71">
        <f t="shared" si="20"/>
        <v>7.08</v>
      </c>
      <c r="AF83" s="71">
        <f t="shared" si="20"/>
        <v>7.08</v>
      </c>
      <c r="AG83" s="76">
        <f t="shared" si="20"/>
        <v>4360.08</v>
      </c>
      <c r="AH83" s="53">
        <f t="shared" si="13"/>
        <v>7.08</v>
      </c>
      <c r="AI83" s="54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6"/>
      <c r="AH84" s="53">
        <f t="shared" si="13"/>
        <v>0</v>
      </c>
      <c r="AI84" s="54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99"/>
      <c r="V85" s="99"/>
      <c r="W85" s="99"/>
      <c r="X85" s="99"/>
      <c r="Y85" s="99"/>
      <c r="Z85" s="99"/>
      <c r="AA85" s="99"/>
      <c r="AB85" s="72"/>
      <c r="AC85" s="72"/>
      <c r="AD85" s="72"/>
      <c r="AE85" s="72"/>
      <c r="AF85" s="72"/>
      <c r="AG85" s="100"/>
      <c r="AH85" s="53">
        <f t="shared" si="13"/>
        <v>0</v>
      </c>
      <c r="AI85" s="54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99"/>
      <c r="V86" s="99"/>
      <c r="W86" s="99"/>
      <c r="X86" s="99"/>
      <c r="Y86" s="99"/>
      <c r="Z86" s="99"/>
      <c r="AA86" s="99"/>
      <c r="AB86" s="72"/>
      <c r="AC86" s="72"/>
      <c r="AD86" s="72"/>
      <c r="AE86" s="72"/>
      <c r="AF86" s="72"/>
      <c r="AG86" s="100"/>
      <c r="AH86" s="53">
        <f t="shared" si="13"/>
        <v>0</v>
      </c>
      <c r="AI86" s="54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99"/>
      <c r="Y87" s="99"/>
      <c r="Z87" s="99"/>
      <c r="AA87" s="99"/>
      <c r="AB87" s="72"/>
      <c r="AC87" s="72"/>
      <c r="AD87" s="72"/>
      <c r="AE87" s="72"/>
      <c r="AF87" s="72"/>
      <c r="AG87" s="100"/>
      <c r="AH87" s="53">
        <f t="shared" si="13"/>
        <v>0</v>
      </c>
      <c r="AI87" s="54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99"/>
      <c r="Y88" s="99"/>
      <c r="Z88" s="99"/>
      <c r="AA88" s="99"/>
      <c r="AB88" s="72"/>
      <c r="AC88" s="72"/>
      <c r="AD88" s="72"/>
      <c r="AE88" s="72"/>
      <c r="AF88" s="72"/>
      <c r="AG88" s="100"/>
      <c r="AH88" s="53">
        <f t="shared" si="13"/>
        <v>0</v>
      </c>
      <c r="AI88" s="54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99"/>
      <c r="Y89" s="99"/>
      <c r="Z89" s="99"/>
      <c r="AA89" s="99"/>
      <c r="AB89" s="103"/>
      <c r="AC89" s="103"/>
      <c r="AD89" s="103"/>
      <c r="AE89" s="103"/>
      <c r="AF89" s="103"/>
      <c r="AG89" s="104"/>
      <c r="AH89" s="53">
        <f t="shared" si="13"/>
        <v>0</v>
      </c>
      <c r="AI89" s="54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99"/>
      <c r="Y90" s="99"/>
      <c r="Z90" s="99"/>
      <c r="AA90" s="99"/>
      <c r="AB90" s="72"/>
      <c r="AC90" s="72"/>
      <c r="AD90" s="72"/>
      <c r="AE90" s="72"/>
      <c r="AF90" s="72"/>
      <c r="AG90" s="100"/>
      <c r="AH90" s="53">
        <f t="shared" si="13"/>
        <v>0</v>
      </c>
      <c r="AI90" s="54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34.840000000000003</v>
      </c>
      <c r="C93" s="113">
        <f>SUM(C15,C18,C21:C22,C42,C44:C45,C47,C49,C94:C97,C102,C108,C114,C123,C125,C137,C144,C147:C148,C155,C157,C159,C163:C165,C167:C169,C174,C180:C181,C183:C185,C193,C198)</f>
        <v>34.840000000000003</v>
      </c>
      <c r="D93" s="113">
        <f t="shared" ref="D93:AF93" si="21">SUM(D15,D18,D21:D22,D42,D44:D45,D47,D49,D94:D97,D102,D108,D114,D123,D125,D137,D144,D147:D148,D155,D157,D159,D163:D165,D167:D169,D174,D180:D181,D183:D185,D193,D198)</f>
        <v>34.840000000000003</v>
      </c>
      <c r="E93" s="113">
        <f t="shared" si="21"/>
        <v>34.840000000000003</v>
      </c>
      <c r="F93" s="113">
        <f t="shared" si="21"/>
        <v>34.840000000000003</v>
      </c>
      <c r="G93" s="112">
        <f t="shared" si="21"/>
        <v>34.840000000000003</v>
      </c>
      <c r="H93" s="112">
        <f t="shared" si="21"/>
        <v>34.840000000000003</v>
      </c>
      <c r="I93" s="112">
        <f t="shared" si="21"/>
        <v>34.840000000000003</v>
      </c>
      <c r="J93" s="112">
        <f t="shared" si="21"/>
        <v>34.840000000000003</v>
      </c>
      <c r="K93" s="112">
        <f t="shared" si="21"/>
        <v>34.840000000000003</v>
      </c>
      <c r="L93" s="112">
        <f t="shared" si="21"/>
        <v>34.840000000000003</v>
      </c>
      <c r="M93" s="112">
        <f t="shared" si="21"/>
        <v>34.840000000000003</v>
      </c>
      <c r="N93" s="112">
        <f t="shared" si="21"/>
        <v>34.840000000000003</v>
      </c>
      <c r="O93" s="112">
        <f t="shared" si="21"/>
        <v>34.840000000000003</v>
      </c>
      <c r="P93" s="112">
        <f t="shared" si="21"/>
        <v>34.840000000000003</v>
      </c>
      <c r="Q93" s="112">
        <f t="shared" si="21"/>
        <v>34.840000000000003</v>
      </c>
      <c r="R93" s="112">
        <f t="shared" si="21"/>
        <v>34.840000000000003</v>
      </c>
      <c r="S93" s="112">
        <f t="shared" si="21"/>
        <v>34.840000000000003</v>
      </c>
      <c r="T93" s="112">
        <f t="shared" si="21"/>
        <v>34.840000000000003</v>
      </c>
      <c r="U93" s="112">
        <f t="shared" si="21"/>
        <v>34.840000000000003</v>
      </c>
      <c r="V93" s="112">
        <f t="shared" si="21"/>
        <v>34.840000000000003</v>
      </c>
      <c r="W93" s="112">
        <f t="shared" si="21"/>
        <v>34.840000000000003</v>
      </c>
      <c r="X93" s="112">
        <f t="shared" si="21"/>
        <v>34.840000000000003</v>
      </c>
      <c r="Y93" s="112">
        <f t="shared" si="21"/>
        <v>34.840000000000003</v>
      </c>
      <c r="Z93" s="112">
        <f t="shared" si="21"/>
        <v>34.840000000000003</v>
      </c>
      <c r="AA93" s="112">
        <f t="shared" si="21"/>
        <v>34.840000000000003</v>
      </c>
      <c r="AB93" s="112">
        <f t="shared" si="21"/>
        <v>34.840000000000003</v>
      </c>
      <c r="AC93" s="112">
        <f t="shared" si="21"/>
        <v>34.840000000000003</v>
      </c>
      <c r="AD93" s="112">
        <f t="shared" si="21"/>
        <v>34.840000000000003</v>
      </c>
      <c r="AE93" s="112">
        <f t="shared" si="21"/>
        <v>34.840000000000003</v>
      </c>
      <c r="AF93" s="112">
        <f t="shared" si="21"/>
        <v>34.840000000000003</v>
      </c>
      <c r="AG93" s="114"/>
      <c r="AH93" s="53">
        <f>MAX(C93:AF93)</f>
        <v>34.840000000000003</v>
      </c>
      <c r="AI93" s="54">
        <f>MIN(C93:AF93)</f>
        <v>34.840000000000003</v>
      </c>
    </row>
    <row r="94" spans="1:88" x14ac:dyDescent="0.25">
      <c r="A94" s="115" t="s">
        <v>98</v>
      </c>
      <c r="B94" s="116"/>
      <c r="C94" s="57"/>
      <c r="D94" s="57"/>
      <c r="E94" s="57"/>
      <c r="F94" s="57"/>
      <c r="G94" s="117"/>
      <c r="H94" s="117"/>
      <c r="I94" s="117"/>
      <c r="J94" s="117"/>
      <c r="K94" s="117"/>
      <c r="L94" s="117"/>
      <c r="M94" s="118"/>
      <c r="N94" s="117"/>
      <c r="O94" s="117"/>
      <c r="P94" s="117"/>
      <c r="Q94" s="117"/>
      <c r="R94" s="117"/>
      <c r="S94" s="117"/>
      <c r="T94" s="117"/>
      <c r="U94" s="118"/>
      <c r="V94" s="118"/>
      <c r="W94" s="118"/>
      <c r="X94" s="117"/>
      <c r="Y94" s="117"/>
      <c r="Z94" s="117"/>
      <c r="AA94" s="117"/>
      <c r="AB94" s="118"/>
      <c r="AC94" s="118"/>
      <c r="AD94" s="118"/>
      <c r="AE94" s="118"/>
      <c r="AF94" s="118"/>
      <c r="AG94" s="119">
        <v>75</v>
      </c>
      <c r="AH94" s="53">
        <f>IF(ABS(MAX(C94:AF94))&gt;ABS(MIN(C94:AF94)),MAX(C94:AF94),MIN(C94:AF94))</f>
        <v>0</v>
      </c>
      <c r="AI94" s="120" t="e">
        <f>INDEX($C$9:$AF$9,1,MATCH(AH94,C94:AF94,0))</f>
        <v>#N/A</v>
      </c>
    </row>
    <row r="95" spans="1:88" x14ac:dyDescent="0.25">
      <c r="A95" s="121" t="s">
        <v>99</v>
      </c>
      <c r="B95" s="122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72"/>
      <c r="AC95" s="72"/>
      <c r="AD95" s="72"/>
      <c r="AE95" s="72"/>
      <c r="AF95" s="72"/>
      <c r="AG95" s="119">
        <v>240</v>
      </c>
      <c r="AH95" s="53">
        <f>IF(ABS(MAX(C95:AF95))&gt;ABS(MIN(C95:AF95)),MAX(C95:AF95),MIN(C95:AF95))</f>
        <v>0</v>
      </c>
      <c r="AI95" s="120" t="e">
        <f>INDEX($C$9:$AF$9,1,MATCH(AH95,C95:AF95,0))</f>
        <v>#N/A</v>
      </c>
    </row>
    <row r="96" spans="1:88" x14ac:dyDescent="0.25">
      <c r="A96" s="121" t="s">
        <v>100</v>
      </c>
      <c r="B96" s="122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72"/>
      <c r="AC96" s="72"/>
      <c r="AD96" s="72"/>
      <c r="AE96" s="72"/>
      <c r="AF96" s="72"/>
      <c r="AG96" s="119">
        <v>60</v>
      </c>
      <c r="AH96" s="53">
        <f>IF(ABS(MAX(C96:AF96))&gt;ABS(MIN(C96:AF96)),MAX(C96:AF96),MIN(C96:AF96))</f>
        <v>0</v>
      </c>
      <c r="AI96" s="120" t="e">
        <f>INDEX($C$9:$AF$9,1,MATCH(AH96,C96:AF96,0))</f>
        <v>#N/A</v>
      </c>
    </row>
    <row r="97" spans="1:37" x14ac:dyDescent="0.25">
      <c r="A97" s="123" t="s">
        <v>101</v>
      </c>
      <c r="B97" s="124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125"/>
      <c r="AC97" s="125"/>
      <c r="AD97" s="125"/>
      <c r="AE97" s="125"/>
      <c r="AF97" s="125"/>
      <c r="AG97" s="126">
        <v>120</v>
      </c>
      <c r="AH97" s="53">
        <f>IF(ABS(MAX(C97:AF97))&gt;ABS(MIN(C97:AF97)),MAX(C97:AF97),MIN(C97:AF97))</f>
        <v>0</v>
      </c>
      <c r="AI97" s="120" t="e">
        <f>INDEX($C$9:$AF$9,1,MATCH(AH97,C97:AF97,0))</f>
        <v>#N/A</v>
      </c>
    </row>
    <row r="98" spans="1:37" x14ac:dyDescent="0.25">
      <c r="A98" s="123" t="s">
        <v>102</v>
      </c>
      <c r="B98" s="124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125"/>
      <c r="AC98" s="125"/>
      <c r="AD98" s="125"/>
      <c r="AE98" s="125"/>
      <c r="AF98" s="125"/>
      <c r="AG98" s="126"/>
      <c r="AH98" s="53">
        <f>IF(ABS(MAX(C98:AF98))&gt;ABS(MIN(C98:AF98)),MAX(C98:AF98),MIN(C98:AF98))</f>
        <v>0</v>
      </c>
      <c r="AI98" s="120" t="e">
        <f>INDEX($C$9:$AF$9,1,MATCH(AH98,C98:AF98,0))</f>
        <v>#N/A</v>
      </c>
    </row>
    <row r="99" spans="1:37" ht="15.75" thickBot="1" x14ac:dyDescent="0.3">
      <c r="A99" s="123" t="s">
        <v>103</v>
      </c>
      <c r="B99" s="124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125"/>
      <c r="AC99" s="125"/>
      <c r="AD99" s="125"/>
      <c r="AE99" s="125"/>
      <c r="AF99" s="125"/>
      <c r="AG99" s="127"/>
      <c r="AH99" s="53"/>
      <c r="AI99" s="120"/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2">AF101</f>
        <v>9.9</v>
      </c>
      <c r="C101" s="52">
        <v>9.9</v>
      </c>
      <c r="D101" s="133">
        <f t="shared" ref="D101:S106" si="23">C101</f>
        <v>9.9</v>
      </c>
      <c r="E101" s="133">
        <f t="shared" si="23"/>
        <v>9.9</v>
      </c>
      <c r="F101" s="133">
        <f t="shared" si="23"/>
        <v>9.9</v>
      </c>
      <c r="G101" s="133">
        <f t="shared" si="23"/>
        <v>9.9</v>
      </c>
      <c r="H101" s="133">
        <f t="shared" si="23"/>
        <v>9.9</v>
      </c>
      <c r="I101" s="133">
        <f t="shared" si="23"/>
        <v>9.9</v>
      </c>
      <c r="J101" s="133">
        <f t="shared" si="23"/>
        <v>9.9</v>
      </c>
      <c r="K101" s="133">
        <f t="shared" si="23"/>
        <v>9.9</v>
      </c>
      <c r="L101" s="133">
        <f t="shared" si="23"/>
        <v>9.9</v>
      </c>
      <c r="M101" s="133">
        <f t="shared" si="23"/>
        <v>9.9</v>
      </c>
      <c r="N101" s="133">
        <f t="shared" si="23"/>
        <v>9.9</v>
      </c>
      <c r="O101" s="133">
        <f t="shared" si="23"/>
        <v>9.9</v>
      </c>
      <c r="P101" s="133">
        <f t="shared" si="23"/>
        <v>9.9</v>
      </c>
      <c r="Q101" s="133">
        <f t="shared" si="23"/>
        <v>9.9</v>
      </c>
      <c r="R101" s="133">
        <f t="shared" si="23"/>
        <v>9.9</v>
      </c>
      <c r="S101" s="133">
        <f t="shared" si="23"/>
        <v>9.9</v>
      </c>
      <c r="T101" s="133">
        <f t="shared" ref="T101:AF106" si="24">S101</f>
        <v>9.9</v>
      </c>
      <c r="U101" s="133">
        <f t="shared" si="24"/>
        <v>9.9</v>
      </c>
      <c r="V101" s="133">
        <f t="shared" si="24"/>
        <v>9.9</v>
      </c>
      <c r="W101" s="133">
        <f t="shared" si="24"/>
        <v>9.9</v>
      </c>
      <c r="X101" s="133">
        <f t="shared" si="24"/>
        <v>9.9</v>
      </c>
      <c r="Y101" s="133">
        <f t="shared" si="24"/>
        <v>9.9</v>
      </c>
      <c r="Z101" s="133">
        <f t="shared" si="24"/>
        <v>9.9</v>
      </c>
      <c r="AA101" s="133">
        <f t="shared" si="24"/>
        <v>9.9</v>
      </c>
      <c r="AB101" s="133">
        <f t="shared" si="24"/>
        <v>9.9</v>
      </c>
      <c r="AC101" s="133">
        <f t="shared" si="24"/>
        <v>9.9</v>
      </c>
      <c r="AD101" s="133">
        <f t="shared" si="24"/>
        <v>9.9</v>
      </c>
      <c r="AE101" s="133">
        <f t="shared" si="24"/>
        <v>9.9</v>
      </c>
      <c r="AF101" s="133">
        <f t="shared" si="24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2"/>
        <v>9.6</v>
      </c>
      <c r="C102" s="136">
        <v>9.6</v>
      </c>
      <c r="D102" s="135">
        <f t="shared" si="23"/>
        <v>9.6</v>
      </c>
      <c r="E102" s="135">
        <f t="shared" si="23"/>
        <v>9.6</v>
      </c>
      <c r="F102" s="135">
        <f t="shared" si="23"/>
        <v>9.6</v>
      </c>
      <c r="G102" s="135">
        <f t="shared" si="23"/>
        <v>9.6</v>
      </c>
      <c r="H102" s="135">
        <f t="shared" si="23"/>
        <v>9.6</v>
      </c>
      <c r="I102" s="135">
        <f t="shared" si="23"/>
        <v>9.6</v>
      </c>
      <c r="J102" s="135">
        <f t="shared" si="23"/>
        <v>9.6</v>
      </c>
      <c r="K102" s="135">
        <f t="shared" si="23"/>
        <v>9.6</v>
      </c>
      <c r="L102" s="135">
        <f t="shared" si="23"/>
        <v>9.6</v>
      </c>
      <c r="M102" s="135">
        <f t="shared" si="23"/>
        <v>9.6</v>
      </c>
      <c r="N102" s="135">
        <f t="shared" si="23"/>
        <v>9.6</v>
      </c>
      <c r="O102" s="135">
        <f t="shared" si="23"/>
        <v>9.6</v>
      </c>
      <c r="P102" s="135">
        <f t="shared" si="23"/>
        <v>9.6</v>
      </c>
      <c r="Q102" s="135">
        <f t="shared" si="23"/>
        <v>9.6</v>
      </c>
      <c r="R102" s="135">
        <f t="shared" si="23"/>
        <v>9.6</v>
      </c>
      <c r="S102" s="135">
        <f t="shared" si="23"/>
        <v>9.6</v>
      </c>
      <c r="T102" s="135">
        <f t="shared" si="24"/>
        <v>9.6</v>
      </c>
      <c r="U102" s="135">
        <f t="shared" si="24"/>
        <v>9.6</v>
      </c>
      <c r="V102" s="135">
        <f t="shared" si="24"/>
        <v>9.6</v>
      </c>
      <c r="W102" s="135">
        <f t="shared" si="24"/>
        <v>9.6</v>
      </c>
      <c r="X102" s="135">
        <f t="shared" si="24"/>
        <v>9.6</v>
      </c>
      <c r="Y102" s="135">
        <f t="shared" si="24"/>
        <v>9.6</v>
      </c>
      <c r="Z102" s="135">
        <f t="shared" si="24"/>
        <v>9.6</v>
      </c>
      <c r="AA102" s="135">
        <f t="shared" si="24"/>
        <v>9.6</v>
      </c>
      <c r="AB102" s="135">
        <f t="shared" si="24"/>
        <v>9.6</v>
      </c>
      <c r="AC102" s="135">
        <f t="shared" si="24"/>
        <v>9.6</v>
      </c>
      <c r="AD102" s="135">
        <f t="shared" si="24"/>
        <v>9.6</v>
      </c>
      <c r="AE102" s="135">
        <f t="shared" si="24"/>
        <v>9.6</v>
      </c>
      <c r="AF102" s="135">
        <f t="shared" si="24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2"/>
        <v>9.98</v>
      </c>
      <c r="C103" s="136">
        <v>9.98</v>
      </c>
      <c r="D103" s="135">
        <f t="shared" si="23"/>
        <v>9.98</v>
      </c>
      <c r="E103" s="135">
        <f t="shared" si="23"/>
        <v>9.98</v>
      </c>
      <c r="F103" s="135">
        <f t="shared" si="23"/>
        <v>9.98</v>
      </c>
      <c r="G103" s="135">
        <f t="shared" si="23"/>
        <v>9.98</v>
      </c>
      <c r="H103" s="135">
        <f t="shared" si="23"/>
        <v>9.98</v>
      </c>
      <c r="I103" s="135">
        <f t="shared" si="23"/>
        <v>9.98</v>
      </c>
      <c r="J103" s="135">
        <f t="shared" si="23"/>
        <v>9.98</v>
      </c>
      <c r="K103" s="135">
        <f t="shared" si="23"/>
        <v>9.98</v>
      </c>
      <c r="L103" s="135">
        <f t="shared" si="23"/>
        <v>9.98</v>
      </c>
      <c r="M103" s="135">
        <f t="shared" si="23"/>
        <v>9.98</v>
      </c>
      <c r="N103" s="135">
        <f t="shared" si="23"/>
        <v>9.98</v>
      </c>
      <c r="O103" s="135">
        <f t="shared" si="23"/>
        <v>9.98</v>
      </c>
      <c r="P103" s="135">
        <f t="shared" si="23"/>
        <v>9.98</v>
      </c>
      <c r="Q103" s="135">
        <f t="shared" si="23"/>
        <v>9.98</v>
      </c>
      <c r="R103" s="135">
        <f t="shared" si="23"/>
        <v>9.98</v>
      </c>
      <c r="S103" s="135">
        <f t="shared" si="23"/>
        <v>9.98</v>
      </c>
      <c r="T103" s="135">
        <f t="shared" si="24"/>
        <v>9.98</v>
      </c>
      <c r="U103" s="135">
        <f t="shared" si="24"/>
        <v>9.98</v>
      </c>
      <c r="V103" s="135">
        <f t="shared" si="24"/>
        <v>9.98</v>
      </c>
      <c r="W103" s="135">
        <f t="shared" si="24"/>
        <v>9.98</v>
      </c>
      <c r="X103" s="135">
        <f t="shared" si="24"/>
        <v>9.98</v>
      </c>
      <c r="Y103" s="135">
        <f t="shared" si="24"/>
        <v>9.98</v>
      </c>
      <c r="Z103" s="135">
        <f t="shared" si="24"/>
        <v>9.98</v>
      </c>
      <c r="AA103" s="135">
        <f t="shared" si="24"/>
        <v>9.98</v>
      </c>
      <c r="AB103" s="135">
        <f t="shared" si="24"/>
        <v>9.98</v>
      </c>
      <c r="AC103" s="135">
        <f t="shared" si="24"/>
        <v>9.98</v>
      </c>
      <c r="AD103" s="135">
        <f t="shared" si="24"/>
        <v>9.98</v>
      </c>
      <c r="AE103" s="135">
        <f t="shared" si="24"/>
        <v>9.98</v>
      </c>
      <c r="AF103" s="135">
        <f t="shared" si="24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2"/>
        <v>9.1</v>
      </c>
      <c r="C104" s="136">
        <v>9.1</v>
      </c>
      <c r="D104" s="135">
        <f t="shared" si="23"/>
        <v>9.1</v>
      </c>
      <c r="E104" s="135">
        <f t="shared" si="23"/>
        <v>9.1</v>
      </c>
      <c r="F104" s="135">
        <f t="shared" si="23"/>
        <v>9.1</v>
      </c>
      <c r="G104" s="135">
        <f t="shared" si="23"/>
        <v>9.1</v>
      </c>
      <c r="H104" s="135">
        <f t="shared" si="23"/>
        <v>9.1</v>
      </c>
      <c r="I104" s="135">
        <f t="shared" si="23"/>
        <v>9.1</v>
      </c>
      <c r="J104" s="135">
        <f t="shared" si="23"/>
        <v>9.1</v>
      </c>
      <c r="K104" s="135">
        <f t="shared" si="23"/>
        <v>9.1</v>
      </c>
      <c r="L104" s="135">
        <f t="shared" si="23"/>
        <v>9.1</v>
      </c>
      <c r="M104" s="135">
        <f t="shared" si="23"/>
        <v>9.1</v>
      </c>
      <c r="N104" s="135">
        <f t="shared" si="23"/>
        <v>9.1</v>
      </c>
      <c r="O104" s="135">
        <f t="shared" si="23"/>
        <v>9.1</v>
      </c>
      <c r="P104" s="135">
        <f t="shared" si="23"/>
        <v>9.1</v>
      </c>
      <c r="Q104" s="135">
        <f t="shared" si="23"/>
        <v>9.1</v>
      </c>
      <c r="R104" s="135">
        <f t="shared" si="23"/>
        <v>9.1</v>
      </c>
      <c r="S104" s="135">
        <f t="shared" si="23"/>
        <v>9.1</v>
      </c>
      <c r="T104" s="135">
        <f t="shared" si="24"/>
        <v>9.1</v>
      </c>
      <c r="U104" s="135">
        <f t="shared" si="24"/>
        <v>9.1</v>
      </c>
      <c r="V104" s="135">
        <f t="shared" si="24"/>
        <v>9.1</v>
      </c>
      <c r="W104" s="135">
        <f t="shared" si="24"/>
        <v>9.1</v>
      </c>
      <c r="X104" s="135">
        <f t="shared" si="24"/>
        <v>9.1</v>
      </c>
      <c r="Y104" s="135">
        <f t="shared" si="24"/>
        <v>9.1</v>
      </c>
      <c r="Z104" s="135">
        <f t="shared" si="24"/>
        <v>9.1</v>
      </c>
      <c r="AA104" s="135">
        <f t="shared" si="24"/>
        <v>9.1</v>
      </c>
      <c r="AB104" s="135">
        <f t="shared" si="24"/>
        <v>9.1</v>
      </c>
      <c r="AC104" s="135">
        <f t="shared" si="24"/>
        <v>9.1</v>
      </c>
      <c r="AD104" s="135">
        <f t="shared" si="24"/>
        <v>9.1</v>
      </c>
      <c r="AE104" s="135">
        <f t="shared" si="24"/>
        <v>9.1</v>
      </c>
      <c r="AF104" s="135">
        <f t="shared" si="24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2"/>
        <v>9.18</v>
      </c>
      <c r="C105" s="136">
        <v>9.18</v>
      </c>
      <c r="D105" s="135">
        <f t="shared" si="23"/>
        <v>9.18</v>
      </c>
      <c r="E105" s="135">
        <f t="shared" si="23"/>
        <v>9.18</v>
      </c>
      <c r="F105" s="135">
        <f t="shared" si="23"/>
        <v>9.18</v>
      </c>
      <c r="G105" s="135">
        <f t="shared" si="23"/>
        <v>9.18</v>
      </c>
      <c r="H105" s="135">
        <f t="shared" si="23"/>
        <v>9.18</v>
      </c>
      <c r="I105" s="135">
        <f t="shared" si="23"/>
        <v>9.18</v>
      </c>
      <c r="J105" s="135">
        <f t="shared" si="23"/>
        <v>9.18</v>
      </c>
      <c r="K105" s="135">
        <f t="shared" si="23"/>
        <v>9.18</v>
      </c>
      <c r="L105" s="135">
        <f t="shared" si="23"/>
        <v>9.18</v>
      </c>
      <c r="M105" s="135">
        <f t="shared" si="23"/>
        <v>9.18</v>
      </c>
      <c r="N105" s="135">
        <f t="shared" si="23"/>
        <v>9.18</v>
      </c>
      <c r="O105" s="135">
        <f t="shared" si="23"/>
        <v>9.18</v>
      </c>
      <c r="P105" s="135">
        <f t="shared" si="23"/>
        <v>9.18</v>
      </c>
      <c r="Q105" s="135">
        <f t="shared" si="23"/>
        <v>9.18</v>
      </c>
      <c r="R105" s="135">
        <f t="shared" si="23"/>
        <v>9.18</v>
      </c>
      <c r="S105" s="135">
        <f t="shared" si="23"/>
        <v>9.18</v>
      </c>
      <c r="T105" s="135">
        <f t="shared" si="24"/>
        <v>9.18</v>
      </c>
      <c r="U105" s="135">
        <f t="shared" si="24"/>
        <v>9.18</v>
      </c>
      <c r="V105" s="135">
        <f t="shared" si="24"/>
        <v>9.18</v>
      </c>
      <c r="W105" s="135">
        <f t="shared" si="24"/>
        <v>9.18</v>
      </c>
      <c r="X105" s="135">
        <f t="shared" si="24"/>
        <v>9.18</v>
      </c>
      <c r="Y105" s="135">
        <f t="shared" si="24"/>
        <v>9.18</v>
      </c>
      <c r="Z105" s="135">
        <f t="shared" si="24"/>
        <v>9.18</v>
      </c>
      <c r="AA105" s="135">
        <f t="shared" si="24"/>
        <v>9.18</v>
      </c>
      <c r="AB105" s="135">
        <f t="shared" si="24"/>
        <v>9.18</v>
      </c>
      <c r="AC105" s="135">
        <f t="shared" si="24"/>
        <v>9.18</v>
      </c>
      <c r="AD105" s="135">
        <f t="shared" si="24"/>
        <v>9.18</v>
      </c>
      <c r="AE105" s="135">
        <f t="shared" si="24"/>
        <v>9.18</v>
      </c>
      <c r="AF105" s="135">
        <f t="shared" si="24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2"/>
        <v>7</v>
      </c>
      <c r="C106" s="136">
        <v>7</v>
      </c>
      <c r="D106" s="135">
        <f t="shared" si="23"/>
        <v>7</v>
      </c>
      <c r="E106" s="135">
        <f t="shared" si="23"/>
        <v>7</v>
      </c>
      <c r="F106" s="135">
        <f t="shared" si="23"/>
        <v>7</v>
      </c>
      <c r="G106" s="135">
        <f t="shared" si="23"/>
        <v>7</v>
      </c>
      <c r="H106" s="135">
        <f t="shared" si="23"/>
        <v>7</v>
      </c>
      <c r="I106" s="135">
        <f t="shared" si="23"/>
        <v>7</v>
      </c>
      <c r="J106" s="135">
        <f t="shared" si="23"/>
        <v>7</v>
      </c>
      <c r="K106" s="135">
        <f t="shared" si="23"/>
        <v>7</v>
      </c>
      <c r="L106" s="135">
        <f t="shared" si="23"/>
        <v>7</v>
      </c>
      <c r="M106" s="135">
        <f t="shared" si="23"/>
        <v>7</v>
      </c>
      <c r="N106" s="135">
        <f t="shared" si="23"/>
        <v>7</v>
      </c>
      <c r="O106" s="135">
        <f t="shared" si="23"/>
        <v>7</v>
      </c>
      <c r="P106" s="135">
        <f t="shared" si="23"/>
        <v>7</v>
      </c>
      <c r="Q106" s="135">
        <f t="shared" si="23"/>
        <v>7</v>
      </c>
      <c r="R106" s="135">
        <f t="shared" si="23"/>
        <v>7</v>
      </c>
      <c r="S106" s="135">
        <f t="shared" si="23"/>
        <v>7</v>
      </c>
      <c r="T106" s="135">
        <f t="shared" si="24"/>
        <v>7</v>
      </c>
      <c r="U106" s="135">
        <f t="shared" si="24"/>
        <v>7</v>
      </c>
      <c r="V106" s="135">
        <f t="shared" si="24"/>
        <v>7</v>
      </c>
      <c r="W106" s="135">
        <f t="shared" si="24"/>
        <v>7</v>
      </c>
      <c r="X106" s="135">
        <f t="shared" si="24"/>
        <v>7</v>
      </c>
      <c r="Y106" s="135">
        <f t="shared" si="24"/>
        <v>7</v>
      </c>
      <c r="Z106" s="135">
        <f t="shared" si="24"/>
        <v>7</v>
      </c>
      <c r="AA106" s="135">
        <f t="shared" si="24"/>
        <v>7</v>
      </c>
      <c r="AB106" s="135">
        <f t="shared" si="24"/>
        <v>7</v>
      </c>
      <c r="AC106" s="135">
        <f t="shared" si="24"/>
        <v>7</v>
      </c>
      <c r="AD106" s="135">
        <f t="shared" si="24"/>
        <v>7</v>
      </c>
      <c r="AE106" s="135">
        <f t="shared" si="24"/>
        <v>7</v>
      </c>
      <c r="AF106" s="135">
        <f t="shared" si="24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5">C108</f>
        <v>2.25</v>
      </c>
      <c r="E108" s="135">
        <f t="shared" si="25"/>
        <v>2.25</v>
      </c>
      <c r="F108" s="135">
        <f t="shared" si="25"/>
        <v>2.25</v>
      </c>
      <c r="G108" s="135">
        <f t="shared" si="25"/>
        <v>2.25</v>
      </c>
      <c r="H108" s="135">
        <f t="shared" si="25"/>
        <v>2.25</v>
      </c>
      <c r="I108" s="135">
        <f t="shared" si="25"/>
        <v>2.25</v>
      </c>
      <c r="J108" s="135">
        <f t="shared" si="25"/>
        <v>2.25</v>
      </c>
      <c r="K108" s="135">
        <f t="shared" si="25"/>
        <v>2.25</v>
      </c>
      <c r="L108" s="135">
        <f t="shared" si="25"/>
        <v>2.25</v>
      </c>
      <c r="M108" s="135">
        <f t="shared" si="25"/>
        <v>2.25</v>
      </c>
      <c r="N108" s="135">
        <f t="shared" si="25"/>
        <v>2.25</v>
      </c>
      <c r="O108" s="135">
        <f t="shared" si="25"/>
        <v>2.25</v>
      </c>
      <c r="P108" s="135">
        <f t="shared" si="25"/>
        <v>2.25</v>
      </c>
      <c r="Q108" s="135">
        <f t="shared" si="25"/>
        <v>2.25</v>
      </c>
      <c r="R108" s="135">
        <f t="shared" si="25"/>
        <v>2.25</v>
      </c>
      <c r="S108" s="135">
        <f t="shared" si="25"/>
        <v>2.25</v>
      </c>
      <c r="T108" s="135">
        <f t="shared" ref="T108:AF109" si="26">S108</f>
        <v>2.25</v>
      </c>
      <c r="U108" s="135">
        <f t="shared" si="26"/>
        <v>2.25</v>
      </c>
      <c r="V108" s="135">
        <f t="shared" si="26"/>
        <v>2.25</v>
      </c>
      <c r="W108" s="135">
        <f t="shared" si="26"/>
        <v>2.25</v>
      </c>
      <c r="X108" s="135">
        <f t="shared" si="26"/>
        <v>2.25</v>
      </c>
      <c r="Y108" s="135">
        <f t="shared" si="26"/>
        <v>2.25</v>
      </c>
      <c r="Z108" s="135">
        <f t="shared" si="26"/>
        <v>2.25</v>
      </c>
      <c r="AA108" s="135">
        <f t="shared" si="26"/>
        <v>2.25</v>
      </c>
      <c r="AB108" s="135">
        <f t="shared" si="26"/>
        <v>2.25</v>
      </c>
      <c r="AC108" s="135">
        <f t="shared" si="26"/>
        <v>2.25</v>
      </c>
      <c r="AD108" s="135">
        <f t="shared" si="26"/>
        <v>2.25</v>
      </c>
      <c r="AE108" s="135">
        <f t="shared" si="26"/>
        <v>2.25</v>
      </c>
      <c r="AF108" s="135">
        <f t="shared" si="26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5"/>
        <v>1.64</v>
      </c>
      <c r="E109" s="135">
        <f t="shared" si="25"/>
        <v>1.64</v>
      </c>
      <c r="F109" s="135">
        <f t="shared" si="25"/>
        <v>1.64</v>
      </c>
      <c r="G109" s="135">
        <f t="shared" si="25"/>
        <v>1.64</v>
      </c>
      <c r="H109" s="135">
        <f t="shared" si="25"/>
        <v>1.64</v>
      </c>
      <c r="I109" s="135">
        <f t="shared" si="25"/>
        <v>1.64</v>
      </c>
      <c r="J109" s="135">
        <f t="shared" si="25"/>
        <v>1.64</v>
      </c>
      <c r="K109" s="135">
        <f t="shared" si="25"/>
        <v>1.64</v>
      </c>
      <c r="L109" s="135">
        <f t="shared" si="25"/>
        <v>1.64</v>
      </c>
      <c r="M109" s="135">
        <f t="shared" si="25"/>
        <v>1.64</v>
      </c>
      <c r="N109" s="135">
        <f t="shared" si="25"/>
        <v>1.64</v>
      </c>
      <c r="O109" s="135">
        <f t="shared" si="25"/>
        <v>1.64</v>
      </c>
      <c r="P109" s="135">
        <f t="shared" si="25"/>
        <v>1.64</v>
      </c>
      <c r="Q109" s="135">
        <f t="shared" si="25"/>
        <v>1.64</v>
      </c>
      <c r="R109" s="135">
        <f t="shared" si="25"/>
        <v>1.64</v>
      </c>
      <c r="S109" s="135">
        <f t="shared" si="25"/>
        <v>1.64</v>
      </c>
      <c r="T109" s="135">
        <f t="shared" si="26"/>
        <v>1.64</v>
      </c>
      <c r="U109" s="135">
        <f t="shared" si="26"/>
        <v>1.64</v>
      </c>
      <c r="V109" s="135">
        <f t="shared" si="26"/>
        <v>1.64</v>
      </c>
      <c r="W109" s="135">
        <f t="shared" si="26"/>
        <v>1.64</v>
      </c>
      <c r="X109" s="135">
        <f t="shared" si="26"/>
        <v>1.64</v>
      </c>
      <c r="Y109" s="135">
        <f t="shared" si="26"/>
        <v>1.64</v>
      </c>
      <c r="Z109" s="135">
        <f t="shared" si="26"/>
        <v>1.64</v>
      </c>
      <c r="AA109" s="135">
        <f t="shared" si="26"/>
        <v>1.64</v>
      </c>
      <c r="AB109" s="135">
        <f t="shared" si="26"/>
        <v>1.64</v>
      </c>
      <c r="AC109" s="135">
        <f t="shared" si="26"/>
        <v>1.64</v>
      </c>
      <c r="AD109" s="135">
        <f t="shared" si="26"/>
        <v>1.64</v>
      </c>
      <c r="AE109" s="135">
        <f t="shared" si="26"/>
        <v>1.64</v>
      </c>
      <c r="AF109" s="135">
        <f t="shared" si="26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7">AF111</f>
        <v>1.62</v>
      </c>
      <c r="C111" s="136">
        <v>1.62</v>
      </c>
      <c r="D111" s="135">
        <f t="shared" ref="D111:S118" si="28">C111</f>
        <v>1.62</v>
      </c>
      <c r="E111" s="135">
        <f t="shared" si="28"/>
        <v>1.62</v>
      </c>
      <c r="F111" s="135">
        <f t="shared" si="28"/>
        <v>1.62</v>
      </c>
      <c r="G111" s="135">
        <f t="shared" si="28"/>
        <v>1.62</v>
      </c>
      <c r="H111" s="135">
        <f t="shared" si="28"/>
        <v>1.62</v>
      </c>
      <c r="I111" s="135">
        <f t="shared" si="28"/>
        <v>1.62</v>
      </c>
      <c r="J111" s="135">
        <f t="shared" si="28"/>
        <v>1.62</v>
      </c>
      <c r="K111" s="135">
        <f t="shared" si="28"/>
        <v>1.62</v>
      </c>
      <c r="L111" s="135">
        <f t="shared" si="28"/>
        <v>1.62</v>
      </c>
      <c r="M111" s="135">
        <f t="shared" si="28"/>
        <v>1.62</v>
      </c>
      <c r="N111" s="135">
        <f t="shared" si="28"/>
        <v>1.62</v>
      </c>
      <c r="O111" s="135">
        <f t="shared" si="28"/>
        <v>1.62</v>
      </c>
      <c r="P111" s="135">
        <f t="shared" si="28"/>
        <v>1.62</v>
      </c>
      <c r="Q111" s="135">
        <f t="shared" si="28"/>
        <v>1.62</v>
      </c>
      <c r="R111" s="135">
        <f t="shared" si="28"/>
        <v>1.62</v>
      </c>
      <c r="S111" s="135">
        <f t="shared" si="28"/>
        <v>1.62</v>
      </c>
      <c r="T111" s="135">
        <f t="shared" ref="T111:AF126" si="29">S111</f>
        <v>1.62</v>
      </c>
      <c r="U111" s="135">
        <f t="shared" si="29"/>
        <v>1.62</v>
      </c>
      <c r="V111" s="135">
        <f t="shared" si="29"/>
        <v>1.62</v>
      </c>
      <c r="W111" s="135">
        <f t="shared" si="29"/>
        <v>1.62</v>
      </c>
      <c r="X111" s="135">
        <f t="shared" si="29"/>
        <v>1.62</v>
      </c>
      <c r="Y111" s="135">
        <f t="shared" si="29"/>
        <v>1.62</v>
      </c>
      <c r="Z111" s="135">
        <f t="shared" si="29"/>
        <v>1.62</v>
      </c>
      <c r="AA111" s="135">
        <f t="shared" si="29"/>
        <v>1.62</v>
      </c>
      <c r="AB111" s="135">
        <f t="shared" si="29"/>
        <v>1.62</v>
      </c>
      <c r="AC111" s="135">
        <f t="shared" si="29"/>
        <v>1.62</v>
      </c>
      <c r="AD111" s="135">
        <f t="shared" si="29"/>
        <v>1.62</v>
      </c>
      <c r="AE111" s="135">
        <f t="shared" si="29"/>
        <v>1.62</v>
      </c>
      <c r="AF111" s="135">
        <f t="shared" si="29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7"/>
        <v>8.36</v>
      </c>
      <c r="C112" s="136">
        <v>8.36</v>
      </c>
      <c r="D112" s="135">
        <f t="shared" si="28"/>
        <v>8.36</v>
      </c>
      <c r="E112" s="135">
        <f t="shared" si="28"/>
        <v>8.36</v>
      </c>
      <c r="F112" s="135">
        <f t="shared" si="28"/>
        <v>8.36</v>
      </c>
      <c r="G112" s="135">
        <f t="shared" si="28"/>
        <v>8.36</v>
      </c>
      <c r="H112" s="135">
        <f t="shared" si="28"/>
        <v>8.36</v>
      </c>
      <c r="I112" s="135">
        <f t="shared" si="28"/>
        <v>8.36</v>
      </c>
      <c r="J112" s="135">
        <f t="shared" si="28"/>
        <v>8.36</v>
      </c>
      <c r="K112" s="135">
        <f t="shared" si="28"/>
        <v>8.36</v>
      </c>
      <c r="L112" s="135">
        <f t="shared" si="28"/>
        <v>8.36</v>
      </c>
      <c r="M112" s="135">
        <f t="shared" si="28"/>
        <v>8.36</v>
      </c>
      <c r="N112" s="135">
        <f t="shared" si="28"/>
        <v>8.36</v>
      </c>
      <c r="O112" s="135">
        <f t="shared" si="28"/>
        <v>8.36</v>
      </c>
      <c r="P112" s="135">
        <f t="shared" si="28"/>
        <v>8.36</v>
      </c>
      <c r="Q112" s="135">
        <f t="shared" si="28"/>
        <v>8.36</v>
      </c>
      <c r="R112" s="135">
        <f t="shared" si="28"/>
        <v>8.36</v>
      </c>
      <c r="S112" s="135">
        <f t="shared" si="28"/>
        <v>8.36</v>
      </c>
      <c r="T112" s="135">
        <f t="shared" si="29"/>
        <v>8.36</v>
      </c>
      <c r="U112" s="135">
        <f t="shared" si="29"/>
        <v>8.36</v>
      </c>
      <c r="V112" s="135">
        <f t="shared" si="29"/>
        <v>8.36</v>
      </c>
      <c r="W112" s="135">
        <f t="shared" si="29"/>
        <v>8.36</v>
      </c>
      <c r="X112" s="135">
        <f t="shared" si="29"/>
        <v>8.36</v>
      </c>
      <c r="Y112" s="135">
        <f t="shared" si="29"/>
        <v>8.36</v>
      </c>
      <c r="Z112" s="135">
        <f t="shared" si="29"/>
        <v>8.36</v>
      </c>
      <c r="AA112" s="135">
        <f t="shared" si="29"/>
        <v>8.36</v>
      </c>
      <c r="AB112" s="135">
        <f t="shared" si="29"/>
        <v>8.36</v>
      </c>
      <c r="AC112" s="135">
        <f t="shared" si="29"/>
        <v>8.36</v>
      </c>
      <c r="AD112" s="135">
        <f t="shared" si="29"/>
        <v>8.36</v>
      </c>
      <c r="AE112" s="135">
        <f t="shared" si="29"/>
        <v>8.36</v>
      </c>
      <c r="AF112" s="135">
        <f t="shared" si="29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7"/>
        <v>5.4</v>
      </c>
      <c r="C113" s="136">
        <v>8</v>
      </c>
      <c r="D113" s="135">
        <f t="shared" si="28"/>
        <v>8</v>
      </c>
      <c r="E113" s="135">
        <f t="shared" si="28"/>
        <v>8</v>
      </c>
      <c r="F113" s="135">
        <f t="shared" si="28"/>
        <v>8</v>
      </c>
      <c r="G113" s="135">
        <f t="shared" si="28"/>
        <v>8</v>
      </c>
      <c r="H113" s="135">
        <f t="shared" si="28"/>
        <v>8</v>
      </c>
      <c r="I113" s="135">
        <f t="shared" si="28"/>
        <v>8</v>
      </c>
      <c r="J113" s="135">
        <v>5.4</v>
      </c>
      <c r="K113" s="135">
        <f t="shared" si="28"/>
        <v>5.4</v>
      </c>
      <c r="L113" s="135">
        <f t="shared" si="28"/>
        <v>5.4</v>
      </c>
      <c r="M113" s="135">
        <f t="shared" si="28"/>
        <v>5.4</v>
      </c>
      <c r="N113" s="135">
        <f t="shared" si="28"/>
        <v>5.4</v>
      </c>
      <c r="O113" s="135">
        <f t="shared" si="28"/>
        <v>5.4</v>
      </c>
      <c r="P113" s="135">
        <f t="shared" si="28"/>
        <v>5.4</v>
      </c>
      <c r="Q113" s="135">
        <f t="shared" si="28"/>
        <v>5.4</v>
      </c>
      <c r="R113" s="135">
        <f t="shared" si="28"/>
        <v>5.4</v>
      </c>
      <c r="S113" s="135">
        <f t="shared" si="28"/>
        <v>5.4</v>
      </c>
      <c r="T113" s="135">
        <f t="shared" si="29"/>
        <v>5.4</v>
      </c>
      <c r="U113" s="135">
        <f t="shared" si="29"/>
        <v>5.4</v>
      </c>
      <c r="V113" s="135">
        <f t="shared" si="29"/>
        <v>5.4</v>
      </c>
      <c r="W113" s="135">
        <f t="shared" si="29"/>
        <v>5.4</v>
      </c>
      <c r="X113" s="135">
        <f t="shared" si="29"/>
        <v>5.4</v>
      </c>
      <c r="Y113" s="135">
        <f t="shared" si="29"/>
        <v>5.4</v>
      </c>
      <c r="Z113" s="135">
        <f t="shared" si="29"/>
        <v>5.4</v>
      </c>
      <c r="AA113" s="135">
        <f t="shared" si="29"/>
        <v>5.4</v>
      </c>
      <c r="AB113" s="135">
        <f t="shared" si="29"/>
        <v>5.4</v>
      </c>
      <c r="AC113" s="135">
        <f t="shared" si="29"/>
        <v>5.4</v>
      </c>
      <c r="AD113" s="135">
        <f t="shared" si="29"/>
        <v>5.4</v>
      </c>
      <c r="AE113" s="135">
        <f t="shared" si="29"/>
        <v>5.4</v>
      </c>
      <c r="AF113" s="135">
        <f t="shared" si="29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7"/>
        <v>6.57</v>
      </c>
      <c r="C114" s="136">
        <v>6.57</v>
      </c>
      <c r="D114" s="135">
        <f t="shared" si="28"/>
        <v>6.57</v>
      </c>
      <c r="E114" s="135">
        <f t="shared" si="28"/>
        <v>6.57</v>
      </c>
      <c r="F114" s="135">
        <f t="shared" si="28"/>
        <v>6.57</v>
      </c>
      <c r="G114" s="135">
        <f t="shared" si="28"/>
        <v>6.57</v>
      </c>
      <c r="H114" s="135">
        <f t="shared" si="28"/>
        <v>6.57</v>
      </c>
      <c r="I114" s="135">
        <f t="shared" si="28"/>
        <v>6.57</v>
      </c>
      <c r="J114" s="135">
        <f t="shared" si="28"/>
        <v>6.57</v>
      </c>
      <c r="K114" s="135">
        <f t="shared" si="28"/>
        <v>6.57</v>
      </c>
      <c r="L114" s="135">
        <f t="shared" si="28"/>
        <v>6.57</v>
      </c>
      <c r="M114" s="135">
        <f t="shared" si="28"/>
        <v>6.57</v>
      </c>
      <c r="N114" s="135">
        <f t="shared" si="28"/>
        <v>6.57</v>
      </c>
      <c r="O114" s="135">
        <f t="shared" si="28"/>
        <v>6.57</v>
      </c>
      <c r="P114" s="135">
        <f t="shared" si="28"/>
        <v>6.57</v>
      </c>
      <c r="Q114" s="135">
        <f t="shared" si="28"/>
        <v>6.57</v>
      </c>
      <c r="R114" s="135">
        <f t="shared" si="28"/>
        <v>6.57</v>
      </c>
      <c r="S114" s="135">
        <f t="shared" si="28"/>
        <v>6.57</v>
      </c>
      <c r="T114" s="135">
        <f t="shared" si="29"/>
        <v>6.57</v>
      </c>
      <c r="U114" s="135">
        <f t="shared" si="29"/>
        <v>6.57</v>
      </c>
      <c r="V114" s="135">
        <f t="shared" si="29"/>
        <v>6.57</v>
      </c>
      <c r="W114" s="135">
        <f t="shared" si="29"/>
        <v>6.57</v>
      </c>
      <c r="X114" s="135">
        <f t="shared" si="29"/>
        <v>6.57</v>
      </c>
      <c r="Y114" s="135">
        <f t="shared" si="29"/>
        <v>6.57</v>
      </c>
      <c r="Z114" s="135">
        <f t="shared" si="29"/>
        <v>6.57</v>
      </c>
      <c r="AA114" s="135">
        <f t="shared" si="29"/>
        <v>6.57</v>
      </c>
      <c r="AB114" s="135">
        <f t="shared" si="29"/>
        <v>6.57</v>
      </c>
      <c r="AC114" s="135">
        <f t="shared" si="29"/>
        <v>6.57</v>
      </c>
      <c r="AD114" s="135">
        <f t="shared" si="29"/>
        <v>6.57</v>
      </c>
      <c r="AE114" s="135">
        <f t="shared" si="29"/>
        <v>6.57</v>
      </c>
      <c r="AF114" s="135">
        <f t="shared" si="29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7"/>
        <v>3.43</v>
      </c>
      <c r="C115" s="136">
        <v>3.43</v>
      </c>
      <c r="D115" s="135">
        <f t="shared" si="28"/>
        <v>3.43</v>
      </c>
      <c r="E115" s="135">
        <f t="shared" si="28"/>
        <v>3.43</v>
      </c>
      <c r="F115" s="135">
        <f t="shared" si="28"/>
        <v>3.43</v>
      </c>
      <c r="G115" s="135">
        <f t="shared" si="28"/>
        <v>3.43</v>
      </c>
      <c r="H115" s="135">
        <f t="shared" si="28"/>
        <v>3.43</v>
      </c>
      <c r="I115" s="135">
        <f t="shared" si="28"/>
        <v>3.43</v>
      </c>
      <c r="J115" s="135">
        <f t="shared" si="28"/>
        <v>3.43</v>
      </c>
      <c r="K115" s="135">
        <f t="shared" si="28"/>
        <v>3.43</v>
      </c>
      <c r="L115" s="135">
        <f t="shared" si="28"/>
        <v>3.43</v>
      </c>
      <c r="M115" s="135">
        <f t="shared" si="28"/>
        <v>3.43</v>
      </c>
      <c r="N115" s="135">
        <f t="shared" si="28"/>
        <v>3.43</v>
      </c>
      <c r="O115" s="135">
        <f t="shared" si="28"/>
        <v>3.43</v>
      </c>
      <c r="P115" s="135">
        <f t="shared" si="28"/>
        <v>3.43</v>
      </c>
      <c r="Q115" s="135">
        <f t="shared" si="28"/>
        <v>3.43</v>
      </c>
      <c r="R115" s="135">
        <f t="shared" si="28"/>
        <v>3.43</v>
      </c>
      <c r="S115" s="135">
        <f t="shared" si="28"/>
        <v>3.43</v>
      </c>
      <c r="T115" s="135">
        <f t="shared" si="29"/>
        <v>3.43</v>
      </c>
      <c r="U115" s="135">
        <f t="shared" si="29"/>
        <v>3.43</v>
      </c>
      <c r="V115" s="135">
        <f t="shared" si="29"/>
        <v>3.43</v>
      </c>
      <c r="W115" s="135">
        <f t="shared" si="29"/>
        <v>3.43</v>
      </c>
      <c r="X115" s="135">
        <f t="shared" si="29"/>
        <v>3.43</v>
      </c>
      <c r="Y115" s="135">
        <f t="shared" si="29"/>
        <v>3.43</v>
      </c>
      <c r="Z115" s="135">
        <f t="shared" si="29"/>
        <v>3.43</v>
      </c>
      <c r="AA115" s="135">
        <f t="shared" si="29"/>
        <v>3.43</v>
      </c>
      <c r="AB115" s="135">
        <f t="shared" si="29"/>
        <v>3.43</v>
      </c>
      <c r="AC115" s="135">
        <f t="shared" si="29"/>
        <v>3.43</v>
      </c>
      <c r="AD115" s="135">
        <f t="shared" si="29"/>
        <v>3.43</v>
      </c>
      <c r="AE115" s="135">
        <f t="shared" si="29"/>
        <v>3.43</v>
      </c>
      <c r="AF115" s="135">
        <f t="shared" si="29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7"/>
        <v>2.96</v>
      </c>
      <c r="C116" s="136">
        <v>2.96</v>
      </c>
      <c r="D116" s="135">
        <f t="shared" si="28"/>
        <v>2.96</v>
      </c>
      <c r="E116" s="135">
        <f t="shared" si="28"/>
        <v>2.96</v>
      </c>
      <c r="F116" s="135">
        <f t="shared" si="28"/>
        <v>2.96</v>
      </c>
      <c r="G116" s="135">
        <f t="shared" si="28"/>
        <v>2.96</v>
      </c>
      <c r="H116" s="135">
        <f t="shared" si="28"/>
        <v>2.96</v>
      </c>
      <c r="I116" s="135">
        <f t="shared" si="28"/>
        <v>2.96</v>
      </c>
      <c r="J116" s="135">
        <f t="shared" si="28"/>
        <v>2.96</v>
      </c>
      <c r="K116" s="135">
        <f t="shared" si="28"/>
        <v>2.96</v>
      </c>
      <c r="L116" s="135">
        <f t="shared" si="28"/>
        <v>2.96</v>
      </c>
      <c r="M116" s="135">
        <f t="shared" si="28"/>
        <v>2.96</v>
      </c>
      <c r="N116" s="135">
        <f t="shared" si="28"/>
        <v>2.96</v>
      </c>
      <c r="O116" s="135">
        <f t="shared" si="28"/>
        <v>2.96</v>
      </c>
      <c r="P116" s="135">
        <f t="shared" si="28"/>
        <v>2.96</v>
      </c>
      <c r="Q116" s="135">
        <f t="shared" si="28"/>
        <v>2.96</v>
      </c>
      <c r="R116" s="135">
        <f t="shared" si="28"/>
        <v>2.96</v>
      </c>
      <c r="S116" s="135">
        <f t="shared" si="28"/>
        <v>2.96</v>
      </c>
      <c r="T116" s="135">
        <f t="shared" si="29"/>
        <v>2.96</v>
      </c>
      <c r="U116" s="135">
        <f t="shared" si="29"/>
        <v>2.96</v>
      </c>
      <c r="V116" s="135">
        <f t="shared" si="29"/>
        <v>2.96</v>
      </c>
      <c r="W116" s="135">
        <f t="shared" si="29"/>
        <v>2.96</v>
      </c>
      <c r="X116" s="135">
        <f t="shared" si="29"/>
        <v>2.96</v>
      </c>
      <c r="Y116" s="135">
        <f t="shared" si="29"/>
        <v>2.96</v>
      </c>
      <c r="Z116" s="135">
        <f t="shared" si="29"/>
        <v>2.96</v>
      </c>
      <c r="AA116" s="135">
        <f t="shared" si="29"/>
        <v>2.96</v>
      </c>
      <c r="AB116" s="135">
        <f t="shared" si="29"/>
        <v>2.96</v>
      </c>
      <c r="AC116" s="135">
        <f t="shared" si="29"/>
        <v>2.96</v>
      </c>
      <c r="AD116" s="135">
        <f t="shared" si="29"/>
        <v>2.96</v>
      </c>
      <c r="AE116" s="135">
        <f t="shared" si="29"/>
        <v>2.96</v>
      </c>
      <c r="AF116" s="135">
        <f t="shared" si="29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7"/>
        <v>8</v>
      </c>
      <c r="C117" s="136">
        <v>8</v>
      </c>
      <c r="D117" s="135">
        <f t="shared" si="28"/>
        <v>8</v>
      </c>
      <c r="E117" s="135">
        <f t="shared" si="28"/>
        <v>8</v>
      </c>
      <c r="F117" s="135">
        <f t="shared" si="28"/>
        <v>8</v>
      </c>
      <c r="G117" s="135">
        <f t="shared" si="28"/>
        <v>8</v>
      </c>
      <c r="H117" s="135">
        <f t="shared" si="28"/>
        <v>8</v>
      </c>
      <c r="I117" s="135">
        <f t="shared" si="28"/>
        <v>8</v>
      </c>
      <c r="J117" s="135">
        <f t="shared" si="28"/>
        <v>8</v>
      </c>
      <c r="K117" s="135">
        <f t="shared" si="28"/>
        <v>8</v>
      </c>
      <c r="L117" s="135">
        <f t="shared" si="28"/>
        <v>8</v>
      </c>
      <c r="M117" s="135">
        <f t="shared" si="28"/>
        <v>8</v>
      </c>
      <c r="N117" s="135">
        <f t="shared" si="28"/>
        <v>8</v>
      </c>
      <c r="O117" s="135">
        <f t="shared" si="28"/>
        <v>8</v>
      </c>
      <c r="P117" s="135">
        <f t="shared" si="28"/>
        <v>8</v>
      </c>
      <c r="Q117" s="135">
        <f t="shared" si="28"/>
        <v>8</v>
      </c>
      <c r="R117" s="135">
        <f t="shared" si="28"/>
        <v>8</v>
      </c>
      <c r="S117" s="135">
        <f t="shared" si="28"/>
        <v>8</v>
      </c>
      <c r="T117" s="135">
        <f t="shared" si="29"/>
        <v>8</v>
      </c>
      <c r="U117" s="135">
        <f t="shared" si="29"/>
        <v>8</v>
      </c>
      <c r="V117" s="135">
        <f t="shared" si="29"/>
        <v>8</v>
      </c>
      <c r="W117" s="135">
        <f t="shared" si="29"/>
        <v>8</v>
      </c>
      <c r="X117" s="135">
        <f t="shared" si="29"/>
        <v>8</v>
      </c>
      <c r="Y117" s="135">
        <f t="shared" si="29"/>
        <v>8</v>
      </c>
      <c r="Z117" s="135">
        <f t="shared" si="29"/>
        <v>8</v>
      </c>
      <c r="AA117" s="135">
        <f t="shared" si="29"/>
        <v>8</v>
      </c>
      <c r="AB117" s="135">
        <f t="shared" si="29"/>
        <v>8</v>
      </c>
      <c r="AC117" s="135">
        <f t="shared" si="29"/>
        <v>8</v>
      </c>
      <c r="AD117" s="135">
        <f t="shared" si="29"/>
        <v>8</v>
      </c>
      <c r="AE117" s="135">
        <f t="shared" si="29"/>
        <v>8</v>
      </c>
      <c r="AF117" s="135">
        <f t="shared" si="29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7"/>
        <v>7</v>
      </c>
      <c r="C118" s="136">
        <v>7</v>
      </c>
      <c r="D118" s="135">
        <f>C118</f>
        <v>7</v>
      </c>
      <c r="E118" s="135">
        <f t="shared" si="28"/>
        <v>7</v>
      </c>
      <c r="F118" s="135">
        <f t="shared" si="28"/>
        <v>7</v>
      </c>
      <c r="G118" s="135">
        <f t="shared" si="28"/>
        <v>7</v>
      </c>
      <c r="H118" s="135">
        <f t="shared" si="28"/>
        <v>7</v>
      </c>
      <c r="I118" s="135">
        <f t="shared" si="28"/>
        <v>7</v>
      </c>
      <c r="J118" s="135">
        <f t="shared" si="28"/>
        <v>7</v>
      </c>
      <c r="K118" s="135">
        <f t="shared" si="28"/>
        <v>7</v>
      </c>
      <c r="L118" s="135">
        <f t="shared" si="28"/>
        <v>7</v>
      </c>
      <c r="M118" s="135">
        <f t="shared" si="28"/>
        <v>7</v>
      </c>
      <c r="N118" s="135">
        <f t="shared" si="28"/>
        <v>7</v>
      </c>
      <c r="O118" s="135">
        <f t="shared" si="28"/>
        <v>7</v>
      </c>
      <c r="P118" s="135">
        <f t="shared" si="28"/>
        <v>7</v>
      </c>
      <c r="Q118" s="135">
        <f t="shared" si="28"/>
        <v>7</v>
      </c>
      <c r="R118" s="135">
        <f t="shared" si="28"/>
        <v>7</v>
      </c>
      <c r="S118" s="135">
        <f t="shared" si="28"/>
        <v>7</v>
      </c>
      <c r="T118" s="135">
        <f t="shared" si="29"/>
        <v>7</v>
      </c>
      <c r="U118" s="135">
        <f t="shared" si="29"/>
        <v>7</v>
      </c>
      <c r="V118" s="135">
        <f t="shared" si="29"/>
        <v>7</v>
      </c>
      <c r="W118" s="135">
        <f t="shared" si="29"/>
        <v>7</v>
      </c>
      <c r="X118" s="135">
        <f t="shared" si="29"/>
        <v>7</v>
      </c>
      <c r="Y118" s="135">
        <f t="shared" si="29"/>
        <v>7</v>
      </c>
      <c r="Z118" s="135">
        <f t="shared" si="29"/>
        <v>7</v>
      </c>
      <c r="AA118" s="135">
        <f t="shared" si="29"/>
        <v>7</v>
      </c>
      <c r="AB118" s="135">
        <f t="shared" si="29"/>
        <v>7</v>
      </c>
      <c r="AC118" s="135">
        <f t="shared" si="29"/>
        <v>7</v>
      </c>
      <c r="AD118" s="135">
        <f t="shared" si="29"/>
        <v>7</v>
      </c>
      <c r="AE118" s="135">
        <f t="shared" si="29"/>
        <v>7</v>
      </c>
      <c r="AF118" s="135">
        <f t="shared" si="29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7"/>
        <v>3.47</v>
      </c>
      <c r="C119" s="136">
        <v>3.47</v>
      </c>
      <c r="D119" s="135">
        <f t="shared" ref="D119:S128" si="30">C119</f>
        <v>3.47</v>
      </c>
      <c r="E119" s="135">
        <f t="shared" si="30"/>
        <v>3.47</v>
      </c>
      <c r="F119" s="135">
        <f t="shared" si="30"/>
        <v>3.47</v>
      </c>
      <c r="G119" s="135">
        <f t="shared" si="30"/>
        <v>3.47</v>
      </c>
      <c r="H119" s="135">
        <f t="shared" si="30"/>
        <v>3.47</v>
      </c>
      <c r="I119" s="135">
        <f t="shared" si="30"/>
        <v>3.47</v>
      </c>
      <c r="J119" s="135">
        <f t="shared" si="30"/>
        <v>3.47</v>
      </c>
      <c r="K119" s="135">
        <f t="shared" si="30"/>
        <v>3.47</v>
      </c>
      <c r="L119" s="135">
        <f t="shared" si="30"/>
        <v>3.47</v>
      </c>
      <c r="M119" s="135">
        <f t="shared" si="30"/>
        <v>3.47</v>
      </c>
      <c r="N119" s="135">
        <f t="shared" si="30"/>
        <v>3.47</v>
      </c>
      <c r="O119" s="135">
        <f t="shared" si="30"/>
        <v>3.47</v>
      </c>
      <c r="P119" s="135">
        <f t="shared" si="30"/>
        <v>3.47</v>
      </c>
      <c r="Q119" s="135">
        <f t="shared" si="30"/>
        <v>3.47</v>
      </c>
      <c r="R119" s="135">
        <f t="shared" si="30"/>
        <v>3.47</v>
      </c>
      <c r="S119" s="135">
        <f t="shared" si="30"/>
        <v>3.47</v>
      </c>
      <c r="T119" s="135">
        <f t="shared" si="29"/>
        <v>3.47</v>
      </c>
      <c r="U119" s="135">
        <f t="shared" si="29"/>
        <v>3.47</v>
      </c>
      <c r="V119" s="135">
        <f t="shared" si="29"/>
        <v>3.47</v>
      </c>
      <c r="W119" s="135">
        <f t="shared" si="29"/>
        <v>3.47</v>
      </c>
      <c r="X119" s="135">
        <f t="shared" si="29"/>
        <v>3.47</v>
      </c>
      <c r="Y119" s="135">
        <f t="shared" si="29"/>
        <v>3.47</v>
      </c>
      <c r="Z119" s="135">
        <f t="shared" si="29"/>
        <v>3.47</v>
      </c>
      <c r="AA119" s="135">
        <f t="shared" si="29"/>
        <v>3.47</v>
      </c>
      <c r="AB119" s="135">
        <f t="shared" si="29"/>
        <v>3.47</v>
      </c>
      <c r="AC119" s="135">
        <f t="shared" si="29"/>
        <v>3.47</v>
      </c>
      <c r="AD119" s="135">
        <f t="shared" si="29"/>
        <v>3.47</v>
      </c>
      <c r="AE119" s="135">
        <f t="shared" si="29"/>
        <v>3.47</v>
      </c>
      <c r="AF119" s="135">
        <f t="shared" si="29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7"/>
        <v>2.1</v>
      </c>
      <c r="C120" s="136">
        <v>2.1</v>
      </c>
      <c r="D120" s="135">
        <f t="shared" si="30"/>
        <v>2.1</v>
      </c>
      <c r="E120" s="135">
        <f t="shared" si="30"/>
        <v>2.1</v>
      </c>
      <c r="F120" s="135">
        <f t="shared" si="30"/>
        <v>2.1</v>
      </c>
      <c r="G120" s="135">
        <f t="shared" si="30"/>
        <v>2.1</v>
      </c>
      <c r="H120" s="135">
        <f t="shared" si="30"/>
        <v>2.1</v>
      </c>
      <c r="I120" s="135">
        <f t="shared" si="30"/>
        <v>2.1</v>
      </c>
      <c r="J120" s="135">
        <f t="shared" si="30"/>
        <v>2.1</v>
      </c>
      <c r="K120" s="135">
        <f t="shared" si="30"/>
        <v>2.1</v>
      </c>
      <c r="L120" s="135">
        <f t="shared" si="30"/>
        <v>2.1</v>
      </c>
      <c r="M120" s="135">
        <f t="shared" si="30"/>
        <v>2.1</v>
      </c>
      <c r="N120" s="135">
        <f t="shared" si="30"/>
        <v>2.1</v>
      </c>
      <c r="O120" s="135">
        <f t="shared" si="30"/>
        <v>2.1</v>
      </c>
      <c r="P120" s="135">
        <f t="shared" si="30"/>
        <v>2.1</v>
      </c>
      <c r="Q120" s="135">
        <f t="shared" si="30"/>
        <v>2.1</v>
      </c>
      <c r="R120" s="135">
        <f t="shared" si="30"/>
        <v>2.1</v>
      </c>
      <c r="S120" s="135">
        <f t="shared" si="30"/>
        <v>2.1</v>
      </c>
      <c r="T120" s="135">
        <f t="shared" si="29"/>
        <v>2.1</v>
      </c>
      <c r="U120" s="135">
        <f t="shared" si="29"/>
        <v>2.1</v>
      </c>
      <c r="V120" s="135">
        <f t="shared" si="29"/>
        <v>2.1</v>
      </c>
      <c r="W120" s="135">
        <f t="shared" si="29"/>
        <v>2.1</v>
      </c>
      <c r="X120" s="135">
        <f t="shared" si="29"/>
        <v>2.1</v>
      </c>
      <c r="Y120" s="135">
        <f t="shared" si="29"/>
        <v>2.1</v>
      </c>
      <c r="Z120" s="135">
        <f t="shared" si="29"/>
        <v>2.1</v>
      </c>
      <c r="AA120" s="135">
        <f t="shared" si="29"/>
        <v>2.1</v>
      </c>
      <c r="AB120" s="135">
        <f t="shared" si="29"/>
        <v>2.1</v>
      </c>
      <c r="AC120" s="135">
        <f t="shared" si="29"/>
        <v>2.1</v>
      </c>
      <c r="AD120" s="135">
        <f t="shared" si="29"/>
        <v>2.1</v>
      </c>
      <c r="AE120" s="135">
        <f t="shared" si="29"/>
        <v>2.1</v>
      </c>
      <c r="AF120" s="135">
        <f t="shared" si="29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7"/>
        <v>9.3000000000000007</v>
      </c>
      <c r="C121" s="136">
        <v>9.3000000000000007</v>
      </c>
      <c r="D121" s="135">
        <f t="shared" si="30"/>
        <v>9.3000000000000007</v>
      </c>
      <c r="E121" s="135">
        <f t="shared" si="30"/>
        <v>9.3000000000000007</v>
      </c>
      <c r="F121" s="135">
        <f t="shared" si="30"/>
        <v>9.3000000000000007</v>
      </c>
      <c r="G121" s="135">
        <f t="shared" si="30"/>
        <v>9.3000000000000007</v>
      </c>
      <c r="H121" s="135">
        <f t="shared" si="30"/>
        <v>9.3000000000000007</v>
      </c>
      <c r="I121" s="135">
        <f t="shared" si="30"/>
        <v>9.3000000000000007</v>
      </c>
      <c r="J121" s="135">
        <f t="shared" si="30"/>
        <v>9.3000000000000007</v>
      </c>
      <c r="K121" s="135">
        <f t="shared" si="30"/>
        <v>9.3000000000000007</v>
      </c>
      <c r="L121" s="135">
        <f t="shared" si="30"/>
        <v>9.3000000000000007</v>
      </c>
      <c r="M121" s="135">
        <f t="shared" si="30"/>
        <v>9.3000000000000007</v>
      </c>
      <c r="N121" s="135">
        <f t="shared" si="30"/>
        <v>9.3000000000000007</v>
      </c>
      <c r="O121" s="135">
        <f t="shared" si="30"/>
        <v>9.3000000000000007</v>
      </c>
      <c r="P121" s="135">
        <f t="shared" si="30"/>
        <v>9.3000000000000007</v>
      </c>
      <c r="Q121" s="135">
        <f t="shared" si="30"/>
        <v>9.3000000000000007</v>
      </c>
      <c r="R121" s="135">
        <f t="shared" si="30"/>
        <v>9.3000000000000007</v>
      </c>
      <c r="S121" s="135">
        <f t="shared" si="30"/>
        <v>9.3000000000000007</v>
      </c>
      <c r="T121" s="135">
        <f t="shared" si="29"/>
        <v>9.3000000000000007</v>
      </c>
      <c r="U121" s="135">
        <f t="shared" si="29"/>
        <v>9.3000000000000007</v>
      </c>
      <c r="V121" s="135">
        <f t="shared" si="29"/>
        <v>9.3000000000000007</v>
      </c>
      <c r="W121" s="135">
        <f t="shared" si="29"/>
        <v>9.3000000000000007</v>
      </c>
      <c r="X121" s="135">
        <f t="shared" si="29"/>
        <v>9.3000000000000007</v>
      </c>
      <c r="Y121" s="135">
        <f t="shared" si="29"/>
        <v>9.3000000000000007</v>
      </c>
      <c r="Z121" s="135">
        <f t="shared" si="29"/>
        <v>9.3000000000000007</v>
      </c>
      <c r="AA121" s="135">
        <f t="shared" si="29"/>
        <v>9.3000000000000007</v>
      </c>
      <c r="AB121" s="135">
        <f t="shared" si="29"/>
        <v>9.3000000000000007</v>
      </c>
      <c r="AC121" s="135">
        <f t="shared" si="29"/>
        <v>9.3000000000000007</v>
      </c>
      <c r="AD121" s="135">
        <f t="shared" si="29"/>
        <v>9.3000000000000007</v>
      </c>
      <c r="AE121" s="135">
        <f t="shared" si="29"/>
        <v>9.3000000000000007</v>
      </c>
      <c r="AF121" s="135">
        <f t="shared" si="29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7"/>
        <v>0</v>
      </c>
      <c r="C122" s="136">
        <v>0</v>
      </c>
      <c r="D122" s="135">
        <f t="shared" si="30"/>
        <v>0</v>
      </c>
      <c r="E122" s="135">
        <f t="shared" si="30"/>
        <v>0</v>
      </c>
      <c r="F122" s="135">
        <f t="shared" si="30"/>
        <v>0</v>
      </c>
      <c r="G122" s="135">
        <f t="shared" si="30"/>
        <v>0</v>
      </c>
      <c r="H122" s="135">
        <f t="shared" si="30"/>
        <v>0</v>
      </c>
      <c r="I122" s="135">
        <f t="shared" si="30"/>
        <v>0</v>
      </c>
      <c r="J122" s="135">
        <f t="shared" si="30"/>
        <v>0</v>
      </c>
      <c r="K122" s="135">
        <f t="shared" si="30"/>
        <v>0</v>
      </c>
      <c r="L122" s="135">
        <f t="shared" si="30"/>
        <v>0</v>
      </c>
      <c r="M122" s="135">
        <f t="shared" si="30"/>
        <v>0</v>
      </c>
      <c r="N122" s="135">
        <f t="shared" si="30"/>
        <v>0</v>
      </c>
      <c r="O122" s="135">
        <f t="shared" si="30"/>
        <v>0</v>
      </c>
      <c r="P122" s="135">
        <f t="shared" si="30"/>
        <v>0</v>
      </c>
      <c r="Q122" s="135">
        <f t="shared" si="30"/>
        <v>0</v>
      </c>
      <c r="R122" s="135">
        <f t="shared" si="30"/>
        <v>0</v>
      </c>
      <c r="S122" s="135">
        <f t="shared" si="30"/>
        <v>0</v>
      </c>
      <c r="T122" s="135">
        <f t="shared" si="29"/>
        <v>0</v>
      </c>
      <c r="U122" s="135">
        <f t="shared" si="29"/>
        <v>0</v>
      </c>
      <c r="V122" s="135">
        <f t="shared" si="29"/>
        <v>0</v>
      </c>
      <c r="W122" s="135">
        <f t="shared" si="29"/>
        <v>0</v>
      </c>
      <c r="X122" s="135">
        <f t="shared" si="29"/>
        <v>0</v>
      </c>
      <c r="Y122" s="135">
        <f t="shared" si="29"/>
        <v>0</v>
      </c>
      <c r="Z122" s="135">
        <f t="shared" si="29"/>
        <v>0</v>
      </c>
      <c r="AA122" s="135">
        <f t="shared" si="29"/>
        <v>0</v>
      </c>
      <c r="AB122" s="135">
        <f t="shared" si="29"/>
        <v>0</v>
      </c>
      <c r="AC122" s="135">
        <f t="shared" si="29"/>
        <v>0</v>
      </c>
      <c r="AD122" s="135">
        <f t="shared" si="29"/>
        <v>0</v>
      </c>
      <c r="AE122" s="135">
        <f t="shared" si="29"/>
        <v>0</v>
      </c>
      <c r="AF122" s="135">
        <f t="shared" si="29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7"/>
        <v>0</v>
      </c>
      <c r="C123" s="136">
        <v>0</v>
      </c>
      <c r="D123" s="135">
        <f t="shared" si="30"/>
        <v>0</v>
      </c>
      <c r="E123" s="135">
        <f t="shared" si="30"/>
        <v>0</v>
      </c>
      <c r="F123" s="135">
        <f t="shared" si="30"/>
        <v>0</v>
      </c>
      <c r="G123" s="135">
        <f t="shared" si="30"/>
        <v>0</v>
      </c>
      <c r="H123" s="135">
        <f t="shared" si="30"/>
        <v>0</v>
      </c>
      <c r="I123" s="135">
        <f t="shared" si="30"/>
        <v>0</v>
      </c>
      <c r="J123" s="135">
        <f t="shared" si="30"/>
        <v>0</v>
      </c>
      <c r="K123" s="135">
        <f t="shared" si="30"/>
        <v>0</v>
      </c>
      <c r="L123" s="135">
        <f t="shared" si="30"/>
        <v>0</v>
      </c>
      <c r="M123" s="135">
        <f t="shared" si="30"/>
        <v>0</v>
      </c>
      <c r="N123" s="135">
        <f t="shared" si="30"/>
        <v>0</v>
      </c>
      <c r="O123" s="135">
        <f t="shared" si="30"/>
        <v>0</v>
      </c>
      <c r="P123" s="135">
        <f t="shared" si="30"/>
        <v>0</v>
      </c>
      <c r="Q123" s="135">
        <f t="shared" si="30"/>
        <v>0</v>
      </c>
      <c r="R123" s="135">
        <f t="shared" si="30"/>
        <v>0</v>
      </c>
      <c r="S123" s="135">
        <f t="shared" si="30"/>
        <v>0</v>
      </c>
      <c r="T123" s="135">
        <f t="shared" si="29"/>
        <v>0</v>
      </c>
      <c r="U123" s="135">
        <f t="shared" si="29"/>
        <v>0</v>
      </c>
      <c r="V123" s="135">
        <f t="shared" si="29"/>
        <v>0</v>
      </c>
      <c r="W123" s="135">
        <f t="shared" si="29"/>
        <v>0</v>
      </c>
      <c r="X123" s="135">
        <f t="shared" si="29"/>
        <v>0</v>
      </c>
      <c r="Y123" s="135">
        <f t="shared" si="29"/>
        <v>0</v>
      </c>
      <c r="Z123" s="135">
        <f t="shared" si="29"/>
        <v>0</v>
      </c>
      <c r="AA123" s="135">
        <f t="shared" si="29"/>
        <v>0</v>
      </c>
      <c r="AB123" s="135">
        <f t="shared" si="29"/>
        <v>0</v>
      </c>
      <c r="AC123" s="135">
        <f t="shared" si="29"/>
        <v>0</v>
      </c>
      <c r="AD123" s="135">
        <f t="shared" si="29"/>
        <v>0</v>
      </c>
      <c r="AE123" s="135">
        <f t="shared" si="29"/>
        <v>0</v>
      </c>
      <c r="AF123" s="135">
        <f t="shared" si="29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7"/>
        <v>5</v>
      </c>
      <c r="C124" s="136">
        <v>5</v>
      </c>
      <c r="D124" s="135">
        <f t="shared" si="30"/>
        <v>5</v>
      </c>
      <c r="E124" s="135">
        <f t="shared" si="30"/>
        <v>5</v>
      </c>
      <c r="F124" s="135">
        <f t="shared" si="30"/>
        <v>5</v>
      </c>
      <c r="G124" s="135">
        <f t="shared" si="30"/>
        <v>5</v>
      </c>
      <c r="H124" s="135">
        <f t="shared" si="30"/>
        <v>5</v>
      </c>
      <c r="I124" s="135">
        <f t="shared" si="30"/>
        <v>5</v>
      </c>
      <c r="J124" s="135">
        <f t="shared" si="30"/>
        <v>5</v>
      </c>
      <c r="K124" s="135">
        <f t="shared" si="30"/>
        <v>5</v>
      </c>
      <c r="L124" s="135">
        <f t="shared" si="30"/>
        <v>5</v>
      </c>
      <c r="M124" s="135">
        <f t="shared" si="30"/>
        <v>5</v>
      </c>
      <c r="N124" s="135">
        <f t="shared" si="30"/>
        <v>5</v>
      </c>
      <c r="O124" s="135">
        <f t="shared" si="30"/>
        <v>5</v>
      </c>
      <c r="P124" s="135">
        <f t="shared" si="30"/>
        <v>5</v>
      </c>
      <c r="Q124" s="135">
        <f t="shared" si="30"/>
        <v>5</v>
      </c>
      <c r="R124" s="135">
        <f t="shared" si="30"/>
        <v>5</v>
      </c>
      <c r="S124" s="135">
        <f t="shared" si="30"/>
        <v>5</v>
      </c>
      <c r="T124" s="135">
        <f t="shared" si="29"/>
        <v>5</v>
      </c>
      <c r="U124" s="135">
        <f t="shared" si="29"/>
        <v>5</v>
      </c>
      <c r="V124" s="135">
        <f t="shared" si="29"/>
        <v>5</v>
      </c>
      <c r="W124" s="135">
        <f t="shared" si="29"/>
        <v>5</v>
      </c>
      <c r="X124" s="135">
        <f t="shared" si="29"/>
        <v>5</v>
      </c>
      <c r="Y124" s="135">
        <f t="shared" si="29"/>
        <v>5</v>
      </c>
      <c r="Z124" s="135">
        <f t="shared" si="29"/>
        <v>5</v>
      </c>
      <c r="AA124" s="135">
        <f t="shared" si="29"/>
        <v>5</v>
      </c>
      <c r="AB124" s="135">
        <f t="shared" si="29"/>
        <v>5</v>
      </c>
      <c r="AC124" s="135">
        <f t="shared" si="29"/>
        <v>5</v>
      </c>
      <c r="AD124" s="135">
        <f t="shared" si="29"/>
        <v>5</v>
      </c>
      <c r="AE124" s="135">
        <f t="shared" si="29"/>
        <v>5</v>
      </c>
      <c r="AF124" s="135">
        <f t="shared" si="29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7"/>
        <v>1</v>
      </c>
      <c r="C125" s="136">
        <v>1</v>
      </c>
      <c r="D125" s="135">
        <f t="shared" si="30"/>
        <v>1</v>
      </c>
      <c r="E125" s="135">
        <f t="shared" si="30"/>
        <v>1</v>
      </c>
      <c r="F125" s="135">
        <f t="shared" si="30"/>
        <v>1</v>
      </c>
      <c r="G125" s="135">
        <f t="shared" si="30"/>
        <v>1</v>
      </c>
      <c r="H125" s="135">
        <f t="shared" si="30"/>
        <v>1</v>
      </c>
      <c r="I125" s="135">
        <f t="shared" si="30"/>
        <v>1</v>
      </c>
      <c r="J125" s="135">
        <f t="shared" si="30"/>
        <v>1</v>
      </c>
      <c r="K125" s="135">
        <f t="shared" si="30"/>
        <v>1</v>
      </c>
      <c r="L125" s="135">
        <f t="shared" si="30"/>
        <v>1</v>
      </c>
      <c r="M125" s="135">
        <f t="shared" si="30"/>
        <v>1</v>
      </c>
      <c r="N125" s="135">
        <f t="shared" si="30"/>
        <v>1</v>
      </c>
      <c r="O125" s="135">
        <f t="shared" si="30"/>
        <v>1</v>
      </c>
      <c r="P125" s="135">
        <f t="shared" si="30"/>
        <v>1</v>
      </c>
      <c r="Q125" s="135">
        <f t="shared" si="30"/>
        <v>1</v>
      </c>
      <c r="R125" s="135">
        <f t="shared" si="30"/>
        <v>1</v>
      </c>
      <c r="S125" s="135">
        <f t="shared" si="30"/>
        <v>1</v>
      </c>
      <c r="T125" s="135">
        <f t="shared" si="29"/>
        <v>1</v>
      </c>
      <c r="U125" s="135">
        <f t="shared" si="29"/>
        <v>1</v>
      </c>
      <c r="V125" s="135">
        <f t="shared" si="29"/>
        <v>1</v>
      </c>
      <c r="W125" s="135">
        <f t="shared" si="29"/>
        <v>1</v>
      </c>
      <c r="X125" s="135">
        <f t="shared" si="29"/>
        <v>1</v>
      </c>
      <c r="Y125" s="135">
        <f t="shared" si="29"/>
        <v>1</v>
      </c>
      <c r="Z125" s="135">
        <f t="shared" si="29"/>
        <v>1</v>
      </c>
      <c r="AA125" s="135">
        <f t="shared" si="29"/>
        <v>1</v>
      </c>
      <c r="AB125" s="135">
        <f t="shared" si="29"/>
        <v>1</v>
      </c>
      <c r="AC125" s="135">
        <f t="shared" si="29"/>
        <v>1</v>
      </c>
      <c r="AD125" s="135">
        <f t="shared" si="29"/>
        <v>1</v>
      </c>
      <c r="AE125" s="135">
        <f t="shared" si="29"/>
        <v>1</v>
      </c>
      <c r="AF125" s="135">
        <f t="shared" si="29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7"/>
        <v>1.58</v>
      </c>
      <c r="C126" s="136">
        <v>1.58</v>
      </c>
      <c r="D126" s="135">
        <f t="shared" si="30"/>
        <v>1.58</v>
      </c>
      <c r="E126" s="135">
        <f t="shared" si="30"/>
        <v>1.58</v>
      </c>
      <c r="F126" s="135">
        <f t="shared" si="30"/>
        <v>1.58</v>
      </c>
      <c r="G126" s="135">
        <f t="shared" si="30"/>
        <v>1.58</v>
      </c>
      <c r="H126" s="135">
        <f t="shared" si="30"/>
        <v>1.58</v>
      </c>
      <c r="I126" s="135">
        <f t="shared" si="30"/>
        <v>1.58</v>
      </c>
      <c r="J126" s="135">
        <f t="shared" si="30"/>
        <v>1.58</v>
      </c>
      <c r="K126" s="135">
        <f t="shared" si="30"/>
        <v>1.58</v>
      </c>
      <c r="L126" s="135">
        <f t="shared" si="30"/>
        <v>1.58</v>
      </c>
      <c r="M126" s="135">
        <f t="shared" si="30"/>
        <v>1.58</v>
      </c>
      <c r="N126" s="135">
        <f t="shared" si="30"/>
        <v>1.58</v>
      </c>
      <c r="O126" s="135">
        <f t="shared" si="30"/>
        <v>1.58</v>
      </c>
      <c r="P126" s="135">
        <f t="shared" si="30"/>
        <v>1.58</v>
      </c>
      <c r="Q126" s="135">
        <f t="shared" si="30"/>
        <v>1.58</v>
      </c>
      <c r="R126" s="135">
        <f t="shared" si="30"/>
        <v>1.58</v>
      </c>
      <c r="S126" s="135">
        <f t="shared" si="30"/>
        <v>1.58</v>
      </c>
      <c r="T126" s="135">
        <f t="shared" si="29"/>
        <v>1.58</v>
      </c>
      <c r="U126" s="135">
        <f t="shared" si="29"/>
        <v>1.58</v>
      </c>
      <c r="V126" s="135">
        <f t="shared" si="29"/>
        <v>1.58</v>
      </c>
      <c r="W126" s="135">
        <f t="shared" si="29"/>
        <v>1.58</v>
      </c>
      <c r="X126" s="135">
        <f t="shared" si="29"/>
        <v>1.58</v>
      </c>
      <c r="Y126" s="135">
        <f t="shared" si="29"/>
        <v>1.58</v>
      </c>
      <c r="Z126" s="135">
        <f t="shared" si="29"/>
        <v>1.58</v>
      </c>
      <c r="AA126" s="135">
        <f t="shared" si="29"/>
        <v>1.58</v>
      </c>
      <c r="AB126" s="135">
        <f t="shared" si="29"/>
        <v>1.58</v>
      </c>
      <c r="AC126" s="135">
        <f t="shared" si="29"/>
        <v>1.58</v>
      </c>
      <c r="AD126" s="135">
        <f t="shared" si="29"/>
        <v>1.58</v>
      </c>
      <c r="AE126" s="135">
        <f t="shared" si="29"/>
        <v>1.58</v>
      </c>
      <c r="AF126" s="135">
        <f t="shared" si="29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7"/>
        <v>1.46</v>
      </c>
      <c r="C127" s="136">
        <v>1.46</v>
      </c>
      <c r="D127" s="135">
        <f t="shared" si="30"/>
        <v>1.46</v>
      </c>
      <c r="E127" s="135">
        <f t="shared" si="30"/>
        <v>1.46</v>
      </c>
      <c r="F127" s="135">
        <f t="shared" si="30"/>
        <v>1.46</v>
      </c>
      <c r="G127" s="135">
        <f t="shared" si="30"/>
        <v>1.46</v>
      </c>
      <c r="H127" s="135">
        <f t="shared" si="30"/>
        <v>1.46</v>
      </c>
      <c r="I127" s="135">
        <f t="shared" si="30"/>
        <v>1.46</v>
      </c>
      <c r="J127" s="135">
        <f t="shared" si="30"/>
        <v>1.46</v>
      </c>
      <c r="K127" s="135">
        <f t="shared" si="30"/>
        <v>1.46</v>
      </c>
      <c r="L127" s="135">
        <f t="shared" si="30"/>
        <v>1.46</v>
      </c>
      <c r="M127" s="135">
        <f t="shared" si="30"/>
        <v>1.46</v>
      </c>
      <c r="N127" s="135">
        <f t="shared" si="30"/>
        <v>1.46</v>
      </c>
      <c r="O127" s="135">
        <f t="shared" si="30"/>
        <v>1.46</v>
      </c>
      <c r="P127" s="135">
        <f t="shared" si="30"/>
        <v>1.46</v>
      </c>
      <c r="Q127" s="135">
        <f t="shared" si="30"/>
        <v>1.46</v>
      </c>
      <c r="R127" s="135">
        <f t="shared" si="30"/>
        <v>1.46</v>
      </c>
      <c r="S127" s="135">
        <f t="shared" si="30"/>
        <v>1.46</v>
      </c>
      <c r="T127" s="135">
        <f t="shared" ref="T127:AF128" si="31">S127</f>
        <v>1.46</v>
      </c>
      <c r="U127" s="135">
        <f t="shared" si="31"/>
        <v>1.46</v>
      </c>
      <c r="V127" s="135">
        <f t="shared" si="31"/>
        <v>1.46</v>
      </c>
      <c r="W127" s="135">
        <f t="shared" si="31"/>
        <v>1.46</v>
      </c>
      <c r="X127" s="135">
        <f t="shared" si="31"/>
        <v>1.46</v>
      </c>
      <c r="Y127" s="135">
        <f t="shared" si="31"/>
        <v>1.46</v>
      </c>
      <c r="Z127" s="135">
        <f t="shared" si="31"/>
        <v>1.46</v>
      </c>
      <c r="AA127" s="135">
        <f t="shared" si="31"/>
        <v>1.46</v>
      </c>
      <c r="AB127" s="135">
        <f t="shared" si="31"/>
        <v>1.46</v>
      </c>
      <c r="AC127" s="135">
        <f t="shared" si="31"/>
        <v>1.46</v>
      </c>
      <c r="AD127" s="135">
        <f t="shared" si="31"/>
        <v>1.46</v>
      </c>
      <c r="AE127" s="135">
        <f t="shared" si="31"/>
        <v>1.46</v>
      </c>
      <c r="AF127" s="135">
        <f t="shared" si="31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7"/>
        <v>1.48</v>
      </c>
      <c r="C128" s="136">
        <v>1.48</v>
      </c>
      <c r="D128" s="135">
        <f t="shared" si="30"/>
        <v>1.48</v>
      </c>
      <c r="E128" s="135">
        <f t="shared" si="30"/>
        <v>1.48</v>
      </c>
      <c r="F128" s="135">
        <f t="shared" si="30"/>
        <v>1.48</v>
      </c>
      <c r="G128" s="135">
        <f t="shared" si="30"/>
        <v>1.48</v>
      </c>
      <c r="H128" s="135">
        <f t="shared" si="30"/>
        <v>1.48</v>
      </c>
      <c r="I128" s="135">
        <f t="shared" si="30"/>
        <v>1.48</v>
      </c>
      <c r="J128" s="135">
        <f t="shared" si="30"/>
        <v>1.48</v>
      </c>
      <c r="K128" s="135">
        <f t="shared" si="30"/>
        <v>1.48</v>
      </c>
      <c r="L128" s="135">
        <f t="shared" si="30"/>
        <v>1.48</v>
      </c>
      <c r="M128" s="135">
        <f t="shared" si="30"/>
        <v>1.48</v>
      </c>
      <c r="N128" s="135">
        <f t="shared" si="30"/>
        <v>1.48</v>
      </c>
      <c r="O128" s="135">
        <f t="shared" si="30"/>
        <v>1.48</v>
      </c>
      <c r="P128" s="135">
        <f t="shared" si="30"/>
        <v>1.48</v>
      </c>
      <c r="Q128" s="135">
        <f t="shared" si="30"/>
        <v>1.48</v>
      </c>
      <c r="R128" s="135">
        <f t="shared" si="30"/>
        <v>1.48</v>
      </c>
      <c r="S128" s="135">
        <f t="shared" si="30"/>
        <v>1.48</v>
      </c>
      <c r="T128" s="135">
        <f t="shared" si="31"/>
        <v>1.48</v>
      </c>
      <c r="U128" s="135">
        <f t="shared" si="31"/>
        <v>1.48</v>
      </c>
      <c r="V128" s="135">
        <f t="shared" si="31"/>
        <v>1.48</v>
      </c>
      <c r="W128" s="135">
        <f t="shared" si="31"/>
        <v>1.48</v>
      </c>
      <c r="X128" s="135">
        <f t="shared" si="31"/>
        <v>1.48</v>
      </c>
      <c r="Y128" s="135">
        <f t="shared" si="31"/>
        <v>1.48</v>
      </c>
      <c r="Z128" s="135">
        <f t="shared" si="31"/>
        <v>1.48</v>
      </c>
      <c r="AA128" s="135">
        <f t="shared" si="31"/>
        <v>1.48</v>
      </c>
      <c r="AB128" s="135">
        <f t="shared" si="31"/>
        <v>1.48</v>
      </c>
      <c r="AC128" s="135">
        <f t="shared" si="31"/>
        <v>1.48</v>
      </c>
      <c r="AD128" s="135">
        <f t="shared" si="31"/>
        <v>1.48</v>
      </c>
      <c r="AE128" s="135">
        <f t="shared" si="31"/>
        <v>1.48</v>
      </c>
      <c r="AF128" s="135">
        <f t="shared" si="31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2">AF130</f>
        <v>2.2000000000000002</v>
      </c>
      <c r="C130" s="136">
        <v>2.2000000000000002</v>
      </c>
      <c r="D130" s="135">
        <f t="shared" ref="D130:S137" si="33">C130</f>
        <v>2.2000000000000002</v>
      </c>
      <c r="E130" s="135">
        <f t="shared" si="33"/>
        <v>2.2000000000000002</v>
      </c>
      <c r="F130" s="135">
        <f t="shared" si="33"/>
        <v>2.2000000000000002</v>
      </c>
      <c r="G130" s="135">
        <f t="shared" si="33"/>
        <v>2.2000000000000002</v>
      </c>
      <c r="H130" s="135">
        <f t="shared" si="33"/>
        <v>2.2000000000000002</v>
      </c>
      <c r="I130" s="135">
        <f t="shared" si="33"/>
        <v>2.2000000000000002</v>
      </c>
      <c r="J130" s="135">
        <f t="shared" si="33"/>
        <v>2.2000000000000002</v>
      </c>
      <c r="K130" s="135">
        <f t="shared" si="33"/>
        <v>2.2000000000000002</v>
      </c>
      <c r="L130" s="135">
        <f t="shared" si="33"/>
        <v>2.2000000000000002</v>
      </c>
      <c r="M130" s="135">
        <f t="shared" si="33"/>
        <v>2.2000000000000002</v>
      </c>
      <c r="N130" s="135">
        <f t="shared" si="33"/>
        <v>2.2000000000000002</v>
      </c>
      <c r="O130" s="135">
        <f t="shared" si="33"/>
        <v>2.2000000000000002</v>
      </c>
      <c r="P130" s="135">
        <f t="shared" si="33"/>
        <v>2.2000000000000002</v>
      </c>
      <c r="Q130" s="135">
        <f t="shared" si="33"/>
        <v>2.2000000000000002</v>
      </c>
      <c r="R130" s="135">
        <f t="shared" si="33"/>
        <v>2.2000000000000002</v>
      </c>
      <c r="S130" s="135">
        <f t="shared" si="33"/>
        <v>2.2000000000000002</v>
      </c>
      <c r="T130" s="135">
        <f t="shared" ref="T130:AF137" si="34">S130</f>
        <v>2.2000000000000002</v>
      </c>
      <c r="U130" s="135">
        <f t="shared" si="34"/>
        <v>2.2000000000000002</v>
      </c>
      <c r="V130" s="135">
        <f t="shared" si="34"/>
        <v>2.2000000000000002</v>
      </c>
      <c r="W130" s="135">
        <f t="shared" si="34"/>
        <v>2.2000000000000002</v>
      </c>
      <c r="X130" s="135">
        <f t="shared" si="34"/>
        <v>2.2000000000000002</v>
      </c>
      <c r="Y130" s="135">
        <f t="shared" si="34"/>
        <v>2.2000000000000002</v>
      </c>
      <c r="Z130" s="135">
        <f t="shared" si="34"/>
        <v>2.2000000000000002</v>
      </c>
      <c r="AA130" s="135">
        <f t="shared" si="34"/>
        <v>2.2000000000000002</v>
      </c>
      <c r="AB130" s="135">
        <f t="shared" si="34"/>
        <v>2.2000000000000002</v>
      </c>
      <c r="AC130" s="135">
        <f t="shared" si="34"/>
        <v>2.2000000000000002</v>
      </c>
      <c r="AD130" s="135">
        <f t="shared" si="34"/>
        <v>2.2000000000000002</v>
      </c>
      <c r="AE130" s="135">
        <f t="shared" si="34"/>
        <v>2.2000000000000002</v>
      </c>
      <c r="AF130" s="135">
        <f t="shared" si="34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2"/>
        <v>2</v>
      </c>
      <c r="C131" s="136">
        <v>2</v>
      </c>
      <c r="D131" s="135">
        <f t="shared" si="33"/>
        <v>2</v>
      </c>
      <c r="E131" s="135">
        <f t="shared" si="33"/>
        <v>2</v>
      </c>
      <c r="F131" s="135">
        <f t="shared" si="33"/>
        <v>2</v>
      </c>
      <c r="G131" s="135">
        <f t="shared" si="33"/>
        <v>2</v>
      </c>
      <c r="H131" s="135">
        <f t="shared" si="33"/>
        <v>2</v>
      </c>
      <c r="I131" s="135">
        <f t="shared" si="33"/>
        <v>2</v>
      </c>
      <c r="J131" s="135">
        <f t="shared" si="33"/>
        <v>2</v>
      </c>
      <c r="K131" s="135">
        <f t="shared" si="33"/>
        <v>2</v>
      </c>
      <c r="L131" s="135">
        <f t="shared" si="33"/>
        <v>2</v>
      </c>
      <c r="M131" s="135">
        <f t="shared" si="33"/>
        <v>2</v>
      </c>
      <c r="N131" s="135">
        <f t="shared" si="33"/>
        <v>2</v>
      </c>
      <c r="O131" s="135">
        <f t="shared" si="33"/>
        <v>2</v>
      </c>
      <c r="P131" s="135">
        <f t="shared" si="33"/>
        <v>2</v>
      </c>
      <c r="Q131" s="135">
        <f t="shared" si="33"/>
        <v>2</v>
      </c>
      <c r="R131" s="135">
        <f t="shared" si="33"/>
        <v>2</v>
      </c>
      <c r="S131" s="135">
        <f t="shared" si="33"/>
        <v>2</v>
      </c>
      <c r="T131" s="135">
        <f t="shared" si="34"/>
        <v>2</v>
      </c>
      <c r="U131" s="135">
        <f t="shared" si="34"/>
        <v>2</v>
      </c>
      <c r="V131" s="135">
        <f t="shared" si="34"/>
        <v>2</v>
      </c>
      <c r="W131" s="135">
        <f t="shared" si="34"/>
        <v>2</v>
      </c>
      <c r="X131" s="135">
        <f t="shared" si="34"/>
        <v>2</v>
      </c>
      <c r="Y131" s="135">
        <f t="shared" si="34"/>
        <v>2</v>
      </c>
      <c r="Z131" s="135">
        <f t="shared" si="34"/>
        <v>2</v>
      </c>
      <c r="AA131" s="135">
        <f t="shared" si="34"/>
        <v>2</v>
      </c>
      <c r="AB131" s="135">
        <f t="shared" si="34"/>
        <v>2</v>
      </c>
      <c r="AC131" s="135">
        <f t="shared" si="34"/>
        <v>2</v>
      </c>
      <c r="AD131" s="135">
        <f t="shared" si="34"/>
        <v>2</v>
      </c>
      <c r="AE131" s="135">
        <f t="shared" si="34"/>
        <v>2</v>
      </c>
      <c r="AF131" s="135">
        <f t="shared" si="34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2"/>
        <v>1.25</v>
      </c>
      <c r="C132" s="136">
        <v>1.25</v>
      </c>
      <c r="D132" s="135">
        <f t="shared" si="33"/>
        <v>1.25</v>
      </c>
      <c r="E132" s="135">
        <f t="shared" si="33"/>
        <v>1.25</v>
      </c>
      <c r="F132" s="135">
        <f t="shared" si="33"/>
        <v>1.25</v>
      </c>
      <c r="G132" s="135">
        <f t="shared" si="33"/>
        <v>1.25</v>
      </c>
      <c r="H132" s="135">
        <f t="shared" si="33"/>
        <v>1.25</v>
      </c>
      <c r="I132" s="135">
        <f t="shared" si="33"/>
        <v>1.25</v>
      </c>
      <c r="J132" s="135">
        <f t="shared" si="33"/>
        <v>1.25</v>
      </c>
      <c r="K132" s="135">
        <f t="shared" si="33"/>
        <v>1.25</v>
      </c>
      <c r="L132" s="135">
        <f t="shared" si="33"/>
        <v>1.25</v>
      </c>
      <c r="M132" s="135">
        <f t="shared" si="33"/>
        <v>1.25</v>
      </c>
      <c r="N132" s="135">
        <f t="shared" si="33"/>
        <v>1.25</v>
      </c>
      <c r="O132" s="135">
        <f t="shared" si="33"/>
        <v>1.25</v>
      </c>
      <c r="P132" s="135">
        <f t="shared" si="33"/>
        <v>1.25</v>
      </c>
      <c r="Q132" s="135">
        <f t="shared" si="33"/>
        <v>1.25</v>
      </c>
      <c r="R132" s="135">
        <f t="shared" si="33"/>
        <v>1.25</v>
      </c>
      <c r="S132" s="135">
        <f t="shared" si="33"/>
        <v>1.25</v>
      </c>
      <c r="T132" s="135">
        <f t="shared" si="34"/>
        <v>1.25</v>
      </c>
      <c r="U132" s="135">
        <f t="shared" si="34"/>
        <v>1.25</v>
      </c>
      <c r="V132" s="135">
        <f t="shared" si="34"/>
        <v>1.25</v>
      </c>
      <c r="W132" s="135">
        <f t="shared" si="34"/>
        <v>1.25</v>
      </c>
      <c r="X132" s="135">
        <f t="shared" si="34"/>
        <v>1.25</v>
      </c>
      <c r="Y132" s="135">
        <f t="shared" si="34"/>
        <v>1.25</v>
      </c>
      <c r="Z132" s="135">
        <f t="shared" si="34"/>
        <v>1.25</v>
      </c>
      <c r="AA132" s="135">
        <f t="shared" si="34"/>
        <v>1.25</v>
      </c>
      <c r="AB132" s="135">
        <f t="shared" si="34"/>
        <v>1.25</v>
      </c>
      <c r="AC132" s="135">
        <f t="shared" si="34"/>
        <v>1.25</v>
      </c>
      <c r="AD132" s="135">
        <f t="shared" si="34"/>
        <v>1.25</v>
      </c>
      <c r="AE132" s="135">
        <f t="shared" si="34"/>
        <v>1.25</v>
      </c>
      <c r="AF132" s="135">
        <f t="shared" si="34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2"/>
        <v>1.1499999999999999</v>
      </c>
      <c r="C133" s="136">
        <v>1.1499999999999999</v>
      </c>
      <c r="D133" s="135">
        <f t="shared" si="33"/>
        <v>1.1499999999999999</v>
      </c>
      <c r="E133" s="135">
        <f t="shared" si="33"/>
        <v>1.1499999999999999</v>
      </c>
      <c r="F133" s="135">
        <f t="shared" si="33"/>
        <v>1.1499999999999999</v>
      </c>
      <c r="G133" s="135">
        <f t="shared" si="33"/>
        <v>1.1499999999999999</v>
      </c>
      <c r="H133" s="135">
        <f t="shared" si="33"/>
        <v>1.1499999999999999</v>
      </c>
      <c r="I133" s="135">
        <f t="shared" si="33"/>
        <v>1.1499999999999999</v>
      </c>
      <c r="J133" s="135">
        <f t="shared" si="33"/>
        <v>1.1499999999999999</v>
      </c>
      <c r="K133" s="135">
        <f t="shared" si="33"/>
        <v>1.1499999999999999</v>
      </c>
      <c r="L133" s="135">
        <f t="shared" si="33"/>
        <v>1.1499999999999999</v>
      </c>
      <c r="M133" s="135">
        <f t="shared" si="33"/>
        <v>1.1499999999999999</v>
      </c>
      <c r="N133" s="135">
        <f t="shared" si="33"/>
        <v>1.1499999999999999</v>
      </c>
      <c r="O133" s="135">
        <f t="shared" si="33"/>
        <v>1.1499999999999999</v>
      </c>
      <c r="P133" s="135">
        <f t="shared" si="33"/>
        <v>1.1499999999999999</v>
      </c>
      <c r="Q133" s="135">
        <f t="shared" si="33"/>
        <v>1.1499999999999999</v>
      </c>
      <c r="R133" s="135">
        <f t="shared" si="33"/>
        <v>1.1499999999999999</v>
      </c>
      <c r="S133" s="135">
        <f t="shared" si="33"/>
        <v>1.1499999999999999</v>
      </c>
      <c r="T133" s="135">
        <f t="shared" si="34"/>
        <v>1.1499999999999999</v>
      </c>
      <c r="U133" s="135">
        <f t="shared" si="34"/>
        <v>1.1499999999999999</v>
      </c>
      <c r="V133" s="135">
        <f t="shared" si="34"/>
        <v>1.1499999999999999</v>
      </c>
      <c r="W133" s="135">
        <f t="shared" si="34"/>
        <v>1.1499999999999999</v>
      </c>
      <c r="X133" s="135">
        <f t="shared" si="34"/>
        <v>1.1499999999999999</v>
      </c>
      <c r="Y133" s="135">
        <f t="shared" si="34"/>
        <v>1.1499999999999999</v>
      </c>
      <c r="Z133" s="135">
        <f t="shared" si="34"/>
        <v>1.1499999999999999</v>
      </c>
      <c r="AA133" s="135">
        <f t="shared" si="34"/>
        <v>1.1499999999999999</v>
      </c>
      <c r="AB133" s="135">
        <f t="shared" si="34"/>
        <v>1.1499999999999999</v>
      </c>
      <c r="AC133" s="135">
        <f t="shared" si="34"/>
        <v>1.1499999999999999</v>
      </c>
      <c r="AD133" s="135">
        <f t="shared" si="34"/>
        <v>1.1499999999999999</v>
      </c>
      <c r="AE133" s="135">
        <f t="shared" si="34"/>
        <v>1.1499999999999999</v>
      </c>
      <c r="AF133" s="135">
        <f t="shared" si="34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2"/>
        <v>2.133</v>
      </c>
      <c r="C134" s="136">
        <v>2.133</v>
      </c>
      <c r="D134" s="135">
        <f t="shared" si="33"/>
        <v>2.133</v>
      </c>
      <c r="E134" s="135">
        <f t="shared" si="33"/>
        <v>2.133</v>
      </c>
      <c r="F134" s="135">
        <f t="shared" si="33"/>
        <v>2.133</v>
      </c>
      <c r="G134" s="135">
        <f t="shared" si="33"/>
        <v>2.133</v>
      </c>
      <c r="H134" s="135">
        <f t="shared" si="33"/>
        <v>2.133</v>
      </c>
      <c r="I134" s="135">
        <f t="shared" si="33"/>
        <v>2.133</v>
      </c>
      <c r="J134" s="135">
        <f t="shared" si="33"/>
        <v>2.133</v>
      </c>
      <c r="K134" s="135">
        <f t="shared" si="33"/>
        <v>2.133</v>
      </c>
      <c r="L134" s="135">
        <f t="shared" si="33"/>
        <v>2.133</v>
      </c>
      <c r="M134" s="135">
        <f t="shared" si="33"/>
        <v>2.133</v>
      </c>
      <c r="N134" s="135">
        <f t="shared" si="33"/>
        <v>2.133</v>
      </c>
      <c r="O134" s="135">
        <f t="shared" si="33"/>
        <v>2.133</v>
      </c>
      <c r="P134" s="135">
        <f t="shared" si="33"/>
        <v>2.133</v>
      </c>
      <c r="Q134" s="135">
        <f t="shared" si="33"/>
        <v>2.133</v>
      </c>
      <c r="R134" s="135">
        <f t="shared" si="33"/>
        <v>2.133</v>
      </c>
      <c r="S134" s="135">
        <f t="shared" si="33"/>
        <v>2.133</v>
      </c>
      <c r="T134" s="135">
        <f t="shared" si="34"/>
        <v>2.133</v>
      </c>
      <c r="U134" s="135">
        <f t="shared" si="34"/>
        <v>2.133</v>
      </c>
      <c r="V134" s="135">
        <f t="shared" si="34"/>
        <v>2.133</v>
      </c>
      <c r="W134" s="135">
        <f t="shared" si="34"/>
        <v>2.133</v>
      </c>
      <c r="X134" s="135">
        <f t="shared" si="34"/>
        <v>2.133</v>
      </c>
      <c r="Y134" s="135">
        <f t="shared" si="34"/>
        <v>2.133</v>
      </c>
      <c r="Z134" s="135">
        <f t="shared" si="34"/>
        <v>2.133</v>
      </c>
      <c r="AA134" s="135">
        <f t="shared" si="34"/>
        <v>2.133</v>
      </c>
      <c r="AB134" s="135">
        <f t="shared" si="34"/>
        <v>2.133</v>
      </c>
      <c r="AC134" s="135">
        <f t="shared" si="34"/>
        <v>2.133</v>
      </c>
      <c r="AD134" s="135">
        <f t="shared" si="34"/>
        <v>2.133</v>
      </c>
      <c r="AE134" s="135">
        <f t="shared" si="34"/>
        <v>2.133</v>
      </c>
      <c r="AF134" s="135">
        <f t="shared" si="34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2"/>
        <v>2.09</v>
      </c>
      <c r="C135" s="136">
        <v>2.09</v>
      </c>
      <c r="D135" s="135">
        <f t="shared" si="33"/>
        <v>2.09</v>
      </c>
      <c r="E135" s="135">
        <f t="shared" si="33"/>
        <v>2.09</v>
      </c>
      <c r="F135" s="135">
        <f t="shared" si="33"/>
        <v>2.09</v>
      </c>
      <c r="G135" s="135">
        <f t="shared" si="33"/>
        <v>2.09</v>
      </c>
      <c r="H135" s="135">
        <f t="shared" si="33"/>
        <v>2.09</v>
      </c>
      <c r="I135" s="135">
        <f t="shared" si="33"/>
        <v>2.09</v>
      </c>
      <c r="J135" s="135">
        <f t="shared" si="33"/>
        <v>2.09</v>
      </c>
      <c r="K135" s="135">
        <f t="shared" si="33"/>
        <v>2.09</v>
      </c>
      <c r="L135" s="135">
        <f t="shared" si="33"/>
        <v>2.09</v>
      </c>
      <c r="M135" s="135">
        <f t="shared" si="33"/>
        <v>2.09</v>
      </c>
      <c r="N135" s="135">
        <f t="shared" si="33"/>
        <v>2.09</v>
      </c>
      <c r="O135" s="135">
        <f t="shared" si="33"/>
        <v>2.09</v>
      </c>
      <c r="P135" s="135">
        <f t="shared" si="33"/>
        <v>2.09</v>
      </c>
      <c r="Q135" s="135">
        <f t="shared" si="33"/>
        <v>2.09</v>
      </c>
      <c r="R135" s="135">
        <f t="shared" si="33"/>
        <v>2.09</v>
      </c>
      <c r="S135" s="135">
        <f t="shared" si="33"/>
        <v>2.09</v>
      </c>
      <c r="T135" s="135">
        <f t="shared" si="34"/>
        <v>2.09</v>
      </c>
      <c r="U135" s="135">
        <f t="shared" si="34"/>
        <v>2.09</v>
      </c>
      <c r="V135" s="135">
        <f t="shared" si="34"/>
        <v>2.09</v>
      </c>
      <c r="W135" s="135">
        <f t="shared" si="34"/>
        <v>2.09</v>
      </c>
      <c r="X135" s="135">
        <f t="shared" si="34"/>
        <v>2.09</v>
      </c>
      <c r="Y135" s="135">
        <f t="shared" si="34"/>
        <v>2.09</v>
      </c>
      <c r="Z135" s="135">
        <f t="shared" si="34"/>
        <v>2.09</v>
      </c>
      <c r="AA135" s="135">
        <f t="shared" si="34"/>
        <v>2.09</v>
      </c>
      <c r="AB135" s="135">
        <f t="shared" si="34"/>
        <v>2.09</v>
      </c>
      <c r="AC135" s="135">
        <f t="shared" si="34"/>
        <v>2.09</v>
      </c>
      <c r="AD135" s="135">
        <f t="shared" si="34"/>
        <v>2.09</v>
      </c>
      <c r="AE135" s="135">
        <f t="shared" si="34"/>
        <v>2.09</v>
      </c>
      <c r="AF135" s="135">
        <f t="shared" si="34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2"/>
        <v>1.1399999999999999</v>
      </c>
      <c r="C136" s="136">
        <v>1.1399999999999999</v>
      </c>
      <c r="D136" s="135">
        <f t="shared" si="33"/>
        <v>1.1399999999999999</v>
      </c>
      <c r="E136" s="135">
        <f t="shared" si="33"/>
        <v>1.1399999999999999</v>
      </c>
      <c r="F136" s="135">
        <f t="shared" si="33"/>
        <v>1.1399999999999999</v>
      </c>
      <c r="G136" s="135">
        <f t="shared" si="33"/>
        <v>1.1399999999999999</v>
      </c>
      <c r="H136" s="135">
        <f t="shared" si="33"/>
        <v>1.1399999999999999</v>
      </c>
      <c r="I136" s="135">
        <f t="shared" si="33"/>
        <v>1.1399999999999999</v>
      </c>
      <c r="J136" s="135">
        <f t="shared" si="33"/>
        <v>1.1399999999999999</v>
      </c>
      <c r="K136" s="135">
        <f t="shared" si="33"/>
        <v>1.1399999999999999</v>
      </c>
      <c r="L136" s="135">
        <f t="shared" si="33"/>
        <v>1.1399999999999999</v>
      </c>
      <c r="M136" s="135">
        <f t="shared" si="33"/>
        <v>1.1399999999999999</v>
      </c>
      <c r="N136" s="135">
        <f t="shared" si="33"/>
        <v>1.1399999999999999</v>
      </c>
      <c r="O136" s="135">
        <f t="shared" si="33"/>
        <v>1.1399999999999999</v>
      </c>
      <c r="P136" s="135">
        <f t="shared" si="33"/>
        <v>1.1399999999999999</v>
      </c>
      <c r="Q136" s="135">
        <f t="shared" si="33"/>
        <v>1.1399999999999999</v>
      </c>
      <c r="R136" s="135">
        <f t="shared" si="33"/>
        <v>1.1399999999999999</v>
      </c>
      <c r="S136" s="135">
        <f t="shared" si="33"/>
        <v>1.1399999999999999</v>
      </c>
      <c r="T136" s="135">
        <f t="shared" si="34"/>
        <v>1.1399999999999999</v>
      </c>
      <c r="U136" s="135">
        <f t="shared" si="34"/>
        <v>1.1399999999999999</v>
      </c>
      <c r="V136" s="135">
        <f t="shared" si="34"/>
        <v>1.1399999999999999</v>
      </c>
      <c r="W136" s="135">
        <f t="shared" si="34"/>
        <v>1.1399999999999999</v>
      </c>
      <c r="X136" s="135">
        <f t="shared" si="34"/>
        <v>1.1399999999999999</v>
      </c>
      <c r="Y136" s="135">
        <f t="shared" si="34"/>
        <v>1.1399999999999999</v>
      </c>
      <c r="Z136" s="135">
        <f t="shared" si="34"/>
        <v>1.1399999999999999</v>
      </c>
      <c r="AA136" s="135">
        <f t="shared" si="34"/>
        <v>1.1399999999999999</v>
      </c>
      <c r="AB136" s="135">
        <f t="shared" si="34"/>
        <v>1.1399999999999999</v>
      </c>
      <c r="AC136" s="135">
        <f t="shared" si="34"/>
        <v>1.1399999999999999</v>
      </c>
      <c r="AD136" s="135">
        <f t="shared" si="34"/>
        <v>1.1399999999999999</v>
      </c>
      <c r="AE136" s="135">
        <f t="shared" si="34"/>
        <v>1.1399999999999999</v>
      </c>
      <c r="AF136" s="135">
        <f t="shared" si="34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2"/>
        <v>0.82</v>
      </c>
      <c r="C137" s="136">
        <v>0.82</v>
      </c>
      <c r="D137" s="135">
        <f t="shared" si="33"/>
        <v>0.82</v>
      </c>
      <c r="E137" s="135">
        <f t="shared" si="33"/>
        <v>0.82</v>
      </c>
      <c r="F137" s="135">
        <f t="shared" si="33"/>
        <v>0.82</v>
      </c>
      <c r="G137" s="135">
        <f t="shared" si="33"/>
        <v>0.82</v>
      </c>
      <c r="H137" s="135">
        <f t="shared" si="33"/>
        <v>0.82</v>
      </c>
      <c r="I137" s="135">
        <f t="shared" si="33"/>
        <v>0.82</v>
      </c>
      <c r="J137" s="135">
        <f t="shared" si="33"/>
        <v>0.82</v>
      </c>
      <c r="K137" s="135">
        <f t="shared" si="33"/>
        <v>0.82</v>
      </c>
      <c r="L137" s="135">
        <f t="shared" si="33"/>
        <v>0.82</v>
      </c>
      <c r="M137" s="135">
        <f t="shared" si="33"/>
        <v>0.82</v>
      </c>
      <c r="N137" s="135">
        <f t="shared" si="33"/>
        <v>0.82</v>
      </c>
      <c r="O137" s="135">
        <f t="shared" si="33"/>
        <v>0.82</v>
      </c>
      <c r="P137" s="135">
        <f t="shared" si="33"/>
        <v>0.82</v>
      </c>
      <c r="Q137" s="135">
        <f t="shared" si="33"/>
        <v>0.82</v>
      </c>
      <c r="R137" s="135">
        <f t="shared" si="33"/>
        <v>0.82</v>
      </c>
      <c r="S137" s="135">
        <f t="shared" si="33"/>
        <v>0.82</v>
      </c>
      <c r="T137" s="135">
        <f t="shared" si="34"/>
        <v>0.82</v>
      </c>
      <c r="U137" s="135">
        <f t="shared" si="34"/>
        <v>0.82</v>
      </c>
      <c r="V137" s="135">
        <f t="shared" si="34"/>
        <v>0.82</v>
      </c>
      <c r="W137" s="135">
        <f t="shared" si="34"/>
        <v>0.82</v>
      </c>
      <c r="X137" s="135">
        <f t="shared" si="34"/>
        <v>0.82</v>
      </c>
      <c r="Y137" s="135">
        <f t="shared" si="34"/>
        <v>0.82</v>
      </c>
      <c r="Z137" s="135">
        <f t="shared" si="34"/>
        <v>0.82</v>
      </c>
      <c r="AA137" s="135">
        <f t="shared" si="34"/>
        <v>0.82</v>
      </c>
      <c r="AB137" s="135">
        <f t="shared" si="34"/>
        <v>0.82</v>
      </c>
      <c r="AC137" s="135">
        <f t="shared" si="34"/>
        <v>0.82</v>
      </c>
      <c r="AD137" s="135">
        <f t="shared" si="34"/>
        <v>0.82</v>
      </c>
      <c r="AE137" s="135">
        <f t="shared" si="34"/>
        <v>0.82</v>
      </c>
      <c r="AF137" s="135">
        <f t="shared" si="34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5">AF139</f>
        <v>2</v>
      </c>
      <c r="C139" s="136">
        <v>2</v>
      </c>
      <c r="D139" s="135">
        <f t="shared" ref="D139:S145" si="36">C139</f>
        <v>2</v>
      </c>
      <c r="E139" s="135">
        <f t="shared" si="36"/>
        <v>2</v>
      </c>
      <c r="F139" s="135">
        <f t="shared" si="36"/>
        <v>2</v>
      </c>
      <c r="G139" s="135">
        <f t="shared" si="36"/>
        <v>2</v>
      </c>
      <c r="H139" s="135">
        <f t="shared" si="36"/>
        <v>2</v>
      </c>
      <c r="I139" s="135">
        <f t="shared" si="36"/>
        <v>2</v>
      </c>
      <c r="J139" s="135">
        <f t="shared" si="36"/>
        <v>2</v>
      </c>
      <c r="K139" s="135">
        <f t="shared" si="36"/>
        <v>2</v>
      </c>
      <c r="L139" s="135">
        <f t="shared" si="36"/>
        <v>2</v>
      </c>
      <c r="M139" s="135">
        <f t="shared" si="36"/>
        <v>2</v>
      </c>
      <c r="N139" s="135">
        <f t="shared" si="36"/>
        <v>2</v>
      </c>
      <c r="O139" s="135">
        <f t="shared" si="36"/>
        <v>2</v>
      </c>
      <c r="P139" s="135">
        <f t="shared" si="36"/>
        <v>2</v>
      </c>
      <c r="Q139" s="135">
        <f t="shared" si="36"/>
        <v>2</v>
      </c>
      <c r="R139" s="135">
        <f t="shared" si="36"/>
        <v>2</v>
      </c>
      <c r="S139" s="135">
        <f t="shared" si="36"/>
        <v>2</v>
      </c>
      <c r="T139" s="135">
        <f t="shared" ref="T139:AF145" si="37">S139</f>
        <v>2</v>
      </c>
      <c r="U139" s="135">
        <f t="shared" si="37"/>
        <v>2</v>
      </c>
      <c r="V139" s="135">
        <f t="shared" si="37"/>
        <v>2</v>
      </c>
      <c r="W139" s="135">
        <f t="shared" si="37"/>
        <v>2</v>
      </c>
      <c r="X139" s="135">
        <f t="shared" si="37"/>
        <v>2</v>
      </c>
      <c r="Y139" s="135">
        <f t="shared" si="37"/>
        <v>2</v>
      </c>
      <c r="Z139" s="135">
        <f t="shared" si="37"/>
        <v>2</v>
      </c>
      <c r="AA139" s="135">
        <f t="shared" si="37"/>
        <v>2</v>
      </c>
      <c r="AB139" s="135">
        <f t="shared" si="37"/>
        <v>2</v>
      </c>
      <c r="AC139" s="135">
        <f t="shared" si="37"/>
        <v>2</v>
      </c>
      <c r="AD139" s="135">
        <f t="shared" si="37"/>
        <v>2</v>
      </c>
      <c r="AE139" s="135">
        <f t="shared" si="37"/>
        <v>2</v>
      </c>
      <c r="AF139" s="135">
        <f t="shared" si="37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5"/>
        <v>5.61</v>
      </c>
      <c r="C140" s="136">
        <v>5.61</v>
      </c>
      <c r="D140" s="135">
        <f t="shared" si="36"/>
        <v>5.61</v>
      </c>
      <c r="E140" s="135">
        <f t="shared" si="36"/>
        <v>5.61</v>
      </c>
      <c r="F140" s="135">
        <f t="shared" si="36"/>
        <v>5.61</v>
      </c>
      <c r="G140" s="135">
        <f t="shared" si="36"/>
        <v>5.61</v>
      </c>
      <c r="H140" s="135">
        <f t="shared" si="36"/>
        <v>5.61</v>
      </c>
      <c r="I140" s="135">
        <f t="shared" si="36"/>
        <v>5.61</v>
      </c>
      <c r="J140" s="135">
        <f t="shared" si="36"/>
        <v>5.61</v>
      </c>
      <c r="K140" s="135">
        <f t="shared" si="36"/>
        <v>5.61</v>
      </c>
      <c r="L140" s="135">
        <f t="shared" si="36"/>
        <v>5.61</v>
      </c>
      <c r="M140" s="135">
        <f t="shared" si="36"/>
        <v>5.61</v>
      </c>
      <c r="N140" s="135">
        <f t="shared" si="36"/>
        <v>5.61</v>
      </c>
      <c r="O140" s="135">
        <f t="shared" si="36"/>
        <v>5.61</v>
      </c>
      <c r="P140" s="135">
        <f t="shared" si="36"/>
        <v>5.61</v>
      </c>
      <c r="Q140" s="135">
        <f t="shared" si="36"/>
        <v>5.61</v>
      </c>
      <c r="R140" s="135">
        <f t="shared" si="36"/>
        <v>5.61</v>
      </c>
      <c r="S140" s="135">
        <f t="shared" si="36"/>
        <v>5.61</v>
      </c>
      <c r="T140" s="135">
        <f t="shared" si="37"/>
        <v>5.61</v>
      </c>
      <c r="U140" s="135">
        <f t="shared" si="37"/>
        <v>5.61</v>
      </c>
      <c r="V140" s="135">
        <f t="shared" si="37"/>
        <v>5.61</v>
      </c>
      <c r="W140" s="135">
        <f t="shared" si="37"/>
        <v>5.61</v>
      </c>
      <c r="X140" s="135">
        <f t="shared" si="37"/>
        <v>5.61</v>
      </c>
      <c r="Y140" s="135">
        <f t="shared" si="37"/>
        <v>5.61</v>
      </c>
      <c r="Z140" s="135">
        <f t="shared" si="37"/>
        <v>5.61</v>
      </c>
      <c r="AA140" s="135">
        <f t="shared" si="37"/>
        <v>5.61</v>
      </c>
      <c r="AB140" s="135">
        <f t="shared" si="37"/>
        <v>5.61</v>
      </c>
      <c r="AC140" s="135">
        <f t="shared" si="37"/>
        <v>5.61</v>
      </c>
      <c r="AD140" s="135">
        <f t="shared" si="37"/>
        <v>5.61</v>
      </c>
      <c r="AE140" s="135">
        <f t="shared" si="37"/>
        <v>5.61</v>
      </c>
      <c r="AF140" s="135">
        <f t="shared" si="37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5"/>
        <v>1.25</v>
      </c>
      <c r="C141" s="136">
        <v>1.25</v>
      </c>
      <c r="D141" s="135">
        <f t="shared" si="36"/>
        <v>1.25</v>
      </c>
      <c r="E141" s="135">
        <f t="shared" si="36"/>
        <v>1.25</v>
      </c>
      <c r="F141" s="135">
        <f t="shared" si="36"/>
        <v>1.25</v>
      </c>
      <c r="G141" s="135">
        <f t="shared" si="36"/>
        <v>1.25</v>
      </c>
      <c r="H141" s="135">
        <f t="shared" si="36"/>
        <v>1.25</v>
      </c>
      <c r="I141" s="135">
        <f t="shared" si="36"/>
        <v>1.25</v>
      </c>
      <c r="J141" s="135">
        <f t="shared" si="36"/>
        <v>1.25</v>
      </c>
      <c r="K141" s="135">
        <f t="shared" si="36"/>
        <v>1.25</v>
      </c>
      <c r="L141" s="135">
        <f t="shared" si="36"/>
        <v>1.25</v>
      </c>
      <c r="M141" s="135">
        <f t="shared" si="36"/>
        <v>1.25</v>
      </c>
      <c r="N141" s="135">
        <f t="shared" si="36"/>
        <v>1.25</v>
      </c>
      <c r="O141" s="135">
        <f t="shared" si="36"/>
        <v>1.25</v>
      </c>
      <c r="P141" s="135">
        <f t="shared" si="36"/>
        <v>1.25</v>
      </c>
      <c r="Q141" s="135">
        <f t="shared" si="36"/>
        <v>1.25</v>
      </c>
      <c r="R141" s="135">
        <f t="shared" si="36"/>
        <v>1.25</v>
      </c>
      <c r="S141" s="135">
        <f t="shared" si="36"/>
        <v>1.25</v>
      </c>
      <c r="T141" s="135">
        <f t="shared" si="37"/>
        <v>1.25</v>
      </c>
      <c r="U141" s="135">
        <f t="shared" si="37"/>
        <v>1.25</v>
      </c>
      <c r="V141" s="135">
        <f t="shared" si="37"/>
        <v>1.25</v>
      </c>
      <c r="W141" s="135">
        <f t="shared" si="37"/>
        <v>1.25</v>
      </c>
      <c r="X141" s="135">
        <f t="shared" si="37"/>
        <v>1.25</v>
      </c>
      <c r="Y141" s="135">
        <f t="shared" si="37"/>
        <v>1.25</v>
      </c>
      <c r="Z141" s="135">
        <f t="shared" si="37"/>
        <v>1.25</v>
      </c>
      <c r="AA141" s="135">
        <f t="shared" si="37"/>
        <v>1.25</v>
      </c>
      <c r="AB141" s="135">
        <f t="shared" si="37"/>
        <v>1.25</v>
      </c>
      <c r="AC141" s="135">
        <f t="shared" si="37"/>
        <v>1.25</v>
      </c>
      <c r="AD141" s="135">
        <f t="shared" si="37"/>
        <v>1.25</v>
      </c>
      <c r="AE141" s="135">
        <f t="shared" si="37"/>
        <v>1.25</v>
      </c>
      <c r="AF141" s="135">
        <f t="shared" si="37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5"/>
        <v>1.25</v>
      </c>
      <c r="C142" s="136">
        <v>1.25</v>
      </c>
      <c r="D142" s="135">
        <f t="shared" si="36"/>
        <v>1.25</v>
      </c>
      <c r="E142" s="135">
        <f t="shared" si="36"/>
        <v>1.25</v>
      </c>
      <c r="F142" s="135">
        <f t="shared" si="36"/>
        <v>1.25</v>
      </c>
      <c r="G142" s="135">
        <f t="shared" si="36"/>
        <v>1.25</v>
      </c>
      <c r="H142" s="135">
        <f t="shared" si="36"/>
        <v>1.25</v>
      </c>
      <c r="I142" s="135">
        <f t="shared" si="36"/>
        <v>1.25</v>
      </c>
      <c r="J142" s="135">
        <f t="shared" si="36"/>
        <v>1.25</v>
      </c>
      <c r="K142" s="135">
        <f t="shared" si="36"/>
        <v>1.25</v>
      </c>
      <c r="L142" s="135">
        <f t="shared" si="36"/>
        <v>1.25</v>
      </c>
      <c r="M142" s="135">
        <f t="shared" si="36"/>
        <v>1.25</v>
      </c>
      <c r="N142" s="135">
        <f t="shared" si="36"/>
        <v>1.25</v>
      </c>
      <c r="O142" s="135">
        <f t="shared" si="36"/>
        <v>1.25</v>
      </c>
      <c r="P142" s="135">
        <f t="shared" si="36"/>
        <v>1.25</v>
      </c>
      <c r="Q142" s="135">
        <f t="shared" si="36"/>
        <v>1.25</v>
      </c>
      <c r="R142" s="135">
        <f t="shared" si="36"/>
        <v>1.25</v>
      </c>
      <c r="S142" s="135">
        <f t="shared" si="36"/>
        <v>1.25</v>
      </c>
      <c r="T142" s="135">
        <f t="shared" si="37"/>
        <v>1.25</v>
      </c>
      <c r="U142" s="135">
        <f t="shared" si="37"/>
        <v>1.25</v>
      </c>
      <c r="V142" s="135">
        <f t="shared" si="37"/>
        <v>1.25</v>
      </c>
      <c r="W142" s="135">
        <f t="shared" si="37"/>
        <v>1.25</v>
      </c>
      <c r="X142" s="135">
        <f t="shared" si="37"/>
        <v>1.25</v>
      </c>
      <c r="Y142" s="135">
        <f t="shared" si="37"/>
        <v>1.25</v>
      </c>
      <c r="Z142" s="135">
        <f t="shared" si="37"/>
        <v>1.25</v>
      </c>
      <c r="AA142" s="135">
        <f t="shared" si="37"/>
        <v>1.25</v>
      </c>
      <c r="AB142" s="135">
        <f t="shared" si="37"/>
        <v>1.25</v>
      </c>
      <c r="AC142" s="135">
        <f t="shared" si="37"/>
        <v>1.25</v>
      </c>
      <c r="AD142" s="135">
        <f t="shared" si="37"/>
        <v>1.25</v>
      </c>
      <c r="AE142" s="135">
        <f t="shared" si="37"/>
        <v>1.25</v>
      </c>
      <c r="AF142" s="135">
        <f t="shared" si="37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5"/>
        <v>1.46</v>
      </c>
      <c r="C143" s="136">
        <v>1.46</v>
      </c>
      <c r="D143" s="135">
        <f t="shared" si="36"/>
        <v>1.46</v>
      </c>
      <c r="E143" s="135">
        <f t="shared" si="36"/>
        <v>1.46</v>
      </c>
      <c r="F143" s="135">
        <f t="shared" si="36"/>
        <v>1.46</v>
      </c>
      <c r="G143" s="135">
        <f t="shared" si="36"/>
        <v>1.46</v>
      </c>
      <c r="H143" s="135">
        <f t="shared" si="36"/>
        <v>1.46</v>
      </c>
      <c r="I143" s="135">
        <f t="shared" si="36"/>
        <v>1.46</v>
      </c>
      <c r="J143" s="135">
        <f t="shared" si="36"/>
        <v>1.46</v>
      </c>
      <c r="K143" s="135">
        <f t="shared" si="36"/>
        <v>1.46</v>
      </c>
      <c r="L143" s="135">
        <f t="shared" si="36"/>
        <v>1.46</v>
      </c>
      <c r="M143" s="135">
        <f t="shared" si="36"/>
        <v>1.46</v>
      </c>
      <c r="N143" s="135">
        <f t="shared" si="36"/>
        <v>1.46</v>
      </c>
      <c r="O143" s="135">
        <f t="shared" si="36"/>
        <v>1.46</v>
      </c>
      <c r="P143" s="135">
        <f t="shared" si="36"/>
        <v>1.46</v>
      </c>
      <c r="Q143" s="135">
        <f t="shared" si="36"/>
        <v>1.46</v>
      </c>
      <c r="R143" s="135">
        <f t="shared" si="36"/>
        <v>1.46</v>
      </c>
      <c r="S143" s="135">
        <f t="shared" si="36"/>
        <v>1.46</v>
      </c>
      <c r="T143" s="135">
        <f t="shared" si="37"/>
        <v>1.46</v>
      </c>
      <c r="U143" s="135">
        <f t="shared" si="37"/>
        <v>1.46</v>
      </c>
      <c r="V143" s="135">
        <f t="shared" si="37"/>
        <v>1.46</v>
      </c>
      <c r="W143" s="135">
        <f t="shared" si="37"/>
        <v>1.46</v>
      </c>
      <c r="X143" s="135">
        <f t="shared" si="37"/>
        <v>1.46</v>
      </c>
      <c r="Y143" s="135">
        <f t="shared" si="37"/>
        <v>1.46</v>
      </c>
      <c r="Z143" s="135">
        <f t="shared" si="37"/>
        <v>1.46</v>
      </c>
      <c r="AA143" s="135">
        <f t="shared" si="37"/>
        <v>1.46</v>
      </c>
      <c r="AB143" s="135">
        <f t="shared" si="37"/>
        <v>1.46</v>
      </c>
      <c r="AC143" s="135">
        <f t="shared" si="37"/>
        <v>1.46</v>
      </c>
      <c r="AD143" s="135">
        <f t="shared" si="37"/>
        <v>1.46</v>
      </c>
      <c r="AE143" s="135">
        <f t="shared" si="37"/>
        <v>1.46</v>
      </c>
      <c r="AF143" s="135">
        <f t="shared" si="37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5"/>
        <v>3</v>
      </c>
      <c r="C144" s="136">
        <v>3</v>
      </c>
      <c r="D144" s="135">
        <f t="shared" si="36"/>
        <v>3</v>
      </c>
      <c r="E144" s="135">
        <f t="shared" si="36"/>
        <v>3</v>
      </c>
      <c r="F144" s="135">
        <f t="shared" si="36"/>
        <v>3</v>
      </c>
      <c r="G144" s="135">
        <f t="shared" si="36"/>
        <v>3</v>
      </c>
      <c r="H144" s="135">
        <f t="shared" si="36"/>
        <v>3</v>
      </c>
      <c r="I144" s="135">
        <f t="shared" si="36"/>
        <v>3</v>
      </c>
      <c r="J144" s="135">
        <f t="shared" si="36"/>
        <v>3</v>
      </c>
      <c r="K144" s="135">
        <f t="shared" si="36"/>
        <v>3</v>
      </c>
      <c r="L144" s="135">
        <f t="shared" si="36"/>
        <v>3</v>
      </c>
      <c r="M144" s="135">
        <f t="shared" si="36"/>
        <v>3</v>
      </c>
      <c r="N144" s="135">
        <f t="shared" si="36"/>
        <v>3</v>
      </c>
      <c r="O144" s="135">
        <f t="shared" si="36"/>
        <v>3</v>
      </c>
      <c r="P144" s="135">
        <f t="shared" si="36"/>
        <v>3</v>
      </c>
      <c r="Q144" s="135">
        <f t="shared" si="36"/>
        <v>3</v>
      </c>
      <c r="R144" s="135">
        <f t="shared" si="36"/>
        <v>3</v>
      </c>
      <c r="S144" s="135">
        <f t="shared" si="36"/>
        <v>3</v>
      </c>
      <c r="T144" s="135">
        <f t="shared" si="37"/>
        <v>3</v>
      </c>
      <c r="U144" s="135">
        <f t="shared" si="37"/>
        <v>3</v>
      </c>
      <c r="V144" s="135">
        <f t="shared" si="37"/>
        <v>3</v>
      </c>
      <c r="W144" s="135">
        <f t="shared" si="37"/>
        <v>3</v>
      </c>
      <c r="X144" s="135">
        <f t="shared" si="37"/>
        <v>3</v>
      </c>
      <c r="Y144" s="135">
        <f t="shared" si="37"/>
        <v>3</v>
      </c>
      <c r="Z144" s="135">
        <f t="shared" si="37"/>
        <v>3</v>
      </c>
      <c r="AA144" s="135">
        <f t="shared" si="37"/>
        <v>3</v>
      </c>
      <c r="AB144" s="135">
        <f t="shared" si="37"/>
        <v>3</v>
      </c>
      <c r="AC144" s="135">
        <f t="shared" si="37"/>
        <v>3</v>
      </c>
      <c r="AD144" s="135">
        <f t="shared" si="37"/>
        <v>3</v>
      </c>
      <c r="AE144" s="135">
        <f t="shared" si="37"/>
        <v>3</v>
      </c>
      <c r="AF144" s="135">
        <f t="shared" si="37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5"/>
        <v>3.3</v>
      </c>
      <c r="C145" s="136">
        <v>3.3</v>
      </c>
      <c r="D145" s="135">
        <f t="shared" si="36"/>
        <v>3.3</v>
      </c>
      <c r="E145" s="135">
        <f t="shared" si="36"/>
        <v>3.3</v>
      </c>
      <c r="F145" s="135">
        <f t="shared" si="36"/>
        <v>3.3</v>
      </c>
      <c r="G145" s="135">
        <f t="shared" si="36"/>
        <v>3.3</v>
      </c>
      <c r="H145" s="135">
        <f t="shared" si="36"/>
        <v>3.3</v>
      </c>
      <c r="I145" s="135">
        <f t="shared" si="36"/>
        <v>3.3</v>
      </c>
      <c r="J145" s="135">
        <f t="shared" si="36"/>
        <v>3.3</v>
      </c>
      <c r="K145" s="135">
        <f t="shared" si="36"/>
        <v>3.3</v>
      </c>
      <c r="L145" s="135">
        <f t="shared" si="36"/>
        <v>3.3</v>
      </c>
      <c r="M145" s="135">
        <f t="shared" si="36"/>
        <v>3.3</v>
      </c>
      <c r="N145" s="135">
        <f t="shared" si="36"/>
        <v>3.3</v>
      </c>
      <c r="O145" s="135">
        <f t="shared" si="36"/>
        <v>3.3</v>
      </c>
      <c r="P145" s="135">
        <f t="shared" si="36"/>
        <v>3.3</v>
      </c>
      <c r="Q145" s="135">
        <f t="shared" si="36"/>
        <v>3.3</v>
      </c>
      <c r="R145" s="135">
        <f t="shared" si="36"/>
        <v>3.3</v>
      </c>
      <c r="S145" s="135">
        <f t="shared" si="36"/>
        <v>3.3</v>
      </c>
      <c r="T145" s="135">
        <f t="shared" si="37"/>
        <v>3.3</v>
      </c>
      <c r="U145" s="135">
        <f t="shared" si="37"/>
        <v>3.3</v>
      </c>
      <c r="V145" s="135">
        <f t="shared" si="37"/>
        <v>3.3</v>
      </c>
      <c r="W145" s="135">
        <f t="shared" si="37"/>
        <v>3.3</v>
      </c>
      <c r="X145" s="135">
        <f t="shared" si="37"/>
        <v>3.3</v>
      </c>
      <c r="Y145" s="135">
        <f t="shared" si="37"/>
        <v>3.3</v>
      </c>
      <c r="Z145" s="135">
        <f t="shared" si="37"/>
        <v>3.3</v>
      </c>
      <c r="AA145" s="135">
        <f t="shared" si="37"/>
        <v>3.3</v>
      </c>
      <c r="AB145" s="135">
        <f t="shared" si="37"/>
        <v>3.3</v>
      </c>
      <c r="AC145" s="135">
        <f t="shared" si="37"/>
        <v>3.3</v>
      </c>
      <c r="AD145" s="135">
        <f t="shared" si="37"/>
        <v>3.3</v>
      </c>
      <c r="AE145" s="135">
        <f t="shared" si="37"/>
        <v>3.3</v>
      </c>
      <c r="AF145" s="135">
        <f t="shared" si="37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38">C147</f>
        <v>1.76</v>
      </c>
      <c r="E147" s="135">
        <f t="shared" si="38"/>
        <v>1.76</v>
      </c>
      <c r="F147" s="135">
        <f t="shared" si="38"/>
        <v>1.76</v>
      </c>
      <c r="G147" s="135">
        <f t="shared" si="38"/>
        <v>1.76</v>
      </c>
      <c r="H147" s="135">
        <f t="shared" si="38"/>
        <v>1.76</v>
      </c>
      <c r="I147" s="135">
        <f t="shared" si="38"/>
        <v>1.76</v>
      </c>
      <c r="J147" s="135">
        <f t="shared" si="38"/>
        <v>1.76</v>
      </c>
      <c r="K147" s="135">
        <f t="shared" si="38"/>
        <v>1.76</v>
      </c>
      <c r="L147" s="135">
        <f t="shared" si="38"/>
        <v>1.76</v>
      </c>
      <c r="M147" s="135">
        <f t="shared" si="38"/>
        <v>1.76</v>
      </c>
      <c r="N147" s="135">
        <f t="shared" si="38"/>
        <v>1.76</v>
      </c>
      <c r="O147" s="135">
        <f t="shared" si="38"/>
        <v>1.76</v>
      </c>
      <c r="P147" s="135">
        <f t="shared" si="38"/>
        <v>1.76</v>
      </c>
      <c r="Q147" s="135">
        <f t="shared" si="38"/>
        <v>1.76</v>
      </c>
      <c r="R147" s="135">
        <f t="shared" si="38"/>
        <v>1.76</v>
      </c>
      <c r="S147" s="135">
        <f t="shared" si="38"/>
        <v>1.76</v>
      </c>
      <c r="T147" s="135">
        <f t="shared" ref="T147:AF148" si="39">S147</f>
        <v>1.76</v>
      </c>
      <c r="U147" s="135">
        <f t="shared" si="39"/>
        <v>1.76</v>
      </c>
      <c r="V147" s="135">
        <f t="shared" si="39"/>
        <v>1.76</v>
      </c>
      <c r="W147" s="135">
        <f t="shared" si="39"/>
        <v>1.76</v>
      </c>
      <c r="X147" s="135">
        <f t="shared" si="39"/>
        <v>1.76</v>
      </c>
      <c r="Y147" s="135">
        <f t="shared" si="39"/>
        <v>1.76</v>
      </c>
      <c r="Z147" s="135">
        <f t="shared" si="39"/>
        <v>1.76</v>
      </c>
      <c r="AA147" s="135">
        <f t="shared" si="39"/>
        <v>1.76</v>
      </c>
      <c r="AB147" s="135">
        <f t="shared" si="39"/>
        <v>1.76</v>
      </c>
      <c r="AC147" s="135">
        <f t="shared" si="39"/>
        <v>1.76</v>
      </c>
      <c r="AD147" s="135">
        <f t="shared" si="39"/>
        <v>1.76</v>
      </c>
      <c r="AE147" s="135">
        <f t="shared" si="39"/>
        <v>1.76</v>
      </c>
      <c r="AF147" s="135">
        <f t="shared" si="39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38"/>
        <v>0</v>
      </c>
      <c r="E148" s="135">
        <f t="shared" si="38"/>
        <v>0</v>
      </c>
      <c r="F148" s="135">
        <f t="shared" si="38"/>
        <v>0</v>
      </c>
      <c r="G148" s="135">
        <f t="shared" si="38"/>
        <v>0</v>
      </c>
      <c r="H148" s="135">
        <f t="shared" si="38"/>
        <v>0</v>
      </c>
      <c r="I148" s="135">
        <f t="shared" si="38"/>
        <v>0</v>
      </c>
      <c r="J148" s="135">
        <f t="shared" si="38"/>
        <v>0</v>
      </c>
      <c r="K148" s="135">
        <f t="shared" si="38"/>
        <v>0</v>
      </c>
      <c r="L148" s="135">
        <f t="shared" si="38"/>
        <v>0</v>
      </c>
      <c r="M148" s="135">
        <f t="shared" si="38"/>
        <v>0</v>
      </c>
      <c r="N148" s="135">
        <f t="shared" si="38"/>
        <v>0</v>
      </c>
      <c r="O148" s="135">
        <f t="shared" si="38"/>
        <v>0</v>
      </c>
      <c r="P148" s="135">
        <f t="shared" si="38"/>
        <v>0</v>
      </c>
      <c r="Q148" s="135">
        <f t="shared" si="38"/>
        <v>0</v>
      </c>
      <c r="R148" s="135">
        <f t="shared" si="38"/>
        <v>0</v>
      </c>
      <c r="S148" s="135">
        <f t="shared" si="38"/>
        <v>0</v>
      </c>
      <c r="T148" s="135">
        <f t="shared" si="39"/>
        <v>0</v>
      </c>
      <c r="U148" s="135">
        <f t="shared" si="39"/>
        <v>0</v>
      </c>
      <c r="V148" s="135">
        <f t="shared" si="39"/>
        <v>0</v>
      </c>
      <c r="W148" s="135">
        <f t="shared" si="39"/>
        <v>0</v>
      </c>
      <c r="X148" s="135">
        <f t="shared" si="39"/>
        <v>0</v>
      </c>
      <c r="Y148" s="135">
        <f t="shared" si="39"/>
        <v>0</v>
      </c>
      <c r="Z148" s="135">
        <f t="shared" si="39"/>
        <v>0</v>
      </c>
      <c r="AA148" s="135">
        <f t="shared" si="39"/>
        <v>0</v>
      </c>
      <c r="AB148" s="135">
        <f t="shared" si="39"/>
        <v>0</v>
      </c>
      <c r="AC148" s="135">
        <f t="shared" si="39"/>
        <v>0</v>
      </c>
      <c r="AD148" s="135">
        <f t="shared" si="39"/>
        <v>0</v>
      </c>
      <c r="AE148" s="135">
        <f t="shared" si="39"/>
        <v>0</v>
      </c>
      <c r="AF148" s="135">
        <f t="shared" si="39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0">C150</f>
        <v>0.1</v>
      </c>
      <c r="E150" s="135">
        <f t="shared" si="40"/>
        <v>0.1</v>
      </c>
      <c r="F150" s="135">
        <f t="shared" si="40"/>
        <v>0.1</v>
      </c>
      <c r="G150" s="135">
        <f t="shared" si="40"/>
        <v>0.1</v>
      </c>
      <c r="H150" s="135">
        <f t="shared" si="40"/>
        <v>0.1</v>
      </c>
      <c r="I150" s="135">
        <f t="shared" si="40"/>
        <v>0.1</v>
      </c>
      <c r="J150" s="135">
        <f t="shared" si="40"/>
        <v>0.1</v>
      </c>
      <c r="K150" s="135">
        <f t="shared" si="40"/>
        <v>0.1</v>
      </c>
      <c r="L150" s="135">
        <f t="shared" si="40"/>
        <v>0.1</v>
      </c>
      <c r="M150" s="135">
        <f t="shared" si="40"/>
        <v>0.1</v>
      </c>
      <c r="N150" s="135">
        <f t="shared" si="40"/>
        <v>0.1</v>
      </c>
      <c r="O150" s="135">
        <f t="shared" si="40"/>
        <v>0.1</v>
      </c>
      <c r="P150" s="135">
        <f t="shared" si="40"/>
        <v>0.1</v>
      </c>
      <c r="Q150" s="135">
        <f t="shared" si="40"/>
        <v>0.1</v>
      </c>
      <c r="R150" s="135">
        <f t="shared" si="40"/>
        <v>0.1</v>
      </c>
      <c r="S150" s="135">
        <f t="shared" si="40"/>
        <v>0.1</v>
      </c>
      <c r="T150" s="135">
        <f t="shared" ref="T150:AF153" si="41">S150</f>
        <v>0.1</v>
      </c>
      <c r="U150" s="135">
        <f t="shared" si="41"/>
        <v>0.1</v>
      </c>
      <c r="V150" s="135">
        <f t="shared" si="41"/>
        <v>0.1</v>
      </c>
      <c r="W150" s="135">
        <f t="shared" si="41"/>
        <v>0.1</v>
      </c>
      <c r="X150" s="135">
        <f t="shared" si="41"/>
        <v>0.1</v>
      </c>
      <c r="Y150" s="135">
        <f t="shared" si="41"/>
        <v>0.1</v>
      </c>
      <c r="Z150" s="135">
        <f t="shared" si="41"/>
        <v>0.1</v>
      </c>
      <c r="AA150" s="135">
        <f t="shared" si="41"/>
        <v>0.1</v>
      </c>
      <c r="AB150" s="135">
        <f t="shared" si="41"/>
        <v>0.1</v>
      </c>
      <c r="AC150" s="135">
        <f t="shared" si="41"/>
        <v>0.1</v>
      </c>
      <c r="AD150" s="135">
        <f t="shared" si="41"/>
        <v>0.1</v>
      </c>
      <c r="AE150" s="135">
        <f t="shared" si="41"/>
        <v>0.1</v>
      </c>
      <c r="AF150" s="135">
        <f t="shared" si="41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0"/>
        <v>2.0499999999999998</v>
      </c>
      <c r="E151" s="135">
        <f t="shared" si="40"/>
        <v>2.0499999999999998</v>
      </c>
      <c r="F151" s="135">
        <f t="shared" si="40"/>
        <v>2.0499999999999998</v>
      </c>
      <c r="G151" s="135">
        <f t="shared" si="40"/>
        <v>2.0499999999999998</v>
      </c>
      <c r="H151" s="135">
        <f t="shared" si="40"/>
        <v>2.0499999999999998</v>
      </c>
      <c r="I151" s="135">
        <f t="shared" si="40"/>
        <v>2.0499999999999998</v>
      </c>
      <c r="J151" s="135">
        <f t="shared" si="40"/>
        <v>2.0499999999999998</v>
      </c>
      <c r="K151" s="135">
        <f t="shared" si="40"/>
        <v>2.0499999999999998</v>
      </c>
      <c r="L151" s="135">
        <f t="shared" si="40"/>
        <v>2.0499999999999998</v>
      </c>
      <c r="M151" s="135">
        <f t="shared" si="40"/>
        <v>2.0499999999999998</v>
      </c>
      <c r="N151" s="135">
        <f t="shared" si="40"/>
        <v>2.0499999999999998</v>
      </c>
      <c r="O151" s="135">
        <f t="shared" si="40"/>
        <v>2.0499999999999998</v>
      </c>
      <c r="P151" s="135">
        <f t="shared" si="40"/>
        <v>2.0499999999999998</v>
      </c>
      <c r="Q151" s="135">
        <f t="shared" si="40"/>
        <v>2.0499999999999998</v>
      </c>
      <c r="R151" s="135">
        <f t="shared" si="40"/>
        <v>2.0499999999999998</v>
      </c>
      <c r="S151" s="135">
        <f t="shared" si="40"/>
        <v>2.0499999999999998</v>
      </c>
      <c r="T151" s="135">
        <f t="shared" si="41"/>
        <v>2.0499999999999998</v>
      </c>
      <c r="U151" s="135">
        <f t="shared" si="41"/>
        <v>2.0499999999999998</v>
      </c>
      <c r="V151" s="135">
        <f t="shared" si="41"/>
        <v>2.0499999999999998</v>
      </c>
      <c r="W151" s="135">
        <f t="shared" si="41"/>
        <v>2.0499999999999998</v>
      </c>
      <c r="X151" s="135">
        <f t="shared" si="41"/>
        <v>2.0499999999999998</v>
      </c>
      <c r="Y151" s="135">
        <f t="shared" si="41"/>
        <v>2.0499999999999998</v>
      </c>
      <c r="Z151" s="135">
        <f t="shared" si="41"/>
        <v>2.0499999999999998</v>
      </c>
      <c r="AA151" s="135">
        <f t="shared" si="41"/>
        <v>2.0499999999999998</v>
      </c>
      <c r="AB151" s="135">
        <f t="shared" si="41"/>
        <v>2.0499999999999998</v>
      </c>
      <c r="AC151" s="135">
        <f t="shared" si="41"/>
        <v>2.0499999999999998</v>
      </c>
      <c r="AD151" s="135">
        <f t="shared" si="41"/>
        <v>2.0499999999999998</v>
      </c>
      <c r="AE151" s="135">
        <f t="shared" si="41"/>
        <v>2.0499999999999998</v>
      </c>
      <c r="AF151" s="135">
        <f t="shared" si="41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0"/>
        <v>2.7</v>
      </c>
      <c r="E152" s="135">
        <f t="shared" si="40"/>
        <v>2.7</v>
      </c>
      <c r="F152" s="135">
        <f t="shared" si="40"/>
        <v>2.7</v>
      </c>
      <c r="G152" s="135">
        <f t="shared" si="40"/>
        <v>2.7</v>
      </c>
      <c r="H152" s="135">
        <f t="shared" si="40"/>
        <v>2.7</v>
      </c>
      <c r="I152" s="135">
        <f t="shared" si="40"/>
        <v>2.7</v>
      </c>
      <c r="J152" s="135">
        <f t="shared" si="40"/>
        <v>2.7</v>
      </c>
      <c r="K152" s="135">
        <f t="shared" si="40"/>
        <v>2.7</v>
      </c>
      <c r="L152" s="135">
        <f t="shared" si="40"/>
        <v>2.7</v>
      </c>
      <c r="M152" s="135">
        <f t="shared" si="40"/>
        <v>2.7</v>
      </c>
      <c r="N152" s="135">
        <f t="shared" si="40"/>
        <v>2.7</v>
      </c>
      <c r="O152" s="135">
        <f t="shared" si="40"/>
        <v>2.7</v>
      </c>
      <c r="P152" s="135">
        <f t="shared" si="40"/>
        <v>2.7</v>
      </c>
      <c r="Q152" s="135">
        <f t="shared" si="40"/>
        <v>2.7</v>
      </c>
      <c r="R152" s="135">
        <f t="shared" si="40"/>
        <v>2.7</v>
      </c>
      <c r="S152" s="135">
        <f t="shared" si="40"/>
        <v>2.7</v>
      </c>
      <c r="T152" s="135">
        <f t="shared" si="41"/>
        <v>2.7</v>
      </c>
      <c r="U152" s="135">
        <f t="shared" si="41"/>
        <v>2.7</v>
      </c>
      <c r="V152" s="135">
        <f t="shared" si="41"/>
        <v>2.7</v>
      </c>
      <c r="W152" s="135">
        <f t="shared" si="41"/>
        <v>2.7</v>
      </c>
      <c r="X152" s="135">
        <f t="shared" si="41"/>
        <v>2.7</v>
      </c>
      <c r="Y152" s="135">
        <f t="shared" si="41"/>
        <v>2.7</v>
      </c>
      <c r="Z152" s="135">
        <f t="shared" si="41"/>
        <v>2.7</v>
      </c>
      <c r="AA152" s="135">
        <f t="shared" si="41"/>
        <v>2.7</v>
      </c>
      <c r="AB152" s="135">
        <f t="shared" si="41"/>
        <v>2.7</v>
      </c>
      <c r="AC152" s="135">
        <f t="shared" si="41"/>
        <v>2.7</v>
      </c>
      <c r="AD152" s="135">
        <f t="shared" si="41"/>
        <v>2.7</v>
      </c>
      <c r="AE152" s="135">
        <f t="shared" si="41"/>
        <v>2.7</v>
      </c>
      <c r="AF152" s="135">
        <f t="shared" si="41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0"/>
        <v>2.15</v>
      </c>
      <c r="E153" s="135">
        <f t="shared" si="40"/>
        <v>2.15</v>
      </c>
      <c r="F153" s="135">
        <f t="shared" si="40"/>
        <v>2.15</v>
      </c>
      <c r="G153" s="135">
        <f t="shared" si="40"/>
        <v>2.15</v>
      </c>
      <c r="H153" s="135">
        <f t="shared" si="40"/>
        <v>2.15</v>
      </c>
      <c r="I153" s="135">
        <f t="shared" si="40"/>
        <v>2.15</v>
      </c>
      <c r="J153" s="135">
        <f t="shared" si="40"/>
        <v>2.15</v>
      </c>
      <c r="K153" s="135">
        <f t="shared" si="40"/>
        <v>2.15</v>
      </c>
      <c r="L153" s="135">
        <f t="shared" si="40"/>
        <v>2.15</v>
      </c>
      <c r="M153" s="135">
        <f t="shared" si="40"/>
        <v>2.15</v>
      </c>
      <c r="N153" s="135">
        <f t="shared" si="40"/>
        <v>2.15</v>
      </c>
      <c r="O153" s="135">
        <f t="shared" si="40"/>
        <v>2.15</v>
      </c>
      <c r="P153" s="135">
        <f t="shared" si="40"/>
        <v>2.15</v>
      </c>
      <c r="Q153" s="135">
        <f t="shared" si="40"/>
        <v>2.15</v>
      </c>
      <c r="R153" s="135">
        <f t="shared" si="40"/>
        <v>2.15</v>
      </c>
      <c r="S153" s="135">
        <f t="shared" si="40"/>
        <v>2.15</v>
      </c>
      <c r="T153" s="135">
        <f t="shared" si="41"/>
        <v>2.15</v>
      </c>
      <c r="U153" s="135">
        <f t="shared" si="41"/>
        <v>2.15</v>
      </c>
      <c r="V153" s="135">
        <f t="shared" si="41"/>
        <v>2.15</v>
      </c>
      <c r="W153" s="135">
        <f t="shared" si="41"/>
        <v>2.15</v>
      </c>
      <c r="X153" s="135">
        <f t="shared" si="41"/>
        <v>2.15</v>
      </c>
      <c r="Y153" s="135">
        <f t="shared" si="41"/>
        <v>2.15</v>
      </c>
      <c r="Z153" s="135">
        <f t="shared" si="41"/>
        <v>2.15</v>
      </c>
      <c r="AA153" s="135">
        <f t="shared" si="41"/>
        <v>2.15</v>
      </c>
      <c r="AB153" s="135">
        <f t="shared" si="41"/>
        <v>2.15</v>
      </c>
      <c r="AC153" s="135">
        <f t="shared" si="41"/>
        <v>2.15</v>
      </c>
      <c r="AD153" s="135">
        <f t="shared" si="41"/>
        <v>2.15</v>
      </c>
      <c r="AE153" s="135">
        <f t="shared" si="41"/>
        <v>2.15</v>
      </c>
      <c r="AF153" s="135">
        <f t="shared" si="41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2">AF155</f>
        <v>0.9</v>
      </c>
      <c r="C155" s="136">
        <v>0.9</v>
      </c>
      <c r="D155" s="135">
        <f t="shared" ref="D155:S167" si="43">C155</f>
        <v>0.9</v>
      </c>
      <c r="E155" s="135">
        <f t="shared" si="43"/>
        <v>0.9</v>
      </c>
      <c r="F155" s="135">
        <f t="shared" si="43"/>
        <v>0.9</v>
      </c>
      <c r="G155" s="135">
        <f t="shared" si="43"/>
        <v>0.9</v>
      </c>
      <c r="H155" s="135">
        <f t="shared" si="43"/>
        <v>0.9</v>
      </c>
      <c r="I155" s="135">
        <f t="shared" si="43"/>
        <v>0.9</v>
      </c>
      <c r="J155" s="135">
        <f t="shared" si="43"/>
        <v>0.9</v>
      </c>
      <c r="K155" s="135">
        <f t="shared" si="43"/>
        <v>0.9</v>
      </c>
      <c r="L155" s="135">
        <f t="shared" si="43"/>
        <v>0.9</v>
      </c>
      <c r="M155" s="135">
        <f t="shared" si="43"/>
        <v>0.9</v>
      </c>
      <c r="N155" s="135">
        <f t="shared" si="43"/>
        <v>0.9</v>
      </c>
      <c r="O155" s="135">
        <f t="shared" si="43"/>
        <v>0.9</v>
      </c>
      <c r="P155" s="135">
        <f t="shared" si="43"/>
        <v>0.9</v>
      </c>
      <c r="Q155" s="135">
        <f t="shared" si="43"/>
        <v>0.9</v>
      </c>
      <c r="R155" s="135">
        <f t="shared" si="43"/>
        <v>0.9</v>
      </c>
      <c r="S155" s="135">
        <f t="shared" si="43"/>
        <v>0.9</v>
      </c>
      <c r="T155" s="135">
        <f t="shared" ref="S155:AF167" si="44">S155</f>
        <v>0.9</v>
      </c>
      <c r="U155" s="135">
        <f t="shared" si="44"/>
        <v>0.9</v>
      </c>
      <c r="V155" s="135">
        <f t="shared" si="44"/>
        <v>0.9</v>
      </c>
      <c r="W155" s="135">
        <f t="shared" si="44"/>
        <v>0.9</v>
      </c>
      <c r="X155" s="135">
        <f t="shared" si="44"/>
        <v>0.9</v>
      </c>
      <c r="Y155" s="135">
        <f t="shared" si="44"/>
        <v>0.9</v>
      </c>
      <c r="Z155" s="135">
        <f t="shared" si="44"/>
        <v>0.9</v>
      </c>
      <c r="AA155" s="135">
        <f t="shared" si="44"/>
        <v>0.9</v>
      </c>
      <c r="AB155" s="135">
        <f t="shared" si="44"/>
        <v>0.9</v>
      </c>
      <c r="AC155" s="135">
        <f t="shared" si="44"/>
        <v>0.9</v>
      </c>
      <c r="AD155" s="135">
        <f t="shared" si="44"/>
        <v>0.9</v>
      </c>
      <c r="AE155" s="135">
        <f t="shared" si="44"/>
        <v>0.9</v>
      </c>
      <c r="AF155" s="135">
        <f t="shared" si="44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2"/>
        <v>1.08</v>
      </c>
      <c r="C156" s="136">
        <v>1.08</v>
      </c>
      <c r="D156" s="135">
        <f t="shared" si="43"/>
        <v>1.08</v>
      </c>
      <c r="E156" s="135">
        <f t="shared" si="43"/>
        <v>1.08</v>
      </c>
      <c r="F156" s="135">
        <f t="shared" si="43"/>
        <v>1.08</v>
      </c>
      <c r="G156" s="135">
        <f t="shared" si="43"/>
        <v>1.08</v>
      </c>
      <c r="H156" s="135">
        <f t="shared" si="43"/>
        <v>1.08</v>
      </c>
      <c r="I156" s="135">
        <f t="shared" si="43"/>
        <v>1.08</v>
      </c>
      <c r="J156" s="135">
        <f t="shared" si="43"/>
        <v>1.08</v>
      </c>
      <c r="K156" s="135">
        <f t="shared" si="43"/>
        <v>1.08</v>
      </c>
      <c r="L156" s="135">
        <f t="shared" si="43"/>
        <v>1.08</v>
      </c>
      <c r="M156" s="135">
        <f t="shared" si="43"/>
        <v>1.08</v>
      </c>
      <c r="N156" s="135">
        <f t="shared" si="43"/>
        <v>1.08</v>
      </c>
      <c r="O156" s="135">
        <f t="shared" si="43"/>
        <v>1.08</v>
      </c>
      <c r="P156" s="135">
        <f t="shared" si="43"/>
        <v>1.08</v>
      </c>
      <c r="Q156" s="135">
        <f t="shared" si="43"/>
        <v>1.08</v>
      </c>
      <c r="R156" s="135">
        <f t="shared" si="43"/>
        <v>1.08</v>
      </c>
      <c r="S156" s="135">
        <f t="shared" si="43"/>
        <v>1.08</v>
      </c>
      <c r="T156" s="135">
        <f t="shared" si="44"/>
        <v>1.08</v>
      </c>
      <c r="U156" s="135">
        <f t="shared" si="44"/>
        <v>1.08</v>
      </c>
      <c r="V156" s="135">
        <f t="shared" si="44"/>
        <v>1.08</v>
      </c>
      <c r="W156" s="135">
        <f t="shared" si="44"/>
        <v>1.08</v>
      </c>
      <c r="X156" s="135">
        <f t="shared" si="44"/>
        <v>1.08</v>
      </c>
      <c r="Y156" s="135">
        <f t="shared" si="44"/>
        <v>1.08</v>
      </c>
      <c r="Z156" s="135">
        <f t="shared" si="44"/>
        <v>1.08</v>
      </c>
      <c r="AA156" s="135">
        <f t="shared" si="44"/>
        <v>1.08</v>
      </c>
      <c r="AB156" s="135">
        <f t="shared" si="44"/>
        <v>1.08</v>
      </c>
      <c r="AC156" s="135">
        <f t="shared" si="44"/>
        <v>1.08</v>
      </c>
      <c r="AD156" s="135">
        <f t="shared" si="44"/>
        <v>1.08</v>
      </c>
      <c r="AE156" s="135">
        <f t="shared" si="44"/>
        <v>1.08</v>
      </c>
      <c r="AF156" s="135">
        <f t="shared" si="44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2"/>
        <v>2.37</v>
      </c>
      <c r="C157" s="136">
        <v>2.37</v>
      </c>
      <c r="D157" s="135">
        <f t="shared" si="43"/>
        <v>2.37</v>
      </c>
      <c r="E157" s="135">
        <f t="shared" si="43"/>
        <v>2.37</v>
      </c>
      <c r="F157" s="135">
        <f t="shared" si="43"/>
        <v>2.37</v>
      </c>
      <c r="G157" s="135">
        <f t="shared" si="43"/>
        <v>2.37</v>
      </c>
      <c r="H157" s="135">
        <f t="shared" si="43"/>
        <v>2.37</v>
      </c>
      <c r="I157" s="135">
        <f t="shared" si="43"/>
        <v>2.37</v>
      </c>
      <c r="J157" s="135">
        <f t="shared" si="43"/>
        <v>2.37</v>
      </c>
      <c r="K157" s="135">
        <f t="shared" si="43"/>
        <v>2.37</v>
      </c>
      <c r="L157" s="135">
        <f t="shared" si="43"/>
        <v>2.37</v>
      </c>
      <c r="M157" s="135">
        <f t="shared" si="43"/>
        <v>2.37</v>
      </c>
      <c r="N157" s="135">
        <f t="shared" si="43"/>
        <v>2.37</v>
      </c>
      <c r="O157" s="135">
        <f t="shared" si="43"/>
        <v>2.37</v>
      </c>
      <c r="P157" s="135">
        <f t="shared" si="43"/>
        <v>2.37</v>
      </c>
      <c r="Q157" s="135">
        <f t="shared" si="43"/>
        <v>2.37</v>
      </c>
      <c r="R157" s="135">
        <f t="shared" si="43"/>
        <v>2.37</v>
      </c>
      <c r="S157" s="135">
        <f t="shared" si="43"/>
        <v>2.37</v>
      </c>
      <c r="T157" s="135">
        <f t="shared" si="44"/>
        <v>2.37</v>
      </c>
      <c r="U157" s="135">
        <f t="shared" si="44"/>
        <v>2.37</v>
      </c>
      <c r="V157" s="135">
        <f t="shared" si="44"/>
        <v>2.37</v>
      </c>
      <c r="W157" s="135">
        <f t="shared" si="44"/>
        <v>2.37</v>
      </c>
      <c r="X157" s="135">
        <f t="shared" si="44"/>
        <v>2.37</v>
      </c>
      <c r="Y157" s="135">
        <f t="shared" si="44"/>
        <v>2.37</v>
      </c>
      <c r="Z157" s="135">
        <f t="shared" si="44"/>
        <v>2.37</v>
      </c>
      <c r="AA157" s="135">
        <f t="shared" si="44"/>
        <v>2.37</v>
      </c>
      <c r="AB157" s="135">
        <f t="shared" si="44"/>
        <v>2.37</v>
      </c>
      <c r="AC157" s="135">
        <f t="shared" si="44"/>
        <v>2.37</v>
      </c>
      <c r="AD157" s="135">
        <f t="shared" si="44"/>
        <v>2.37</v>
      </c>
      <c r="AE157" s="135">
        <f t="shared" si="44"/>
        <v>2.37</v>
      </c>
      <c r="AF157" s="135">
        <f t="shared" si="44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2"/>
        <v>1.81</v>
      </c>
      <c r="C158" s="136">
        <v>1.81</v>
      </c>
      <c r="D158" s="135">
        <f t="shared" si="43"/>
        <v>1.81</v>
      </c>
      <c r="E158" s="135">
        <f t="shared" si="43"/>
        <v>1.81</v>
      </c>
      <c r="F158" s="135">
        <f t="shared" si="43"/>
        <v>1.81</v>
      </c>
      <c r="G158" s="135">
        <f t="shared" si="43"/>
        <v>1.81</v>
      </c>
      <c r="H158" s="135">
        <f t="shared" si="43"/>
        <v>1.81</v>
      </c>
      <c r="I158" s="135">
        <f t="shared" si="43"/>
        <v>1.81</v>
      </c>
      <c r="J158" s="135">
        <f t="shared" si="43"/>
        <v>1.81</v>
      </c>
      <c r="K158" s="135">
        <f t="shared" si="43"/>
        <v>1.81</v>
      </c>
      <c r="L158" s="135">
        <f t="shared" si="43"/>
        <v>1.81</v>
      </c>
      <c r="M158" s="135">
        <f t="shared" si="43"/>
        <v>1.81</v>
      </c>
      <c r="N158" s="135">
        <f t="shared" si="43"/>
        <v>1.81</v>
      </c>
      <c r="O158" s="135">
        <f t="shared" si="43"/>
        <v>1.81</v>
      </c>
      <c r="P158" s="135">
        <f t="shared" si="43"/>
        <v>1.81</v>
      </c>
      <c r="Q158" s="135">
        <f t="shared" si="43"/>
        <v>1.81</v>
      </c>
      <c r="R158" s="135">
        <f t="shared" si="43"/>
        <v>1.81</v>
      </c>
      <c r="S158" s="135">
        <f t="shared" si="43"/>
        <v>1.81</v>
      </c>
      <c r="T158" s="135">
        <f t="shared" si="44"/>
        <v>1.81</v>
      </c>
      <c r="U158" s="135">
        <f t="shared" si="44"/>
        <v>1.81</v>
      </c>
      <c r="V158" s="135">
        <f t="shared" si="44"/>
        <v>1.81</v>
      </c>
      <c r="W158" s="135">
        <f t="shared" si="44"/>
        <v>1.81</v>
      </c>
      <c r="X158" s="135">
        <f t="shared" si="44"/>
        <v>1.81</v>
      </c>
      <c r="Y158" s="135">
        <f t="shared" si="44"/>
        <v>1.81</v>
      </c>
      <c r="Z158" s="135">
        <f t="shared" si="44"/>
        <v>1.81</v>
      </c>
      <c r="AA158" s="135">
        <f t="shared" si="44"/>
        <v>1.81</v>
      </c>
      <c r="AB158" s="135">
        <f t="shared" si="44"/>
        <v>1.81</v>
      </c>
      <c r="AC158" s="135">
        <f t="shared" si="44"/>
        <v>1.81</v>
      </c>
      <c r="AD158" s="135">
        <f t="shared" si="44"/>
        <v>1.81</v>
      </c>
      <c r="AE158" s="135">
        <f t="shared" si="44"/>
        <v>1.81</v>
      </c>
      <c r="AF158" s="135">
        <f t="shared" si="44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2"/>
        <v>1.0900000000000001</v>
      </c>
      <c r="C159" s="136">
        <v>1.0900000000000001</v>
      </c>
      <c r="D159" s="135">
        <f t="shared" si="43"/>
        <v>1.0900000000000001</v>
      </c>
      <c r="E159" s="135">
        <f t="shared" si="43"/>
        <v>1.0900000000000001</v>
      </c>
      <c r="F159" s="135">
        <f t="shared" si="43"/>
        <v>1.0900000000000001</v>
      </c>
      <c r="G159" s="135">
        <f t="shared" si="43"/>
        <v>1.0900000000000001</v>
      </c>
      <c r="H159" s="135">
        <f t="shared" si="43"/>
        <v>1.0900000000000001</v>
      </c>
      <c r="I159" s="135">
        <f t="shared" si="43"/>
        <v>1.0900000000000001</v>
      </c>
      <c r="J159" s="135">
        <f t="shared" si="43"/>
        <v>1.0900000000000001</v>
      </c>
      <c r="K159" s="135">
        <f t="shared" si="43"/>
        <v>1.0900000000000001</v>
      </c>
      <c r="L159" s="135">
        <f t="shared" si="43"/>
        <v>1.0900000000000001</v>
      </c>
      <c r="M159" s="135">
        <f t="shared" si="43"/>
        <v>1.0900000000000001</v>
      </c>
      <c r="N159" s="135">
        <f t="shared" si="43"/>
        <v>1.0900000000000001</v>
      </c>
      <c r="O159" s="135">
        <f t="shared" si="43"/>
        <v>1.0900000000000001</v>
      </c>
      <c r="P159" s="135">
        <f t="shared" si="43"/>
        <v>1.0900000000000001</v>
      </c>
      <c r="Q159" s="135">
        <f t="shared" si="43"/>
        <v>1.0900000000000001</v>
      </c>
      <c r="R159" s="135">
        <f t="shared" si="43"/>
        <v>1.0900000000000001</v>
      </c>
      <c r="S159" s="135">
        <f t="shared" si="43"/>
        <v>1.0900000000000001</v>
      </c>
      <c r="T159" s="135">
        <f t="shared" si="44"/>
        <v>1.0900000000000001</v>
      </c>
      <c r="U159" s="135">
        <f t="shared" si="44"/>
        <v>1.0900000000000001</v>
      </c>
      <c r="V159" s="135">
        <f t="shared" si="44"/>
        <v>1.0900000000000001</v>
      </c>
      <c r="W159" s="135">
        <f t="shared" si="44"/>
        <v>1.0900000000000001</v>
      </c>
      <c r="X159" s="135">
        <f t="shared" si="44"/>
        <v>1.0900000000000001</v>
      </c>
      <c r="Y159" s="135">
        <f t="shared" si="44"/>
        <v>1.0900000000000001</v>
      </c>
      <c r="Z159" s="135">
        <f t="shared" si="44"/>
        <v>1.0900000000000001</v>
      </c>
      <c r="AA159" s="135">
        <f t="shared" si="44"/>
        <v>1.0900000000000001</v>
      </c>
      <c r="AB159" s="135">
        <f t="shared" si="44"/>
        <v>1.0900000000000001</v>
      </c>
      <c r="AC159" s="135">
        <f t="shared" si="44"/>
        <v>1.0900000000000001</v>
      </c>
      <c r="AD159" s="135">
        <f t="shared" si="44"/>
        <v>1.0900000000000001</v>
      </c>
      <c r="AE159" s="135">
        <f t="shared" si="44"/>
        <v>1.0900000000000001</v>
      </c>
      <c r="AF159" s="135">
        <f t="shared" si="44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2"/>
        <v>1.58</v>
      </c>
      <c r="C160" s="136">
        <v>1.58</v>
      </c>
      <c r="D160" s="135">
        <f t="shared" si="43"/>
        <v>1.58</v>
      </c>
      <c r="E160" s="135">
        <f t="shared" si="43"/>
        <v>1.58</v>
      </c>
      <c r="F160" s="135">
        <f t="shared" si="43"/>
        <v>1.58</v>
      </c>
      <c r="G160" s="135">
        <f t="shared" si="43"/>
        <v>1.58</v>
      </c>
      <c r="H160" s="135">
        <f t="shared" si="43"/>
        <v>1.58</v>
      </c>
      <c r="I160" s="135">
        <f t="shared" si="43"/>
        <v>1.58</v>
      </c>
      <c r="J160" s="135">
        <f t="shared" si="43"/>
        <v>1.58</v>
      </c>
      <c r="K160" s="135">
        <f t="shared" si="43"/>
        <v>1.58</v>
      </c>
      <c r="L160" s="135">
        <f t="shared" si="43"/>
        <v>1.58</v>
      </c>
      <c r="M160" s="135">
        <f t="shared" si="43"/>
        <v>1.58</v>
      </c>
      <c r="N160" s="135">
        <f t="shared" si="43"/>
        <v>1.58</v>
      </c>
      <c r="O160" s="135">
        <f t="shared" si="43"/>
        <v>1.58</v>
      </c>
      <c r="P160" s="135">
        <f t="shared" si="43"/>
        <v>1.58</v>
      </c>
      <c r="Q160" s="135">
        <f t="shared" si="43"/>
        <v>1.58</v>
      </c>
      <c r="R160" s="135">
        <f t="shared" si="43"/>
        <v>1.58</v>
      </c>
      <c r="S160" s="135">
        <f t="shared" si="43"/>
        <v>1.58</v>
      </c>
      <c r="T160" s="135">
        <f t="shared" si="44"/>
        <v>1.58</v>
      </c>
      <c r="U160" s="135">
        <f t="shared" si="44"/>
        <v>1.58</v>
      </c>
      <c r="V160" s="135">
        <f t="shared" si="44"/>
        <v>1.58</v>
      </c>
      <c r="W160" s="135">
        <f t="shared" si="44"/>
        <v>1.58</v>
      </c>
      <c r="X160" s="135">
        <f t="shared" si="44"/>
        <v>1.58</v>
      </c>
      <c r="Y160" s="135">
        <f t="shared" si="44"/>
        <v>1.58</v>
      </c>
      <c r="Z160" s="135">
        <f t="shared" si="44"/>
        <v>1.58</v>
      </c>
      <c r="AA160" s="135">
        <f t="shared" si="44"/>
        <v>1.58</v>
      </c>
      <c r="AB160" s="135">
        <f t="shared" si="44"/>
        <v>1.58</v>
      </c>
      <c r="AC160" s="135">
        <f t="shared" si="44"/>
        <v>1.58</v>
      </c>
      <c r="AD160" s="135">
        <f t="shared" si="44"/>
        <v>1.58</v>
      </c>
      <c r="AE160" s="135">
        <f t="shared" si="44"/>
        <v>1.58</v>
      </c>
      <c r="AF160" s="135">
        <f t="shared" si="44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2"/>
        <v>2</v>
      </c>
      <c r="C161" s="136">
        <v>2</v>
      </c>
      <c r="D161" s="135">
        <f t="shared" si="43"/>
        <v>2</v>
      </c>
      <c r="E161" s="135">
        <f t="shared" si="43"/>
        <v>2</v>
      </c>
      <c r="F161" s="135">
        <f t="shared" si="43"/>
        <v>2</v>
      </c>
      <c r="G161" s="135">
        <f t="shared" si="43"/>
        <v>2</v>
      </c>
      <c r="H161" s="135">
        <f t="shared" si="43"/>
        <v>2</v>
      </c>
      <c r="I161" s="135">
        <f t="shared" si="43"/>
        <v>2</v>
      </c>
      <c r="J161" s="135">
        <f t="shared" si="43"/>
        <v>2</v>
      </c>
      <c r="K161" s="135">
        <f t="shared" si="43"/>
        <v>2</v>
      </c>
      <c r="L161" s="135">
        <f t="shared" si="43"/>
        <v>2</v>
      </c>
      <c r="M161" s="135">
        <f t="shared" si="43"/>
        <v>2</v>
      </c>
      <c r="N161" s="135">
        <f t="shared" si="43"/>
        <v>2</v>
      </c>
      <c r="O161" s="135">
        <f t="shared" si="43"/>
        <v>2</v>
      </c>
      <c r="P161" s="135">
        <f t="shared" si="43"/>
        <v>2</v>
      </c>
      <c r="Q161" s="135">
        <f t="shared" si="43"/>
        <v>2</v>
      </c>
      <c r="R161" s="135">
        <f t="shared" si="43"/>
        <v>2</v>
      </c>
      <c r="S161" s="135">
        <f t="shared" si="43"/>
        <v>2</v>
      </c>
      <c r="T161" s="135">
        <f t="shared" si="44"/>
        <v>2</v>
      </c>
      <c r="U161" s="135">
        <f t="shared" si="44"/>
        <v>2</v>
      </c>
      <c r="V161" s="135">
        <f t="shared" si="44"/>
        <v>2</v>
      </c>
      <c r="W161" s="135">
        <f t="shared" si="44"/>
        <v>2</v>
      </c>
      <c r="X161" s="135">
        <f t="shared" si="44"/>
        <v>2</v>
      </c>
      <c r="Y161" s="135">
        <f t="shared" si="44"/>
        <v>2</v>
      </c>
      <c r="Z161" s="135">
        <f t="shared" si="44"/>
        <v>2</v>
      </c>
      <c r="AA161" s="135">
        <f t="shared" si="44"/>
        <v>2</v>
      </c>
      <c r="AB161" s="135">
        <f t="shared" si="44"/>
        <v>2</v>
      </c>
      <c r="AC161" s="135">
        <f t="shared" si="44"/>
        <v>2</v>
      </c>
      <c r="AD161" s="135">
        <f t="shared" si="44"/>
        <v>2</v>
      </c>
      <c r="AE161" s="135">
        <f t="shared" si="44"/>
        <v>2</v>
      </c>
      <c r="AF161" s="135">
        <f t="shared" si="44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2"/>
        <v>0.47</v>
      </c>
      <c r="C162" s="136">
        <v>0.47</v>
      </c>
      <c r="D162" s="135">
        <f t="shared" si="43"/>
        <v>0.47</v>
      </c>
      <c r="E162" s="135">
        <f t="shared" si="43"/>
        <v>0.47</v>
      </c>
      <c r="F162" s="135">
        <f t="shared" si="43"/>
        <v>0.47</v>
      </c>
      <c r="G162" s="135">
        <f t="shared" si="43"/>
        <v>0.47</v>
      </c>
      <c r="H162" s="135">
        <f t="shared" si="43"/>
        <v>0.47</v>
      </c>
      <c r="I162" s="135">
        <f t="shared" si="43"/>
        <v>0.47</v>
      </c>
      <c r="J162" s="135">
        <f t="shared" si="43"/>
        <v>0.47</v>
      </c>
      <c r="K162" s="135">
        <f t="shared" si="43"/>
        <v>0.47</v>
      </c>
      <c r="L162" s="135">
        <f t="shared" si="43"/>
        <v>0.47</v>
      </c>
      <c r="M162" s="135">
        <f t="shared" si="43"/>
        <v>0.47</v>
      </c>
      <c r="N162" s="135">
        <f t="shared" si="43"/>
        <v>0.47</v>
      </c>
      <c r="O162" s="135">
        <f t="shared" si="43"/>
        <v>0.47</v>
      </c>
      <c r="P162" s="135">
        <f t="shared" si="43"/>
        <v>0.47</v>
      </c>
      <c r="Q162" s="135">
        <f t="shared" si="43"/>
        <v>0.47</v>
      </c>
      <c r="R162" s="135">
        <f t="shared" si="43"/>
        <v>0.47</v>
      </c>
      <c r="S162" s="135">
        <f t="shared" si="43"/>
        <v>0.47</v>
      </c>
      <c r="T162" s="135">
        <f t="shared" si="44"/>
        <v>0.47</v>
      </c>
      <c r="U162" s="135">
        <f t="shared" si="44"/>
        <v>0.47</v>
      </c>
      <c r="V162" s="135">
        <f t="shared" si="44"/>
        <v>0.47</v>
      </c>
      <c r="W162" s="135">
        <f t="shared" si="44"/>
        <v>0.47</v>
      </c>
      <c r="X162" s="135">
        <f t="shared" si="44"/>
        <v>0.47</v>
      </c>
      <c r="Y162" s="135">
        <f t="shared" si="44"/>
        <v>0.47</v>
      </c>
      <c r="Z162" s="135">
        <f t="shared" si="44"/>
        <v>0.47</v>
      </c>
      <c r="AA162" s="135">
        <f t="shared" si="44"/>
        <v>0.47</v>
      </c>
      <c r="AB162" s="135">
        <f t="shared" si="44"/>
        <v>0.47</v>
      </c>
      <c r="AC162" s="135">
        <f t="shared" si="44"/>
        <v>0.47</v>
      </c>
      <c r="AD162" s="135">
        <f t="shared" si="44"/>
        <v>0.47</v>
      </c>
      <c r="AE162" s="135">
        <f t="shared" si="44"/>
        <v>0.47</v>
      </c>
      <c r="AF162" s="135">
        <f t="shared" si="44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2"/>
        <v>0</v>
      </c>
      <c r="C163" s="136">
        <v>0</v>
      </c>
      <c r="D163" s="135">
        <f t="shared" si="43"/>
        <v>0</v>
      </c>
      <c r="E163" s="135">
        <f t="shared" si="43"/>
        <v>0</v>
      </c>
      <c r="F163" s="135">
        <f t="shared" si="43"/>
        <v>0</v>
      </c>
      <c r="G163" s="135">
        <f t="shared" si="43"/>
        <v>0</v>
      </c>
      <c r="H163" s="135">
        <f t="shared" si="43"/>
        <v>0</v>
      </c>
      <c r="I163" s="135">
        <f t="shared" si="43"/>
        <v>0</v>
      </c>
      <c r="J163" s="135">
        <f t="shared" si="43"/>
        <v>0</v>
      </c>
      <c r="K163" s="135">
        <f t="shared" si="43"/>
        <v>0</v>
      </c>
      <c r="L163" s="135">
        <f t="shared" si="43"/>
        <v>0</v>
      </c>
      <c r="M163" s="135">
        <f t="shared" si="43"/>
        <v>0</v>
      </c>
      <c r="N163" s="135">
        <f t="shared" si="43"/>
        <v>0</v>
      </c>
      <c r="O163" s="135">
        <f t="shared" si="43"/>
        <v>0</v>
      </c>
      <c r="P163" s="135">
        <f t="shared" si="43"/>
        <v>0</v>
      </c>
      <c r="Q163" s="135">
        <f t="shared" si="43"/>
        <v>0</v>
      </c>
      <c r="R163" s="135">
        <f t="shared" si="43"/>
        <v>0</v>
      </c>
      <c r="S163" s="135">
        <f t="shared" si="43"/>
        <v>0</v>
      </c>
      <c r="T163" s="135">
        <f t="shared" si="44"/>
        <v>0</v>
      </c>
      <c r="U163" s="135">
        <f t="shared" si="44"/>
        <v>0</v>
      </c>
      <c r="V163" s="135">
        <f t="shared" si="44"/>
        <v>0</v>
      </c>
      <c r="W163" s="135">
        <f t="shared" si="44"/>
        <v>0</v>
      </c>
      <c r="X163" s="135">
        <f t="shared" si="44"/>
        <v>0</v>
      </c>
      <c r="Y163" s="135">
        <f t="shared" si="44"/>
        <v>0</v>
      </c>
      <c r="Z163" s="135">
        <f t="shared" si="44"/>
        <v>0</v>
      </c>
      <c r="AA163" s="135">
        <f t="shared" si="44"/>
        <v>0</v>
      </c>
      <c r="AB163" s="135">
        <f t="shared" si="44"/>
        <v>0</v>
      </c>
      <c r="AC163" s="135">
        <f t="shared" si="44"/>
        <v>0</v>
      </c>
      <c r="AD163" s="135">
        <f t="shared" si="44"/>
        <v>0</v>
      </c>
      <c r="AE163" s="135">
        <f t="shared" si="44"/>
        <v>0</v>
      </c>
      <c r="AF163" s="135">
        <f t="shared" si="44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2"/>
        <v>0</v>
      </c>
      <c r="C164" s="136">
        <v>0</v>
      </c>
      <c r="D164" s="135">
        <f t="shared" si="43"/>
        <v>0</v>
      </c>
      <c r="E164" s="135">
        <f t="shared" si="43"/>
        <v>0</v>
      </c>
      <c r="F164" s="135">
        <f t="shared" si="43"/>
        <v>0</v>
      </c>
      <c r="G164" s="135">
        <f t="shared" si="43"/>
        <v>0</v>
      </c>
      <c r="H164" s="135">
        <f t="shared" si="43"/>
        <v>0</v>
      </c>
      <c r="I164" s="135">
        <f t="shared" si="43"/>
        <v>0</v>
      </c>
      <c r="J164" s="135">
        <f t="shared" si="43"/>
        <v>0</v>
      </c>
      <c r="K164" s="135">
        <f t="shared" si="43"/>
        <v>0</v>
      </c>
      <c r="L164" s="135">
        <f t="shared" si="43"/>
        <v>0</v>
      </c>
      <c r="M164" s="135">
        <f t="shared" si="43"/>
        <v>0</v>
      </c>
      <c r="N164" s="135">
        <f t="shared" si="43"/>
        <v>0</v>
      </c>
      <c r="O164" s="135">
        <f t="shared" si="43"/>
        <v>0</v>
      </c>
      <c r="P164" s="135">
        <f t="shared" si="43"/>
        <v>0</v>
      </c>
      <c r="Q164" s="135">
        <f t="shared" si="43"/>
        <v>0</v>
      </c>
      <c r="R164" s="135">
        <f t="shared" si="43"/>
        <v>0</v>
      </c>
      <c r="S164" s="135">
        <f t="shared" si="44"/>
        <v>0</v>
      </c>
      <c r="T164" s="135">
        <f t="shared" si="44"/>
        <v>0</v>
      </c>
      <c r="U164" s="135">
        <f t="shared" si="44"/>
        <v>0</v>
      </c>
      <c r="V164" s="135">
        <f t="shared" si="44"/>
        <v>0</v>
      </c>
      <c r="W164" s="135">
        <f t="shared" si="44"/>
        <v>0</v>
      </c>
      <c r="X164" s="135">
        <f t="shared" si="44"/>
        <v>0</v>
      </c>
      <c r="Y164" s="135">
        <f t="shared" si="44"/>
        <v>0</v>
      </c>
      <c r="Z164" s="135">
        <f t="shared" si="44"/>
        <v>0</v>
      </c>
      <c r="AA164" s="135">
        <f t="shared" si="44"/>
        <v>0</v>
      </c>
      <c r="AB164" s="135">
        <f t="shared" si="44"/>
        <v>0</v>
      </c>
      <c r="AC164" s="135">
        <f t="shared" si="44"/>
        <v>0</v>
      </c>
      <c r="AD164" s="135">
        <f t="shared" si="44"/>
        <v>0</v>
      </c>
      <c r="AE164" s="135">
        <f t="shared" si="44"/>
        <v>0</v>
      </c>
      <c r="AF164" s="135">
        <f t="shared" si="44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2"/>
        <v>0.8</v>
      </c>
      <c r="C165" s="136">
        <v>0.8</v>
      </c>
      <c r="D165" s="135">
        <f t="shared" si="43"/>
        <v>0.8</v>
      </c>
      <c r="E165" s="135">
        <f t="shared" si="43"/>
        <v>0.8</v>
      </c>
      <c r="F165" s="135">
        <f t="shared" si="43"/>
        <v>0.8</v>
      </c>
      <c r="G165" s="135">
        <f t="shared" si="43"/>
        <v>0.8</v>
      </c>
      <c r="H165" s="135">
        <f t="shared" si="43"/>
        <v>0.8</v>
      </c>
      <c r="I165" s="135">
        <f t="shared" si="43"/>
        <v>0.8</v>
      </c>
      <c r="J165" s="135">
        <f t="shared" si="43"/>
        <v>0.8</v>
      </c>
      <c r="K165" s="135">
        <f t="shared" si="43"/>
        <v>0.8</v>
      </c>
      <c r="L165" s="135">
        <f t="shared" si="43"/>
        <v>0.8</v>
      </c>
      <c r="M165" s="135">
        <f t="shared" si="43"/>
        <v>0.8</v>
      </c>
      <c r="N165" s="135">
        <f t="shared" si="43"/>
        <v>0.8</v>
      </c>
      <c r="O165" s="135">
        <f t="shared" si="43"/>
        <v>0.8</v>
      </c>
      <c r="P165" s="135">
        <f t="shared" si="43"/>
        <v>0.8</v>
      </c>
      <c r="Q165" s="135">
        <f t="shared" si="43"/>
        <v>0.8</v>
      </c>
      <c r="R165" s="135">
        <f t="shared" si="43"/>
        <v>0.8</v>
      </c>
      <c r="S165" s="135">
        <f t="shared" si="44"/>
        <v>0.8</v>
      </c>
      <c r="T165" s="135">
        <f t="shared" si="44"/>
        <v>0.8</v>
      </c>
      <c r="U165" s="135">
        <f t="shared" si="44"/>
        <v>0.8</v>
      </c>
      <c r="V165" s="135">
        <f t="shared" si="44"/>
        <v>0.8</v>
      </c>
      <c r="W165" s="135">
        <f t="shared" si="44"/>
        <v>0.8</v>
      </c>
      <c r="X165" s="135">
        <f t="shared" si="44"/>
        <v>0.8</v>
      </c>
      <c r="Y165" s="135">
        <f t="shared" si="44"/>
        <v>0.8</v>
      </c>
      <c r="Z165" s="135">
        <f t="shared" si="44"/>
        <v>0.8</v>
      </c>
      <c r="AA165" s="135">
        <f t="shared" si="44"/>
        <v>0.8</v>
      </c>
      <c r="AB165" s="135">
        <f t="shared" si="44"/>
        <v>0.8</v>
      </c>
      <c r="AC165" s="135">
        <f t="shared" si="44"/>
        <v>0.8</v>
      </c>
      <c r="AD165" s="135">
        <f t="shared" si="44"/>
        <v>0.8</v>
      </c>
      <c r="AE165" s="135">
        <f t="shared" si="44"/>
        <v>0.8</v>
      </c>
      <c r="AF165" s="135">
        <f t="shared" si="44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2"/>
        <v>1.5</v>
      </c>
      <c r="C166" s="136">
        <v>1.5</v>
      </c>
      <c r="D166" s="135">
        <f t="shared" si="43"/>
        <v>1.5</v>
      </c>
      <c r="E166" s="135">
        <f t="shared" si="43"/>
        <v>1.5</v>
      </c>
      <c r="F166" s="135">
        <f t="shared" si="43"/>
        <v>1.5</v>
      </c>
      <c r="G166" s="135">
        <f t="shared" si="43"/>
        <v>1.5</v>
      </c>
      <c r="H166" s="135">
        <f t="shared" si="43"/>
        <v>1.5</v>
      </c>
      <c r="I166" s="135">
        <f t="shared" si="43"/>
        <v>1.5</v>
      </c>
      <c r="J166" s="135">
        <f t="shared" si="43"/>
        <v>1.5</v>
      </c>
      <c r="K166" s="135">
        <f t="shared" si="43"/>
        <v>1.5</v>
      </c>
      <c r="L166" s="135">
        <f t="shared" si="43"/>
        <v>1.5</v>
      </c>
      <c r="M166" s="135">
        <f t="shared" si="43"/>
        <v>1.5</v>
      </c>
      <c r="N166" s="135">
        <f t="shared" si="43"/>
        <v>1.5</v>
      </c>
      <c r="O166" s="135">
        <f t="shared" si="43"/>
        <v>1.5</v>
      </c>
      <c r="P166" s="135">
        <f t="shared" si="43"/>
        <v>1.5</v>
      </c>
      <c r="Q166" s="135">
        <f t="shared" si="43"/>
        <v>1.5</v>
      </c>
      <c r="R166" s="135">
        <f t="shared" si="43"/>
        <v>1.5</v>
      </c>
      <c r="S166" s="135">
        <f t="shared" si="44"/>
        <v>1.5</v>
      </c>
      <c r="T166" s="135">
        <f t="shared" si="44"/>
        <v>1.5</v>
      </c>
      <c r="U166" s="135">
        <f t="shared" si="44"/>
        <v>1.5</v>
      </c>
      <c r="V166" s="135">
        <f t="shared" si="44"/>
        <v>1.5</v>
      </c>
      <c r="W166" s="135">
        <f t="shared" si="44"/>
        <v>1.5</v>
      </c>
      <c r="X166" s="135">
        <f t="shared" si="44"/>
        <v>1.5</v>
      </c>
      <c r="Y166" s="135">
        <f t="shared" si="44"/>
        <v>1.5</v>
      </c>
      <c r="Z166" s="135">
        <f t="shared" si="44"/>
        <v>1.5</v>
      </c>
      <c r="AA166" s="135">
        <f t="shared" si="44"/>
        <v>1.5</v>
      </c>
      <c r="AB166" s="135">
        <f t="shared" si="44"/>
        <v>1.5</v>
      </c>
      <c r="AC166" s="135">
        <f t="shared" si="44"/>
        <v>1.5</v>
      </c>
      <c r="AD166" s="135">
        <f t="shared" si="44"/>
        <v>1.5</v>
      </c>
      <c r="AE166" s="135">
        <f t="shared" si="44"/>
        <v>1.5</v>
      </c>
      <c r="AF166" s="135">
        <f t="shared" si="44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2"/>
        <v>1</v>
      </c>
      <c r="C167" s="136">
        <v>1</v>
      </c>
      <c r="D167" s="135">
        <f t="shared" si="43"/>
        <v>1</v>
      </c>
      <c r="E167" s="135">
        <f t="shared" si="43"/>
        <v>1</v>
      </c>
      <c r="F167" s="135">
        <f t="shared" si="43"/>
        <v>1</v>
      </c>
      <c r="G167" s="135">
        <f t="shared" si="43"/>
        <v>1</v>
      </c>
      <c r="H167" s="135">
        <f t="shared" si="43"/>
        <v>1</v>
      </c>
      <c r="I167" s="135">
        <f t="shared" si="43"/>
        <v>1</v>
      </c>
      <c r="J167" s="135">
        <f t="shared" si="43"/>
        <v>1</v>
      </c>
      <c r="K167" s="135">
        <f t="shared" si="43"/>
        <v>1</v>
      </c>
      <c r="L167" s="135">
        <f t="shared" si="43"/>
        <v>1</v>
      </c>
      <c r="M167" s="135">
        <f t="shared" si="43"/>
        <v>1</v>
      </c>
      <c r="N167" s="135">
        <f t="shared" si="43"/>
        <v>1</v>
      </c>
      <c r="O167" s="135">
        <f t="shared" si="43"/>
        <v>1</v>
      </c>
      <c r="P167" s="135">
        <f t="shared" si="43"/>
        <v>1</v>
      </c>
      <c r="Q167" s="135">
        <f t="shared" si="43"/>
        <v>1</v>
      </c>
      <c r="R167" s="135">
        <f t="shared" si="43"/>
        <v>1</v>
      </c>
      <c r="S167" s="135">
        <f t="shared" si="44"/>
        <v>1</v>
      </c>
      <c r="T167" s="135">
        <f t="shared" si="44"/>
        <v>1</v>
      </c>
      <c r="U167" s="135">
        <f t="shared" si="44"/>
        <v>1</v>
      </c>
      <c r="V167" s="135">
        <f t="shared" si="44"/>
        <v>1</v>
      </c>
      <c r="W167" s="135">
        <f t="shared" si="44"/>
        <v>1</v>
      </c>
      <c r="X167" s="135">
        <f t="shared" si="44"/>
        <v>1</v>
      </c>
      <c r="Y167" s="135">
        <f t="shared" si="44"/>
        <v>1</v>
      </c>
      <c r="Z167" s="135">
        <f t="shared" si="44"/>
        <v>1</v>
      </c>
      <c r="AA167" s="135">
        <f t="shared" si="44"/>
        <v>1</v>
      </c>
      <c r="AB167" s="135">
        <f t="shared" si="44"/>
        <v>1</v>
      </c>
      <c r="AC167" s="135">
        <f t="shared" si="44"/>
        <v>1</v>
      </c>
      <c r="AD167" s="135">
        <f t="shared" si="44"/>
        <v>1</v>
      </c>
      <c r="AE167" s="135">
        <f t="shared" si="44"/>
        <v>1</v>
      </c>
      <c r="AF167" s="135">
        <f t="shared" si="44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5">AF169</f>
        <v>1</v>
      </c>
      <c r="C169" s="136">
        <v>1</v>
      </c>
      <c r="D169" s="135">
        <f t="shared" ref="D169:S176" si="46">C169</f>
        <v>1</v>
      </c>
      <c r="E169" s="135">
        <f t="shared" si="46"/>
        <v>1</v>
      </c>
      <c r="F169" s="135">
        <f t="shared" si="46"/>
        <v>1</v>
      </c>
      <c r="G169" s="135">
        <f t="shared" si="46"/>
        <v>1</v>
      </c>
      <c r="H169" s="135">
        <f t="shared" si="46"/>
        <v>1</v>
      </c>
      <c r="I169" s="135">
        <f t="shared" si="46"/>
        <v>1</v>
      </c>
      <c r="J169" s="135">
        <f t="shared" si="46"/>
        <v>1</v>
      </c>
      <c r="K169" s="135">
        <f t="shared" si="46"/>
        <v>1</v>
      </c>
      <c r="L169" s="135">
        <f t="shared" si="46"/>
        <v>1</v>
      </c>
      <c r="M169" s="135">
        <f t="shared" si="46"/>
        <v>1</v>
      </c>
      <c r="N169" s="135">
        <f t="shared" si="46"/>
        <v>1</v>
      </c>
      <c r="O169" s="135">
        <f t="shared" si="46"/>
        <v>1</v>
      </c>
      <c r="P169" s="135">
        <f t="shared" si="46"/>
        <v>1</v>
      </c>
      <c r="Q169" s="135">
        <f t="shared" si="46"/>
        <v>1</v>
      </c>
      <c r="R169" s="135">
        <f t="shared" si="46"/>
        <v>1</v>
      </c>
      <c r="S169" s="135">
        <f t="shared" si="46"/>
        <v>1</v>
      </c>
      <c r="T169" s="135">
        <f t="shared" ref="S169:AF176" si="47">S169</f>
        <v>1</v>
      </c>
      <c r="U169" s="135">
        <f t="shared" si="47"/>
        <v>1</v>
      </c>
      <c r="V169" s="135">
        <f t="shared" si="47"/>
        <v>1</v>
      </c>
      <c r="W169" s="135">
        <f t="shared" si="47"/>
        <v>1</v>
      </c>
      <c r="X169" s="135">
        <f t="shared" si="47"/>
        <v>1</v>
      </c>
      <c r="Y169" s="135">
        <f t="shared" si="47"/>
        <v>1</v>
      </c>
      <c r="Z169" s="135">
        <f t="shared" si="47"/>
        <v>1</v>
      </c>
      <c r="AA169" s="135">
        <f t="shared" si="47"/>
        <v>1</v>
      </c>
      <c r="AB169" s="135">
        <f t="shared" si="47"/>
        <v>1</v>
      </c>
      <c r="AC169" s="135">
        <f t="shared" si="47"/>
        <v>1</v>
      </c>
      <c r="AD169" s="135">
        <f t="shared" si="47"/>
        <v>1</v>
      </c>
      <c r="AE169" s="135">
        <f t="shared" si="47"/>
        <v>1</v>
      </c>
      <c r="AF169" s="135">
        <f t="shared" si="47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5"/>
        <v>0.42</v>
      </c>
      <c r="C170" s="136">
        <v>0.42</v>
      </c>
      <c r="D170" s="135">
        <f t="shared" si="46"/>
        <v>0.42</v>
      </c>
      <c r="E170" s="135">
        <f t="shared" si="46"/>
        <v>0.42</v>
      </c>
      <c r="F170" s="135">
        <f t="shared" si="46"/>
        <v>0.42</v>
      </c>
      <c r="G170" s="135">
        <f t="shared" si="46"/>
        <v>0.42</v>
      </c>
      <c r="H170" s="135">
        <f t="shared" si="46"/>
        <v>0.42</v>
      </c>
      <c r="I170" s="135">
        <f t="shared" si="46"/>
        <v>0.42</v>
      </c>
      <c r="J170" s="135">
        <f t="shared" si="46"/>
        <v>0.42</v>
      </c>
      <c r="K170" s="135">
        <f t="shared" si="46"/>
        <v>0.42</v>
      </c>
      <c r="L170" s="135">
        <f t="shared" si="46"/>
        <v>0.42</v>
      </c>
      <c r="M170" s="135">
        <f t="shared" si="46"/>
        <v>0.42</v>
      </c>
      <c r="N170" s="135">
        <f t="shared" si="46"/>
        <v>0.42</v>
      </c>
      <c r="O170" s="135">
        <f t="shared" si="46"/>
        <v>0.42</v>
      </c>
      <c r="P170" s="135">
        <f t="shared" si="46"/>
        <v>0.42</v>
      </c>
      <c r="Q170" s="135">
        <f t="shared" si="46"/>
        <v>0.42</v>
      </c>
      <c r="R170" s="135">
        <f t="shared" si="46"/>
        <v>0.42</v>
      </c>
      <c r="S170" s="135">
        <f t="shared" si="47"/>
        <v>0.42</v>
      </c>
      <c r="T170" s="135">
        <f t="shared" si="47"/>
        <v>0.42</v>
      </c>
      <c r="U170" s="135">
        <f t="shared" si="47"/>
        <v>0.42</v>
      </c>
      <c r="V170" s="135">
        <f t="shared" si="47"/>
        <v>0.42</v>
      </c>
      <c r="W170" s="135">
        <f t="shared" si="47"/>
        <v>0.42</v>
      </c>
      <c r="X170" s="135">
        <f t="shared" si="47"/>
        <v>0.42</v>
      </c>
      <c r="Y170" s="135">
        <f t="shared" si="47"/>
        <v>0.42</v>
      </c>
      <c r="Z170" s="135">
        <f t="shared" si="47"/>
        <v>0.42</v>
      </c>
      <c r="AA170" s="135">
        <f t="shared" si="47"/>
        <v>0.42</v>
      </c>
      <c r="AB170" s="135">
        <f t="shared" si="47"/>
        <v>0.42</v>
      </c>
      <c r="AC170" s="135">
        <f t="shared" si="47"/>
        <v>0.42</v>
      </c>
      <c r="AD170" s="135">
        <f t="shared" si="47"/>
        <v>0.42</v>
      </c>
      <c r="AE170" s="135">
        <f t="shared" si="47"/>
        <v>0.42</v>
      </c>
      <c r="AF170" s="135">
        <f t="shared" si="47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5"/>
        <v>0.46</v>
      </c>
      <c r="C171" s="136">
        <v>0.46</v>
      </c>
      <c r="D171" s="135">
        <f t="shared" si="46"/>
        <v>0.46</v>
      </c>
      <c r="E171" s="135">
        <f t="shared" si="46"/>
        <v>0.46</v>
      </c>
      <c r="F171" s="135">
        <f t="shared" si="46"/>
        <v>0.46</v>
      </c>
      <c r="G171" s="135">
        <f t="shared" si="46"/>
        <v>0.46</v>
      </c>
      <c r="H171" s="135">
        <f t="shared" si="46"/>
        <v>0.46</v>
      </c>
      <c r="I171" s="135">
        <f t="shared" si="46"/>
        <v>0.46</v>
      </c>
      <c r="J171" s="135">
        <f t="shared" si="46"/>
        <v>0.46</v>
      </c>
      <c r="K171" s="135">
        <f t="shared" si="46"/>
        <v>0.46</v>
      </c>
      <c r="L171" s="135">
        <f t="shared" si="46"/>
        <v>0.46</v>
      </c>
      <c r="M171" s="135">
        <f t="shared" si="46"/>
        <v>0.46</v>
      </c>
      <c r="N171" s="135">
        <f t="shared" si="46"/>
        <v>0.46</v>
      </c>
      <c r="O171" s="135">
        <f t="shared" si="46"/>
        <v>0.46</v>
      </c>
      <c r="P171" s="135">
        <f t="shared" si="46"/>
        <v>0.46</v>
      </c>
      <c r="Q171" s="135">
        <f t="shared" si="46"/>
        <v>0.46</v>
      </c>
      <c r="R171" s="135">
        <f t="shared" si="46"/>
        <v>0.46</v>
      </c>
      <c r="S171" s="135">
        <f t="shared" si="47"/>
        <v>0.46</v>
      </c>
      <c r="T171" s="135">
        <f t="shared" si="47"/>
        <v>0.46</v>
      </c>
      <c r="U171" s="135">
        <f t="shared" si="47"/>
        <v>0.46</v>
      </c>
      <c r="V171" s="135">
        <f t="shared" si="47"/>
        <v>0.46</v>
      </c>
      <c r="W171" s="135">
        <f t="shared" si="47"/>
        <v>0.46</v>
      </c>
      <c r="X171" s="135">
        <f t="shared" si="47"/>
        <v>0.46</v>
      </c>
      <c r="Y171" s="135">
        <f t="shared" si="47"/>
        <v>0.46</v>
      </c>
      <c r="Z171" s="135">
        <f t="shared" si="47"/>
        <v>0.46</v>
      </c>
      <c r="AA171" s="135">
        <f t="shared" si="47"/>
        <v>0.46</v>
      </c>
      <c r="AB171" s="135">
        <f t="shared" si="47"/>
        <v>0.46</v>
      </c>
      <c r="AC171" s="135">
        <f t="shared" si="47"/>
        <v>0.46</v>
      </c>
      <c r="AD171" s="135">
        <f t="shared" si="47"/>
        <v>0.46</v>
      </c>
      <c r="AE171" s="135">
        <f t="shared" si="47"/>
        <v>0.46</v>
      </c>
      <c r="AF171" s="135">
        <f t="shared" si="47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5"/>
        <v>0.85</v>
      </c>
      <c r="C172" s="136">
        <v>0.85</v>
      </c>
      <c r="D172" s="135">
        <f t="shared" si="46"/>
        <v>0.85</v>
      </c>
      <c r="E172" s="135">
        <f t="shared" si="46"/>
        <v>0.85</v>
      </c>
      <c r="F172" s="135">
        <f t="shared" si="46"/>
        <v>0.85</v>
      </c>
      <c r="G172" s="135">
        <f t="shared" si="46"/>
        <v>0.85</v>
      </c>
      <c r="H172" s="135">
        <f t="shared" si="46"/>
        <v>0.85</v>
      </c>
      <c r="I172" s="135">
        <f t="shared" si="46"/>
        <v>0.85</v>
      </c>
      <c r="J172" s="135">
        <f t="shared" si="46"/>
        <v>0.85</v>
      </c>
      <c r="K172" s="135">
        <f t="shared" si="46"/>
        <v>0.85</v>
      </c>
      <c r="L172" s="135">
        <f t="shared" si="46"/>
        <v>0.85</v>
      </c>
      <c r="M172" s="135">
        <f t="shared" si="46"/>
        <v>0.85</v>
      </c>
      <c r="N172" s="135">
        <f t="shared" si="46"/>
        <v>0.85</v>
      </c>
      <c r="O172" s="135">
        <f t="shared" si="46"/>
        <v>0.85</v>
      </c>
      <c r="P172" s="135">
        <f t="shared" si="46"/>
        <v>0.85</v>
      </c>
      <c r="Q172" s="135">
        <f t="shared" si="46"/>
        <v>0.85</v>
      </c>
      <c r="R172" s="135">
        <f t="shared" si="46"/>
        <v>0.85</v>
      </c>
      <c r="S172" s="135">
        <f t="shared" si="47"/>
        <v>0.85</v>
      </c>
      <c r="T172" s="135">
        <f t="shared" si="47"/>
        <v>0.85</v>
      </c>
      <c r="U172" s="135">
        <f t="shared" si="47"/>
        <v>0.85</v>
      </c>
      <c r="V172" s="135">
        <f t="shared" si="47"/>
        <v>0.85</v>
      </c>
      <c r="W172" s="135">
        <f t="shared" si="47"/>
        <v>0.85</v>
      </c>
      <c r="X172" s="135">
        <f t="shared" si="47"/>
        <v>0.85</v>
      </c>
      <c r="Y172" s="135">
        <f t="shared" si="47"/>
        <v>0.85</v>
      </c>
      <c r="Z172" s="135">
        <f t="shared" si="47"/>
        <v>0.85</v>
      </c>
      <c r="AA172" s="135">
        <f t="shared" si="47"/>
        <v>0.85</v>
      </c>
      <c r="AB172" s="135">
        <f t="shared" si="47"/>
        <v>0.85</v>
      </c>
      <c r="AC172" s="135">
        <f t="shared" si="47"/>
        <v>0.85</v>
      </c>
      <c r="AD172" s="135">
        <f t="shared" si="47"/>
        <v>0.85</v>
      </c>
      <c r="AE172" s="135">
        <f t="shared" si="47"/>
        <v>0.85</v>
      </c>
      <c r="AF172" s="135">
        <f t="shared" si="47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5"/>
        <v>0.9</v>
      </c>
      <c r="C173" s="136">
        <v>0.9</v>
      </c>
      <c r="D173" s="135">
        <f t="shared" si="46"/>
        <v>0.9</v>
      </c>
      <c r="E173" s="135">
        <f t="shared" si="46"/>
        <v>0.9</v>
      </c>
      <c r="F173" s="135">
        <f t="shared" si="46"/>
        <v>0.9</v>
      </c>
      <c r="G173" s="135">
        <f t="shared" si="46"/>
        <v>0.9</v>
      </c>
      <c r="H173" s="135">
        <f t="shared" si="46"/>
        <v>0.9</v>
      </c>
      <c r="I173" s="135">
        <f t="shared" si="46"/>
        <v>0.9</v>
      </c>
      <c r="J173" s="135">
        <f t="shared" si="46"/>
        <v>0.9</v>
      </c>
      <c r="K173" s="135">
        <f t="shared" si="46"/>
        <v>0.9</v>
      </c>
      <c r="L173" s="135">
        <f t="shared" si="46"/>
        <v>0.9</v>
      </c>
      <c r="M173" s="135">
        <f t="shared" si="46"/>
        <v>0.9</v>
      </c>
      <c r="N173" s="135">
        <f t="shared" si="46"/>
        <v>0.9</v>
      </c>
      <c r="O173" s="135">
        <f t="shared" si="46"/>
        <v>0.9</v>
      </c>
      <c r="P173" s="135">
        <f t="shared" si="46"/>
        <v>0.9</v>
      </c>
      <c r="Q173" s="135">
        <f t="shared" si="46"/>
        <v>0.9</v>
      </c>
      <c r="R173" s="135">
        <f t="shared" si="46"/>
        <v>0.9</v>
      </c>
      <c r="S173" s="135">
        <f t="shared" si="47"/>
        <v>0.9</v>
      </c>
      <c r="T173" s="135">
        <f t="shared" si="47"/>
        <v>0.9</v>
      </c>
      <c r="U173" s="135">
        <f t="shared" si="47"/>
        <v>0.9</v>
      </c>
      <c r="V173" s="135">
        <f t="shared" si="47"/>
        <v>0.9</v>
      </c>
      <c r="W173" s="135">
        <f t="shared" si="47"/>
        <v>0.9</v>
      </c>
      <c r="X173" s="135">
        <f t="shared" si="47"/>
        <v>0.9</v>
      </c>
      <c r="Y173" s="135">
        <f t="shared" si="47"/>
        <v>0.9</v>
      </c>
      <c r="Z173" s="135">
        <f t="shared" si="47"/>
        <v>0.9</v>
      </c>
      <c r="AA173" s="135">
        <f t="shared" si="47"/>
        <v>0.9</v>
      </c>
      <c r="AB173" s="135">
        <f t="shared" si="47"/>
        <v>0.9</v>
      </c>
      <c r="AC173" s="135">
        <f t="shared" si="47"/>
        <v>0.9</v>
      </c>
      <c r="AD173" s="135">
        <f t="shared" si="47"/>
        <v>0.9</v>
      </c>
      <c r="AE173" s="135">
        <f t="shared" si="47"/>
        <v>0.9</v>
      </c>
      <c r="AF173" s="135">
        <f t="shared" si="47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5"/>
        <v>0.44</v>
      </c>
      <c r="C174" s="136">
        <v>0.44</v>
      </c>
      <c r="D174" s="135">
        <f t="shared" si="46"/>
        <v>0.44</v>
      </c>
      <c r="E174" s="135">
        <f t="shared" si="46"/>
        <v>0.44</v>
      </c>
      <c r="F174" s="135">
        <f t="shared" si="46"/>
        <v>0.44</v>
      </c>
      <c r="G174" s="135">
        <f t="shared" si="46"/>
        <v>0.44</v>
      </c>
      <c r="H174" s="135">
        <f t="shared" si="46"/>
        <v>0.44</v>
      </c>
      <c r="I174" s="135">
        <f t="shared" si="46"/>
        <v>0.44</v>
      </c>
      <c r="J174" s="135">
        <f t="shared" si="46"/>
        <v>0.44</v>
      </c>
      <c r="K174" s="135">
        <f t="shared" si="46"/>
        <v>0.44</v>
      </c>
      <c r="L174" s="135">
        <f t="shared" si="46"/>
        <v>0.44</v>
      </c>
      <c r="M174" s="135">
        <f t="shared" si="46"/>
        <v>0.44</v>
      </c>
      <c r="N174" s="135">
        <f t="shared" si="46"/>
        <v>0.44</v>
      </c>
      <c r="O174" s="135">
        <f t="shared" si="46"/>
        <v>0.44</v>
      </c>
      <c r="P174" s="135">
        <f t="shared" si="46"/>
        <v>0.44</v>
      </c>
      <c r="Q174" s="135">
        <f t="shared" si="46"/>
        <v>0.44</v>
      </c>
      <c r="R174" s="135">
        <f t="shared" si="46"/>
        <v>0.44</v>
      </c>
      <c r="S174" s="135">
        <f t="shared" si="47"/>
        <v>0.44</v>
      </c>
      <c r="T174" s="135">
        <f t="shared" si="47"/>
        <v>0.44</v>
      </c>
      <c r="U174" s="135">
        <f t="shared" si="47"/>
        <v>0.44</v>
      </c>
      <c r="V174" s="135">
        <f t="shared" si="47"/>
        <v>0.44</v>
      </c>
      <c r="W174" s="135">
        <f t="shared" si="47"/>
        <v>0.44</v>
      </c>
      <c r="X174" s="135">
        <f t="shared" si="47"/>
        <v>0.44</v>
      </c>
      <c r="Y174" s="135">
        <f t="shared" si="47"/>
        <v>0.44</v>
      </c>
      <c r="Z174" s="135">
        <f t="shared" si="47"/>
        <v>0.44</v>
      </c>
      <c r="AA174" s="135">
        <f t="shared" si="47"/>
        <v>0.44</v>
      </c>
      <c r="AB174" s="135">
        <f t="shared" si="47"/>
        <v>0.44</v>
      </c>
      <c r="AC174" s="135">
        <f t="shared" si="47"/>
        <v>0.44</v>
      </c>
      <c r="AD174" s="135">
        <f t="shared" si="47"/>
        <v>0.44</v>
      </c>
      <c r="AE174" s="135">
        <f t="shared" si="47"/>
        <v>0.44</v>
      </c>
      <c r="AF174" s="135">
        <f t="shared" si="47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5"/>
        <v>2.1</v>
      </c>
      <c r="C175" s="136">
        <v>2.1</v>
      </c>
      <c r="D175" s="135">
        <f t="shared" si="46"/>
        <v>2.1</v>
      </c>
      <c r="E175" s="135">
        <f t="shared" si="46"/>
        <v>2.1</v>
      </c>
      <c r="F175" s="135">
        <f t="shared" si="46"/>
        <v>2.1</v>
      </c>
      <c r="G175" s="135">
        <f t="shared" si="46"/>
        <v>2.1</v>
      </c>
      <c r="H175" s="135">
        <f t="shared" si="46"/>
        <v>2.1</v>
      </c>
      <c r="I175" s="135">
        <f t="shared" si="46"/>
        <v>2.1</v>
      </c>
      <c r="J175" s="135">
        <f t="shared" si="46"/>
        <v>2.1</v>
      </c>
      <c r="K175" s="135">
        <f t="shared" si="46"/>
        <v>2.1</v>
      </c>
      <c r="L175" s="135">
        <f t="shared" si="46"/>
        <v>2.1</v>
      </c>
      <c r="M175" s="135">
        <f t="shared" si="46"/>
        <v>2.1</v>
      </c>
      <c r="N175" s="135">
        <f t="shared" si="46"/>
        <v>2.1</v>
      </c>
      <c r="O175" s="135">
        <f t="shared" si="46"/>
        <v>2.1</v>
      </c>
      <c r="P175" s="135">
        <f t="shared" si="46"/>
        <v>2.1</v>
      </c>
      <c r="Q175" s="135">
        <f t="shared" si="46"/>
        <v>2.1</v>
      </c>
      <c r="R175" s="135">
        <f t="shared" si="46"/>
        <v>2.1</v>
      </c>
      <c r="S175" s="135">
        <f t="shared" si="47"/>
        <v>2.1</v>
      </c>
      <c r="T175" s="135">
        <f t="shared" si="47"/>
        <v>2.1</v>
      </c>
      <c r="U175" s="135">
        <f t="shared" si="47"/>
        <v>2.1</v>
      </c>
      <c r="V175" s="135">
        <f t="shared" si="47"/>
        <v>2.1</v>
      </c>
      <c r="W175" s="135">
        <f t="shared" si="47"/>
        <v>2.1</v>
      </c>
      <c r="X175" s="135">
        <f t="shared" si="47"/>
        <v>2.1</v>
      </c>
      <c r="Y175" s="135">
        <f t="shared" si="47"/>
        <v>2.1</v>
      </c>
      <c r="Z175" s="135">
        <f t="shared" si="47"/>
        <v>2.1</v>
      </c>
      <c r="AA175" s="135">
        <f t="shared" si="47"/>
        <v>2.1</v>
      </c>
      <c r="AB175" s="135">
        <f t="shared" si="47"/>
        <v>2.1</v>
      </c>
      <c r="AC175" s="135">
        <f t="shared" si="47"/>
        <v>2.1</v>
      </c>
      <c r="AD175" s="135">
        <f t="shared" si="47"/>
        <v>2.1</v>
      </c>
      <c r="AE175" s="135">
        <f t="shared" si="47"/>
        <v>2.1</v>
      </c>
      <c r="AF175" s="135">
        <f t="shared" si="47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5"/>
        <v>0.9</v>
      </c>
      <c r="C176" s="136">
        <v>0.9</v>
      </c>
      <c r="D176" s="135">
        <f t="shared" si="46"/>
        <v>0.9</v>
      </c>
      <c r="E176" s="135">
        <f t="shared" si="46"/>
        <v>0.9</v>
      </c>
      <c r="F176" s="135">
        <f t="shared" si="46"/>
        <v>0.9</v>
      </c>
      <c r="G176" s="135">
        <f t="shared" si="46"/>
        <v>0.9</v>
      </c>
      <c r="H176" s="135">
        <f t="shared" si="46"/>
        <v>0.9</v>
      </c>
      <c r="I176" s="135">
        <f t="shared" si="46"/>
        <v>0.9</v>
      </c>
      <c r="J176" s="135">
        <f t="shared" si="46"/>
        <v>0.9</v>
      </c>
      <c r="K176" s="135">
        <f t="shared" si="46"/>
        <v>0.9</v>
      </c>
      <c r="L176" s="135">
        <f t="shared" si="46"/>
        <v>0.9</v>
      </c>
      <c r="M176" s="135">
        <f t="shared" si="46"/>
        <v>0.9</v>
      </c>
      <c r="N176" s="135">
        <f t="shared" si="46"/>
        <v>0.9</v>
      </c>
      <c r="O176" s="135">
        <f t="shared" si="46"/>
        <v>0.9</v>
      </c>
      <c r="P176" s="135">
        <f t="shared" si="46"/>
        <v>0.9</v>
      </c>
      <c r="Q176" s="135">
        <f t="shared" si="46"/>
        <v>0.9</v>
      </c>
      <c r="R176" s="135">
        <f t="shared" si="46"/>
        <v>0.9</v>
      </c>
      <c r="S176" s="135">
        <f t="shared" si="47"/>
        <v>0.9</v>
      </c>
      <c r="T176" s="135">
        <f t="shared" si="47"/>
        <v>0.9</v>
      </c>
      <c r="U176" s="135">
        <f t="shared" si="47"/>
        <v>0.9</v>
      </c>
      <c r="V176" s="135">
        <f t="shared" si="47"/>
        <v>0.9</v>
      </c>
      <c r="W176" s="135">
        <f t="shared" si="47"/>
        <v>0.9</v>
      </c>
      <c r="X176" s="135">
        <f t="shared" si="47"/>
        <v>0.9</v>
      </c>
      <c r="Y176" s="135">
        <f t="shared" si="47"/>
        <v>0.9</v>
      </c>
      <c r="Z176" s="135">
        <f t="shared" si="47"/>
        <v>0.9</v>
      </c>
      <c r="AA176" s="135">
        <f t="shared" si="47"/>
        <v>0.9</v>
      </c>
      <c r="AB176" s="135">
        <f t="shared" si="47"/>
        <v>0.9</v>
      </c>
      <c r="AC176" s="135">
        <f t="shared" si="47"/>
        <v>0.9</v>
      </c>
      <c r="AD176" s="135">
        <f t="shared" si="47"/>
        <v>0.9</v>
      </c>
      <c r="AE176" s="135">
        <f t="shared" si="47"/>
        <v>0.9</v>
      </c>
      <c r="AF176" s="135">
        <f t="shared" si="47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48">AF178</f>
        <v>0.57999999999999996</v>
      </c>
      <c r="C178" s="136">
        <v>0.57999999999999996</v>
      </c>
      <c r="D178" s="135">
        <f t="shared" ref="D178:S190" si="49">C178</f>
        <v>0.57999999999999996</v>
      </c>
      <c r="E178" s="135">
        <f t="shared" si="49"/>
        <v>0.57999999999999996</v>
      </c>
      <c r="F178" s="135">
        <f t="shared" si="49"/>
        <v>0.57999999999999996</v>
      </c>
      <c r="G178" s="135">
        <f t="shared" si="49"/>
        <v>0.57999999999999996</v>
      </c>
      <c r="H178" s="135">
        <f t="shared" si="49"/>
        <v>0.57999999999999996</v>
      </c>
      <c r="I178" s="135">
        <f t="shared" si="49"/>
        <v>0.57999999999999996</v>
      </c>
      <c r="J178" s="135">
        <f t="shared" si="49"/>
        <v>0.57999999999999996</v>
      </c>
      <c r="K178" s="135">
        <f t="shared" si="49"/>
        <v>0.57999999999999996</v>
      </c>
      <c r="L178" s="135">
        <f t="shared" si="49"/>
        <v>0.57999999999999996</v>
      </c>
      <c r="M178" s="135">
        <f t="shared" si="49"/>
        <v>0.57999999999999996</v>
      </c>
      <c r="N178" s="135">
        <f t="shared" si="49"/>
        <v>0.57999999999999996</v>
      </c>
      <c r="O178" s="135">
        <f t="shared" si="49"/>
        <v>0.57999999999999996</v>
      </c>
      <c r="P178" s="135">
        <f t="shared" si="49"/>
        <v>0.57999999999999996</v>
      </c>
      <c r="Q178" s="135">
        <f t="shared" si="49"/>
        <v>0.57999999999999996</v>
      </c>
      <c r="R178" s="135">
        <f t="shared" si="49"/>
        <v>0.57999999999999996</v>
      </c>
      <c r="S178" s="135">
        <f t="shared" si="49"/>
        <v>0.57999999999999996</v>
      </c>
      <c r="T178" s="135">
        <f t="shared" ref="S178:AF190" si="50">S178</f>
        <v>0.57999999999999996</v>
      </c>
      <c r="U178" s="135">
        <f t="shared" si="50"/>
        <v>0.57999999999999996</v>
      </c>
      <c r="V178" s="135">
        <f t="shared" si="50"/>
        <v>0.57999999999999996</v>
      </c>
      <c r="W178" s="135">
        <f t="shared" si="50"/>
        <v>0.57999999999999996</v>
      </c>
      <c r="X178" s="135">
        <f t="shared" si="50"/>
        <v>0.57999999999999996</v>
      </c>
      <c r="Y178" s="135">
        <f t="shared" si="50"/>
        <v>0.57999999999999996</v>
      </c>
      <c r="Z178" s="135">
        <f t="shared" si="50"/>
        <v>0.57999999999999996</v>
      </c>
      <c r="AA178" s="135">
        <f t="shared" si="50"/>
        <v>0.57999999999999996</v>
      </c>
      <c r="AB178" s="135">
        <f t="shared" si="50"/>
        <v>0.57999999999999996</v>
      </c>
      <c r="AC178" s="135">
        <f t="shared" si="50"/>
        <v>0.57999999999999996</v>
      </c>
      <c r="AD178" s="135">
        <f t="shared" si="50"/>
        <v>0.57999999999999996</v>
      </c>
      <c r="AE178" s="135">
        <f t="shared" si="50"/>
        <v>0.57999999999999996</v>
      </c>
      <c r="AF178" s="135">
        <f t="shared" si="50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48"/>
        <v>0.8</v>
      </c>
      <c r="C179" s="136">
        <v>0.8</v>
      </c>
      <c r="D179" s="135">
        <f t="shared" si="49"/>
        <v>0.8</v>
      </c>
      <c r="E179" s="135">
        <f t="shared" si="49"/>
        <v>0.8</v>
      </c>
      <c r="F179" s="135">
        <f t="shared" si="49"/>
        <v>0.8</v>
      </c>
      <c r="G179" s="135">
        <f t="shared" si="49"/>
        <v>0.8</v>
      </c>
      <c r="H179" s="135">
        <f t="shared" si="49"/>
        <v>0.8</v>
      </c>
      <c r="I179" s="135">
        <f t="shared" si="49"/>
        <v>0.8</v>
      </c>
      <c r="J179" s="135">
        <f t="shared" si="49"/>
        <v>0.8</v>
      </c>
      <c r="K179" s="135">
        <f t="shared" si="49"/>
        <v>0.8</v>
      </c>
      <c r="L179" s="135">
        <f t="shared" si="49"/>
        <v>0.8</v>
      </c>
      <c r="M179" s="135">
        <f t="shared" si="49"/>
        <v>0.8</v>
      </c>
      <c r="N179" s="135">
        <f t="shared" si="49"/>
        <v>0.8</v>
      </c>
      <c r="O179" s="135">
        <f t="shared" si="49"/>
        <v>0.8</v>
      </c>
      <c r="P179" s="135">
        <f t="shared" si="49"/>
        <v>0.8</v>
      </c>
      <c r="Q179" s="135">
        <f t="shared" si="49"/>
        <v>0.8</v>
      </c>
      <c r="R179" s="135">
        <f t="shared" si="49"/>
        <v>0.8</v>
      </c>
      <c r="S179" s="135">
        <f t="shared" si="49"/>
        <v>0.8</v>
      </c>
      <c r="T179" s="135">
        <f t="shared" si="50"/>
        <v>0.8</v>
      </c>
      <c r="U179" s="135">
        <f t="shared" si="50"/>
        <v>0.8</v>
      </c>
      <c r="V179" s="135">
        <f t="shared" si="50"/>
        <v>0.8</v>
      </c>
      <c r="W179" s="135">
        <f t="shared" si="50"/>
        <v>0.8</v>
      </c>
      <c r="X179" s="135">
        <f t="shared" si="50"/>
        <v>0.8</v>
      </c>
      <c r="Y179" s="135">
        <f t="shared" si="50"/>
        <v>0.8</v>
      </c>
      <c r="Z179" s="135">
        <f t="shared" si="50"/>
        <v>0.8</v>
      </c>
      <c r="AA179" s="135">
        <f t="shared" si="50"/>
        <v>0.8</v>
      </c>
      <c r="AB179" s="135">
        <f t="shared" si="50"/>
        <v>0.8</v>
      </c>
      <c r="AC179" s="135">
        <f t="shared" si="50"/>
        <v>0.8</v>
      </c>
      <c r="AD179" s="135">
        <f t="shared" si="50"/>
        <v>0.8</v>
      </c>
      <c r="AE179" s="135">
        <f t="shared" si="50"/>
        <v>0.8</v>
      </c>
      <c r="AF179" s="135">
        <f t="shared" si="50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48"/>
        <v>0</v>
      </c>
      <c r="C180" s="136">
        <v>0</v>
      </c>
      <c r="D180" s="135">
        <f t="shared" si="49"/>
        <v>0</v>
      </c>
      <c r="E180" s="135">
        <f t="shared" si="49"/>
        <v>0</v>
      </c>
      <c r="F180" s="135">
        <f t="shared" si="49"/>
        <v>0</v>
      </c>
      <c r="G180" s="135">
        <f t="shared" si="49"/>
        <v>0</v>
      </c>
      <c r="H180" s="135">
        <f t="shared" si="49"/>
        <v>0</v>
      </c>
      <c r="I180" s="135">
        <f t="shared" si="49"/>
        <v>0</v>
      </c>
      <c r="J180" s="135">
        <f t="shared" si="49"/>
        <v>0</v>
      </c>
      <c r="K180" s="135">
        <f t="shared" si="49"/>
        <v>0</v>
      </c>
      <c r="L180" s="135">
        <f t="shared" si="49"/>
        <v>0</v>
      </c>
      <c r="M180" s="135">
        <f t="shared" si="49"/>
        <v>0</v>
      </c>
      <c r="N180" s="135">
        <f t="shared" si="49"/>
        <v>0</v>
      </c>
      <c r="O180" s="135">
        <f t="shared" si="49"/>
        <v>0</v>
      </c>
      <c r="P180" s="135">
        <f t="shared" si="49"/>
        <v>0</v>
      </c>
      <c r="Q180" s="135">
        <f t="shared" si="49"/>
        <v>0</v>
      </c>
      <c r="R180" s="135">
        <f t="shared" si="49"/>
        <v>0</v>
      </c>
      <c r="S180" s="135">
        <f t="shared" si="49"/>
        <v>0</v>
      </c>
      <c r="T180" s="135">
        <f t="shared" si="50"/>
        <v>0</v>
      </c>
      <c r="U180" s="135">
        <f t="shared" si="50"/>
        <v>0</v>
      </c>
      <c r="V180" s="135">
        <f t="shared" si="50"/>
        <v>0</v>
      </c>
      <c r="W180" s="135">
        <f t="shared" si="50"/>
        <v>0</v>
      </c>
      <c r="X180" s="135">
        <f t="shared" si="50"/>
        <v>0</v>
      </c>
      <c r="Y180" s="135">
        <f t="shared" si="50"/>
        <v>0</v>
      </c>
      <c r="Z180" s="135">
        <f t="shared" si="50"/>
        <v>0</v>
      </c>
      <c r="AA180" s="135">
        <f t="shared" si="50"/>
        <v>0</v>
      </c>
      <c r="AB180" s="135">
        <f t="shared" si="50"/>
        <v>0</v>
      </c>
      <c r="AC180" s="135">
        <f t="shared" si="50"/>
        <v>0</v>
      </c>
      <c r="AD180" s="135">
        <f t="shared" si="50"/>
        <v>0</v>
      </c>
      <c r="AE180" s="135">
        <f t="shared" si="50"/>
        <v>0</v>
      </c>
      <c r="AF180" s="135">
        <f t="shared" si="50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48"/>
        <v>0.6</v>
      </c>
      <c r="C181" s="136">
        <v>0.6</v>
      </c>
      <c r="D181" s="135">
        <f t="shared" si="49"/>
        <v>0.6</v>
      </c>
      <c r="E181" s="135">
        <f t="shared" si="49"/>
        <v>0.6</v>
      </c>
      <c r="F181" s="135">
        <f t="shared" si="49"/>
        <v>0.6</v>
      </c>
      <c r="G181" s="135">
        <f t="shared" si="49"/>
        <v>0.6</v>
      </c>
      <c r="H181" s="135">
        <f t="shared" si="49"/>
        <v>0.6</v>
      </c>
      <c r="I181" s="135">
        <f t="shared" si="49"/>
        <v>0.6</v>
      </c>
      <c r="J181" s="135">
        <f t="shared" si="49"/>
        <v>0.6</v>
      </c>
      <c r="K181" s="135">
        <f t="shared" si="49"/>
        <v>0.6</v>
      </c>
      <c r="L181" s="135">
        <f t="shared" si="49"/>
        <v>0.6</v>
      </c>
      <c r="M181" s="135">
        <f t="shared" si="49"/>
        <v>0.6</v>
      </c>
      <c r="N181" s="135">
        <f t="shared" si="49"/>
        <v>0.6</v>
      </c>
      <c r="O181" s="135">
        <f t="shared" si="49"/>
        <v>0.6</v>
      </c>
      <c r="P181" s="135">
        <f t="shared" si="49"/>
        <v>0.6</v>
      </c>
      <c r="Q181" s="135">
        <f t="shared" si="49"/>
        <v>0.6</v>
      </c>
      <c r="R181" s="135">
        <f t="shared" si="49"/>
        <v>0.6</v>
      </c>
      <c r="S181" s="135">
        <f t="shared" si="49"/>
        <v>0.6</v>
      </c>
      <c r="T181" s="135">
        <f t="shared" si="50"/>
        <v>0.6</v>
      </c>
      <c r="U181" s="135">
        <f t="shared" si="50"/>
        <v>0.6</v>
      </c>
      <c r="V181" s="135">
        <f t="shared" si="50"/>
        <v>0.6</v>
      </c>
      <c r="W181" s="135">
        <f t="shared" si="50"/>
        <v>0.6</v>
      </c>
      <c r="X181" s="135">
        <f t="shared" si="50"/>
        <v>0.6</v>
      </c>
      <c r="Y181" s="135">
        <f t="shared" si="50"/>
        <v>0.6</v>
      </c>
      <c r="Z181" s="135">
        <f t="shared" si="50"/>
        <v>0.6</v>
      </c>
      <c r="AA181" s="135">
        <f t="shared" si="50"/>
        <v>0.6</v>
      </c>
      <c r="AB181" s="135">
        <f t="shared" si="50"/>
        <v>0.6</v>
      </c>
      <c r="AC181" s="135">
        <f t="shared" si="50"/>
        <v>0.6</v>
      </c>
      <c r="AD181" s="135">
        <f t="shared" si="50"/>
        <v>0.6</v>
      </c>
      <c r="AE181" s="135">
        <f t="shared" si="50"/>
        <v>0.6</v>
      </c>
      <c r="AF181" s="135">
        <f t="shared" si="50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48"/>
        <v>0.6</v>
      </c>
      <c r="C182" s="136">
        <v>0.6</v>
      </c>
      <c r="D182" s="135">
        <f t="shared" si="49"/>
        <v>0.6</v>
      </c>
      <c r="E182" s="135">
        <f t="shared" si="49"/>
        <v>0.6</v>
      </c>
      <c r="F182" s="135">
        <f t="shared" si="49"/>
        <v>0.6</v>
      </c>
      <c r="G182" s="135">
        <f t="shared" si="49"/>
        <v>0.6</v>
      </c>
      <c r="H182" s="135">
        <f t="shared" si="49"/>
        <v>0.6</v>
      </c>
      <c r="I182" s="135">
        <f t="shared" si="49"/>
        <v>0.6</v>
      </c>
      <c r="J182" s="135">
        <f t="shared" si="49"/>
        <v>0.6</v>
      </c>
      <c r="K182" s="135">
        <f t="shared" si="49"/>
        <v>0.6</v>
      </c>
      <c r="L182" s="135">
        <f t="shared" si="49"/>
        <v>0.6</v>
      </c>
      <c r="M182" s="135">
        <f t="shared" si="49"/>
        <v>0.6</v>
      </c>
      <c r="N182" s="135">
        <f t="shared" si="49"/>
        <v>0.6</v>
      </c>
      <c r="O182" s="135">
        <f t="shared" si="49"/>
        <v>0.6</v>
      </c>
      <c r="P182" s="135">
        <f t="shared" si="49"/>
        <v>0.6</v>
      </c>
      <c r="Q182" s="135">
        <f t="shared" si="49"/>
        <v>0.6</v>
      </c>
      <c r="R182" s="135">
        <f t="shared" si="49"/>
        <v>0.6</v>
      </c>
      <c r="S182" s="135">
        <f t="shared" si="49"/>
        <v>0.6</v>
      </c>
      <c r="T182" s="135">
        <f t="shared" si="50"/>
        <v>0.6</v>
      </c>
      <c r="U182" s="135">
        <f t="shared" si="50"/>
        <v>0.6</v>
      </c>
      <c r="V182" s="135">
        <f t="shared" si="50"/>
        <v>0.6</v>
      </c>
      <c r="W182" s="135">
        <f t="shared" si="50"/>
        <v>0.6</v>
      </c>
      <c r="X182" s="135">
        <f t="shared" si="50"/>
        <v>0.6</v>
      </c>
      <c r="Y182" s="135">
        <f t="shared" si="50"/>
        <v>0.6</v>
      </c>
      <c r="Z182" s="135">
        <f t="shared" si="50"/>
        <v>0.6</v>
      </c>
      <c r="AA182" s="135">
        <f t="shared" si="50"/>
        <v>0.6</v>
      </c>
      <c r="AB182" s="135">
        <f t="shared" si="50"/>
        <v>0.6</v>
      </c>
      <c r="AC182" s="135">
        <f t="shared" si="50"/>
        <v>0.6</v>
      </c>
      <c r="AD182" s="135">
        <f t="shared" si="50"/>
        <v>0.6</v>
      </c>
      <c r="AE182" s="135">
        <f t="shared" si="50"/>
        <v>0.6</v>
      </c>
      <c r="AF182" s="135">
        <f t="shared" si="50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48"/>
        <v>0.35</v>
      </c>
      <c r="C183" s="136">
        <v>0.35</v>
      </c>
      <c r="D183" s="135">
        <f t="shared" si="49"/>
        <v>0.35</v>
      </c>
      <c r="E183" s="135">
        <f t="shared" si="49"/>
        <v>0.35</v>
      </c>
      <c r="F183" s="135">
        <f t="shared" si="49"/>
        <v>0.35</v>
      </c>
      <c r="G183" s="135">
        <f t="shared" si="49"/>
        <v>0.35</v>
      </c>
      <c r="H183" s="135">
        <f t="shared" si="49"/>
        <v>0.35</v>
      </c>
      <c r="I183" s="135">
        <f t="shared" si="49"/>
        <v>0.35</v>
      </c>
      <c r="J183" s="135">
        <f t="shared" si="49"/>
        <v>0.35</v>
      </c>
      <c r="K183" s="135">
        <f t="shared" si="49"/>
        <v>0.35</v>
      </c>
      <c r="L183" s="135">
        <f t="shared" si="49"/>
        <v>0.35</v>
      </c>
      <c r="M183" s="135">
        <f t="shared" si="49"/>
        <v>0.35</v>
      </c>
      <c r="N183" s="135">
        <f t="shared" si="49"/>
        <v>0.35</v>
      </c>
      <c r="O183" s="135">
        <f t="shared" si="49"/>
        <v>0.35</v>
      </c>
      <c r="P183" s="135">
        <f t="shared" si="49"/>
        <v>0.35</v>
      </c>
      <c r="Q183" s="135">
        <f t="shared" si="49"/>
        <v>0.35</v>
      </c>
      <c r="R183" s="135">
        <f t="shared" si="49"/>
        <v>0.35</v>
      </c>
      <c r="S183" s="135">
        <f t="shared" si="49"/>
        <v>0.35</v>
      </c>
      <c r="T183" s="135">
        <f t="shared" si="50"/>
        <v>0.35</v>
      </c>
      <c r="U183" s="135">
        <f t="shared" si="50"/>
        <v>0.35</v>
      </c>
      <c r="V183" s="135">
        <f t="shared" si="50"/>
        <v>0.35</v>
      </c>
      <c r="W183" s="135">
        <f t="shared" si="50"/>
        <v>0.35</v>
      </c>
      <c r="X183" s="135">
        <f t="shared" si="50"/>
        <v>0.35</v>
      </c>
      <c r="Y183" s="135">
        <f t="shared" si="50"/>
        <v>0.35</v>
      </c>
      <c r="Z183" s="135">
        <f t="shared" si="50"/>
        <v>0.35</v>
      </c>
      <c r="AA183" s="135">
        <f t="shared" si="50"/>
        <v>0.35</v>
      </c>
      <c r="AB183" s="135">
        <f t="shared" si="50"/>
        <v>0.35</v>
      </c>
      <c r="AC183" s="135">
        <f t="shared" si="50"/>
        <v>0.35</v>
      </c>
      <c r="AD183" s="135">
        <f t="shared" si="50"/>
        <v>0.35</v>
      </c>
      <c r="AE183" s="135">
        <f t="shared" si="50"/>
        <v>0.35</v>
      </c>
      <c r="AF183" s="135">
        <f t="shared" si="50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48"/>
        <v>0.28999999999999998</v>
      </c>
      <c r="C184" s="136">
        <v>0.28999999999999998</v>
      </c>
      <c r="D184" s="135">
        <f t="shared" si="49"/>
        <v>0.28999999999999998</v>
      </c>
      <c r="E184" s="135">
        <f t="shared" si="49"/>
        <v>0.28999999999999998</v>
      </c>
      <c r="F184" s="135">
        <f t="shared" si="49"/>
        <v>0.28999999999999998</v>
      </c>
      <c r="G184" s="135">
        <f t="shared" si="49"/>
        <v>0.28999999999999998</v>
      </c>
      <c r="H184" s="135">
        <f t="shared" si="49"/>
        <v>0.28999999999999998</v>
      </c>
      <c r="I184" s="135">
        <f t="shared" si="49"/>
        <v>0.28999999999999998</v>
      </c>
      <c r="J184" s="135">
        <f t="shared" si="49"/>
        <v>0.28999999999999998</v>
      </c>
      <c r="K184" s="135">
        <f t="shared" si="49"/>
        <v>0.28999999999999998</v>
      </c>
      <c r="L184" s="135">
        <f t="shared" si="49"/>
        <v>0.28999999999999998</v>
      </c>
      <c r="M184" s="135">
        <f t="shared" si="49"/>
        <v>0.28999999999999998</v>
      </c>
      <c r="N184" s="135">
        <f t="shared" si="49"/>
        <v>0.28999999999999998</v>
      </c>
      <c r="O184" s="135">
        <f t="shared" si="49"/>
        <v>0.28999999999999998</v>
      </c>
      <c r="P184" s="135">
        <f t="shared" si="49"/>
        <v>0.28999999999999998</v>
      </c>
      <c r="Q184" s="135">
        <f t="shared" si="49"/>
        <v>0.28999999999999998</v>
      </c>
      <c r="R184" s="135">
        <f t="shared" si="49"/>
        <v>0.28999999999999998</v>
      </c>
      <c r="S184" s="135">
        <f t="shared" si="49"/>
        <v>0.28999999999999998</v>
      </c>
      <c r="T184" s="135">
        <f t="shared" si="50"/>
        <v>0.28999999999999998</v>
      </c>
      <c r="U184" s="135">
        <f t="shared" si="50"/>
        <v>0.28999999999999998</v>
      </c>
      <c r="V184" s="135">
        <f t="shared" si="50"/>
        <v>0.28999999999999998</v>
      </c>
      <c r="W184" s="135">
        <f t="shared" si="50"/>
        <v>0.28999999999999998</v>
      </c>
      <c r="X184" s="135">
        <f t="shared" si="50"/>
        <v>0.28999999999999998</v>
      </c>
      <c r="Y184" s="135">
        <f t="shared" si="50"/>
        <v>0.28999999999999998</v>
      </c>
      <c r="Z184" s="135">
        <f t="shared" si="50"/>
        <v>0.28999999999999998</v>
      </c>
      <c r="AA184" s="135">
        <f t="shared" si="50"/>
        <v>0.28999999999999998</v>
      </c>
      <c r="AB184" s="135">
        <f t="shared" si="50"/>
        <v>0.28999999999999998</v>
      </c>
      <c r="AC184" s="135">
        <f t="shared" si="50"/>
        <v>0.28999999999999998</v>
      </c>
      <c r="AD184" s="135">
        <f t="shared" si="50"/>
        <v>0.28999999999999998</v>
      </c>
      <c r="AE184" s="135">
        <f t="shared" si="50"/>
        <v>0.28999999999999998</v>
      </c>
      <c r="AF184" s="135">
        <f t="shared" si="50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48"/>
        <v>0.06</v>
      </c>
      <c r="C185" s="136">
        <v>0.06</v>
      </c>
      <c r="D185" s="135">
        <f t="shared" si="49"/>
        <v>0.06</v>
      </c>
      <c r="E185" s="135">
        <f t="shared" si="49"/>
        <v>0.06</v>
      </c>
      <c r="F185" s="135">
        <f t="shared" si="49"/>
        <v>0.06</v>
      </c>
      <c r="G185" s="135">
        <f t="shared" si="49"/>
        <v>0.06</v>
      </c>
      <c r="H185" s="135">
        <f t="shared" si="49"/>
        <v>0.06</v>
      </c>
      <c r="I185" s="135">
        <f t="shared" si="49"/>
        <v>0.06</v>
      </c>
      <c r="J185" s="135">
        <f t="shared" si="49"/>
        <v>0.06</v>
      </c>
      <c r="K185" s="135">
        <f t="shared" si="49"/>
        <v>0.06</v>
      </c>
      <c r="L185" s="135">
        <f t="shared" si="49"/>
        <v>0.06</v>
      </c>
      <c r="M185" s="135">
        <f t="shared" si="49"/>
        <v>0.06</v>
      </c>
      <c r="N185" s="135">
        <f t="shared" si="49"/>
        <v>0.06</v>
      </c>
      <c r="O185" s="135">
        <f t="shared" si="49"/>
        <v>0.06</v>
      </c>
      <c r="P185" s="135">
        <f t="shared" si="49"/>
        <v>0.06</v>
      </c>
      <c r="Q185" s="135">
        <f t="shared" si="49"/>
        <v>0.06</v>
      </c>
      <c r="R185" s="135">
        <f t="shared" si="49"/>
        <v>0.06</v>
      </c>
      <c r="S185" s="135">
        <f t="shared" si="49"/>
        <v>0.06</v>
      </c>
      <c r="T185" s="135">
        <f t="shared" si="50"/>
        <v>0.06</v>
      </c>
      <c r="U185" s="135">
        <f t="shared" si="50"/>
        <v>0.06</v>
      </c>
      <c r="V185" s="135">
        <f t="shared" si="50"/>
        <v>0.06</v>
      </c>
      <c r="W185" s="135">
        <f t="shared" si="50"/>
        <v>0.06</v>
      </c>
      <c r="X185" s="135">
        <f t="shared" si="50"/>
        <v>0.06</v>
      </c>
      <c r="Y185" s="135">
        <f t="shared" si="50"/>
        <v>0.06</v>
      </c>
      <c r="Z185" s="135">
        <f t="shared" si="50"/>
        <v>0.06</v>
      </c>
      <c r="AA185" s="135">
        <f t="shared" si="50"/>
        <v>0.06</v>
      </c>
      <c r="AB185" s="135">
        <f t="shared" si="50"/>
        <v>0.06</v>
      </c>
      <c r="AC185" s="135">
        <f t="shared" si="50"/>
        <v>0.06</v>
      </c>
      <c r="AD185" s="135">
        <f t="shared" si="50"/>
        <v>0.06</v>
      </c>
      <c r="AE185" s="135">
        <f t="shared" si="50"/>
        <v>0.06</v>
      </c>
      <c r="AF185" s="135">
        <f t="shared" si="50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48"/>
        <v>0.11</v>
      </c>
      <c r="C186" s="136">
        <v>0.11</v>
      </c>
      <c r="D186" s="135">
        <f t="shared" si="49"/>
        <v>0.11</v>
      </c>
      <c r="E186" s="135">
        <f t="shared" si="49"/>
        <v>0.11</v>
      </c>
      <c r="F186" s="135">
        <f t="shared" si="49"/>
        <v>0.11</v>
      </c>
      <c r="G186" s="135">
        <f t="shared" si="49"/>
        <v>0.11</v>
      </c>
      <c r="H186" s="135">
        <f t="shared" si="49"/>
        <v>0.11</v>
      </c>
      <c r="I186" s="135">
        <f t="shared" si="49"/>
        <v>0.11</v>
      </c>
      <c r="J186" s="135">
        <f t="shared" si="49"/>
        <v>0.11</v>
      </c>
      <c r="K186" s="135">
        <f t="shared" si="49"/>
        <v>0.11</v>
      </c>
      <c r="L186" s="135">
        <f t="shared" si="49"/>
        <v>0.11</v>
      </c>
      <c r="M186" s="135">
        <f t="shared" si="49"/>
        <v>0.11</v>
      </c>
      <c r="N186" s="135">
        <f t="shared" si="49"/>
        <v>0.11</v>
      </c>
      <c r="O186" s="135">
        <f t="shared" si="49"/>
        <v>0.11</v>
      </c>
      <c r="P186" s="135">
        <f t="shared" si="49"/>
        <v>0.11</v>
      </c>
      <c r="Q186" s="135">
        <f t="shared" si="49"/>
        <v>0.11</v>
      </c>
      <c r="R186" s="135">
        <f t="shared" si="49"/>
        <v>0.11</v>
      </c>
      <c r="S186" s="135">
        <f t="shared" si="49"/>
        <v>0.11</v>
      </c>
      <c r="T186" s="135">
        <f t="shared" si="50"/>
        <v>0.11</v>
      </c>
      <c r="U186" s="135">
        <f t="shared" si="50"/>
        <v>0.11</v>
      </c>
      <c r="V186" s="135">
        <f t="shared" si="50"/>
        <v>0.11</v>
      </c>
      <c r="W186" s="135">
        <f t="shared" si="50"/>
        <v>0.11</v>
      </c>
      <c r="X186" s="135">
        <f t="shared" si="50"/>
        <v>0.11</v>
      </c>
      <c r="Y186" s="135">
        <f t="shared" si="50"/>
        <v>0.11</v>
      </c>
      <c r="Z186" s="135">
        <f t="shared" si="50"/>
        <v>0.11</v>
      </c>
      <c r="AA186" s="135">
        <f t="shared" si="50"/>
        <v>0.11</v>
      </c>
      <c r="AB186" s="135">
        <f t="shared" si="50"/>
        <v>0.11</v>
      </c>
      <c r="AC186" s="135">
        <f t="shared" si="50"/>
        <v>0.11</v>
      </c>
      <c r="AD186" s="135">
        <f t="shared" si="50"/>
        <v>0.11</v>
      </c>
      <c r="AE186" s="135">
        <f t="shared" si="50"/>
        <v>0.11</v>
      </c>
      <c r="AF186" s="135">
        <f t="shared" si="50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48"/>
        <v>0.1</v>
      </c>
      <c r="C187" s="136">
        <v>0.1</v>
      </c>
      <c r="D187" s="135">
        <f t="shared" si="49"/>
        <v>0.1</v>
      </c>
      <c r="E187" s="135">
        <f t="shared" si="49"/>
        <v>0.1</v>
      </c>
      <c r="F187" s="135">
        <f t="shared" si="49"/>
        <v>0.1</v>
      </c>
      <c r="G187" s="135">
        <f t="shared" si="49"/>
        <v>0.1</v>
      </c>
      <c r="H187" s="135">
        <f t="shared" si="49"/>
        <v>0.1</v>
      </c>
      <c r="I187" s="135">
        <f t="shared" si="49"/>
        <v>0.1</v>
      </c>
      <c r="J187" s="135">
        <f t="shared" si="49"/>
        <v>0.1</v>
      </c>
      <c r="K187" s="135">
        <f t="shared" si="49"/>
        <v>0.1</v>
      </c>
      <c r="L187" s="135">
        <f t="shared" si="49"/>
        <v>0.1</v>
      </c>
      <c r="M187" s="135">
        <f t="shared" si="49"/>
        <v>0.1</v>
      </c>
      <c r="N187" s="135">
        <f t="shared" si="49"/>
        <v>0.1</v>
      </c>
      <c r="O187" s="135">
        <f t="shared" si="49"/>
        <v>0.1</v>
      </c>
      <c r="P187" s="135">
        <f t="shared" si="49"/>
        <v>0.1</v>
      </c>
      <c r="Q187" s="135">
        <f t="shared" si="49"/>
        <v>0.1</v>
      </c>
      <c r="R187" s="135">
        <f t="shared" si="49"/>
        <v>0.1</v>
      </c>
      <c r="S187" s="135">
        <f t="shared" si="50"/>
        <v>0.1</v>
      </c>
      <c r="T187" s="135">
        <f t="shared" si="50"/>
        <v>0.1</v>
      </c>
      <c r="U187" s="135">
        <f t="shared" si="50"/>
        <v>0.1</v>
      </c>
      <c r="V187" s="135">
        <f t="shared" si="50"/>
        <v>0.1</v>
      </c>
      <c r="W187" s="135">
        <f t="shared" si="50"/>
        <v>0.1</v>
      </c>
      <c r="X187" s="135">
        <f t="shared" si="50"/>
        <v>0.1</v>
      </c>
      <c r="Y187" s="135">
        <f t="shared" si="50"/>
        <v>0.1</v>
      </c>
      <c r="Z187" s="135">
        <f t="shared" si="50"/>
        <v>0.1</v>
      </c>
      <c r="AA187" s="135">
        <f t="shared" si="50"/>
        <v>0.1</v>
      </c>
      <c r="AB187" s="135">
        <f t="shared" si="50"/>
        <v>0.1</v>
      </c>
      <c r="AC187" s="135">
        <f t="shared" si="50"/>
        <v>0.1</v>
      </c>
      <c r="AD187" s="135">
        <f t="shared" si="50"/>
        <v>0.1</v>
      </c>
      <c r="AE187" s="135">
        <f t="shared" si="50"/>
        <v>0.1</v>
      </c>
      <c r="AF187" s="135">
        <f t="shared" si="50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48"/>
        <v>0.09</v>
      </c>
      <c r="C188" s="136">
        <v>0.09</v>
      </c>
      <c r="D188" s="135">
        <f t="shared" si="49"/>
        <v>0.09</v>
      </c>
      <c r="E188" s="135">
        <f t="shared" si="49"/>
        <v>0.09</v>
      </c>
      <c r="F188" s="135">
        <f t="shared" si="49"/>
        <v>0.09</v>
      </c>
      <c r="G188" s="135">
        <f t="shared" si="49"/>
        <v>0.09</v>
      </c>
      <c r="H188" s="135">
        <f t="shared" si="49"/>
        <v>0.09</v>
      </c>
      <c r="I188" s="135">
        <f t="shared" si="49"/>
        <v>0.09</v>
      </c>
      <c r="J188" s="135">
        <f t="shared" si="49"/>
        <v>0.09</v>
      </c>
      <c r="K188" s="135">
        <f t="shared" si="49"/>
        <v>0.09</v>
      </c>
      <c r="L188" s="135">
        <f t="shared" si="49"/>
        <v>0.09</v>
      </c>
      <c r="M188" s="135">
        <f t="shared" si="49"/>
        <v>0.09</v>
      </c>
      <c r="N188" s="135">
        <f t="shared" si="49"/>
        <v>0.09</v>
      </c>
      <c r="O188" s="135">
        <f t="shared" si="49"/>
        <v>0.09</v>
      </c>
      <c r="P188" s="135">
        <f t="shared" si="49"/>
        <v>0.09</v>
      </c>
      <c r="Q188" s="135">
        <f t="shared" si="49"/>
        <v>0.09</v>
      </c>
      <c r="R188" s="135">
        <f t="shared" si="49"/>
        <v>0.09</v>
      </c>
      <c r="S188" s="135">
        <f t="shared" si="50"/>
        <v>0.09</v>
      </c>
      <c r="T188" s="135">
        <f t="shared" si="50"/>
        <v>0.09</v>
      </c>
      <c r="U188" s="135">
        <f t="shared" si="50"/>
        <v>0.09</v>
      </c>
      <c r="V188" s="135">
        <f t="shared" si="50"/>
        <v>0.09</v>
      </c>
      <c r="W188" s="135">
        <f t="shared" si="50"/>
        <v>0.09</v>
      </c>
      <c r="X188" s="135">
        <f t="shared" si="50"/>
        <v>0.09</v>
      </c>
      <c r="Y188" s="135">
        <f t="shared" si="50"/>
        <v>0.09</v>
      </c>
      <c r="Z188" s="135">
        <f t="shared" si="50"/>
        <v>0.09</v>
      </c>
      <c r="AA188" s="135">
        <f t="shared" si="50"/>
        <v>0.09</v>
      </c>
      <c r="AB188" s="135">
        <f t="shared" si="50"/>
        <v>0.09</v>
      </c>
      <c r="AC188" s="135">
        <f t="shared" si="50"/>
        <v>0.09</v>
      </c>
      <c r="AD188" s="135">
        <f t="shared" si="50"/>
        <v>0.09</v>
      </c>
      <c r="AE188" s="135">
        <f t="shared" si="50"/>
        <v>0.09</v>
      </c>
      <c r="AF188" s="135">
        <f t="shared" si="50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48"/>
        <v>0.04</v>
      </c>
      <c r="C189" s="52">
        <v>0.04</v>
      </c>
      <c r="D189" s="135">
        <f t="shared" si="49"/>
        <v>0.04</v>
      </c>
      <c r="E189" s="135">
        <f t="shared" si="49"/>
        <v>0.04</v>
      </c>
      <c r="F189" s="135">
        <f t="shared" si="49"/>
        <v>0.04</v>
      </c>
      <c r="G189" s="135">
        <f t="shared" si="49"/>
        <v>0.04</v>
      </c>
      <c r="H189" s="135">
        <f t="shared" si="49"/>
        <v>0.04</v>
      </c>
      <c r="I189" s="135">
        <f t="shared" si="49"/>
        <v>0.04</v>
      </c>
      <c r="J189" s="135">
        <f t="shared" si="49"/>
        <v>0.04</v>
      </c>
      <c r="K189" s="135">
        <f t="shared" si="49"/>
        <v>0.04</v>
      </c>
      <c r="L189" s="135">
        <f t="shared" si="49"/>
        <v>0.04</v>
      </c>
      <c r="M189" s="135">
        <f t="shared" si="49"/>
        <v>0.04</v>
      </c>
      <c r="N189" s="135">
        <f t="shared" si="49"/>
        <v>0.04</v>
      </c>
      <c r="O189" s="135">
        <f t="shared" si="49"/>
        <v>0.04</v>
      </c>
      <c r="P189" s="135">
        <f t="shared" si="49"/>
        <v>0.04</v>
      </c>
      <c r="Q189" s="135">
        <f t="shared" si="49"/>
        <v>0.04</v>
      </c>
      <c r="R189" s="135">
        <f t="shared" si="49"/>
        <v>0.04</v>
      </c>
      <c r="S189" s="135">
        <f t="shared" si="50"/>
        <v>0.04</v>
      </c>
      <c r="T189" s="135">
        <f t="shared" si="50"/>
        <v>0.04</v>
      </c>
      <c r="U189" s="135">
        <f t="shared" si="50"/>
        <v>0.04</v>
      </c>
      <c r="V189" s="135">
        <f t="shared" si="50"/>
        <v>0.04</v>
      </c>
      <c r="W189" s="135">
        <f t="shared" si="50"/>
        <v>0.04</v>
      </c>
      <c r="X189" s="135">
        <f t="shared" si="50"/>
        <v>0.04</v>
      </c>
      <c r="Y189" s="135">
        <f t="shared" si="50"/>
        <v>0.04</v>
      </c>
      <c r="Z189" s="135">
        <f t="shared" si="50"/>
        <v>0.04</v>
      </c>
      <c r="AA189" s="135">
        <f t="shared" si="50"/>
        <v>0.04</v>
      </c>
      <c r="AB189" s="135">
        <f t="shared" si="50"/>
        <v>0.04</v>
      </c>
      <c r="AC189" s="135">
        <f t="shared" si="50"/>
        <v>0.04</v>
      </c>
      <c r="AD189" s="135">
        <f t="shared" si="50"/>
        <v>0.04</v>
      </c>
      <c r="AE189" s="135">
        <f t="shared" si="50"/>
        <v>0.04</v>
      </c>
      <c r="AF189" s="135">
        <f t="shared" si="50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48"/>
        <v>2.3E-2</v>
      </c>
      <c r="C190" s="52">
        <v>2.3E-2</v>
      </c>
      <c r="D190" s="135">
        <f>C190</f>
        <v>2.3E-2</v>
      </c>
      <c r="E190" s="135">
        <f t="shared" si="49"/>
        <v>2.3E-2</v>
      </c>
      <c r="F190" s="135">
        <f t="shared" si="49"/>
        <v>2.3E-2</v>
      </c>
      <c r="G190" s="135">
        <f t="shared" si="49"/>
        <v>2.3E-2</v>
      </c>
      <c r="H190" s="135">
        <f t="shared" si="49"/>
        <v>2.3E-2</v>
      </c>
      <c r="I190" s="135">
        <f t="shared" si="49"/>
        <v>2.3E-2</v>
      </c>
      <c r="J190" s="135">
        <f t="shared" si="49"/>
        <v>2.3E-2</v>
      </c>
      <c r="K190" s="135">
        <f t="shared" si="49"/>
        <v>2.3E-2</v>
      </c>
      <c r="L190" s="135">
        <f t="shared" si="49"/>
        <v>2.3E-2</v>
      </c>
      <c r="M190" s="135">
        <f t="shared" si="49"/>
        <v>2.3E-2</v>
      </c>
      <c r="N190" s="135">
        <f t="shared" si="49"/>
        <v>2.3E-2</v>
      </c>
      <c r="O190" s="135">
        <f t="shared" si="49"/>
        <v>2.3E-2</v>
      </c>
      <c r="P190" s="135">
        <f t="shared" si="49"/>
        <v>2.3E-2</v>
      </c>
      <c r="Q190" s="135">
        <f t="shared" si="49"/>
        <v>2.3E-2</v>
      </c>
      <c r="R190" s="135">
        <f t="shared" si="49"/>
        <v>2.3E-2</v>
      </c>
      <c r="S190" s="135">
        <f t="shared" si="50"/>
        <v>2.3E-2</v>
      </c>
      <c r="T190" s="135">
        <f t="shared" si="50"/>
        <v>2.3E-2</v>
      </c>
      <c r="U190" s="135">
        <f t="shared" si="50"/>
        <v>2.3E-2</v>
      </c>
      <c r="V190" s="135">
        <f t="shared" si="50"/>
        <v>2.3E-2</v>
      </c>
      <c r="W190" s="135">
        <f t="shared" si="50"/>
        <v>2.3E-2</v>
      </c>
      <c r="X190" s="135">
        <f t="shared" si="50"/>
        <v>2.3E-2</v>
      </c>
      <c r="Y190" s="135">
        <f t="shared" si="50"/>
        <v>2.3E-2</v>
      </c>
      <c r="Z190" s="135">
        <f t="shared" si="50"/>
        <v>2.3E-2</v>
      </c>
      <c r="AA190" s="135">
        <f t="shared" si="50"/>
        <v>2.3E-2</v>
      </c>
      <c r="AB190" s="135">
        <f t="shared" si="50"/>
        <v>2.3E-2</v>
      </c>
      <c r="AC190" s="135">
        <f t="shared" si="50"/>
        <v>2.3E-2</v>
      </c>
      <c r="AD190" s="135">
        <f t="shared" si="50"/>
        <v>2.3E-2</v>
      </c>
      <c r="AE190" s="135">
        <f t="shared" si="50"/>
        <v>2.3E-2</v>
      </c>
      <c r="AF190" s="135">
        <f t="shared" si="50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1">SUM(C101:C190)</f>
        <v>194.70600000000002</v>
      </c>
      <c r="D191" s="140">
        <f t="shared" si="51"/>
        <v>194.70600000000002</v>
      </c>
      <c r="E191" s="140">
        <f t="shared" si="51"/>
        <v>194.70600000000002</v>
      </c>
      <c r="F191" s="140">
        <f t="shared" si="51"/>
        <v>194.70600000000002</v>
      </c>
      <c r="G191" s="140">
        <f t="shared" si="51"/>
        <v>194.70600000000002</v>
      </c>
      <c r="H191" s="140">
        <f t="shared" si="51"/>
        <v>194.70600000000002</v>
      </c>
      <c r="I191" s="140">
        <f t="shared" si="51"/>
        <v>194.70600000000002</v>
      </c>
      <c r="J191" s="140">
        <f t="shared" si="51"/>
        <v>192.10600000000005</v>
      </c>
      <c r="K191" s="140">
        <f t="shared" si="51"/>
        <v>192.10600000000005</v>
      </c>
      <c r="L191" s="140">
        <f t="shared" si="51"/>
        <v>192.10600000000005</v>
      </c>
      <c r="M191" s="140">
        <f t="shared" si="51"/>
        <v>192.10600000000005</v>
      </c>
      <c r="N191" s="140">
        <f t="shared" si="51"/>
        <v>192.10600000000005</v>
      </c>
      <c r="O191" s="140">
        <f t="shared" si="51"/>
        <v>192.10600000000005</v>
      </c>
      <c r="P191" s="140">
        <f t="shared" si="51"/>
        <v>192.10600000000005</v>
      </c>
      <c r="Q191" s="140">
        <f t="shared" si="51"/>
        <v>192.10600000000005</v>
      </c>
      <c r="R191" s="140">
        <f t="shared" si="51"/>
        <v>192.10600000000005</v>
      </c>
      <c r="S191" s="140">
        <f t="shared" si="51"/>
        <v>192.10600000000005</v>
      </c>
      <c r="T191" s="140">
        <f t="shared" si="51"/>
        <v>192.10600000000005</v>
      </c>
      <c r="U191" s="140">
        <f t="shared" si="51"/>
        <v>192.10600000000005</v>
      </c>
      <c r="V191" s="140">
        <f t="shared" si="51"/>
        <v>192.10600000000005</v>
      </c>
      <c r="W191" s="140">
        <f t="shared" si="51"/>
        <v>192.10600000000005</v>
      </c>
      <c r="X191" s="140">
        <f t="shared" si="51"/>
        <v>192.10600000000005</v>
      </c>
      <c r="Y191" s="140">
        <f t="shared" si="51"/>
        <v>192.10600000000005</v>
      </c>
      <c r="Z191" s="140">
        <f t="shared" si="51"/>
        <v>192.10600000000005</v>
      </c>
      <c r="AA191" s="140">
        <f t="shared" si="51"/>
        <v>192.10600000000005</v>
      </c>
      <c r="AB191" s="140">
        <f t="shared" si="51"/>
        <v>192.10600000000005</v>
      </c>
      <c r="AC191" s="140">
        <f t="shared" si="51"/>
        <v>192.10600000000005</v>
      </c>
      <c r="AD191" s="140">
        <f t="shared" si="51"/>
        <v>192.10600000000005</v>
      </c>
      <c r="AE191" s="140">
        <f t="shared" si="51"/>
        <v>192.10600000000005</v>
      </c>
      <c r="AF191" s="140">
        <f t="shared" si="51"/>
        <v>192.10600000000005</v>
      </c>
      <c r="AG191" s="141">
        <f t="shared" si="51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2">AF193</f>
        <v>0.3</v>
      </c>
      <c r="C193" s="142">
        <v>0.3</v>
      </c>
      <c r="D193" s="142">
        <f t="shared" ref="D193:S198" si="53">C193</f>
        <v>0.3</v>
      </c>
      <c r="E193" s="142">
        <f t="shared" si="53"/>
        <v>0.3</v>
      </c>
      <c r="F193" s="142">
        <f t="shared" si="53"/>
        <v>0.3</v>
      </c>
      <c r="G193" s="142">
        <f t="shared" si="53"/>
        <v>0.3</v>
      </c>
      <c r="H193" s="142">
        <f t="shared" si="53"/>
        <v>0.3</v>
      </c>
      <c r="I193" s="142">
        <f t="shared" si="53"/>
        <v>0.3</v>
      </c>
      <c r="J193" s="142">
        <f t="shared" si="53"/>
        <v>0.3</v>
      </c>
      <c r="K193" s="142">
        <f t="shared" si="53"/>
        <v>0.3</v>
      </c>
      <c r="L193" s="142">
        <f t="shared" si="53"/>
        <v>0.3</v>
      </c>
      <c r="M193" s="142">
        <f t="shared" si="53"/>
        <v>0.3</v>
      </c>
      <c r="N193" s="142">
        <f t="shared" si="53"/>
        <v>0.3</v>
      </c>
      <c r="O193" s="142">
        <f t="shared" si="53"/>
        <v>0.3</v>
      </c>
      <c r="P193" s="142">
        <f t="shared" si="53"/>
        <v>0.3</v>
      </c>
      <c r="Q193" s="142">
        <f t="shared" si="53"/>
        <v>0.3</v>
      </c>
      <c r="R193" s="142">
        <f t="shared" si="53"/>
        <v>0.3</v>
      </c>
      <c r="S193" s="142">
        <f t="shared" si="53"/>
        <v>0.3</v>
      </c>
      <c r="T193" s="142">
        <f t="shared" ref="T193:AF198" si="54">S193</f>
        <v>0.3</v>
      </c>
      <c r="U193" s="142">
        <f t="shared" si="54"/>
        <v>0.3</v>
      </c>
      <c r="V193" s="142">
        <f t="shared" si="54"/>
        <v>0.3</v>
      </c>
      <c r="W193" s="142">
        <f t="shared" si="54"/>
        <v>0.3</v>
      </c>
      <c r="X193" s="142">
        <f t="shared" si="54"/>
        <v>0.3</v>
      </c>
      <c r="Y193" s="142">
        <f t="shared" si="54"/>
        <v>0.3</v>
      </c>
      <c r="Z193" s="142">
        <f t="shared" si="54"/>
        <v>0.3</v>
      </c>
      <c r="AA193" s="142">
        <f t="shared" si="54"/>
        <v>0.3</v>
      </c>
      <c r="AB193" s="142">
        <f t="shared" si="54"/>
        <v>0.3</v>
      </c>
      <c r="AC193" s="142">
        <f t="shared" si="54"/>
        <v>0.3</v>
      </c>
      <c r="AD193" s="142">
        <f t="shared" si="54"/>
        <v>0.3</v>
      </c>
      <c r="AE193" s="142">
        <f t="shared" si="54"/>
        <v>0.3</v>
      </c>
      <c r="AF193" s="142">
        <f t="shared" si="54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2"/>
        <v>0.4</v>
      </c>
      <c r="C194" s="135">
        <v>0.4</v>
      </c>
      <c r="D194" s="135">
        <f t="shared" si="53"/>
        <v>0.4</v>
      </c>
      <c r="E194" s="135">
        <f t="shared" si="53"/>
        <v>0.4</v>
      </c>
      <c r="F194" s="135">
        <f t="shared" si="53"/>
        <v>0.4</v>
      </c>
      <c r="G194" s="135">
        <f t="shared" si="53"/>
        <v>0.4</v>
      </c>
      <c r="H194" s="135">
        <f t="shared" si="53"/>
        <v>0.4</v>
      </c>
      <c r="I194" s="135">
        <f t="shared" si="53"/>
        <v>0.4</v>
      </c>
      <c r="J194" s="135">
        <f t="shared" si="53"/>
        <v>0.4</v>
      </c>
      <c r="K194" s="135">
        <f t="shared" si="53"/>
        <v>0.4</v>
      </c>
      <c r="L194" s="135">
        <f t="shared" si="53"/>
        <v>0.4</v>
      </c>
      <c r="M194" s="135">
        <f t="shared" si="53"/>
        <v>0.4</v>
      </c>
      <c r="N194" s="135">
        <f t="shared" si="53"/>
        <v>0.4</v>
      </c>
      <c r="O194" s="135">
        <f t="shared" si="53"/>
        <v>0.4</v>
      </c>
      <c r="P194" s="135">
        <f t="shared" si="53"/>
        <v>0.4</v>
      </c>
      <c r="Q194" s="135">
        <f t="shared" si="53"/>
        <v>0.4</v>
      </c>
      <c r="R194" s="135">
        <f t="shared" si="53"/>
        <v>0.4</v>
      </c>
      <c r="S194" s="135">
        <f t="shared" si="53"/>
        <v>0.4</v>
      </c>
      <c r="T194" s="135">
        <f t="shared" si="54"/>
        <v>0.4</v>
      </c>
      <c r="U194" s="135">
        <f t="shared" si="54"/>
        <v>0.4</v>
      </c>
      <c r="V194" s="135">
        <f t="shared" si="54"/>
        <v>0.4</v>
      </c>
      <c r="W194" s="135">
        <f>V194</f>
        <v>0.4</v>
      </c>
      <c r="X194" s="135">
        <f>W194</f>
        <v>0.4</v>
      </c>
      <c r="Y194" s="135">
        <f t="shared" si="54"/>
        <v>0.4</v>
      </c>
      <c r="Z194" s="135">
        <f t="shared" si="54"/>
        <v>0.4</v>
      </c>
      <c r="AA194" s="135">
        <f t="shared" si="54"/>
        <v>0.4</v>
      </c>
      <c r="AB194" s="135">
        <f t="shared" si="54"/>
        <v>0.4</v>
      </c>
      <c r="AC194" s="135">
        <f t="shared" si="54"/>
        <v>0.4</v>
      </c>
      <c r="AD194" s="135">
        <f t="shared" si="54"/>
        <v>0.4</v>
      </c>
      <c r="AE194" s="135">
        <f t="shared" si="54"/>
        <v>0.4</v>
      </c>
      <c r="AF194" s="135">
        <f t="shared" si="54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2"/>
        <v>1.5</v>
      </c>
      <c r="C195" s="135">
        <v>1.5</v>
      </c>
      <c r="D195" s="135">
        <f t="shared" si="53"/>
        <v>1.5</v>
      </c>
      <c r="E195" s="135">
        <f t="shared" si="53"/>
        <v>1.5</v>
      </c>
      <c r="F195" s="135">
        <f t="shared" si="53"/>
        <v>1.5</v>
      </c>
      <c r="G195" s="135">
        <f t="shared" si="53"/>
        <v>1.5</v>
      </c>
      <c r="H195" s="135">
        <f t="shared" si="53"/>
        <v>1.5</v>
      </c>
      <c r="I195" s="135">
        <f t="shared" si="53"/>
        <v>1.5</v>
      </c>
      <c r="J195" s="135">
        <f t="shared" si="53"/>
        <v>1.5</v>
      </c>
      <c r="K195" s="135">
        <f t="shared" si="53"/>
        <v>1.5</v>
      </c>
      <c r="L195" s="135">
        <f t="shared" si="53"/>
        <v>1.5</v>
      </c>
      <c r="M195" s="135">
        <f t="shared" si="53"/>
        <v>1.5</v>
      </c>
      <c r="N195" s="135">
        <f t="shared" si="53"/>
        <v>1.5</v>
      </c>
      <c r="O195" s="135">
        <f t="shared" si="53"/>
        <v>1.5</v>
      </c>
      <c r="P195" s="135">
        <f t="shared" si="53"/>
        <v>1.5</v>
      </c>
      <c r="Q195" s="135">
        <f t="shared" si="53"/>
        <v>1.5</v>
      </c>
      <c r="R195" s="135">
        <f t="shared" si="53"/>
        <v>1.5</v>
      </c>
      <c r="S195" s="135">
        <f t="shared" si="53"/>
        <v>1.5</v>
      </c>
      <c r="T195" s="135">
        <f t="shared" si="54"/>
        <v>1.5</v>
      </c>
      <c r="U195" s="135">
        <f t="shared" si="54"/>
        <v>1.5</v>
      </c>
      <c r="V195" s="135">
        <f t="shared" si="54"/>
        <v>1.5</v>
      </c>
      <c r="W195" s="135">
        <f t="shared" si="54"/>
        <v>1.5</v>
      </c>
      <c r="X195" s="135">
        <f t="shared" si="54"/>
        <v>1.5</v>
      </c>
      <c r="Y195" s="135">
        <f t="shared" si="54"/>
        <v>1.5</v>
      </c>
      <c r="Z195" s="135">
        <f t="shared" si="54"/>
        <v>1.5</v>
      </c>
      <c r="AA195" s="135">
        <f t="shared" si="54"/>
        <v>1.5</v>
      </c>
      <c r="AB195" s="135">
        <f t="shared" si="54"/>
        <v>1.5</v>
      </c>
      <c r="AC195" s="135">
        <f t="shared" si="54"/>
        <v>1.5</v>
      </c>
      <c r="AD195" s="135">
        <f t="shared" si="54"/>
        <v>1.5</v>
      </c>
      <c r="AE195" s="135">
        <f t="shared" si="54"/>
        <v>1.5</v>
      </c>
      <c r="AF195" s="135">
        <f t="shared" si="54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2"/>
        <v>0.3</v>
      </c>
      <c r="C196" s="135">
        <v>0.3</v>
      </c>
      <c r="D196" s="135">
        <f t="shared" si="53"/>
        <v>0.3</v>
      </c>
      <c r="E196" s="135">
        <f t="shared" si="53"/>
        <v>0.3</v>
      </c>
      <c r="F196" s="135">
        <f t="shared" si="53"/>
        <v>0.3</v>
      </c>
      <c r="G196" s="135">
        <f t="shared" si="53"/>
        <v>0.3</v>
      </c>
      <c r="H196" s="135">
        <f t="shared" si="53"/>
        <v>0.3</v>
      </c>
      <c r="I196" s="135">
        <f t="shared" si="53"/>
        <v>0.3</v>
      </c>
      <c r="J196" s="135">
        <f t="shared" si="53"/>
        <v>0.3</v>
      </c>
      <c r="K196" s="135">
        <f t="shared" si="53"/>
        <v>0.3</v>
      </c>
      <c r="L196" s="135">
        <f t="shared" si="53"/>
        <v>0.3</v>
      </c>
      <c r="M196" s="135">
        <f t="shared" si="53"/>
        <v>0.3</v>
      </c>
      <c r="N196" s="135">
        <f t="shared" si="53"/>
        <v>0.3</v>
      </c>
      <c r="O196" s="135">
        <f t="shared" si="53"/>
        <v>0.3</v>
      </c>
      <c r="P196" s="135">
        <f t="shared" si="53"/>
        <v>0.3</v>
      </c>
      <c r="Q196" s="135">
        <f t="shared" si="53"/>
        <v>0.3</v>
      </c>
      <c r="R196" s="135">
        <f t="shared" si="53"/>
        <v>0.3</v>
      </c>
      <c r="S196" s="135">
        <f t="shared" si="53"/>
        <v>0.3</v>
      </c>
      <c r="T196" s="135">
        <f t="shared" si="54"/>
        <v>0.3</v>
      </c>
      <c r="U196" s="135">
        <f t="shared" si="54"/>
        <v>0.3</v>
      </c>
      <c r="V196" s="135">
        <f t="shared" si="54"/>
        <v>0.3</v>
      </c>
      <c r="W196" s="135">
        <f t="shared" si="54"/>
        <v>0.3</v>
      </c>
      <c r="X196" s="135">
        <f t="shared" si="54"/>
        <v>0.3</v>
      </c>
      <c r="Y196" s="135">
        <f t="shared" si="54"/>
        <v>0.3</v>
      </c>
      <c r="Z196" s="135">
        <f t="shared" si="54"/>
        <v>0.3</v>
      </c>
      <c r="AA196" s="135">
        <f t="shared" si="54"/>
        <v>0.3</v>
      </c>
      <c r="AB196" s="135">
        <f t="shared" si="54"/>
        <v>0.3</v>
      </c>
      <c r="AC196" s="135">
        <f t="shared" si="54"/>
        <v>0.3</v>
      </c>
      <c r="AD196" s="135">
        <f t="shared" si="54"/>
        <v>0.3</v>
      </c>
      <c r="AE196" s="135">
        <f t="shared" si="54"/>
        <v>0.3</v>
      </c>
      <c r="AF196" s="135">
        <f t="shared" si="54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2"/>
        <v>0.4</v>
      </c>
      <c r="C197" s="135">
        <v>0.4</v>
      </c>
      <c r="D197" s="135">
        <f t="shared" si="53"/>
        <v>0.4</v>
      </c>
      <c r="E197" s="135">
        <f t="shared" si="53"/>
        <v>0.4</v>
      </c>
      <c r="F197" s="135">
        <f t="shared" si="53"/>
        <v>0.4</v>
      </c>
      <c r="G197" s="135">
        <f t="shared" si="53"/>
        <v>0.4</v>
      </c>
      <c r="H197" s="135">
        <f t="shared" si="53"/>
        <v>0.4</v>
      </c>
      <c r="I197" s="135">
        <f t="shared" si="53"/>
        <v>0.4</v>
      </c>
      <c r="J197" s="135">
        <f t="shared" si="53"/>
        <v>0.4</v>
      </c>
      <c r="K197" s="135">
        <f t="shared" si="53"/>
        <v>0.4</v>
      </c>
      <c r="L197" s="135">
        <f t="shared" si="53"/>
        <v>0.4</v>
      </c>
      <c r="M197" s="135">
        <f t="shared" si="53"/>
        <v>0.4</v>
      </c>
      <c r="N197" s="135">
        <f t="shared" si="53"/>
        <v>0.4</v>
      </c>
      <c r="O197" s="135">
        <f t="shared" si="53"/>
        <v>0.4</v>
      </c>
      <c r="P197" s="135">
        <f t="shared" si="53"/>
        <v>0.4</v>
      </c>
      <c r="Q197" s="135">
        <f t="shared" si="53"/>
        <v>0.4</v>
      </c>
      <c r="R197" s="135">
        <f t="shared" si="53"/>
        <v>0.4</v>
      </c>
      <c r="S197" s="135">
        <f t="shared" si="53"/>
        <v>0.4</v>
      </c>
      <c r="T197" s="135">
        <f t="shared" si="54"/>
        <v>0.4</v>
      </c>
      <c r="U197" s="135">
        <f t="shared" si="54"/>
        <v>0.4</v>
      </c>
      <c r="V197" s="135">
        <f t="shared" si="54"/>
        <v>0.4</v>
      </c>
      <c r="W197" s="135">
        <f t="shared" si="54"/>
        <v>0.4</v>
      </c>
      <c r="X197" s="135">
        <f t="shared" si="54"/>
        <v>0.4</v>
      </c>
      <c r="Y197" s="135">
        <f t="shared" si="54"/>
        <v>0.4</v>
      </c>
      <c r="Z197" s="135">
        <f t="shared" si="54"/>
        <v>0.4</v>
      </c>
      <c r="AA197" s="135">
        <f t="shared" si="54"/>
        <v>0.4</v>
      </c>
      <c r="AB197" s="135">
        <f t="shared" si="54"/>
        <v>0.4</v>
      </c>
      <c r="AC197" s="135">
        <f t="shared" si="54"/>
        <v>0.4</v>
      </c>
      <c r="AD197" s="135">
        <f t="shared" si="54"/>
        <v>0.4</v>
      </c>
      <c r="AE197" s="135">
        <f t="shared" si="54"/>
        <v>0.4</v>
      </c>
      <c r="AF197" s="135">
        <f t="shared" si="54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2"/>
        <v>0.64</v>
      </c>
      <c r="C198" s="145">
        <v>0.64</v>
      </c>
      <c r="D198" s="145">
        <f t="shared" si="53"/>
        <v>0.64</v>
      </c>
      <c r="E198" s="145">
        <f t="shared" si="53"/>
        <v>0.64</v>
      </c>
      <c r="F198" s="145">
        <f t="shared" si="53"/>
        <v>0.64</v>
      </c>
      <c r="G198" s="145">
        <f t="shared" si="53"/>
        <v>0.64</v>
      </c>
      <c r="H198" s="145">
        <f t="shared" si="53"/>
        <v>0.64</v>
      </c>
      <c r="I198" s="145">
        <f t="shared" si="53"/>
        <v>0.64</v>
      </c>
      <c r="J198" s="145">
        <f t="shared" si="53"/>
        <v>0.64</v>
      </c>
      <c r="K198" s="145">
        <f t="shared" si="53"/>
        <v>0.64</v>
      </c>
      <c r="L198" s="145">
        <f t="shared" si="53"/>
        <v>0.64</v>
      </c>
      <c r="M198" s="145">
        <f t="shared" si="53"/>
        <v>0.64</v>
      </c>
      <c r="N198" s="145">
        <f t="shared" si="53"/>
        <v>0.64</v>
      </c>
      <c r="O198" s="145">
        <f t="shared" si="53"/>
        <v>0.64</v>
      </c>
      <c r="P198" s="145">
        <f t="shared" si="53"/>
        <v>0.64</v>
      </c>
      <c r="Q198" s="145">
        <f t="shared" si="53"/>
        <v>0.64</v>
      </c>
      <c r="R198" s="145">
        <f t="shared" si="53"/>
        <v>0.64</v>
      </c>
      <c r="S198" s="145">
        <f t="shared" si="53"/>
        <v>0.64</v>
      </c>
      <c r="T198" s="145">
        <f t="shared" si="54"/>
        <v>0.64</v>
      </c>
      <c r="U198" s="145">
        <f t="shared" si="54"/>
        <v>0.64</v>
      </c>
      <c r="V198" s="145">
        <f t="shared" si="54"/>
        <v>0.64</v>
      </c>
      <c r="W198" s="145">
        <f t="shared" si="54"/>
        <v>0.64</v>
      </c>
      <c r="X198" s="145">
        <f t="shared" si="54"/>
        <v>0.64</v>
      </c>
      <c r="Y198" s="145">
        <f t="shared" si="54"/>
        <v>0.64</v>
      </c>
      <c r="Z198" s="145">
        <f t="shared" si="54"/>
        <v>0.64</v>
      </c>
      <c r="AA198" s="145">
        <f t="shared" si="54"/>
        <v>0.64</v>
      </c>
      <c r="AB198" s="145">
        <f t="shared" si="54"/>
        <v>0.64</v>
      </c>
      <c r="AC198" s="145">
        <f t="shared" si="54"/>
        <v>0.64</v>
      </c>
      <c r="AD198" s="145">
        <f t="shared" si="54"/>
        <v>0.64</v>
      </c>
      <c r="AE198" s="145">
        <f t="shared" si="54"/>
        <v>0.64</v>
      </c>
      <c r="AF198" s="145">
        <f t="shared" si="54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5">SUM(D193:D198)</f>
        <v>3.54</v>
      </c>
      <c r="E199" s="148">
        <f t="shared" si="55"/>
        <v>3.54</v>
      </c>
      <c r="F199" s="148">
        <f t="shared" si="55"/>
        <v>3.54</v>
      </c>
      <c r="G199" s="148">
        <f t="shared" si="55"/>
        <v>3.54</v>
      </c>
      <c r="H199" s="148">
        <f t="shared" si="55"/>
        <v>3.54</v>
      </c>
      <c r="I199" s="148">
        <f t="shared" si="55"/>
        <v>3.54</v>
      </c>
      <c r="J199" s="148">
        <f t="shared" si="55"/>
        <v>3.54</v>
      </c>
      <c r="K199" s="148">
        <f t="shared" si="55"/>
        <v>3.54</v>
      </c>
      <c r="L199" s="148">
        <f t="shared" si="55"/>
        <v>3.54</v>
      </c>
      <c r="M199" s="148">
        <f>SUM(M193:M198)</f>
        <v>3.54</v>
      </c>
      <c r="N199" s="148">
        <f t="shared" ref="N199:S199" si="56">SUM(N193:N198)</f>
        <v>3.54</v>
      </c>
      <c r="O199" s="148">
        <f t="shared" si="56"/>
        <v>3.54</v>
      </c>
      <c r="P199" s="148">
        <f t="shared" si="56"/>
        <v>3.54</v>
      </c>
      <c r="Q199" s="148">
        <f t="shared" si="56"/>
        <v>3.54</v>
      </c>
      <c r="R199" s="148">
        <f t="shared" si="56"/>
        <v>3.54</v>
      </c>
      <c r="S199" s="148">
        <f t="shared" si="56"/>
        <v>3.54</v>
      </c>
      <c r="T199" s="148">
        <f>SUM(T193:T198)</f>
        <v>3.54</v>
      </c>
      <c r="U199" s="148">
        <f t="shared" ref="U199:AG199" si="57">SUM(U193:U198)</f>
        <v>3.54</v>
      </c>
      <c r="V199" s="148">
        <f t="shared" si="57"/>
        <v>3.54</v>
      </c>
      <c r="W199" s="148">
        <f t="shared" si="57"/>
        <v>3.54</v>
      </c>
      <c r="X199" s="148">
        <f t="shared" si="57"/>
        <v>3.54</v>
      </c>
      <c r="Y199" s="148">
        <f t="shared" si="57"/>
        <v>3.54</v>
      </c>
      <c r="Z199" s="148">
        <f t="shared" si="57"/>
        <v>3.54</v>
      </c>
      <c r="AA199" s="148">
        <f t="shared" si="57"/>
        <v>3.54</v>
      </c>
      <c r="AB199" s="148">
        <f t="shared" si="57"/>
        <v>3.54</v>
      </c>
      <c r="AC199" s="148">
        <f t="shared" si="57"/>
        <v>3.54</v>
      </c>
      <c r="AD199" s="148">
        <f t="shared" si="57"/>
        <v>3.54</v>
      </c>
      <c r="AE199" s="148">
        <f t="shared" si="57"/>
        <v>3.54</v>
      </c>
      <c r="AF199" s="148">
        <f t="shared" si="57"/>
        <v>3.54</v>
      </c>
      <c r="AG199" s="149">
        <f t="shared" si="57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3.54</v>
      </c>
      <c r="C208" s="163">
        <f>INDEX(G9:N9,1,MATCH(MAX(G75:N75),G75:N75,0))</f>
        <v>0.20833333333333301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new_sample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e">
        <f ca="1">"Pie Chart of Daily Peak Demand(Inclusive of Export) of Nepal ("&amp;A4&amp;" "&amp;B4&amp;")"</f>
        <v>#VALUE!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58">B75</f>
        <v>3.54</v>
      </c>
      <c r="U213" s="173">
        <f t="shared" si="58"/>
        <v>3.54</v>
      </c>
      <c r="V213" s="173">
        <f t="shared" si="58"/>
        <v>3.54</v>
      </c>
      <c r="W213" s="173">
        <f t="shared" si="58"/>
        <v>3.54</v>
      </c>
      <c r="X213" s="173">
        <f t="shared" si="58"/>
        <v>3.54</v>
      </c>
      <c r="Y213" s="173">
        <f t="shared" si="58"/>
        <v>3.54</v>
      </c>
      <c r="Z213" s="173">
        <f t="shared" si="58"/>
        <v>3.54</v>
      </c>
      <c r="AA213" s="173">
        <f t="shared" si="58"/>
        <v>3.54</v>
      </c>
      <c r="AB213" s="173">
        <f t="shared" si="58"/>
        <v>3.54</v>
      </c>
      <c r="AC213" s="173">
        <f t="shared" si="58"/>
        <v>3.54</v>
      </c>
      <c r="AD213" s="173">
        <f t="shared" si="58"/>
        <v>3.54</v>
      </c>
      <c r="AE213" s="173">
        <f t="shared" si="58"/>
        <v>3.54</v>
      </c>
      <c r="AF213" s="173">
        <f t="shared" si="58"/>
        <v>3.54</v>
      </c>
      <c r="AG213" s="173">
        <f t="shared" si="58"/>
        <v>3.54</v>
      </c>
      <c r="AH213" s="173">
        <f t="shared" si="58"/>
        <v>3.54</v>
      </c>
      <c r="AI213" s="173">
        <f t="shared" si="58"/>
        <v>3.54</v>
      </c>
      <c r="AJ213" s="173">
        <f t="shared" si="58"/>
        <v>3.54</v>
      </c>
      <c r="AK213" s="173">
        <f t="shared" si="58"/>
        <v>3.54</v>
      </c>
      <c r="AL213" s="173">
        <f t="shared" si="58"/>
        <v>3.54</v>
      </c>
      <c r="AM213" s="173">
        <f t="shared" si="58"/>
        <v>3.54</v>
      </c>
      <c r="AN213" s="173">
        <f t="shared" si="58"/>
        <v>3.54</v>
      </c>
      <c r="AO213" s="173">
        <f t="shared" si="58"/>
        <v>3.54</v>
      </c>
      <c r="AP213" s="173">
        <f t="shared" si="58"/>
        <v>3.54</v>
      </c>
      <c r="AQ213" s="173">
        <f t="shared" si="58"/>
        <v>3.54</v>
      </c>
      <c r="AR213" s="173">
        <f t="shared" si="58"/>
        <v>3.54</v>
      </c>
      <c r="AS213" s="173">
        <f t="shared" si="58"/>
        <v>3.54</v>
      </c>
      <c r="AT213" s="173">
        <f t="shared" si="58"/>
        <v>3.54</v>
      </c>
      <c r="AU213" s="173">
        <f t="shared" si="58"/>
        <v>3.54</v>
      </c>
      <c r="AV213" s="173">
        <f t="shared" si="58"/>
        <v>3.54</v>
      </c>
      <c r="AW213" s="173">
        <f t="shared" si="58"/>
        <v>3.54</v>
      </c>
      <c r="AX213" s="173">
        <f t="shared" si="58"/>
        <v>3.54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59">C198</f>
        <v>0.64</v>
      </c>
      <c r="C234" s="176">
        <f t="shared" si="59"/>
        <v>0.64</v>
      </c>
      <c r="D234" s="176">
        <f t="shared" si="59"/>
        <v>0.64</v>
      </c>
      <c r="E234" s="176">
        <f t="shared" si="59"/>
        <v>0.64</v>
      </c>
      <c r="F234" s="176">
        <f t="shared" si="59"/>
        <v>0.64</v>
      </c>
      <c r="G234" s="176">
        <f t="shared" si="59"/>
        <v>0.64</v>
      </c>
      <c r="H234" s="176">
        <f t="shared" si="59"/>
        <v>0.64</v>
      </c>
      <c r="I234" s="176">
        <f t="shared" si="59"/>
        <v>0.64</v>
      </c>
      <c r="J234" s="176">
        <f t="shared" si="59"/>
        <v>0.64</v>
      </c>
      <c r="K234" s="176">
        <f t="shared" si="59"/>
        <v>0.64</v>
      </c>
      <c r="L234" s="176">
        <f t="shared" si="59"/>
        <v>0.64</v>
      </c>
      <c r="M234" s="176">
        <f t="shared" si="59"/>
        <v>0.64</v>
      </c>
      <c r="N234" s="176">
        <f t="shared" si="59"/>
        <v>0.64</v>
      </c>
      <c r="O234" s="176">
        <f t="shared" si="59"/>
        <v>0.64</v>
      </c>
      <c r="P234" s="176">
        <f t="shared" si="59"/>
        <v>0.64</v>
      </c>
      <c r="Q234" s="176">
        <f t="shared" si="59"/>
        <v>0.64</v>
      </c>
      <c r="R234" s="176">
        <f t="shared" si="59"/>
        <v>0.64</v>
      </c>
      <c r="S234" s="176">
        <f t="shared" si="59"/>
        <v>0.64</v>
      </c>
      <c r="T234" s="176">
        <f t="shared" si="59"/>
        <v>0.64</v>
      </c>
      <c r="U234" s="176">
        <f t="shared" si="59"/>
        <v>0.64</v>
      </c>
      <c r="V234" s="176">
        <f t="shared" si="59"/>
        <v>0.64</v>
      </c>
      <c r="W234" s="176">
        <f t="shared" si="59"/>
        <v>0.64</v>
      </c>
      <c r="X234" s="176">
        <f t="shared" si="59"/>
        <v>0.64</v>
      </c>
      <c r="Y234" s="176">
        <f t="shared" si="59"/>
        <v>0.64</v>
      </c>
      <c r="Z234" s="176">
        <f t="shared" si="59"/>
        <v>0.64</v>
      </c>
      <c r="AA234" s="176">
        <f t="shared" si="59"/>
        <v>0.64</v>
      </c>
      <c r="AB234" s="176">
        <f t="shared" si="59"/>
        <v>0.64</v>
      </c>
      <c r="AC234" s="176">
        <f t="shared" si="59"/>
        <v>0.64</v>
      </c>
      <c r="AD234" s="176">
        <f t="shared" si="59"/>
        <v>0.64</v>
      </c>
      <c r="AE234" s="176">
        <f t="shared" si="59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0">IF(C202&lt;100,"",C202-520)</f>
        <v/>
      </c>
      <c r="D235" s="119" t="str">
        <f t="shared" si="60"/>
        <v/>
      </c>
      <c r="E235" s="119" t="str">
        <f t="shared" si="60"/>
        <v/>
      </c>
      <c r="F235" s="119" t="str">
        <f t="shared" si="60"/>
        <v/>
      </c>
      <c r="G235" s="119" t="str">
        <f t="shared" si="60"/>
        <v/>
      </c>
      <c r="H235" s="119" t="str">
        <f t="shared" si="60"/>
        <v/>
      </c>
      <c r="I235" s="119" t="str">
        <f t="shared" si="60"/>
        <v/>
      </c>
      <c r="J235" s="119" t="str">
        <f t="shared" si="60"/>
        <v/>
      </c>
      <c r="K235" s="119" t="str">
        <f t="shared" si="60"/>
        <v/>
      </c>
      <c r="L235" s="119" t="str">
        <f t="shared" si="60"/>
        <v/>
      </c>
      <c r="M235" s="119" t="str">
        <f t="shared" si="60"/>
        <v/>
      </c>
      <c r="N235" s="119" t="str">
        <f t="shared" si="60"/>
        <v/>
      </c>
      <c r="O235" s="119" t="str">
        <f t="shared" si="60"/>
        <v/>
      </c>
      <c r="P235" s="119" t="str">
        <f t="shared" si="60"/>
        <v/>
      </c>
      <c r="Q235" s="119" t="str">
        <f t="shared" si="60"/>
        <v/>
      </c>
      <c r="R235" s="119" t="str">
        <f t="shared" si="60"/>
        <v/>
      </c>
      <c r="S235" s="119" t="str">
        <f t="shared" si="60"/>
        <v/>
      </c>
      <c r="T235" s="119" t="str">
        <f t="shared" si="60"/>
        <v/>
      </c>
      <c r="U235" s="119" t="str">
        <f t="shared" si="60"/>
        <v/>
      </c>
      <c r="V235" s="119" t="str">
        <f t="shared" si="60"/>
        <v/>
      </c>
      <c r="W235" s="119" t="str">
        <f t="shared" si="60"/>
        <v/>
      </c>
      <c r="X235" s="119" t="str">
        <f t="shared" si="60"/>
        <v/>
      </c>
      <c r="Y235" s="119" t="str">
        <f t="shared" si="60"/>
        <v/>
      </c>
      <c r="Z235" s="119" t="str">
        <f t="shared" si="60"/>
        <v/>
      </c>
      <c r="AA235" s="119" t="str">
        <f t="shared" si="60"/>
        <v/>
      </c>
      <c r="AB235" s="119" t="str">
        <f t="shared" si="60"/>
        <v/>
      </c>
      <c r="AC235" s="119" t="str">
        <f t="shared" si="60"/>
        <v/>
      </c>
      <c r="AD235" s="119" t="str">
        <f t="shared" si="60"/>
        <v/>
      </c>
      <c r="AE235" s="119" t="str">
        <f t="shared" si="60"/>
        <v/>
      </c>
      <c r="AF235" s="119" t="str">
        <f t="shared" si="60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1">IF(B203&lt;100,"",B203-620)</f>
        <v/>
      </c>
      <c r="C236" s="119" t="str">
        <f t="shared" si="61"/>
        <v/>
      </c>
      <c r="D236" s="119" t="str">
        <f t="shared" si="61"/>
        <v/>
      </c>
      <c r="E236" s="119" t="str">
        <f t="shared" si="61"/>
        <v/>
      </c>
      <c r="F236" s="119" t="str">
        <f t="shared" si="61"/>
        <v/>
      </c>
      <c r="G236" s="119" t="str">
        <f t="shared" si="61"/>
        <v/>
      </c>
      <c r="H236" s="119" t="str">
        <f t="shared" si="61"/>
        <v/>
      </c>
      <c r="I236" s="119" t="str">
        <f t="shared" si="61"/>
        <v/>
      </c>
      <c r="J236" s="119" t="str">
        <f t="shared" si="61"/>
        <v/>
      </c>
      <c r="K236" s="119" t="str">
        <f t="shared" si="61"/>
        <v/>
      </c>
      <c r="L236" s="119" t="str">
        <f t="shared" si="61"/>
        <v/>
      </c>
      <c r="M236" s="119" t="str">
        <f t="shared" si="61"/>
        <v/>
      </c>
      <c r="N236" s="119" t="str">
        <f t="shared" si="61"/>
        <v/>
      </c>
      <c r="O236" s="119" t="str">
        <f t="shared" si="61"/>
        <v/>
      </c>
      <c r="P236" s="119" t="str">
        <f t="shared" si="61"/>
        <v/>
      </c>
      <c r="Q236" s="119" t="str">
        <f t="shared" si="61"/>
        <v/>
      </c>
      <c r="R236" s="119" t="str">
        <f t="shared" si="61"/>
        <v/>
      </c>
      <c r="S236" s="119" t="str">
        <f t="shared" si="61"/>
        <v/>
      </c>
      <c r="T236" s="119" t="str">
        <f t="shared" si="61"/>
        <v/>
      </c>
      <c r="U236" s="119" t="str">
        <f t="shared" si="61"/>
        <v/>
      </c>
      <c r="V236" s="119" t="str">
        <f t="shared" si="61"/>
        <v/>
      </c>
      <c r="W236" s="119" t="str">
        <f t="shared" si="61"/>
        <v/>
      </c>
      <c r="X236" s="119" t="str">
        <f t="shared" si="61"/>
        <v/>
      </c>
      <c r="Y236" s="119" t="str">
        <f t="shared" si="61"/>
        <v/>
      </c>
      <c r="Z236" s="119" t="str">
        <f t="shared" si="61"/>
        <v/>
      </c>
      <c r="AA236" s="119" t="str">
        <f t="shared" si="61"/>
        <v/>
      </c>
      <c r="AB236" s="119" t="str">
        <f t="shared" si="61"/>
        <v/>
      </c>
      <c r="AC236" s="119" t="str">
        <f t="shared" si="61"/>
        <v/>
      </c>
      <c r="AD236" s="119" t="str">
        <f t="shared" si="61"/>
        <v/>
      </c>
      <c r="AE236" s="119" t="str">
        <f t="shared" si="61"/>
        <v/>
      </c>
      <c r="AF236" s="119" t="str">
        <f t="shared" si="61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2">IF(B204&lt;100,"",B204-330)</f>
        <v/>
      </c>
      <c r="C237" s="119" t="str">
        <f t="shared" si="62"/>
        <v/>
      </c>
      <c r="D237" s="119" t="str">
        <f t="shared" si="62"/>
        <v/>
      </c>
      <c r="E237" s="119" t="str">
        <f t="shared" si="62"/>
        <v/>
      </c>
      <c r="F237" s="119" t="str">
        <f t="shared" si="62"/>
        <v/>
      </c>
      <c r="G237" s="119" t="str">
        <f t="shared" si="62"/>
        <v/>
      </c>
      <c r="H237" s="119" t="str">
        <f t="shared" si="62"/>
        <v/>
      </c>
      <c r="I237" s="119" t="str">
        <f t="shared" si="62"/>
        <v/>
      </c>
      <c r="J237" s="119" t="str">
        <f t="shared" si="62"/>
        <v/>
      </c>
      <c r="K237" s="119" t="str">
        <f t="shared" si="62"/>
        <v/>
      </c>
      <c r="L237" s="119" t="str">
        <f t="shared" si="62"/>
        <v/>
      </c>
      <c r="M237" s="119" t="str">
        <f t="shared" si="62"/>
        <v/>
      </c>
      <c r="N237" s="119" t="str">
        <f t="shared" si="62"/>
        <v/>
      </c>
      <c r="O237" s="119" t="str">
        <f t="shared" si="62"/>
        <v/>
      </c>
      <c r="P237" s="119" t="str">
        <f t="shared" si="62"/>
        <v/>
      </c>
      <c r="Q237" s="119" t="str">
        <f t="shared" si="62"/>
        <v/>
      </c>
      <c r="R237" s="119" t="str">
        <f t="shared" si="62"/>
        <v/>
      </c>
      <c r="S237" s="119" t="str">
        <f t="shared" si="62"/>
        <v/>
      </c>
      <c r="T237" s="119" t="str">
        <f t="shared" si="62"/>
        <v/>
      </c>
      <c r="U237" s="119" t="str">
        <f t="shared" si="62"/>
        <v/>
      </c>
      <c r="V237" s="119" t="str">
        <f t="shared" si="62"/>
        <v/>
      </c>
      <c r="W237" s="119" t="str">
        <f t="shared" si="62"/>
        <v/>
      </c>
      <c r="X237" s="119" t="str">
        <f t="shared" si="62"/>
        <v/>
      </c>
      <c r="Y237" s="119" t="str">
        <f t="shared" si="62"/>
        <v/>
      </c>
      <c r="Z237" s="119" t="str">
        <f t="shared" si="62"/>
        <v/>
      </c>
      <c r="AA237" s="119" t="str">
        <f t="shared" si="62"/>
        <v/>
      </c>
      <c r="AB237" s="119" t="str">
        <f t="shared" si="62"/>
        <v/>
      </c>
      <c r="AC237" s="119" t="str">
        <f t="shared" si="62"/>
        <v/>
      </c>
      <c r="AD237" s="119" t="str">
        <f t="shared" si="62"/>
        <v/>
      </c>
      <c r="AE237" s="119" t="str">
        <f t="shared" si="62"/>
        <v/>
      </c>
      <c r="AF237" s="119" t="str">
        <f t="shared" si="62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3">IF(C205&lt;100,"",C205-1500)</f>
        <v/>
      </c>
      <c r="D238" s="119" t="str">
        <f t="shared" si="63"/>
        <v/>
      </c>
      <c r="E238" s="119" t="str">
        <f t="shared" si="63"/>
        <v/>
      </c>
      <c r="F238" s="119" t="str">
        <f t="shared" si="63"/>
        <v/>
      </c>
      <c r="G238" s="119" t="str">
        <f t="shared" si="63"/>
        <v/>
      </c>
      <c r="H238" s="119" t="str">
        <f t="shared" si="63"/>
        <v/>
      </c>
      <c r="I238" s="119" t="str">
        <f t="shared" si="63"/>
        <v/>
      </c>
      <c r="J238" s="119" t="str">
        <f t="shared" si="63"/>
        <v/>
      </c>
      <c r="K238" s="119" t="str">
        <f t="shared" si="63"/>
        <v/>
      </c>
      <c r="L238" s="119" t="str">
        <f t="shared" si="63"/>
        <v/>
      </c>
      <c r="M238" s="119" t="str">
        <f t="shared" si="63"/>
        <v/>
      </c>
      <c r="N238" s="119" t="str">
        <f t="shared" si="63"/>
        <v/>
      </c>
      <c r="O238" s="119" t="str">
        <f t="shared" si="63"/>
        <v/>
      </c>
      <c r="P238" s="119" t="str">
        <f t="shared" si="63"/>
        <v/>
      </c>
      <c r="Q238" s="119" t="str">
        <f t="shared" si="63"/>
        <v/>
      </c>
      <c r="R238" s="119" t="str">
        <f t="shared" si="63"/>
        <v/>
      </c>
      <c r="S238" s="119" t="str">
        <f t="shared" si="63"/>
        <v/>
      </c>
      <c r="T238" s="119" t="str">
        <f t="shared" si="63"/>
        <v/>
      </c>
      <c r="U238" s="119" t="str">
        <f t="shared" si="63"/>
        <v/>
      </c>
      <c r="V238" s="119" t="str">
        <f t="shared" si="63"/>
        <v/>
      </c>
      <c r="W238" s="119" t="str">
        <f t="shared" si="63"/>
        <v/>
      </c>
      <c r="X238" s="119" t="str">
        <f t="shared" si="63"/>
        <v/>
      </c>
      <c r="Y238" s="119" t="str">
        <f t="shared" si="63"/>
        <v/>
      </c>
      <c r="Z238" s="119" t="str">
        <f t="shared" si="63"/>
        <v/>
      </c>
      <c r="AA238" s="119" t="str">
        <f t="shared" si="63"/>
        <v/>
      </c>
      <c r="AB238" s="119" t="str">
        <f t="shared" si="63"/>
        <v/>
      </c>
      <c r="AC238" s="119" t="str">
        <f t="shared" si="63"/>
        <v/>
      </c>
      <c r="AD238" s="119" t="str">
        <f t="shared" si="63"/>
        <v/>
      </c>
      <c r="AE238" s="119" t="str">
        <f t="shared" si="63"/>
        <v/>
      </c>
      <c r="AF238" s="119" t="str">
        <f t="shared" si="63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3:AF199 B193:B199 C68:AF72 AB84:AF91 B84:B91 M53:AF55 B73:AF80 B9:AF10 B191:AF191 AF57:AF67 B53:B72 D36:AF36 B36 AG73 AB94:AF99 B94:B99 U212:AF212">
    <cfRule type="expression" dxfId="535" priority="251">
      <formula>B$9&gt;=20/24</formula>
    </cfRule>
    <cfRule type="expression" dxfId="534" priority="252">
      <formula>AND(B$9&gt;=14/24,B$9&lt;20/24)</formula>
    </cfRule>
    <cfRule type="expression" dxfId="533" priority="253">
      <formula>AND(B$9&gt;=8/24,B$9&lt;14/24)</formula>
    </cfRule>
    <cfRule type="expression" dxfId="532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31" priority="246">
      <formula>M$9&gt;=20/24</formula>
    </cfRule>
    <cfRule type="expression" dxfId="530" priority="247">
      <formula>AND(M$9&gt;=14/24,M$9&lt;20/24)</formula>
    </cfRule>
    <cfRule type="expression" dxfId="529" priority="248">
      <formula>AND(M$9&gt;=8/24,M$9&lt;14/24)</formula>
    </cfRule>
    <cfRule type="expression" dxfId="528" priority="249">
      <formula>M$9&lt;8/24</formula>
    </cfRule>
  </conditionalFormatting>
  <conditionalFormatting sqref="M43:R43">
    <cfRule type="expression" dxfId="527" priority="242">
      <formula>M$9&gt;=20/24</formula>
    </cfRule>
    <cfRule type="expression" dxfId="526" priority="243">
      <formula>AND(M$9&gt;=14/24,M$9&lt;20/24)</formula>
    </cfRule>
    <cfRule type="expression" dxfId="525" priority="244">
      <formula>AND(M$9&gt;=8/24,M$9&lt;14/24)</formula>
    </cfRule>
    <cfRule type="expression" dxfId="524" priority="245">
      <formula>M$9&lt;8/24</formula>
    </cfRule>
  </conditionalFormatting>
  <conditionalFormatting sqref="Z32:AE32">
    <cfRule type="expression" dxfId="523" priority="238">
      <formula>Z$9&gt;=20/24</formula>
    </cfRule>
    <cfRule type="expression" dxfId="522" priority="239">
      <formula>AND(Z$9&gt;=14/24,Z$9&lt;20/24)</formula>
    </cfRule>
    <cfRule type="expression" dxfId="521" priority="240">
      <formula>AND(Z$9&gt;=8/24,Z$9&lt;14/24)</formula>
    </cfRule>
    <cfRule type="expression" dxfId="520" priority="241">
      <formula>Z$9&lt;8/24</formula>
    </cfRule>
  </conditionalFormatting>
  <conditionalFormatting sqref="S39:AE39">
    <cfRule type="expression" dxfId="519" priority="234">
      <formula>S$9&gt;=20/24</formula>
    </cfRule>
    <cfRule type="expression" dxfId="518" priority="235">
      <formula>AND(S$9&gt;=14/24,S$9&lt;20/24)</formula>
    </cfRule>
    <cfRule type="expression" dxfId="517" priority="236">
      <formula>AND(S$9&gt;=8/24,S$9&lt;14/24)</formula>
    </cfRule>
    <cfRule type="expression" dxfId="516" priority="237">
      <formula>S$9&lt;8/24</formula>
    </cfRule>
  </conditionalFormatting>
  <conditionalFormatting sqref="S57:AE57">
    <cfRule type="expression" dxfId="515" priority="230">
      <formula>S$9&gt;=20/24</formula>
    </cfRule>
    <cfRule type="expression" dxfId="514" priority="231">
      <formula>AND(S$9&gt;=14/24,S$9&lt;20/24)</formula>
    </cfRule>
    <cfRule type="expression" dxfId="513" priority="232">
      <formula>AND(S$9&gt;=8/24,S$9&lt;14/24)</formula>
    </cfRule>
    <cfRule type="expression" dxfId="512" priority="233">
      <formula>S$9&lt;8/24</formula>
    </cfRule>
  </conditionalFormatting>
  <conditionalFormatting sqref="S81:AA81">
    <cfRule type="expression" dxfId="511" priority="226">
      <formula>S$9&gt;=20/24</formula>
    </cfRule>
    <cfRule type="expression" dxfId="510" priority="227">
      <formula>AND(S$9&gt;=14/24,S$9&lt;20/24)</formula>
    </cfRule>
    <cfRule type="expression" dxfId="509" priority="228">
      <formula>AND(S$9&gt;=8/24,S$9&lt;14/24)</formula>
    </cfRule>
    <cfRule type="expression" dxfId="508" priority="229">
      <formula>S$9&lt;8/24</formula>
    </cfRule>
  </conditionalFormatting>
  <conditionalFormatting sqref="U84:AA84">
    <cfRule type="expression" dxfId="507" priority="222">
      <formula>U$9&gt;=20/24</formula>
    </cfRule>
    <cfRule type="expression" dxfId="506" priority="223">
      <formula>AND(U$9&gt;=14/24,U$9&lt;20/24)</formula>
    </cfRule>
    <cfRule type="expression" dxfId="505" priority="224">
      <formula>AND(U$9&gt;=8/24,U$9&lt;14/24)</formula>
    </cfRule>
    <cfRule type="expression" dxfId="504" priority="225">
      <formula>U$9&lt;8/24</formula>
    </cfRule>
  </conditionalFormatting>
  <conditionalFormatting sqref="M35:R35">
    <cfRule type="expression" dxfId="503" priority="218">
      <formula>M$9&gt;=20/24</formula>
    </cfRule>
    <cfRule type="expression" dxfId="502" priority="219">
      <formula>AND(M$9&gt;=14/24,M$9&lt;20/24)</formula>
    </cfRule>
    <cfRule type="expression" dxfId="501" priority="220">
      <formula>AND(M$9&gt;=8/24,M$9&lt;14/24)</formula>
    </cfRule>
    <cfRule type="expression" dxfId="500" priority="221">
      <formula>M$9&lt;8/24</formula>
    </cfRule>
  </conditionalFormatting>
  <conditionalFormatting sqref="M49:T49">
    <cfRule type="expression" dxfId="499" priority="214">
      <formula>M$9&gt;=20/24</formula>
    </cfRule>
    <cfRule type="expression" dxfId="498" priority="215">
      <formula>AND(M$9&gt;=14/24,M$9&lt;20/24)</formula>
    </cfRule>
    <cfRule type="expression" dxfId="497" priority="216">
      <formula>AND(M$9&gt;=8/24,M$9&lt;14/24)</formula>
    </cfRule>
    <cfRule type="expression" dxfId="496" priority="217">
      <formula>M$9&lt;8/24</formula>
    </cfRule>
  </conditionalFormatting>
  <conditionalFormatting sqref="M50:R50">
    <cfRule type="expression" dxfId="495" priority="210">
      <formula>M$9&gt;=20/24</formula>
    </cfRule>
    <cfRule type="expression" dxfId="494" priority="211">
      <formula>AND(M$9&gt;=14/24,M$9&lt;20/24)</formula>
    </cfRule>
    <cfRule type="expression" dxfId="493" priority="212">
      <formula>AND(M$9&gt;=8/24,M$9&lt;14/24)</formula>
    </cfRule>
    <cfRule type="expression" dxfId="492" priority="213">
      <formula>M$9&lt;8/24</formula>
    </cfRule>
  </conditionalFormatting>
  <conditionalFormatting sqref="M45:R48">
    <cfRule type="expression" dxfId="491" priority="206">
      <formula>M$9&gt;=20/24</formula>
    </cfRule>
    <cfRule type="expression" dxfId="490" priority="207">
      <formula>AND(M$9&gt;=14/24,M$9&lt;20/24)</formula>
    </cfRule>
    <cfRule type="expression" dxfId="489" priority="208">
      <formula>AND(M$9&gt;=8/24,M$9&lt;14/24)</formula>
    </cfRule>
    <cfRule type="expression" dxfId="488" priority="209">
      <formula>M$9&lt;8/24</formula>
    </cfRule>
  </conditionalFormatting>
  <conditionalFormatting sqref="S37:AE37">
    <cfRule type="expression" dxfId="487" priority="202">
      <formula>S$9&gt;=20/24</formula>
    </cfRule>
    <cfRule type="expression" dxfId="486" priority="203">
      <formula>AND(S$9&gt;=14/24,S$9&lt;20/24)</formula>
    </cfRule>
    <cfRule type="expression" dxfId="485" priority="204">
      <formula>AND(S$9&gt;=8/24,S$9&lt;14/24)</formula>
    </cfRule>
    <cfRule type="expression" dxfId="484" priority="205">
      <formula>S$9&lt;8/24</formula>
    </cfRule>
  </conditionalFormatting>
  <conditionalFormatting sqref="S31:Y32 S35:AE35">
    <cfRule type="expression" dxfId="483" priority="198">
      <formula>S$9&gt;=20/24</formula>
    </cfRule>
    <cfRule type="expression" dxfId="482" priority="199">
      <formula>AND(S$9&gt;=14/24,S$9&lt;20/24)</formula>
    </cfRule>
    <cfRule type="expression" dxfId="481" priority="200">
      <formula>AND(S$9&gt;=8/24,S$9&lt;14/24)</formula>
    </cfRule>
    <cfRule type="expression" dxfId="480" priority="201">
      <formula>S$9&lt;8/24</formula>
    </cfRule>
  </conditionalFormatting>
  <conditionalFormatting sqref="S42:T43 U43:Y43 S45:AE48">
    <cfRule type="expression" dxfId="479" priority="194">
      <formula>S$9&gt;=20/24</formula>
    </cfRule>
    <cfRule type="expression" dxfId="478" priority="195">
      <formula>AND(S$9&gt;=14/24,S$9&lt;20/24)</formula>
    </cfRule>
    <cfRule type="expression" dxfId="477" priority="196">
      <formula>AND(S$9&gt;=8/24,S$9&lt;14/24)</formula>
    </cfRule>
    <cfRule type="expression" dxfId="476" priority="197">
      <formula>S$9&lt;8/24</formula>
    </cfRule>
  </conditionalFormatting>
  <conditionalFormatting sqref="S49:AE49">
    <cfRule type="expression" dxfId="475" priority="190">
      <formula>S$9&gt;=20/24</formula>
    </cfRule>
    <cfRule type="expression" dxfId="474" priority="191">
      <formula>AND(S$9&gt;=14/24,S$9&lt;20/24)</formula>
    </cfRule>
    <cfRule type="expression" dxfId="473" priority="192">
      <formula>AND(S$9&gt;=8/24,S$9&lt;14/24)</formula>
    </cfRule>
    <cfRule type="expression" dxfId="472" priority="193">
      <formula>S$9&lt;8/24</formula>
    </cfRule>
  </conditionalFormatting>
  <conditionalFormatting sqref="S50:AE50">
    <cfRule type="expression" dxfId="471" priority="186">
      <formula>S$9&gt;=20/24</formula>
    </cfRule>
    <cfRule type="expression" dxfId="470" priority="187">
      <formula>AND(S$9&gt;=14/24,S$9&lt;20/24)</formula>
    </cfRule>
    <cfRule type="expression" dxfId="469" priority="188">
      <formula>AND(S$9&gt;=8/24,S$9&lt;14/24)</formula>
    </cfRule>
    <cfRule type="expression" dxfId="468" priority="189">
      <formula>S$9&lt;8/24</formula>
    </cfRule>
  </conditionalFormatting>
  <conditionalFormatting sqref="S60:T67 X60:AE67">
    <cfRule type="expression" dxfId="467" priority="182">
      <formula>S$9&gt;=20/24</formula>
    </cfRule>
    <cfRule type="expression" dxfId="466" priority="183">
      <formula>AND(S$9&gt;=14/24,S$9&lt;20/24)</formula>
    </cfRule>
    <cfRule type="expression" dxfId="465" priority="184">
      <formula>AND(S$9&gt;=8/24,S$9&lt;14/24)</formula>
    </cfRule>
    <cfRule type="expression" dxfId="464" priority="185">
      <formula>S$9&lt;8/24</formula>
    </cfRule>
  </conditionalFormatting>
  <conditionalFormatting sqref="C62:I62 I63:I67 J62:L67">
    <cfRule type="expression" dxfId="463" priority="178">
      <formula>C$9&gt;=20/24</formula>
    </cfRule>
    <cfRule type="expression" dxfId="462" priority="179">
      <formula>AND(C$9&gt;=14/24,C$9&lt;20/24)</formula>
    </cfRule>
    <cfRule type="expression" dxfId="461" priority="180">
      <formula>AND(C$9&gt;=8/24,C$9&lt;14/24)</formula>
    </cfRule>
    <cfRule type="expression" dxfId="460" priority="181">
      <formula>C$9&lt;8/24</formula>
    </cfRule>
  </conditionalFormatting>
  <conditionalFormatting sqref="U94:AA97">
    <cfRule type="expression" dxfId="459" priority="174">
      <formula>U$9&gt;=20/24</formula>
    </cfRule>
    <cfRule type="expression" dxfId="458" priority="175">
      <formula>AND(U$9&gt;=14/24,U$9&lt;20/24)</formula>
    </cfRule>
    <cfRule type="expression" dxfId="457" priority="176">
      <formula>AND(U$9&gt;=8/24,U$9&lt;14/24)</formula>
    </cfRule>
    <cfRule type="expression" dxfId="456" priority="177">
      <formula>U$9&lt;8/24</formula>
    </cfRule>
  </conditionalFormatting>
  <conditionalFormatting sqref="AG51 C12:R14 C16:R17 Z16:Z17 C18:Z32 C11:AF11 AA16:AF32 B34:AF56 Z12:AF15 B11:B32">
    <cfRule type="expression" dxfId="455" priority="173">
      <formula>B11&gt;$AG11</formula>
    </cfRule>
  </conditionalFormatting>
  <conditionalFormatting sqref="A100:A156 A84:A97 A11:A14 A16:A32 A45:A72 A80:A82 A74:A78 A35:A43 A169:A199">
    <cfRule type="expression" dxfId="454" priority="172">
      <formula>$AH11=0</formula>
    </cfRule>
  </conditionalFormatting>
  <conditionalFormatting sqref="U98:AA98">
    <cfRule type="expression" dxfId="453" priority="168">
      <formula>U$9&gt;=20/24</formula>
    </cfRule>
    <cfRule type="expression" dxfId="452" priority="169">
      <formula>AND(U$9&gt;=14/24,U$9&lt;20/24)</formula>
    </cfRule>
    <cfRule type="expression" dxfId="451" priority="170">
      <formula>AND(U$9&gt;=8/24,U$9&lt;14/24)</formula>
    </cfRule>
    <cfRule type="expression" dxfId="450" priority="171">
      <formula>U$9&lt;8/24</formula>
    </cfRule>
  </conditionalFormatting>
  <conditionalFormatting sqref="A98">
    <cfRule type="expression" dxfId="449" priority="167">
      <formula>$AH98=0</formula>
    </cfRule>
  </conditionalFormatting>
  <conditionalFormatting sqref="C36">
    <cfRule type="expression" dxfId="448" priority="163">
      <formula>C$9&gt;=20/24</formula>
    </cfRule>
    <cfRule type="expression" dxfId="447" priority="164">
      <formula>AND(C$9&gt;=14/24,C$9&lt;20/24)</formula>
    </cfRule>
    <cfRule type="expression" dxfId="446" priority="165">
      <formula>AND(C$9&gt;=8/24,C$9&lt;14/24)</formula>
    </cfRule>
    <cfRule type="expression" dxfId="445" priority="166">
      <formula>C$9&lt;8/24</formula>
    </cfRule>
  </conditionalFormatting>
  <conditionalFormatting sqref="E63:H67">
    <cfRule type="expression" dxfId="444" priority="159">
      <formula>E$9&gt;=20/24</formula>
    </cfRule>
    <cfRule type="expression" dxfId="443" priority="160">
      <formula>AND(E$9&gt;=14/24,E$9&lt;20/24)</formula>
    </cfRule>
    <cfRule type="expression" dxfId="442" priority="161">
      <formula>AND(E$9&gt;=8/24,E$9&lt;14/24)</formula>
    </cfRule>
    <cfRule type="expression" dxfId="441" priority="162">
      <formula>E$9&lt;8/24</formula>
    </cfRule>
  </conditionalFormatting>
  <conditionalFormatting sqref="M62:M67">
    <cfRule type="expression" dxfId="440" priority="155">
      <formula>M$9&gt;=20/24</formula>
    </cfRule>
    <cfRule type="expression" dxfId="439" priority="156">
      <formula>AND(M$9&gt;=14/24,M$9&lt;20/24)</formula>
    </cfRule>
    <cfRule type="expression" dxfId="438" priority="157">
      <formula>AND(M$9&gt;=8/24,M$9&lt;14/24)</formula>
    </cfRule>
    <cfRule type="expression" dxfId="437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436" priority="150">
      <formula>Z$9&gt;=20/24</formula>
    </cfRule>
    <cfRule type="expression" dxfId="435" priority="151">
      <formula>AND(Z$9&gt;=14/24,Z$9&lt;20/24)</formula>
    </cfRule>
    <cfRule type="expression" dxfId="434" priority="152">
      <formula>AND(Z$9&gt;=8/24,Z$9&lt;14/24)</formula>
    </cfRule>
    <cfRule type="expression" dxfId="433" priority="153">
      <formula>Z$9&lt;8/24</formula>
    </cfRule>
  </conditionalFormatting>
  <conditionalFormatting sqref="M34:R34">
    <cfRule type="expression" dxfId="432" priority="146">
      <formula>M$9&gt;=20/24</formula>
    </cfRule>
    <cfRule type="expression" dxfId="431" priority="147">
      <formula>AND(M$9&gt;=14/24,M$9&lt;20/24)</formula>
    </cfRule>
    <cfRule type="expression" dxfId="430" priority="148">
      <formula>AND(M$9&gt;=8/24,M$9&lt;14/24)</formula>
    </cfRule>
    <cfRule type="expression" dxfId="429" priority="149">
      <formula>M$9&lt;8/24</formula>
    </cfRule>
  </conditionalFormatting>
  <conditionalFormatting sqref="S34:Y34">
    <cfRule type="expression" dxfId="428" priority="142">
      <formula>S$9&gt;=20/24</formula>
    </cfRule>
    <cfRule type="expression" dxfId="427" priority="143">
      <formula>AND(S$9&gt;=14/24,S$9&lt;20/24)</formula>
    </cfRule>
    <cfRule type="expression" dxfId="426" priority="144">
      <formula>AND(S$9&gt;=8/24,S$9&lt;14/24)</formula>
    </cfRule>
    <cfRule type="expression" dxfId="425" priority="145">
      <formula>S$9&lt;8/24</formula>
    </cfRule>
  </conditionalFormatting>
  <conditionalFormatting sqref="A34">
    <cfRule type="expression" dxfId="424" priority="141">
      <formula>$AH34=0</formula>
    </cfRule>
  </conditionalFormatting>
  <conditionalFormatting sqref="A83">
    <cfRule type="expression" dxfId="423" priority="140">
      <formula>$AH83=0</formula>
    </cfRule>
  </conditionalFormatting>
  <conditionalFormatting sqref="Z15:AE15">
    <cfRule type="expression" dxfId="422" priority="136">
      <formula>Z$9&gt;=20/24</formula>
    </cfRule>
    <cfRule type="expression" dxfId="421" priority="137">
      <formula>AND(Z$9&gt;=14/24,Z$9&lt;20/24)</formula>
    </cfRule>
    <cfRule type="expression" dxfId="420" priority="138">
      <formula>AND(Z$9&gt;=8/24,Z$9&lt;14/24)</formula>
    </cfRule>
    <cfRule type="expression" dxfId="419" priority="139">
      <formula>Z$9&lt;8/24</formula>
    </cfRule>
  </conditionalFormatting>
  <conditionalFormatting sqref="M15:R15">
    <cfRule type="expression" dxfId="418" priority="132">
      <formula>M$9&gt;=20/24</formula>
    </cfRule>
    <cfRule type="expression" dxfId="417" priority="133">
      <formula>AND(M$9&gt;=14/24,M$9&lt;20/24)</formula>
    </cfRule>
    <cfRule type="expression" dxfId="416" priority="134">
      <formula>AND(M$9&gt;=8/24,M$9&lt;14/24)</formula>
    </cfRule>
    <cfRule type="expression" dxfId="415" priority="135">
      <formula>M$9&lt;8/24</formula>
    </cfRule>
  </conditionalFormatting>
  <conditionalFormatting sqref="C15:R15">
    <cfRule type="expression" dxfId="414" priority="131">
      <formula>C15&gt;$AG15</formula>
    </cfRule>
  </conditionalFormatting>
  <conditionalFormatting sqref="A15">
    <cfRule type="expression" dxfId="413" priority="130">
      <formula>$AH15=0</formula>
    </cfRule>
  </conditionalFormatting>
  <conditionalFormatting sqref="A163:A168">
    <cfRule type="expression" dxfId="412" priority="129">
      <formula>$AH163=0</formula>
    </cfRule>
  </conditionalFormatting>
  <conditionalFormatting sqref="A157:A162">
    <cfRule type="expression" dxfId="411" priority="128">
      <formula>$AH157=0</formula>
    </cfRule>
  </conditionalFormatting>
  <conditionalFormatting sqref="Z44:AE44">
    <cfRule type="expression" dxfId="410" priority="124">
      <formula>Z$9&gt;=20/24</formula>
    </cfRule>
    <cfRule type="expression" dxfId="409" priority="125">
      <formula>AND(Z$9&gt;=14/24,Z$9&lt;20/24)</formula>
    </cfRule>
    <cfRule type="expression" dxfId="408" priority="126">
      <formula>AND(Z$9&gt;=8/24,Z$9&lt;14/24)</formula>
    </cfRule>
    <cfRule type="expression" dxfId="407" priority="127">
      <formula>Z$9&lt;8/24</formula>
    </cfRule>
  </conditionalFormatting>
  <conditionalFormatting sqref="M44:R44">
    <cfRule type="expression" dxfId="406" priority="120">
      <formula>M$9&gt;=20/24</formula>
    </cfRule>
    <cfRule type="expression" dxfId="405" priority="121">
      <formula>AND(M$9&gt;=14/24,M$9&lt;20/24)</formula>
    </cfRule>
    <cfRule type="expression" dxfId="404" priority="122">
      <formula>AND(M$9&gt;=8/24,M$9&lt;14/24)</formula>
    </cfRule>
    <cfRule type="expression" dxfId="403" priority="123">
      <formula>M$9&lt;8/24</formula>
    </cfRule>
  </conditionalFormatting>
  <conditionalFormatting sqref="S44:Y44">
    <cfRule type="expression" dxfId="402" priority="116">
      <formula>S$9&gt;=20/24</formula>
    </cfRule>
    <cfRule type="expression" dxfId="401" priority="117">
      <formula>AND(S$9&gt;=14/24,S$9&lt;20/24)</formula>
    </cfRule>
    <cfRule type="expression" dxfId="400" priority="118">
      <formula>AND(S$9&gt;=8/24,S$9&lt;14/24)</formula>
    </cfRule>
    <cfRule type="expression" dxfId="399" priority="119">
      <formula>S$9&lt;8/24</formula>
    </cfRule>
  </conditionalFormatting>
  <conditionalFormatting sqref="A44">
    <cfRule type="expression" dxfId="398" priority="115">
      <formula>$AH44=0</formula>
    </cfRule>
  </conditionalFormatting>
  <conditionalFormatting sqref="A79">
    <cfRule type="expression" dxfId="397" priority="114">
      <formula>$AH79=0</formula>
    </cfRule>
  </conditionalFormatting>
  <conditionalFormatting sqref="A73">
    <cfRule type="expression" dxfId="396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395" priority="109">
      <formula>U$9&gt;=20/24</formula>
    </cfRule>
    <cfRule type="expression" dxfId="394" priority="110">
      <formula>AND(U$9&gt;=14/24,U$9&lt;20/24)</formula>
    </cfRule>
    <cfRule type="expression" dxfId="393" priority="111">
      <formula>AND(U$9&gt;=8/24,U$9&lt;14/24)</formula>
    </cfRule>
    <cfRule type="expression" dxfId="392" priority="112">
      <formula>U$9&lt;8/24</formula>
    </cfRule>
  </conditionalFormatting>
  <conditionalFormatting sqref="U85:W91">
    <cfRule type="expression" dxfId="391" priority="105">
      <formula>U$9&gt;=20/24</formula>
    </cfRule>
    <cfRule type="expression" dxfId="390" priority="106">
      <formula>AND(U$9&gt;=14/24,U$9&lt;20/24)</formula>
    </cfRule>
    <cfRule type="expression" dxfId="389" priority="107">
      <formula>AND(U$9&gt;=8/24,U$9&lt;14/24)</formula>
    </cfRule>
    <cfRule type="expression" dxfId="388" priority="108">
      <formula>U$9&lt;8/24</formula>
    </cfRule>
  </conditionalFormatting>
  <conditionalFormatting sqref="C84:R91 S85:T91">
    <cfRule type="expression" dxfId="387" priority="101">
      <formula>C$9&gt;=20/24</formula>
    </cfRule>
    <cfRule type="expression" dxfId="386" priority="102">
      <formula>AND(C$9&gt;=14/24,C$9&lt;20/24)</formula>
    </cfRule>
    <cfRule type="expression" dxfId="385" priority="103">
      <formula>AND(C$9&gt;=8/24,C$9&lt;14/24)</formula>
    </cfRule>
    <cfRule type="expression" dxfId="384" priority="104">
      <formula>C$9&lt;8/24</formula>
    </cfRule>
  </conditionalFormatting>
  <conditionalFormatting sqref="S84:T84">
    <cfRule type="expression" dxfId="383" priority="97">
      <formula>S$9&gt;=20/24</formula>
    </cfRule>
    <cfRule type="expression" dxfId="382" priority="98">
      <formula>AND(S$9&gt;=14/24,S$9&lt;20/24)</formula>
    </cfRule>
    <cfRule type="expression" dxfId="381" priority="99">
      <formula>AND(S$9&gt;=8/24,S$9&lt;14/24)</formula>
    </cfRule>
    <cfRule type="expression" dxfId="380" priority="100">
      <formula>S$9&lt;8/24</formula>
    </cfRule>
  </conditionalFormatting>
  <conditionalFormatting sqref="C95:M97 C94:F94">
    <cfRule type="expression" dxfId="379" priority="93">
      <formula>C$9&gt;=20/24</formula>
    </cfRule>
    <cfRule type="expression" dxfId="378" priority="94">
      <formula>AND(C$9&gt;=14/24,C$9&lt;20/24)</formula>
    </cfRule>
    <cfRule type="expression" dxfId="377" priority="95">
      <formula>AND(C$9&gt;=8/24,C$9&lt;14/24)</formula>
    </cfRule>
    <cfRule type="expression" dxfId="376" priority="96">
      <formula>C$9&lt;8/24</formula>
    </cfRule>
  </conditionalFormatting>
  <conditionalFormatting sqref="N95:R97 O94:R94">
    <cfRule type="expression" dxfId="375" priority="89">
      <formula>N$9&gt;=20/24</formula>
    </cfRule>
    <cfRule type="expression" dxfId="374" priority="90">
      <formula>AND(N$9&gt;=14/24,N$9&lt;20/24)</formula>
    </cfRule>
    <cfRule type="expression" dxfId="373" priority="91">
      <formula>AND(N$9&gt;=8/24,N$9&lt;14/24)</formula>
    </cfRule>
    <cfRule type="expression" dxfId="372" priority="92">
      <formula>N$9&lt;8/24</formula>
    </cfRule>
  </conditionalFormatting>
  <conditionalFormatting sqref="S94:T97">
    <cfRule type="expression" dxfId="371" priority="85">
      <formula>S$9&gt;=20/24</formula>
    </cfRule>
    <cfRule type="expression" dxfId="370" priority="86">
      <formula>AND(S$9&gt;=14/24,S$9&lt;20/24)</formula>
    </cfRule>
    <cfRule type="expression" dxfId="369" priority="87">
      <formula>AND(S$9&gt;=8/24,S$9&lt;14/24)</formula>
    </cfRule>
    <cfRule type="expression" dxfId="368" priority="88">
      <formula>S$9&lt;8/24</formula>
    </cfRule>
  </conditionalFormatting>
  <conditionalFormatting sqref="C98:M98">
    <cfRule type="expression" dxfId="367" priority="81">
      <formula>C$9&gt;=20/24</formula>
    </cfRule>
    <cfRule type="expression" dxfId="366" priority="82">
      <formula>AND(C$9&gt;=14/24,C$9&lt;20/24)</formula>
    </cfRule>
    <cfRule type="expression" dxfId="365" priority="83">
      <formula>AND(C$9&gt;=8/24,C$9&lt;14/24)</formula>
    </cfRule>
    <cfRule type="expression" dxfId="364" priority="84">
      <formula>C$9&lt;8/24</formula>
    </cfRule>
  </conditionalFormatting>
  <conditionalFormatting sqref="N98:R98">
    <cfRule type="expression" dxfId="363" priority="77">
      <formula>N$9&gt;=20/24</formula>
    </cfRule>
    <cfRule type="expression" dxfId="362" priority="78">
      <formula>AND(N$9&gt;=14/24,N$9&lt;20/24)</formula>
    </cfRule>
    <cfRule type="expression" dxfId="361" priority="79">
      <formula>AND(N$9&gt;=8/24,N$9&lt;14/24)</formula>
    </cfRule>
    <cfRule type="expression" dxfId="360" priority="80">
      <formula>N$9&lt;8/24</formula>
    </cfRule>
  </conditionalFormatting>
  <conditionalFormatting sqref="S98:T98">
    <cfRule type="expression" dxfId="359" priority="73">
      <formula>S$9&gt;=20/24</formula>
    </cfRule>
    <cfRule type="expression" dxfId="358" priority="74">
      <formula>AND(S$9&gt;=14/24,S$9&lt;20/24)</formula>
    </cfRule>
    <cfRule type="expression" dxfId="357" priority="75">
      <formula>AND(S$9&gt;=8/24,S$9&lt;14/24)</formula>
    </cfRule>
    <cfRule type="expression" dxfId="356" priority="76">
      <formula>S$9&lt;8/24</formula>
    </cfRule>
  </conditionalFormatting>
  <conditionalFormatting sqref="M94:N94">
    <cfRule type="expression" dxfId="355" priority="69">
      <formula>M$9&gt;=20/24</formula>
    </cfRule>
    <cfRule type="expression" dxfId="354" priority="70">
      <formula>AND(M$9&gt;=14/24,M$9&lt;20/24)</formula>
    </cfRule>
    <cfRule type="expression" dxfId="353" priority="71">
      <formula>AND(M$9&gt;=8/24,M$9&lt;14/24)</formula>
    </cfRule>
    <cfRule type="expression" dxfId="352" priority="72">
      <formula>M$9&lt;8/24</formula>
    </cfRule>
  </conditionalFormatting>
  <conditionalFormatting sqref="G94:L94">
    <cfRule type="expression" dxfId="351" priority="65">
      <formula>G$9&gt;=20/24</formula>
    </cfRule>
    <cfRule type="expression" dxfId="350" priority="66">
      <formula>AND(G$9&gt;=14/24,G$9&lt;20/24)</formula>
    </cfRule>
    <cfRule type="expression" dxfId="349" priority="67">
      <formula>AND(G$9&gt;=8/24,G$9&lt;14/24)</formula>
    </cfRule>
    <cfRule type="expression" dxfId="348" priority="68">
      <formula>G$9&lt;8/24</formula>
    </cfRule>
  </conditionalFormatting>
  <conditionalFormatting sqref="U94:W94">
    <cfRule type="expression" dxfId="347" priority="61">
      <formula>U$9&gt;=20/24</formula>
    </cfRule>
    <cfRule type="expression" dxfId="346" priority="62">
      <formula>AND(U$9&gt;=14/24,U$9&lt;20/24)</formula>
    </cfRule>
    <cfRule type="expression" dxfId="345" priority="63">
      <formula>AND(U$9&gt;=8/24,U$9&lt;14/24)</formula>
    </cfRule>
    <cfRule type="expression" dxfId="344" priority="64">
      <formula>U$9&lt;8/24</formula>
    </cfRule>
  </conditionalFormatting>
  <conditionalFormatting sqref="N94:T94">
    <cfRule type="expression" dxfId="343" priority="57">
      <formula>N$9&gt;=20/24</formula>
    </cfRule>
    <cfRule type="expression" dxfId="342" priority="58">
      <formula>AND(N$9&gt;=14/24,N$9&lt;20/24)</formula>
    </cfRule>
    <cfRule type="expression" dxfId="341" priority="59">
      <formula>AND(N$9&gt;=8/24,N$9&lt;14/24)</formula>
    </cfRule>
    <cfRule type="expression" dxfId="340" priority="60">
      <formula>N$9&lt;8/24</formula>
    </cfRule>
  </conditionalFormatting>
  <conditionalFormatting sqref="U99:AA99">
    <cfRule type="expression" dxfId="339" priority="53">
      <formula>U$9&gt;=20/24</formula>
    </cfRule>
    <cfRule type="expression" dxfId="338" priority="54">
      <formula>AND(U$9&gt;=14/24,U$9&lt;20/24)</formula>
    </cfRule>
    <cfRule type="expression" dxfId="337" priority="55">
      <formula>AND(U$9&gt;=8/24,U$9&lt;14/24)</formula>
    </cfRule>
    <cfRule type="expression" dxfId="336" priority="56">
      <formula>U$9&lt;8/24</formula>
    </cfRule>
  </conditionalFormatting>
  <conditionalFormatting sqref="C99:M99">
    <cfRule type="expression" dxfId="335" priority="49">
      <formula>C$9&gt;=20/24</formula>
    </cfRule>
    <cfRule type="expression" dxfId="334" priority="50">
      <formula>AND(C$9&gt;=14/24,C$9&lt;20/24)</formula>
    </cfRule>
    <cfRule type="expression" dxfId="333" priority="51">
      <formula>AND(C$9&gt;=8/24,C$9&lt;14/24)</formula>
    </cfRule>
    <cfRule type="expression" dxfId="332" priority="52">
      <formula>C$9&lt;8/24</formula>
    </cfRule>
  </conditionalFormatting>
  <conditionalFormatting sqref="N99:R99">
    <cfRule type="expression" dxfId="331" priority="45">
      <formula>N$9&gt;=20/24</formula>
    </cfRule>
    <cfRule type="expression" dxfId="330" priority="46">
      <formula>AND(N$9&gt;=14/24,N$9&lt;20/24)</formula>
    </cfRule>
    <cfRule type="expression" dxfId="329" priority="47">
      <formula>AND(N$9&gt;=8/24,N$9&lt;14/24)</formula>
    </cfRule>
    <cfRule type="expression" dxfId="328" priority="48">
      <formula>N$9&lt;8/24</formula>
    </cfRule>
  </conditionalFormatting>
  <conditionalFormatting sqref="S99:T99">
    <cfRule type="expression" dxfId="327" priority="41">
      <formula>S$9&gt;=20/24</formula>
    </cfRule>
    <cfRule type="expression" dxfId="326" priority="42">
      <formula>AND(S$9&gt;=14/24,S$9&lt;20/24)</formula>
    </cfRule>
    <cfRule type="expression" dxfId="325" priority="43">
      <formula>AND(S$9&gt;=8/24,S$9&lt;14/24)</formula>
    </cfRule>
    <cfRule type="expression" dxfId="324" priority="44">
      <formula>S$9&lt;8/24</formula>
    </cfRule>
  </conditionalFormatting>
  <conditionalFormatting sqref="S12:Y16">
    <cfRule type="expression" dxfId="323" priority="37">
      <formula>S$9&gt;=20/24</formula>
    </cfRule>
    <cfRule type="expression" dxfId="322" priority="38">
      <formula>AND(S$9&gt;=14/24,S$9&lt;20/24)</formula>
    </cfRule>
    <cfRule type="expression" dxfId="321" priority="39">
      <formula>AND(S$9&gt;=8/24,S$9&lt;14/24)</formula>
    </cfRule>
    <cfRule type="expression" dxfId="320" priority="40">
      <formula>S$9&lt;8/24</formula>
    </cfRule>
  </conditionalFormatting>
  <conditionalFormatting sqref="S17:Y17">
    <cfRule type="expression" dxfId="319" priority="33">
      <formula>S$9&gt;=20/24</formula>
    </cfRule>
    <cfRule type="expression" dxfId="318" priority="34">
      <formula>AND(S$9&gt;=14/24,S$9&lt;20/24)</formula>
    </cfRule>
    <cfRule type="expression" dxfId="317" priority="35">
      <formula>AND(S$9&gt;=8/24,S$9&lt;14/24)</formula>
    </cfRule>
    <cfRule type="expression" dxfId="316" priority="36">
      <formula>S$9&lt;8/24</formula>
    </cfRule>
  </conditionalFormatting>
  <conditionalFormatting sqref="S12:Y13">
    <cfRule type="expression" dxfId="315" priority="29">
      <formula>S$9&gt;=20/24</formula>
    </cfRule>
    <cfRule type="expression" dxfId="314" priority="30">
      <formula>AND(S$9&gt;=14/24,S$9&lt;20/24)</formula>
    </cfRule>
    <cfRule type="expression" dxfId="313" priority="31">
      <formula>AND(S$9&gt;=8/24,S$9&lt;14/24)</formula>
    </cfRule>
    <cfRule type="expression" dxfId="312" priority="32">
      <formula>S$9&lt;8/24</formula>
    </cfRule>
  </conditionalFormatting>
  <conditionalFormatting sqref="AB58:AE59">
    <cfRule type="expression" dxfId="311" priority="25">
      <formula>AB$9&gt;=20/24</formula>
    </cfRule>
    <cfRule type="expression" dxfId="310" priority="26">
      <formula>AND(AB$9&gt;=14/24,AB$9&lt;20/24)</formula>
    </cfRule>
    <cfRule type="expression" dxfId="309" priority="27">
      <formula>AND(AB$9&gt;=8/24,AB$9&lt;14/24)</formula>
    </cfRule>
    <cfRule type="expression" dxfId="308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7" priority="258">
      <formula>C$9&gt;=20/24</formula>
    </cfRule>
    <cfRule type="expression" dxfId="306" priority="259">
      <formula>AND(C$9&gt;=14/24,C$9&lt;20/24)</formula>
    </cfRule>
    <cfRule type="expression" dxfId="305" priority="260">
      <formula>AND(C$9&gt;=8/24,C$9&lt;14/24)</formula>
    </cfRule>
    <cfRule type="expression" dxfId="304" priority="261">
      <formula>C$9&lt;8/24</formula>
    </cfRule>
  </conditionalFormatting>
  <conditionalFormatting sqref="A200">
    <cfRule type="expression" dxfId="303" priority="262">
      <formula>$AH200=0</formula>
    </cfRule>
  </conditionalFormatting>
  <conditionalFormatting sqref="AG212">
    <cfRule type="expression" dxfId="302" priority="263">
      <formula>B$9&gt;=20/24</formula>
    </cfRule>
    <cfRule type="expression" dxfId="301" priority="264">
      <formula>AND(B$9&gt;=14/24,B$9&lt;20/24)</formula>
    </cfRule>
    <cfRule type="expression" dxfId="300" priority="265">
      <formula>AND(B$9&gt;=8/24,B$9&lt;14/24)</formula>
    </cfRule>
    <cfRule type="expression" dxfId="299" priority="266">
      <formula>B$9&lt;8/24</formula>
    </cfRule>
  </conditionalFormatting>
  <conditionalFormatting sqref="S8">
    <cfRule type="expression" dxfId="298" priority="19">
      <formula>U$9&gt;=20/24</formula>
    </cfRule>
    <cfRule type="expression" dxfId="297" priority="20">
      <formula>AND(U$9&gt;=14/24,U$9&lt;20/24)</formula>
    </cfRule>
    <cfRule type="expression" dxfId="296" priority="21">
      <formula>AND(U$9&gt;=8/24,U$9&lt;14/24)</formula>
    </cfRule>
    <cfRule type="expression" dxfId="295" priority="22">
      <formula>U$9&lt;8/24</formula>
    </cfRule>
  </conditionalFormatting>
  <conditionalFormatting sqref="AB8">
    <cfRule type="expression" dxfId="294" priority="15">
      <formula>AD$9&gt;=20/24</formula>
    </cfRule>
    <cfRule type="expression" dxfId="293" priority="16">
      <formula>AND(AD$9&gt;=14/24,AD$9&lt;20/24)</formula>
    </cfRule>
    <cfRule type="expression" dxfId="292" priority="17">
      <formula>AND(AD$9&gt;=8/24,AD$9&lt;14/24)</formula>
    </cfRule>
    <cfRule type="expression" dxfId="291" priority="18">
      <formula>AD$9&lt;8/24</formula>
    </cfRule>
  </conditionalFormatting>
  <conditionalFormatting sqref="AH212:AX212">
    <cfRule type="expression" dxfId="290" priority="267">
      <formula>AG$9&gt;=20/24</formula>
    </cfRule>
    <cfRule type="expression" dxfId="289" priority="268">
      <formula>AND(AG$9&gt;=14/24,AG$9&lt;20/24)</formula>
    </cfRule>
    <cfRule type="expression" dxfId="288" priority="269">
      <formula>AND(AG$9&gt;=8/24,AG$9&lt;14/24)</formula>
    </cfRule>
    <cfRule type="expression" dxfId="287" priority="270">
      <formula>AG$9&lt;8/24</formula>
    </cfRule>
  </conditionalFormatting>
  <conditionalFormatting sqref="T212">
    <cfRule type="expression" dxfId="286" priority="271">
      <formula>AX$9&gt;=20/24</formula>
    </cfRule>
    <cfRule type="expression" dxfId="285" priority="272">
      <formula>AND(AX$9&gt;=14/24,AX$9&lt;20/24)</formula>
    </cfRule>
    <cfRule type="expression" dxfId="284" priority="273">
      <formula>AND(AX$9&gt;=8/24,AX$9&lt;14/24)</formula>
    </cfRule>
    <cfRule type="expression" dxfId="283" priority="274">
      <formula>AX$9&lt;8/24</formula>
    </cfRule>
  </conditionalFormatting>
  <conditionalFormatting sqref="A99">
    <cfRule type="expression" dxfId="282" priority="14">
      <formula>$AH99=0</formula>
    </cfRule>
  </conditionalFormatting>
  <conditionalFormatting sqref="M33:R33">
    <cfRule type="expression" dxfId="281" priority="10">
      <formula>M$9&gt;=20/24</formula>
    </cfRule>
    <cfRule type="expression" dxfId="280" priority="11">
      <formula>AND(M$9&gt;=14/24,M$9&lt;20/24)</formula>
    </cfRule>
    <cfRule type="expression" dxfId="279" priority="12">
      <formula>AND(M$9&gt;=8/24,M$9&lt;14/24)</formula>
    </cfRule>
    <cfRule type="expression" dxfId="278" priority="13">
      <formula>M$9&lt;8/24</formula>
    </cfRule>
  </conditionalFormatting>
  <conditionalFormatting sqref="Z33:AE33">
    <cfRule type="expression" dxfId="277" priority="6">
      <formula>Z$9&gt;=20/24</formula>
    </cfRule>
    <cfRule type="expression" dxfId="276" priority="7">
      <formula>AND(Z$9&gt;=14/24,Z$9&lt;20/24)</formula>
    </cfRule>
    <cfRule type="expression" dxfId="275" priority="8">
      <formula>AND(Z$9&gt;=8/24,Z$9&lt;14/24)</formula>
    </cfRule>
    <cfRule type="expression" dxfId="274" priority="9">
      <formula>Z$9&lt;8/24</formula>
    </cfRule>
  </conditionalFormatting>
  <conditionalFormatting sqref="S33:Y33">
    <cfRule type="expression" dxfId="273" priority="2">
      <formula>S$9&gt;=20/24</formula>
    </cfRule>
    <cfRule type="expression" dxfId="272" priority="3">
      <formula>AND(S$9&gt;=14/24,S$9&lt;20/24)</formula>
    </cfRule>
    <cfRule type="expression" dxfId="271" priority="4">
      <formula>AND(S$9&gt;=8/24,S$9&lt;14/24)</formula>
    </cfRule>
    <cfRule type="expression" dxfId="270" priority="5">
      <formula>S$9&lt;8/24</formula>
    </cfRule>
  </conditionalFormatting>
  <conditionalFormatting sqref="B33:AF33">
    <cfRule type="expression" dxfId="269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3FC352B4-0CB1-4B8B-AC45-16E0AEA8457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9:V10"/>
  <sheetViews>
    <sheetView workbookViewId="0">
      <selection activeCell="S10" sqref="S10"/>
    </sheetView>
  </sheetViews>
  <sheetFormatPr defaultRowHeight="15" x14ac:dyDescent="0.25"/>
  <sheetData>
    <row r="9" spans="18:22" x14ac:dyDescent="0.25">
      <c r="R9">
        <v>515080.6</v>
      </c>
      <c r="S9">
        <v>514964.44</v>
      </c>
      <c r="T9">
        <f>R9-S9</f>
        <v>116.15999999997439</v>
      </c>
      <c r="U9">
        <f>T9+T10</f>
        <v>349.09999999997672</v>
      </c>
      <c r="V9">
        <f>U9/4</f>
        <v>87.274999999994179</v>
      </c>
    </row>
    <row r="10" spans="18:22" x14ac:dyDescent="0.25">
      <c r="R10">
        <v>374782.02</v>
      </c>
      <c r="S10">
        <v>374549.08</v>
      </c>
      <c r="T10">
        <f>R10-S10</f>
        <v>232.94000000000233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66" sqref="Q6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10" t="s">
        <v>1</v>
      </c>
      <c r="AH1" s="210"/>
      <c r="AI1" s="210"/>
      <c r="AL1" s="2"/>
      <c r="AM1" s="3"/>
    </row>
    <row r="2" spans="1:88" ht="20.25" x14ac:dyDescent="0.25">
      <c r="A2" s="4"/>
      <c r="B2" s="211" t="s">
        <v>2</v>
      </c>
      <c r="C2" s="5"/>
      <c r="D2" s="213" t="s">
        <v>3</v>
      </c>
      <c r="E2" s="5"/>
      <c r="F2" s="213" t="s">
        <v>4</v>
      </c>
      <c r="G2" s="5"/>
      <c r="H2" s="213" t="s">
        <v>5</v>
      </c>
      <c r="I2" s="6"/>
      <c r="J2" s="215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2"/>
      <c r="C3" s="18"/>
      <c r="D3" s="214"/>
      <c r="E3" s="18"/>
      <c r="F3" s="214"/>
      <c r="G3" s="18"/>
      <c r="H3" s="214"/>
      <c r="I3" s="19"/>
      <c r="J3" s="215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3" t="e">
        <f ca="1">"2078/"&amp;"10/"&amp;INT(MID(CELL("filename",D6),FIND("]",CELL("filename",D6))+1,200))</f>
        <v>#VALUE!</v>
      </c>
      <c r="C4" s="203"/>
      <c r="D4" s="203"/>
      <c r="E4" s="204" t="str">
        <f ca="1">IFERROR([1]!DateBStoAD(B4),"")</f>
        <v/>
      </c>
      <c r="F4" s="205"/>
      <c r="G4" s="205"/>
      <c r="H4" s="205" t="str">
        <f ca="1">TEXT(E4,"dddd")</f>
        <v/>
      </c>
      <c r="I4" s="205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6" t="s">
        <v>14</v>
      </c>
      <c r="C8" s="207"/>
      <c r="D8" s="207"/>
      <c r="E8" s="207"/>
      <c r="F8" s="207"/>
      <c r="G8" s="207"/>
      <c r="H8" s="207"/>
      <c r="I8" s="207"/>
      <c r="J8" s="207"/>
      <c r="K8" s="207"/>
      <c r="L8" s="208"/>
      <c r="M8" s="196" t="s">
        <v>15</v>
      </c>
      <c r="N8" s="197"/>
      <c r="O8" s="197"/>
      <c r="P8" s="197"/>
      <c r="Q8" s="197"/>
      <c r="R8" s="198"/>
      <c r="S8" s="196" t="s">
        <v>16</v>
      </c>
      <c r="T8" s="197"/>
      <c r="U8" s="197"/>
      <c r="V8" s="197"/>
      <c r="W8" s="197"/>
      <c r="X8" s="197"/>
      <c r="Y8" s="197"/>
      <c r="Z8" s="197"/>
      <c r="AA8" s="198"/>
      <c r="AB8" s="196" t="s">
        <v>17</v>
      </c>
      <c r="AC8" s="197"/>
      <c r="AD8" s="197"/>
      <c r="AE8" s="197"/>
      <c r="AF8" s="198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18</v>
      </c>
      <c r="B9" s="201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4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202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5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0"/>
      <c r="O11" s="50"/>
      <c r="P11" s="50"/>
      <c r="Q11" s="50"/>
      <c r="R11" s="177"/>
      <c r="S11" s="50"/>
      <c r="T11" s="50"/>
      <c r="U11" s="50"/>
      <c r="V11" s="50"/>
      <c r="W11" s="50"/>
      <c r="X11" s="50"/>
      <c r="Y11" s="50"/>
      <c r="Z11" s="51"/>
      <c r="AA11" s="50"/>
      <c r="AB11" s="50"/>
      <c r="AC11" s="50"/>
      <c r="AD11" s="50"/>
      <c r="AE11" s="50"/>
      <c r="AF11" s="49"/>
      <c r="AG11" s="52">
        <v>456</v>
      </c>
      <c r="AH11" s="53">
        <f>MAX(B11:AF11)</f>
        <v>0</v>
      </c>
      <c r="AI11" s="54">
        <f>MIN(B11:AF11)</f>
        <v>0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6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7"/>
      <c r="T12" s="57"/>
      <c r="U12" s="57"/>
      <c r="V12" s="57"/>
      <c r="W12" s="57"/>
      <c r="X12" s="57"/>
      <c r="Y12" s="57"/>
      <c r="Z12" s="50"/>
      <c r="AA12" s="50"/>
      <c r="AB12" s="50"/>
      <c r="AC12" s="50"/>
      <c r="AD12" s="50"/>
      <c r="AE12" s="50"/>
      <c r="AF12" s="49"/>
      <c r="AG12" s="58">
        <v>60</v>
      </c>
      <c r="AH12" s="53">
        <f t="shared" ref="AH12:AH75" si="2">MAX(B12:AF12)</f>
        <v>0</v>
      </c>
      <c r="AI12" s="54">
        <f t="shared" ref="AI12:AI75" si="3">MIN(B12:AF12)</f>
        <v>0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6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57"/>
      <c r="T13" s="57"/>
      <c r="U13" s="57"/>
      <c r="V13" s="57"/>
      <c r="W13" s="57"/>
      <c r="X13" s="57"/>
      <c r="Y13" s="57"/>
      <c r="Z13" s="50"/>
      <c r="AA13" s="50"/>
      <c r="AB13" s="50"/>
      <c r="AC13" s="50"/>
      <c r="AD13" s="50"/>
      <c r="AE13" s="50"/>
      <c r="AF13" s="49"/>
      <c r="AG13" s="58">
        <v>52.4</v>
      </c>
      <c r="AH13" s="53">
        <f t="shared" si="2"/>
        <v>0</v>
      </c>
      <c r="AI13" s="54">
        <f t="shared" si="3"/>
        <v>0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6" t="s">
        <v>22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0"/>
      <c r="O14" s="50"/>
      <c r="P14" s="50"/>
      <c r="Q14" s="50"/>
      <c r="R14" s="50"/>
      <c r="S14" s="59"/>
      <c r="T14" s="59"/>
      <c r="U14" s="59"/>
      <c r="V14" s="59"/>
      <c r="W14" s="59"/>
      <c r="X14" s="59"/>
      <c r="Y14" s="59"/>
      <c r="Z14" s="50"/>
      <c r="AA14" s="50"/>
      <c r="AB14" s="50"/>
      <c r="AC14" s="50"/>
      <c r="AD14" s="50"/>
      <c r="AE14" s="50"/>
      <c r="AF14" s="49"/>
      <c r="AG14" s="58">
        <v>50</v>
      </c>
      <c r="AH14" s="53">
        <f t="shared" si="2"/>
        <v>0</v>
      </c>
      <c r="AI14" s="54">
        <f t="shared" si="3"/>
        <v>0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6" t="s">
        <v>23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50"/>
      <c r="N15" s="50"/>
      <c r="O15" s="50"/>
      <c r="P15" s="50"/>
      <c r="Q15" s="50"/>
      <c r="R15" s="50"/>
      <c r="S15" s="59"/>
      <c r="T15" s="59"/>
      <c r="U15" s="59"/>
      <c r="V15" s="59"/>
      <c r="W15" s="59"/>
      <c r="X15" s="59"/>
      <c r="Y15" s="59"/>
      <c r="Z15" s="50"/>
      <c r="AA15" s="50"/>
      <c r="AB15" s="50"/>
      <c r="AC15" s="50"/>
      <c r="AD15" s="50"/>
      <c r="AE15" s="50"/>
      <c r="AF15" s="60"/>
      <c r="AG15" s="61">
        <v>45</v>
      </c>
      <c r="AH15" s="53">
        <f t="shared" si="2"/>
        <v>0</v>
      </c>
      <c r="AI15" s="54">
        <f t="shared" si="3"/>
        <v>0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6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0"/>
      <c r="O16" s="50"/>
      <c r="P16" s="50"/>
      <c r="Q16" s="50"/>
      <c r="R16" s="50"/>
      <c r="S16" s="62"/>
      <c r="T16" s="62"/>
      <c r="U16" s="62"/>
      <c r="V16" s="62"/>
      <c r="W16" s="62"/>
      <c r="X16" s="62"/>
      <c r="Y16" s="62"/>
      <c r="Z16" s="50"/>
      <c r="AA16" s="50"/>
      <c r="AB16" s="50"/>
      <c r="AC16" s="50"/>
      <c r="AD16" s="50"/>
      <c r="AE16" s="50"/>
      <c r="AF16" s="49"/>
      <c r="AG16" s="58">
        <v>45</v>
      </c>
      <c r="AH16" s="53">
        <f t="shared" si="2"/>
        <v>0</v>
      </c>
      <c r="AI16" s="54">
        <f t="shared" si="3"/>
        <v>0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6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59"/>
      <c r="T17" s="59"/>
      <c r="U17" s="59"/>
      <c r="V17" s="59"/>
      <c r="W17" s="59"/>
      <c r="X17" s="59"/>
      <c r="Y17" s="59"/>
      <c r="Z17" s="50"/>
      <c r="AA17" s="50"/>
      <c r="AB17" s="50"/>
      <c r="AC17" s="50"/>
      <c r="AD17" s="50"/>
      <c r="AE17" s="50"/>
      <c r="AF17" s="49"/>
      <c r="AG17" s="58">
        <v>42</v>
      </c>
      <c r="AH17" s="53">
        <f t="shared" si="2"/>
        <v>0</v>
      </c>
      <c r="AI17" s="54">
        <f t="shared" si="3"/>
        <v>0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6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49"/>
      <c r="AG18" s="58">
        <v>36</v>
      </c>
      <c r="AH18" s="53">
        <f t="shared" si="2"/>
        <v>0</v>
      </c>
      <c r="AI18" s="54">
        <f t="shared" si="3"/>
        <v>0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6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49"/>
      <c r="AG19" s="58">
        <v>30</v>
      </c>
      <c r="AH19" s="53">
        <f t="shared" si="2"/>
        <v>0</v>
      </c>
      <c r="AI19" s="54">
        <f t="shared" si="3"/>
        <v>0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6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9"/>
      <c r="AG20" s="58">
        <v>27</v>
      </c>
      <c r="AH20" s="53">
        <f t="shared" si="2"/>
        <v>0</v>
      </c>
      <c r="AI20" s="54">
        <f t="shared" si="3"/>
        <v>0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6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49"/>
      <c r="AG21" s="58">
        <v>25</v>
      </c>
      <c r="AH21" s="53">
        <f t="shared" si="2"/>
        <v>0</v>
      </c>
      <c r="AI21" s="54">
        <f t="shared" si="3"/>
        <v>0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6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49"/>
      <c r="AG22" s="58">
        <v>25</v>
      </c>
      <c r="AH22" s="53">
        <f t="shared" si="2"/>
        <v>0</v>
      </c>
      <c r="AI22" s="54">
        <f t="shared" si="3"/>
        <v>0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6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49"/>
      <c r="AG23" s="58">
        <v>25</v>
      </c>
      <c r="AH23" s="53">
        <f t="shared" si="2"/>
        <v>0</v>
      </c>
      <c r="AI23" s="54">
        <f t="shared" si="3"/>
        <v>0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6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49"/>
      <c r="AG24" s="58">
        <v>25</v>
      </c>
      <c r="AH24" s="53">
        <f t="shared" si="2"/>
        <v>0</v>
      </c>
      <c r="AI24" s="54">
        <f t="shared" si="3"/>
        <v>0</v>
      </c>
      <c r="AK24" s="55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6" t="s">
        <v>33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49"/>
      <c r="AG25" s="58">
        <v>24.2</v>
      </c>
      <c r="AH25" s="53">
        <f t="shared" si="2"/>
        <v>0</v>
      </c>
      <c r="AI25" s="54">
        <f t="shared" si="3"/>
        <v>0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6" t="s">
        <v>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49"/>
      <c r="AG26" s="58">
        <v>20</v>
      </c>
      <c r="AH26" s="53">
        <f t="shared" si="2"/>
        <v>0</v>
      </c>
      <c r="AI26" s="54">
        <f t="shared" si="3"/>
        <v>0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6" t="s">
        <v>35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49"/>
      <c r="AC27" s="49"/>
      <c r="AD27" s="49"/>
      <c r="AE27" s="49"/>
      <c r="AF27" s="49"/>
      <c r="AG27" s="58">
        <v>23.5</v>
      </c>
      <c r="AH27" s="53">
        <f t="shared" si="2"/>
        <v>0</v>
      </c>
      <c r="AI27" s="54">
        <f t="shared" si="3"/>
        <v>0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6" t="s">
        <v>36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/>
      <c r="AG28" s="58">
        <v>22.2</v>
      </c>
      <c r="AH28" s="53">
        <f t="shared" si="2"/>
        <v>0</v>
      </c>
      <c r="AI28" s="54">
        <f t="shared" si="3"/>
        <v>0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6" t="s">
        <v>37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  <c r="AG29" s="58">
        <v>22.1</v>
      </c>
      <c r="AH29" s="53">
        <f t="shared" si="2"/>
        <v>0</v>
      </c>
      <c r="AI29" s="54">
        <f t="shared" si="3"/>
        <v>0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6" t="s">
        <v>38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49"/>
      <c r="AG30" s="58">
        <v>22.1</v>
      </c>
      <c r="AH30" s="53">
        <f t="shared" si="2"/>
        <v>0</v>
      </c>
      <c r="AI30" s="54">
        <f t="shared" si="3"/>
        <v>0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6" t="s">
        <v>39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60"/>
      <c r="AG31" s="61">
        <v>22</v>
      </c>
      <c r="AH31" s="53">
        <f t="shared" si="2"/>
        <v>0</v>
      </c>
      <c r="AI31" s="54">
        <f t="shared" si="3"/>
        <v>0</v>
      </c>
      <c r="AK31" s="55"/>
      <c r="AL31" s="30"/>
      <c r="AM31" s="26"/>
      <c r="AN31" s="26"/>
      <c r="AO31" s="26"/>
      <c r="AP31" s="26"/>
      <c r="AQ31" s="63"/>
      <c r="AR31" s="64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5" t="s">
        <v>40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60"/>
      <c r="AG32" s="66">
        <v>22</v>
      </c>
      <c r="AH32" s="53">
        <f t="shared" si="2"/>
        <v>0</v>
      </c>
      <c r="AI32" s="54">
        <f t="shared" si="3"/>
        <v>0</v>
      </c>
      <c r="AK32" s="55"/>
      <c r="AL32" s="30"/>
      <c r="AM32" s="26"/>
      <c r="AN32" s="26"/>
      <c r="AO32" s="26"/>
      <c r="AP32" s="26"/>
      <c r="AQ32" s="63"/>
      <c r="AR32" s="64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5" t="s">
        <v>41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60"/>
      <c r="AG33" s="66">
        <v>11</v>
      </c>
      <c r="AH33" s="53">
        <f t="shared" si="2"/>
        <v>0</v>
      </c>
      <c r="AI33" s="54">
        <f t="shared" si="3"/>
        <v>0</v>
      </c>
      <c r="AK33" s="55"/>
      <c r="AL33" s="30"/>
      <c r="AM33" s="26"/>
      <c r="AN33" s="26"/>
      <c r="AO33" s="26"/>
      <c r="AP33" s="26"/>
      <c r="AQ33" s="63"/>
      <c r="AR33" s="64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5" t="s">
        <v>42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60"/>
      <c r="AG34" s="66">
        <v>20</v>
      </c>
      <c r="AH34" s="53">
        <f t="shared" si="2"/>
        <v>0</v>
      </c>
      <c r="AI34" s="54">
        <f t="shared" si="3"/>
        <v>0</v>
      </c>
      <c r="AK34" s="55"/>
      <c r="AL34" s="30"/>
      <c r="AO34" s="26"/>
      <c r="AP34" s="26"/>
      <c r="AQ34" s="63"/>
      <c r="AR34" s="64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5" t="s">
        <v>43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60"/>
      <c r="AG35" s="66">
        <v>15.33</v>
      </c>
      <c r="AH35" s="53">
        <f t="shared" si="2"/>
        <v>0</v>
      </c>
      <c r="AI35" s="54">
        <f t="shared" si="3"/>
        <v>0</v>
      </c>
      <c r="AK35" s="55"/>
      <c r="AL35" s="30"/>
      <c r="AO35" s="26"/>
      <c r="AP35" s="26"/>
      <c r="AQ35" s="63"/>
      <c r="AR35" s="64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7" t="s">
        <v>44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6">
        <v>85</v>
      </c>
      <c r="AH36" s="53">
        <f t="shared" si="2"/>
        <v>0</v>
      </c>
      <c r="AI36" s="54">
        <f t="shared" si="3"/>
        <v>0</v>
      </c>
      <c r="AK36" s="55"/>
    </row>
    <row r="37" spans="1:88" ht="15.75" thickBot="1" x14ac:dyDescent="0.3">
      <c r="A37" s="68" t="s">
        <v>45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0"/>
      <c r="AG37" s="66">
        <v>240</v>
      </c>
      <c r="AH37" s="53">
        <f t="shared" si="2"/>
        <v>0</v>
      </c>
      <c r="AI37" s="54">
        <f t="shared" si="3"/>
        <v>0</v>
      </c>
      <c r="AK37" s="55"/>
    </row>
    <row r="38" spans="1:88" ht="15.75" thickBot="1" x14ac:dyDescent="0.3">
      <c r="A38" s="70" t="s">
        <v>46</v>
      </c>
      <c r="B38" s="71">
        <f>SUM(B11:B36)</f>
        <v>0</v>
      </c>
      <c r="C38" s="71">
        <f t="shared" ref="C38:AF38" si="4">SUM(C11:C36)</f>
        <v>0</v>
      </c>
      <c r="D38" s="71">
        <f t="shared" si="4"/>
        <v>0</v>
      </c>
      <c r="E38" s="71">
        <f t="shared" si="4"/>
        <v>0</v>
      </c>
      <c r="F38" s="71">
        <f t="shared" si="4"/>
        <v>0</v>
      </c>
      <c r="G38" s="71">
        <f t="shared" si="4"/>
        <v>0</v>
      </c>
      <c r="H38" s="71">
        <f t="shared" si="4"/>
        <v>0</v>
      </c>
      <c r="I38" s="71">
        <f t="shared" si="4"/>
        <v>0</v>
      </c>
      <c r="J38" s="71">
        <f t="shared" si="4"/>
        <v>0</v>
      </c>
      <c r="K38" s="71">
        <f t="shared" si="4"/>
        <v>0</v>
      </c>
      <c r="L38" s="71">
        <f t="shared" si="4"/>
        <v>0</v>
      </c>
      <c r="M38" s="71">
        <f t="shared" si="4"/>
        <v>0</v>
      </c>
      <c r="N38" s="71">
        <f t="shared" si="4"/>
        <v>0</v>
      </c>
      <c r="O38" s="71">
        <f t="shared" si="4"/>
        <v>0</v>
      </c>
      <c r="P38" s="71">
        <f t="shared" si="4"/>
        <v>0</v>
      </c>
      <c r="Q38" s="71">
        <f t="shared" si="4"/>
        <v>0</v>
      </c>
      <c r="R38" s="71">
        <f t="shared" si="4"/>
        <v>0</v>
      </c>
      <c r="S38" s="71">
        <f t="shared" si="4"/>
        <v>0</v>
      </c>
      <c r="T38" s="71">
        <f t="shared" si="4"/>
        <v>0</v>
      </c>
      <c r="U38" s="71">
        <f t="shared" si="4"/>
        <v>0</v>
      </c>
      <c r="V38" s="71">
        <f t="shared" si="4"/>
        <v>0</v>
      </c>
      <c r="W38" s="71">
        <f t="shared" si="4"/>
        <v>0</v>
      </c>
      <c r="X38" s="71">
        <f t="shared" si="4"/>
        <v>0</v>
      </c>
      <c r="Y38" s="71">
        <f t="shared" si="4"/>
        <v>0</v>
      </c>
      <c r="Z38" s="71">
        <f t="shared" si="4"/>
        <v>0</v>
      </c>
      <c r="AA38" s="71">
        <f t="shared" si="4"/>
        <v>0</v>
      </c>
      <c r="AB38" s="71">
        <f t="shared" si="4"/>
        <v>0</v>
      </c>
      <c r="AC38" s="71">
        <f t="shared" si="4"/>
        <v>0</v>
      </c>
      <c r="AD38" s="71">
        <f t="shared" si="4"/>
        <v>0</v>
      </c>
      <c r="AE38" s="71">
        <f t="shared" si="4"/>
        <v>0</v>
      </c>
      <c r="AF38" s="71">
        <f t="shared" si="4"/>
        <v>0</v>
      </c>
      <c r="AG38" s="66">
        <f>SUM(AG11:AG37)</f>
        <v>1492.8299999999997</v>
      </c>
      <c r="AH38" s="53">
        <f t="shared" si="2"/>
        <v>0</v>
      </c>
      <c r="AI38" s="54">
        <f t="shared" si="3"/>
        <v>0</v>
      </c>
      <c r="AK38" s="55"/>
    </row>
    <row r="39" spans="1:88" x14ac:dyDescent="0.25">
      <c r="A39" s="56" t="s">
        <v>47</v>
      </c>
      <c r="B39" s="4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/>
      <c r="AG39" s="61">
        <v>144</v>
      </c>
      <c r="AH39" s="53">
        <f t="shared" si="2"/>
        <v>0</v>
      </c>
      <c r="AI39" s="54">
        <f t="shared" si="3"/>
        <v>0</v>
      </c>
      <c r="AK39" s="55"/>
    </row>
    <row r="40" spans="1:88" x14ac:dyDescent="0.25">
      <c r="A40" s="65" t="s">
        <v>48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60"/>
      <c r="AG40" s="66">
        <v>70</v>
      </c>
      <c r="AH40" s="53">
        <f t="shared" si="2"/>
        <v>0</v>
      </c>
      <c r="AI40" s="54">
        <f t="shared" si="3"/>
        <v>0</v>
      </c>
      <c r="AK40" s="55"/>
    </row>
    <row r="41" spans="1:88" x14ac:dyDescent="0.25">
      <c r="A41" s="65" t="s">
        <v>49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60"/>
      <c r="AG41" s="66">
        <v>69</v>
      </c>
      <c r="AH41" s="53">
        <f t="shared" si="2"/>
        <v>0</v>
      </c>
      <c r="AI41" s="54">
        <f t="shared" si="3"/>
        <v>0</v>
      </c>
      <c r="AK41" s="55"/>
    </row>
    <row r="42" spans="1:88" x14ac:dyDescent="0.25">
      <c r="A42" s="65" t="s">
        <v>50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60"/>
      <c r="AG42" s="66">
        <v>60</v>
      </c>
      <c r="AH42" s="53">
        <f t="shared" si="2"/>
        <v>0</v>
      </c>
      <c r="AI42" s="54">
        <f t="shared" si="3"/>
        <v>0</v>
      </c>
      <c r="AK42" s="55"/>
    </row>
    <row r="43" spans="1:88" x14ac:dyDescent="0.25">
      <c r="A43" s="65" t="s">
        <v>51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2"/>
      <c r="AA43" s="72"/>
      <c r="AB43" s="72"/>
      <c r="AC43" s="72"/>
      <c r="AD43" s="72"/>
      <c r="AE43" s="72"/>
      <c r="AF43" s="60"/>
      <c r="AG43" s="66">
        <v>30</v>
      </c>
      <c r="AH43" s="53">
        <f t="shared" si="2"/>
        <v>0</v>
      </c>
      <c r="AI43" s="54">
        <f t="shared" si="3"/>
        <v>0</v>
      </c>
      <c r="AK43" s="55"/>
    </row>
    <row r="44" spans="1:88" x14ac:dyDescent="0.25">
      <c r="A44" s="65" t="s">
        <v>52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60"/>
      <c r="AG44" s="66">
        <v>25</v>
      </c>
      <c r="AH44" s="53">
        <f t="shared" si="2"/>
        <v>0</v>
      </c>
      <c r="AI44" s="54">
        <f t="shared" si="3"/>
        <v>0</v>
      </c>
      <c r="AK44" s="55"/>
    </row>
    <row r="45" spans="1:88" x14ac:dyDescent="0.25">
      <c r="A45" s="65" t="s">
        <v>53</v>
      </c>
      <c r="B45" s="60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60"/>
      <c r="AG45" s="66">
        <v>24</v>
      </c>
      <c r="AH45" s="53">
        <f t="shared" si="2"/>
        <v>0</v>
      </c>
      <c r="AI45" s="54">
        <f t="shared" si="3"/>
        <v>0</v>
      </c>
      <c r="AK45" s="55"/>
    </row>
    <row r="46" spans="1:88" x14ac:dyDescent="0.25">
      <c r="A46" s="65" t="s">
        <v>54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60"/>
      <c r="AG46" s="66">
        <v>15</v>
      </c>
      <c r="AH46" s="53">
        <f t="shared" si="2"/>
        <v>0</v>
      </c>
      <c r="AI46" s="54">
        <f t="shared" si="3"/>
        <v>0</v>
      </c>
      <c r="AK46" s="55"/>
      <c r="AL46" s="73"/>
      <c r="AO46" s="73"/>
    </row>
    <row r="47" spans="1:88" s="73" customFormat="1" x14ac:dyDescent="0.25">
      <c r="A47" s="65" t="s">
        <v>55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60"/>
      <c r="AG47" s="66">
        <v>14.1</v>
      </c>
      <c r="AH47" s="53">
        <f t="shared" si="2"/>
        <v>0</v>
      </c>
      <c r="AI47" s="54">
        <f t="shared" si="3"/>
        <v>0</v>
      </c>
      <c r="AJ47" s="1"/>
      <c r="AK47" s="55"/>
      <c r="AL47"/>
      <c r="AM47"/>
      <c r="AN47"/>
      <c r="AO47"/>
    </row>
    <row r="48" spans="1:88" x14ac:dyDescent="0.25">
      <c r="A48" s="74" t="s">
        <v>56</v>
      </c>
      <c r="B48" s="60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60"/>
      <c r="AG48" s="66">
        <v>14</v>
      </c>
      <c r="AH48" s="53">
        <f t="shared" si="2"/>
        <v>0</v>
      </c>
      <c r="AI48" s="54">
        <f t="shared" si="3"/>
        <v>0</v>
      </c>
      <c r="AK48" s="55"/>
    </row>
    <row r="49" spans="1:37" x14ac:dyDescent="0.25">
      <c r="A49" s="65" t="s">
        <v>57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60"/>
      <c r="AG49" s="66">
        <v>10.050000000000001</v>
      </c>
      <c r="AH49" s="53">
        <f t="shared" si="2"/>
        <v>0</v>
      </c>
      <c r="AI49" s="54">
        <f t="shared" si="3"/>
        <v>0</v>
      </c>
      <c r="AK49" s="55"/>
    </row>
    <row r="50" spans="1:37" x14ac:dyDescent="0.25">
      <c r="A50" s="65" t="s">
        <v>58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60"/>
      <c r="AG50" s="66">
        <v>6.2</v>
      </c>
      <c r="AH50" s="53">
        <f t="shared" si="2"/>
        <v>0</v>
      </c>
      <c r="AI50" s="54">
        <f t="shared" si="3"/>
        <v>0</v>
      </c>
      <c r="AK50" s="55"/>
    </row>
    <row r="51" spans="1:37" ht="15.75" thickBot="1" x14ac:dyDescent="0.3">
      <c r="A51" s="67" t="s">
        <v>59</v>
      </c>
      <c r="B51" s="75">
        <f>B199</f>
        <v>3.54</v>
      </c>
      <c r="C51" s="75">
        <v>3.54</v>
      </c>
      <c r="D51" s="75">
        <v>3.54</v>
      </c>
      <c r="E51" s="75">
        <v>3.54</v>
      </c>
      <c r="F51" s="75">
        <v>3.54</v>
      </c>
      <c r="G51" s="75">
        <v>3.54</v>
      </c>
      <c r="H51" s="75">
        <v>3.54</v>
      </c>
      <c r="I51" s="75">
        <v>3.54</v>
      </c>
      <c r="J51" s="75">
        <v>3.54</v>
      </c>
      <c r="K51" s="75">
        <v>3.54</v>
      </c>
      <c r="L51" s="75">
        <v>3.54</v>
      </c>
      <c r="M51" s="75">
        <v>3.54</v>
      </c>
      <c r="N51" s="75">
        <v>3.54</v>
      </c>
      <c r="O51" s="75">
        <v>3.54</v>
      </c>
      <c r="P51" s="75">
        <v>3.54</v>
      </c>
      <c r="Q51" s="75">
        <v>3.54</v>
      </c>
      <c r="R51" s="75">
        <v>3.54</v>
      </c>
      <c r="S51" s="75">
        <v>3.54</v>
      </c>
      <c r="T51" s="75">
        <v>3.54</v>
      </c>
      <c r="U51" s="75">
        <f t="shared" ref="U51:AG51" si="5">U199</f>
        <v>3.54</v>
      </c>
      <c r="V51" s="75">
        <f t="shared" si="5"/>
        <v>3.54</v>
      </c>
      <c r="W51" s="75">
        <f t="shared" si="5"/>
        <v>3.54</v>
      </c>
      <c r="X51" s="75">
        <f t="shared" si="5"/>
        <v>3.54</v>
      </c>
      <c r="Y51" s="75">
        <f t="shared" si="5"/>
        <v>3.54</v>
      </c>
      <c r="Z51" s="75">
        <v>3.54</v>
      </c>
      <c r="AA51" s="75">
        <f t="shared" si="5"/>
        <v>3.54</v>
      </c>
      <c r="AB51" s="75">
        <f t="shared" si="5"/>
        <v>3.54</v>
      </c>
      <c r="AC51" s="75">
        <f t="shared" si="5"/>
        <v>3.54</v>
      </c>
      <c r="AD51" s="75">
        <f t="shared" si="5"/>
        <v>3.54</v>
      </c>
      <c r="AE51" s="75">
        <f t="shared" si="5"/>
        <v>3.54</v>
      </c>
      <c r="AF51" s="75">
        <f t="shared" si="5"/>
        <v>3.54</v>
      </c>
      <c r="AG51" s="75">
        <f t="shared" si="5"/>
        <v>8.56</v>
      </c>
      <c r="AH51" s="53">
        <f t="shared" si="2"/>
        <v>3.54</v>
      </c>
      <c r="AI51" s="54">
        <f t="shared" si="3"/>
        <v>3.54</v>
      </c>
      <c r="AK51" s="55"/>
    </row>
    <row r="52" spans="1:37" ht="15.75" thickBot="1" x14ac:dyDescent="0.3">
      <c r="A52" s="70" t="s">
        <v>60</v>
      </c>
      <c r="B52" s="71">
        <f>SUM(B39:B51)</f>
        <v>3.54</v>
      </c>
      <c r="C52" s="71">
        <f t="shared" ref="C52:AF52" si="6">SUM(C39:C51)</f>
        <v>3.54</v>
      </c>
      <c r="D52" s="71">
        <f t="shared" si="6"/>
        <v>3.54</v>
      </c>
      <c r="E52" s="71">
        <f t="shared" si="6"/>
        <v>3.54</v>
      </c>
      <c r="F52" s="71">
        <f t="shared" si="6"/>
        <v>3.54</v>
      </c>
      <c r="G52" s="71">
        <f t="shared" si="6"/>
        <v>3.54</v>
      </c>
      <c r="H52" s="71">
        <f t="shared" si="6"/>
        <v>3.54</v>
      </c>
      <c r="I52" s="71">
        <f t="shared" si="6"/>
        <v>3.54</v>
      </c>
      <c r="J52" s="71">
        <f t="shared" si="6"/>
        <v>3.54</v>
      </c>
      <c r="K52" s="71">
        <f t="shared" si="6"/>
        <v>3.54</v>
      </c>
      <c r="L52" s="71">
        <f t="shared" si="6"/>
        <v>3.54</v>
      </c>
      <c r="M52" s="71">
        <f t="shared" si="6"/>
        <v>3.54</v>
      </c>
      <c r="N52" s="71">
        <f t="shared" si="6"/>
        <v>3.54</v>
      </c>
      <c r="O52" s="71">
        <f t="shared" si="6"/>
        <v>3.54</v>
      </c>
      <c r="P52" s="71">
        <f t="shared" si="6"/>
        <v>3.54</v>
      </c>
      <c r="Q52" s="71">
        <f t="shared" si="6"/>
        <v>3.54</v>
      </c>
      <c r="R52" s="71">
        <f t="shared" si="6"/>
        <v>3.54</v>
      </c>
      <c r="S52" s="71">
        <f t="shared" si="6"/>
        <v>3.54</v>
      </c>
      <c r="T52" s="71">
        <f t="shared" si="6"/>
        <v>3.54</v>
      </c>
      <c r="U52" s="71">
        <f t="shared" si="6"/>
        <v>3.54</v>
      </c>
      <c r="V52" s="71">
        <f t="shared" si="6"/>
        <v>3.54</v>
      </c>
      <c r="W52" s="71">
        <f t="shared" si="6"/>
        <v>3.54</v>
      </c>
      <c r="X52" s="71">
        <f t="shared" si="6"/>
        <v>3.54</v>
      </c>
      <c r="Y52" s="71">
        <f t="shared" si="6"/>
        <v>3.54</v>
      </c>
      <c r="Z52" s="71">
        <f t="shared" si="6"/>
        <v>3.54</v>
      </c>
      <c r="AA52" s="71">
        <f t="shared" si="6"/>
        <v>3.54</v>
      </c>
      <c r="AB52" s="71">
        <f t="shared" si="6"/>
        <v>3.54</v>
      </c>
      <c r="AC52" s="71">
        <f t="shared" si="6"/>
        <v>3.54</v>
      </c>
      <c r="AD52" s="71">
        <f t="shared" si="6"/>
        <v>3.54</v>
      </c>
      <c r="AE52" s="71">
        <f t="shared" si="6"/>
        <v>3.54</v>
      </c>
      <c r="AF52" s="71">
        <f t="shared" si="6"/>
        <v>3.54</v>
      </c>
      <c r="AG52" s="76">
        <f>SUM(AG39:AG51)</f>
        <v>489.91</v>
      </c>
      <c r="AH52" s="53">
        <f t="shared" si="2"/>
        <v>3.54</v>
      </c>
      <c r="AI52" s="54">
        <f t="shared" si="3"/>
        <v>3.54</v>
      </c>
      <c r="AK52" s="55"/>
    </row>
    <row r="53" spans="1:37" x14ac:dyDescent="0.25">
      <c r="A53" s="56" t="s">
        <v>61</v>
      </c>
      <c r="B53" s="5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77"/>
      <c r="N53" s="77"/>
      <c r="O53" s="77"/>
      <c r="P53" s="77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61">
        <v>60</v>
      </c>
      <c r="AH53" s="53">
        <f t="shared" si="2"/>
        <v>0</v>
      </c>
      <c r="AI53" s="54">
        <f t="shared" si="3"/>
        <v>0</v>
      </c>
      <c r="AK53" s="55"/>
    </row>
    <row r="54" spans="1:37" x14ac:dyDescent="0.25">
      <c r="A54" s="65" t="s">
        <v>62</v>
      </c>
      <c r="B54" s="72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77"/>
      <c r="N54" s="77"/>
      <c r="O54" s="77"/>
      <c r="P54" s="77"/>
      <c r="Q54" s="72"/>
      <c r="R54" s="72"/>
      <c r="S54" s="50"/>
      <c r="T54" s="50"/>
      <c r="U54" s="50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66">
        <v>32</v>
      </c>
      <c r="AH54" s="53">
        <f t="shared" si="2"/>
        <v>0</v>
      </c>
      <c r="AI54" s="54">
        <f t="shared" si="3"/>
        <v>0</v>
      </c>
      <c r="AK54" s="55"/>
    </row>
    <row r="55" spans="1:37" ht="15.75" thickBot="1" x14ac:dyDescent="0.3">
      <c r="A55" s="74" t="s">
        <v>63</v>
      </c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80"/>
      <c r="N55" s="80"/>
      <c r="O55" s="80"/>
      <c r="P55" s="80"/>
      <c r="Q55" s="78"/>
      <c r="R55" s="78"/>
      <c r="S55" s="50"/>
      <c r="T55" s="50"/>
      <c r="U55" s="50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81">
        <v>14</v>
      </c>
      <c r="AH55" s="53">
        <f t="shared" si="2"/>
        <v>0</v>
      </c>
      <c r="AI55" s="54">
        <f t="shared" si="3"/>
        <v>0</v>
      </c>
      <c r="AK55" s="55"/>
    </row>
    <row r="56" spans="1:37" ht="15.75" thickBot="1" x14ac:dyDescent="0.3">
      <c r="A56" s="70" t="s">
        <v>64</v>
      </c>
      <c r="B56" s="71">
        <f>SUM(B53:B55)</f>
        <v>0</v>
      </c>
      <c r="C56" s="71">
        <f>SUM(C53:C55)</f>
        <v>0</v>
      </c>
      <c r="D56" s="71">
        <f t="shared" ref="D56:AF56" si="7">SUM(D53:D55)</f>
        <v>0</v>
      </c>
      <c r="E56" s="71">
        <f t="shared" si="7"/>
        <v>0</v>
      </c>
      <c r="F56" s="71">
        <f t="shared" si="7"/>
        <v>0</v>
      </c>
      <c r="G56" s="71">
        <f t="shared" si="7"/>
        <v>0</v>
      </c>
      <c r="H56" s="71">
        <f t="shared" si="7"/>
        <v>0</v>
      </c>
      <c r="I56" s="71">
        <f t="shared" si="7"/>
        <v>0</v>
      </c>
      <c r="J56" s="71">
        <f t="shared" si="7"/>
        <v>0</v>
      </c>
      <c r="K56" s="71">
        <f t="shared" si="7"/>
        <v>0</v>
      </c>
      <c r="L56" s="71">
        <f t="shared" si="7"/>
        <v>0</v>
      </c>
      <c r="M56" s="71">
        <f t="shared" si="7"/>
        <v>0</v>
      </c>
      <c r="N56" s="71">
        <f t="shared" si="7"/>
        <v>0</v>
      </c>
      <c r="O56" s="71">
        <f t="shared" si="7"/>
        <v>0</v>
      </c>
      <c r="P56" s="71">
        <f t="shared" si="7"/>
        <v>0</v>
      </c>
      <c r="Q56" s="71">
        <f t="shared" si="7"/>
        <v>0</v>
      </c>
      <c r="R56" s="71">
        <f t="shared" si="7"/>
        <v>0</v>
      </c>
      <c r="S56" s="71">
        <f t="shared" si="7"/>
        <v>0</v>
      </c>
      <c r="T56" s="71">
        <f t="shared" si="7"/>
        <v>0</v>
      </c>
      <c r="U56" s="71">
        <f t="shared" si="7"/>
        <v>0</v>
      </c>
      <c r="V56" s="71">
        <f t="shared" si="7"/>
        <v>0</v>
      </c>
      <c r="W56" s="71">
        <f t="shared" si="7"/>
        <v>0</v>
      </c>
      <c r="X56" s="71">
        <f t="shared" si="7"/>
        <v>0</v>
      </c>
      <c r="Y56" s="71">
        <f t="shared" si="7"/>
        <v>0</v>
      </c>
      <c r="Z56" s="71">
        <f t="shared" si="7"/>
        <v>0</v>
      </c>
      <c r="AA56" s="71">
        <f t="shared" si="7"/>
        <v>0</v>
      </c>
      <c r="AB56" s="71">
        <f t="shared" si="7"/>
        <v>0</v>
      </c>
      <c r="AC56" s="71">
        <f t="shared" si="7"/>
        <v>0</v>
      </c>
      <c r="AD56" s="71">
        <f t="shared" si="7"/>
        <v>0</v>
      </c>
      <c r="AE56" s="71">
        <f t="shared" si="7"/>
        <v>0</v>
      </c>
      <c r="AF56" s="71">
        <f t="shared" si="7"/>
        <v>0</v>
      </c>
      <c r="AG56" s="76">
        <f>SUM(AG53:AG55)</f>
        <v>106</v>
      </c>
      <c r="AH56" s="53">
        <f t="shared" si="2"/>
        <v>0</v>
      </c>
      <c r="AI56" s="54">
        <f t="shared" si="3"/>
        <v>0</v>
      </c>
      <c r="AK56" s="55"/>
    </row>
    <row r="57" spans="1:37" x14ac:dyDescent="0.25">
      <c r="A57" s="56" t="s">
        <v>65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61"/>
      <c r="AH57" s="53">
        <f t="shared" si="2"/>
        <v>0</v>
      </c>
      <c r="AI57" s="54">
        <f t="shared" si="3"/>
        <v>0</v>
      </c>
      <c r="AK57" s="55"/>
    </row>
    <row r="58" spans="1:37" x14ac:dyDescent="0.25">
      <c r="A58" s="65" t="s">
        <v>66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82"/>
      <c r="Y58" s="82"/>
      <c r="Z58" s="82"/>
      <c r="AA58" s="82"/>
      <c r="AB58" s="72"/>
      <c r="AC58" s="72"/>
      <c r="AD58" s="72"/>
      <c r="AE58" s="72"/>
      <c r="AF58" s="72"/>
      <c r="AG58" s="66"/>
      <c r="AH58" s="53">
        <f t="shared" si="2"/>
        <v>0</v>
      </c>
      <c r="AI58" s="54">
        <f t="shared" si="3"/>
        <v>0</v>
      </c>
      <c r="AK58" s="55"/>
    </row>
    <row r="59" spans="1:37" x14ac:dyDescent="0.25">
      <c r="A59" s="65" t="s">
        <v>67</v>
      </c>
      <c r="B59" s="72"/>
      <c r="C59" s="72"/>
      <c r="D59" s="72"/>
      <c r="E59" s="72"/>
      <c r="F59" s="72"/>
      <c r="G59" s="72"/>
      <c r="H59" s="50"/>
      <c r="I59" s="50"/>
      <c r="J59" s="50"/>
      <c r="K59" s="50"/>
      <c r="L59" s="50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83"/>
      <c r="Y59" s="83"/>
      <c r="Z59" s="83"/>
      <c r="AA59" s="83"/>
      <c r="AB59" s="72"/>
      <c r="AC59" s="72"/>
      <c r="AD59" s="72"/>
      <c r="AE59" s="72"/>
      <c r="AF59" s="72"/>
      <c r="AG59" s="84"/>
      <c r="AH59" s="53">
        <f t="shared" si="2"/>
        <v>0</v>
      </c>
      <c r="AI59" s="54">
        <f t="shared" si="3"/>
        <v>0</v>
      </c>
      <c r="AK59" s="55"/>
    </row>
    <row r="60" spans="1:37" x14ac:dyDescent="0.25">
      <c r="A60" s="65" t="s">
        <v>68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57"/>
      <c r="AG60" s="84"/>
      <c r="AH60" s="53">
        <f t="shared" si="2"/>
        <v>0</v>
      </c>
      <c r="AI60" s="54">
        <f t="shared" si="3"/>
        <v>0</v>
      </c>
      <c r="AK60" s="55"/>
    </row>
    <row r="61" spans="1:37" x14ac:dyDescent="0.25">
      <c r="A61" s="65" t="s">
        <v>69</v>
      </c>
      <c r="B61" s="50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84"/>
      <c r="AH61" s="53">
        <f t="shared" si="2"/>
        <v>0</v>
      </c>
      <c r="AI61" s="54">
        <f t="shared" si="3"/>
        <v>0</v>
      </c>
      <c r="AK61" s="55"/>
    </row>
    <row r="62" spans="1:37" x14ac:dyDescent="0.25">
      <c r="A62" s="65" t="s">
        <v>70</v>
      </c>
      <c r="B62" s="59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84"/>
      <c r="AH62" s="53">
        <f t="shared" si="2"/>
        <v>0</v>
      </c>
      <c r="AI62" s="54">
        <f t="shared" si="3"/>
        <v>0</v>
      </c>
      <c r="AK62" s="55"/>
    </row>
    <row r="63" spans="1:37" x14ac:dyDescent="0.25">
      <c r="A63" s="65" t="s">
        <v>71</v>
      </c>
      <c r="B63" s="59"/>
      <c r="C63" s="57"/>
      <c r="D63" s="57"/>
      <c r="E63" s="57"/>
      <c r="F63" s="57"/>
      <c r="G63" s="57"/>
      <c r="H63" s="57"/>
      <c r="I63" s="50"/>
      <c r="J63" s="50"/>
      <c r="K63" s="50"/>
      <c r="L63" s="50"/>
      <c r="M63" s="50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84"/>
      <c r="AH63" s="53">
        <f t="shared" si="2"/>
        <v>0</v>
      </c>
      <c r="AI63" s="54">
        <f t="shared" si="3"/>
        <v>0</v>
      </c>
      <c r="AK63" s="55"/>
    </row>
    <row r="64" spans="1:37" x14ac:dyDescent="0.25">
      <c r="A64" s="65" t="s">
        <v>72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84"/>
      <c r="AH64" s="53">
        <f t="shared" si="2"/>
        <v>0</v>
      </c>
      <c r="AI64" s="54">
        <f t="shared" si="3"/>
        <v>0</v>
      </c>
      <c r="AK64" s="55"/>
    </row>
    <row r="65" spans="1:88" x14ac:dyDescent="0.25">
      <c r="A65" s="65" t="s">
        <v>73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84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85" t="s">
        <v>74</v>
      </c>
      <c r="B66" s="62"/>
      <c r="C66" s="57"/>
      <c r="D66" s="57"/>
      <c r="E66" s="57"/>
      <c r="F66" s="57"/>
      <c r="G66" s="57"/>
      <c r="H66" s="57"/>
      <c r="I66" s="72"/>
      <c r="J66" s="72"/>
      <c r="K66" s="72"/>
      <c r="L66" s="72"/>
      <c r="M66" s="7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86"/>
      <c r="AH66" s="53">
        <f t="shared" si="2"/>
        <v>0</v>
      </c>
      <c r="AI66" s="54">
        <f t="shared" si="3"/>
        <v>0</v>
      </c>
      <c r="AK66" s="55"/>
    </row>
    <row r="67" spans="1:88" ht="15.75" thickBot="1" x14ac:dyDescent="0.3">
      <c r="A67" s="85" t="s">
        <v>75</v>
      </c>
      <c r="B67" s="62"/>
      <c r="C67" s="57"/>
      <c r="D67" s="57"/>
      <c r="E67" s="57"/>
      <c r="F67" s="57"/>
      <c r="G67" s="57"/>
      <c r="H67" s="57"/>
      <c r="I67" s="50"/>
      <c r="J67" s="50"/>
      <c r="K67" s="50"/>
      <c r="L67" s="50"/>
      <c r="M67" s="50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86"/>
      <c r="AH67" s="53">
        <f t="shared" si="2"/>
        <v>0</v>
      </c>
      <c r="AI67" s="54">
        <f t="shared" si="3"/>
        <v>0</v>
      </c>
      <c r="AK67" s="55"/>
    </row>
    <row r="68" spans="1:88" ht="15.75" thickBot="1" x14ac:dyDescent="0.3">
      <c r="A68" s="70" t="s">
        <v>76</v>
      </c>
      <c r="B68" s="71">
        <f>SUM(B57:B67)</f>
        <v>0</v>
      </c>
      <c r="C68" s="71">
        <f>SUM(C57:C67)</f>
        <v>0</v>
      </c>
      <c r="D68" s="71">
        <f t="shared" ref="D68:AF68" si="8">SUM(D57:D67)</f>
        <v>0</v>
      </c>
      <c r="E68" s="71">
        <f t="shared" si="8"/>
        <v>0</v>
      </c>
      <c r="F68" s="71">
        <f t="shared" si="8"/>
        <v>0</v>
      </c>
      <c r="G68" s="71">
        <f t="shared" si="8"/>
        <v>0</v>
      </c>
      <c r="H68" s="71">
        <f t="shared" si="8"/>
        <v>0</v>
      </c>
      <c r="I68" s="71">
        <f t="shared" si="8"/>
        <v>0</v>
      </c>
      <c r="J68" s="71">
        <f t="shared" si="8"/>
        <v>0</v>
      </c>
      <c r="K68" s="71">
        <f t="shared" si="8"/>
        <v>0</v>
      </c>
      <c r="L68" s="71">
        <f t="shared" si="8"/>
        <v>0</v>
      </c>
      <c r="M68" s="71">
        <f t="shared" si="8"/>
        <v>0</v>
      </c>
      <c r="N68" s="71">
        <f t="shared" si="8"/>
        <v>0</v>
      </c>
      <c r="O68" s="71">
        <f t="shared" si="8"/>
        <v>0</v>
      </c>
      <c r="P68" s="71">
        <f t="shared" si="8"/>
        <v>0</v>
      </c>
      <c r="Q68" s="71">
        <f t="shared" si="8"/>
        <v>0</v>
      </c>
      <c r="R68" s="71">
        <f t="shared" si="8"/>
        <v>0</v>
      </c>
      <c r="S68" s="71">
        <f t="shared" si="8"/>
        <v>0</v>
      </c>
      <c r="T68" s="71">
        <f t="shared" si="8"/>
        <v>0</v>
      </c>
      <c r="U68" s="71">
        <f t="shared" si="8"/>
        <v>0</v>
      </c>
      <c r="V68" s="71">
        <f t="shared" si="8"/>
        <v>0</v>
      </c>
      <c r="W68" s="71">
        <f t="shared" si="8"/>
        <v>0</v>
      </c>
      <c r="X68" s="71">
        <f t="shared" si="8"/>
        <v>0</v>
      </c>
      <c r="Y68" s="71">
        <f t="shared" si="8"/>
        <v>0</v>
      </c>
      <c r="Z68" s="71">
        <f t="shared" si="8"/>
        <v>0</v>
      </c>
      <c r="AA68" s="71">
        <f t="shared" si="8"/>
        <v>0</v>
      </c>
      <c r="AB68" s="71">
        <f t="shared" si="8"/>
        <v>0</v>
      </c>
      <c r="AC68" s="71">
        <f t="shared" si="8"/>
        <v>0</v>
      </c>
      <c r="AD68" s="71">
        <f t="shared" si="8"/>
        <v>0</v>
      </c>
      <c r="AE68" s="71">
        <f t="shared" si="8"/>
        <v>0</v>
      </c>
      <c r="AF68" s="71">
        <f t="shared" si="8"/>
        <v>0</v>
      </c>
      <c r="AG68" s="76">
        <f>SUM(AG57:AG67)</f>
        <v>0</v>
      </c>
      <c r="AH68" s="53">
        <f t="shared" si="2"/>
        <v>0</v>
      </c>
      <c r="AI68" s="54">
        <f t="shared" si="3"/>
        <v>0</v>
      </c>
      <c r="AK68" s="55"/>
    </row>
    <row r="69" spans="1:88" x14ac:dyDescent="0.25">
      <c r="A69" s="56" t="s">
        <v>77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87">
        <v>39</v>
      </c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65" t="s">
        <v>78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84">
        <v>14.4</v>
      </c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62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86">
        <v>2</v>
      </c>
      <c r="AH71" s="53">
        <f t="shared" si="2"/>
        <v>0</v>
      </c>
      <c r="AI71" s="54">
        <f t="shared" si="3"/>
        <v>0</v>
      </c>
    </row>
    <row r="72" spans="1:88" s="1" customFormat="1" ht="15.75" thickBot="1" x14ac:dyDescent="0.3">
      <c r="A72" s="70" t="s">
        <v>80</v>
      </c>
      <c r="B72" s="71">
        <f>SUM(B69:B71)</f>
        <v>0</v>
      </c>
      <c r="C72" s="71">
        <f>SUM(C69:C71)</f>
        <v>0</v>
      </c>
      <c r="D72" s="71">
        <f t="shared" ref="D72:AF72" si="9">SUM(D69:D71)</f>
        <v>0</v>
      </c>
      <c r="E72" s="71">
        <f t="shared" si="9"/>
        <v>0</v>
      </c>
      <c r="F72" s="71">
        <f t="shared" si="9"/>
        <v>0</v>
      </c>
      <c r="G72" s="71">
        <f t="shared" si="9"/>
        <v>0</v>
      </c>
      <c r="H72" s="71">
        <f t="shared" si="9"/>
        <v>0</v>
      </c>
      <c r="I72" s="71">
        <f t="shared" si="9"/>
        <v>0</v>
      </c>
      <c r="J72" s="71">
        <f t="shared" si="9"/>
        <v>0</v>
      </c>
      <c r="K72" s="71">
        <f t="shared" si="9"/>
        <v>0</v>
      </c>
      <c r="L72" s="71">
        <f t="shared" si="9"/>
        <v>0</v>
      </c>
      <c r="M72" s="71">
        <f t="shared" si="9"/>
        <v>0</v>
      </c>
      <c r="N72" s="71">
        <f t="shared" si="9"/>
        <v>0</v>
      </c>
      <c r="O72" s="71">
        <f t="shared" si="9"/>
        <v>0</v>
      </c>
      <c r="P72" s="71">
        <f t="shared" si="9"/>
        <v>0</v>
      </c>
      <c r="Q72" s="71">
        <f t="shared" si="9"/>
        <v>0</v>
      </c>
      <c r="R72" s="71">
        <f t="shared" si="9"/>
        <v>0</v>
      </c>
      <c r="S72" s="71">
        <f t="shared" si="9"/>
        <v>0</v>
      </c>
      <c r="T72" s="71">
        <f t="shared" si="9"/>
        <v>0</v>
      </c>
      <c r="U72" s="71">
        <f t="shared" si="9"/>
        <v>0</v>
      </c>
      <c r="V72" s="71">
        <f t="shared" si="9"/>
        <v>0</v>
      </c>
      <c r="W72" s="71">
        <f t="shared" si="9"/>
        <v>0</v>
      </c>
      <c r="X72" s="71">
        <f t="shared" si="9"/>
        <v>0</v>
      </c>
      <c r="Y72" s="71">
        <f t="shared" si="9"/>
        <v>0</v>
      </c>
      <c r="Z72" s="71">
        <f t="shared" si="9"/>
        <v>0</v>
      </c>
      <c r="AA72" s="71">
        <f t="shared" si="9"/>
        <v>0</v>
      </c>
      <c r="AB72" s="71">
        <f t="shared" si="9"/>
        <v>0</v>
      </c>
      <c r="AC72" s="71">
        <f t="shared" si="9"/>
        <v>0</v>
      </c>
      <c r="AD72" s="71">
        <f t="shared" si="9"/>
        <v>0</v>
      </c>
      <c r="AE72" s="71">
        <f t="shared" si="9"/>
        <v>0</v>
      </c>
      <c r="AF72" s="71">
        <f t="shared" si="9"/>
        <v>0</v>
      </c>
      <c r="AG72" s="76">
        <f>SUM(AG69:AG71)</f>
        <v>55.4</v>
      </c>
      <c r="AH72" s="53">
        <f t="shared" si="2"/>
        <v>0</v>
      </c>
      <c r="AI72" s="54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0" t="s">
        <v>81</v>
      </c>
      <c r="B73" s="88">
        <f>B68+B56+B52+B38+B72</f>
        <v>3.54</v>
      </c>
      <c r="C73" s="88">
        <f>C68+C56+C52+C38+C72</f>
        <v>3.54</v>
      </c>
      <c r="D73" s="88">
        <f t="shared" ref="D73:AG73" si="10">D68+D56+D52+D38+D72</f>
        <v>3.54</v>
      </c>
      <c r="E73" s="88">
        <f t="shared" si="10"/>
        <v>3.54</v>
      </c>
      <c r="F73" s="88">
        <f t="shared" si="10"/>
        <v>3.54</v>
      </c>
      <c r="G73" s="88">
        <f t="shared" si="10"/>
        <v>3.54</v>
      </c>
      <c r="H73" s="88">
        <f t="shared" si="10"/>
        <v>3.54</v>
      </c>
      <c r="I73" s="88">
        <f t="shared" si="10"/>
        <v>3.54</v>
      </c>
      <c r="J73" s="88">
        <f t="shared" si="10"/>
        <v>3.54</v>
      </c>
      <c r="K73" s="88">
        <f t="shared" si="10"/>
        <v>3.54</v>
      </c>
      <c r="L73" s="88">
        <f t="shared" si="10"/>
        <v>3.54</v>
      </c>
      <c r="M73" s="88">
        <f t="shared" si="10"/>
        <v>3.54</v>
      </c>
      <c r="N73" s="88">
        <f t="shared" si="10"/>
        <v>3.54</v>
      </c>
      <c r="O73" s="88">
        <f t="shared" si="10"/>
        <v>3.54</v>
      </c>
      <c r="P73" s="88">
        <f t="shared" si="10"/>
        <v>3.54</v>
      </c>
      <c r="Q73" s="88">
        <f t="shared" si="10"/>
        <v>3.54</v>
      </c>
      <c r="R73" s="88">
        <f t="shared" si="10"/>
        <v>3.54</v>
      </c>
      <c r="S73" s="88">
        <f t="shared" si="10"/>
        <v>3.54</v>
      </c>
      <c r="T73" s="88">
        <f t="shared" si="10"/>
        <v>3.54</v>
      </c>
      <c r="U73" s="88">
        <f t="shared" si="10"/>
        <v>3.54</v>
      </c>
      <c r="V73" s="88">
        <f t="shared" si="10"/>
        <v>3.54</v>
      </c>
      <c r="W73" s="88">
        <f t="shared" si="10"/>
        <v>3.54</v>
      </c>
      <c r="X73" s="88">
        <f t="shared" si="10"/>
        <v>3.54</v>
      </c>
      <c r="Y73" s="88">
        <f t="shared" si="10"/>
        <v>3.54</v>
      </c>
      <c r="Z73" s="88">
        <f t="shared" si="10"/>
        <v>3.54</v>
      </c>
      <c r="AA73" s="88">
        <f t="shared" si="10"/>
        <v>3.54</v>
      </c>
      <c r="AB73" s="88">
        <f t="shared" si="10"/>
        <v>3.54</v>
      </c>
      <c r="AC73" s="88">
        <f t="shared" si="10"/>
        <v>3.54</v>
      </c>
      <c r="AD73" s="88">
        <f t="shared" si="10"/>
        <v>3.54</v>
      </c>
      <c r="AE73" s="88">
        <f t="shared" si="10"/>
        <v>3.54</v>
      </c>
      <c r="AF73" s="88">
        <f t="shared" si="10"/>
        <v>3.54</v>
      </c>
      <c r="AG73" s="88">
        <f t="shared" si="10"/>
        <v>2144.14</v>
      </c>
      <c r="AH73" s="53">
        <f t="shared" si="2"/>
        <v>3.54</v>
      </c>
      <c r="AI73" s="54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9" t="s">
        <v>82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76"/>
      <c r="AH74" s="53">
        <f t="shared" si="2"/>
        <v>0</v>
      </c>
      <c r="AI74" s="54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0" t="s">
        <v>83</v>
      </c>
      <c r="B75" s="88">
        <f>B72+B68+B56+B52+B38+B74</f>
        <v>3.54</v>
      </c>
      <c r="C75" s="88">
        <f>C73+C74</f>
        <v>3.54</v>
      </c>
      <c r="D75" s="88">
        <f t="shared" ref="D75:AF75" si="11">D72+D68+D56+D52+D38+D74</f>
        <v>3.54</v>
      </c>
      <c r="E75" s="88">
        <f t="shared" si="11"/>
        <v>3.54</v>
      </c>
      <c r="F75" s="88">
        <f t="shared" si="11"/>
        <v>3.54</v>
      </c>
      <c r="G75" s="88">
        <f t="shared" si="11"/>
        <v>3.54</v>
      </c>
      <c r="H75" s="88">
        <f t="shared" si="11"/>
        <v>3.54</v>
      </c>
      <c r="I75" s="88">
        <f t="shared" si="11"/>
        <v>3.54</v>
      </c>
      <c r="J75" s="88">
        <f t="shared" si="11"/>
        <v>3.54</v>
      </c>
      <c r="K75" s="88">
        <f t="shared" si="11"/>
        <v>3.54</v>
      </c>
      <c r="L75" s="88">
        <f t="shared" si="11"/>
        <v>3.54</v>
      </c>
      <c r="M75" s="88">
        <f t="shared" si="11"/>
        <v>3.54</v>
      </c>
      <c r="N75" s="88">
        <f t="shared" si="11"/>
        <v>3.54</v>
      </c>
      <c r="O75" s="88">
        <f t="shared" si="11"/>
        <v>3.54</v>
      </c>
      <c r="P75" s="88">
        <f t="shared" si="11"/>
        <v>3.54</v>
      </c>
      <c r="Q75" s="88">
        <f t="shared" si="11"/>
        <v>3.54</v>
      </c>
      <c r="R75" s="88">
        <f t="shared" si="11"/>
        <v>3.54</v>
      </c>
      <c r="S75" s="88">
        <f t="shared" si="11"/>
        <v>3.54</v>
      </c>
      <c r="T75" s="88">
        <f t="shared" si="11"/>
        <v>3.54</v>
      </c>
      <c r="U75" s="88">
        <f t="shared" si="11"/>
        <v>3.54</v>
      </c>
      <c r="V75" s="88">
        <f t="shared" si="11"/>
        <v>3.54</v>
      </c>
      <c r="W75" s="88">
        <f t="shared" si="11"/>
        <v>3.54</v>
      </c>
      <c r="X75" s="88">
        <f t="shared" si="11"/>
        <v>3.54</v>
      </c>
      <c r="Y75" s="88">
        <f t="shared" si="11"/>
        <v>3.54</v>
      </c>
      <c r="Z75" s="88">
        <f t="shared" si="11"/>
        <v>3.54</v>
      </c>
      <c r="AA75" s="88">
        <f t="shared" si="11"/>
        <v>3.54</v>
      </c>
      <c r="AB75" s="88">
        <f t="shared" si="11"/>
        <v>3.54</v>
      </c>
      <c r="AC75" s="88">
        <f t="shared" si="11"/>
        <v>3.54</v>
      </c>
      <c r="AD75" s="88">
        <f t="shared" si="11"/>
        <v>3.54</v>
      </c>
      <c r="AE75" s="88">
        <f t="shared" si="11"/>
        <v>3.54</v>
      </c>
      <c r="AF75" s="88">
        <f t="shared" si="11"/>
        <v>3.54</v>
      </c>
      <c r="AG75" s="76">
        <f>AG72+AG68+AG56+AG52+AG38+AG74</f>
        <v>2144.14</v>
      </c>
      <c r="AH75" s="53">
        <f t="shared" si="2"/>
        <v>3.54</v>
      </c>
      <c r="AI75" s="54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6" t="s">
        <v>68</v>
      </c>
      <c r="B76" s="57">
        <f>IF(B60&lt;0,B60*-1,0)</f>
        <v>0</v>
      </c>
      <c r="C76" s="57">
        <f>IF(C60&lt;0,C60*-1,0)</f>
        <v>0</v>
      </c>
      <c r="D76" s="57">
        <f t="shared" ref="D76:AF76" si="12">IF(D60&lt;0,D60*-1,0)</f>
        <v>0</v>
      </c>
      <c r="E76" s="57">
        <f t="shared" si="12"/>
        <v>0</v>
      </c>
      <c r="F76" s="57">
        <f t="shared" si="12"/>
        <v>0</v>
      </c>
      <c r="G76" s="57">
        <f t="shared" si="12"/>
        <v>0</v>
      </c>
      <c r="H76" s="57">
        <f t="shared" si="12"/>
        <v>0</v>
      </c>
      <c r="I76" s="57">
        <f t="shared" si="12"/>
        <v>0</v>
      </c>
      <c r="J76" s="57">
        <f t="shared" si="12"/>
        <v>0</v>
      </c>
      <c r="K76" s="57">
        <f t="shared" si="12"/>
        <v>0</v>
      </c>
      <c r="L76" s="57">
        <f t="shared" si="12"/>
        <v>0</v>
      </c>
      <c r="M76" s="57">
        <f t="shared" si="12"/>
        <v>0</v>
      </c>
      <c r="N76" s="57">
        <f t="shared" si="12"/>
        <v>0</v>
      </c>
      <c r="O76" s="57">
        <f t="shared" si="12"/>
        <v>0</v>
      </c>
      <c r="P76" s="57">
        <f t="shared" si="12"/>
        <v>0</v>
      </c>
      <c r="Q76" s="57">
        <f t="shared" si="12"/>
        <v>0</v>
      </c>
      <c r="R76" s="57">
        <f t="shared" si="12"/>
        <v>0</v>
      </c>
      <c r="S76" s="57">
        <f t="shared" si="12"/>
        <v>0</v>
      </c>
      <c r="T76" s="57">
        <f t="shared" si="12"/>
        <v>0</v>
      </c>
      <c r="U76" s="57">
        <f t="shared" si="12"/>
        <v>0</v>
      </c>
      <c r="V76" s="57">
        <f t="shared" si="12"/>
        <v>0</v>
      </c>
      <c r="W76" s="57">
        <f t="shared" si="12"/>
        <v>0</v>
      </c>
      <c r="X76" s="57">
        <f t="shared" si="12"/>
        <v>0</v>
      </c>
      <c r="Y76" s="57">
        <f t="shared" si="12"/>
        <v>0</v>
      </c>
      <c r="Z76" s="57">
        <f t="shared" si="12"/>
        <v>0</v>
      </c>
      <c r="AA76" s="57">
        <f t="shared" si="12"/>
        <v>0</v>
      </c>
      <c r="AB76" s="57">
        <f t="shared" si="12"/>
        <v>0</v>
      </c>
      <c r="AC76" s="57">
        <f t="shared" si="12"/>
        <v>0</v>
      </c>
      <c r="AD76" s="57">
        <f t="shared" si="12"/>
        <v>0</v>
      </c>
      <c r="AE76" s="57">
        <f t="shared" si="12"/>
        <v>0</v>
      </c>
      <c r="AF76" s="57">
        <f t="shared" si="12"/>
        <v>0</v>
      </c>
      <c r="AG76" s="61"/>
      <c r="AH76" s="53">
        <f t="shared" ref="AH76:AH91" si="13">MAX(B76:AF76)</f>
        <v>0</v>
      </c>
      <c r="AI76" s="54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5" t="s">
        <v>66</v>
      </c>
      <c r="B77" s="57">
        <f>IF(B58&lt;0,B58*-1,0)</f>
        <v>0</v>
      </c>
      <c r="C77" s="57">
        <f>IF(C58&lt;0,C58*-1,0)</f>
        <v>0</v>
      </c>
      <c r="D77" s="57">
        <f t="shared" ref="D77:AF77" si="15">IF(D58&lt;0,D58*-1,0)</f>
        <v>0</v>
      </c>
      <c r="E77" s="57">
        <f t="shared" si="15"/>
        <v>0</v>
      </c>
      <c r="F77" s="57">
        <f t="shared" si="15"/>
        <v>0</v>
      </c>
      <c r="G77" s="57">
        <f t="shared" si="15"/>
        <v>0</v>
      </c>
      <c r="H77" s="57">
        <f t="shared" si="15"/>
        <v>0</v>
      </c>
      <c r="I77" s="57">
        <f t="shared" si="15"/>
        <v>0</v>
      </c>
      <c r="J77" s="57">
        <f t="shared" si="15"/>
        <v>0</v>
      </c>
      <c r="K77" s="57">
        <f t="shared" si="15"/>
        <v>0</v>
      </c>
      <c r="L77" s="57">
        <f t="shared" si="15"/>
        <v>0</v>
      </c>
      <c r="M77" s="57">
        <f t="shared" si="15"/>
        <v>0</v>
      </c>
      <c r="N77" s="57">
        <f t="shared" si="15"/>
        <v>0</v>
      </c>
      <c r="O77" s="57">
        <f t="shared" si="15"/>
        <v>0</v>
      </c>
      <c r="P77" s="57">
        <f t="shared" si="15"/>
        <v>0</v>
      </c>
      <c r="Q77" s="57">
        <f t="shared" si="15"/>
        <v>0</v>
      </c>
      <c r="R77" s="57">
        <f t="shared" si="15"/>
        <v>0</v>
      </c>
      <c r="S77" s="57">
        <f t="shared" si="15"/>
        <v>0</v>
      </c>
      <c r="T77" s="57">
        <f t="shared" si="15"/>
        <v>0</v>
      </c>
      <c r="U77" s="57">
        <f t="shared" si="15"/>
        <v>0</v>
      </c>
      <c r="V77" s="57">
        <f t="shared" si="15"/>
        <v>0</v>
      </c>
      <c r="W77" s="57">
        <f t="shared" si="15"/>
        <v>0</v>
      </c>
      <c r="X77" s="57">
        <f t="shared" si="15"/>
        <v>0</v>
      </c>
      <c r="Y77" s="57">
        <f t="shared" si="15"/>
        <v>0</v>
      </c>
      <c r="Z77" s="57">
        <f t="shared" si="15"/>
        <v>0</v>
      </c>
      <c r="AA77" s="57">
        <f t="shared" si="15"/>
        <v>0</v>
      </c>
      <c r="AB77" s="57">
        <f t="shared" si="15"/>
        <v>0</v>
      </c>
      <c r="AC77" s="57">
        <f t="shared" si="15"/>
        <v>0</v>
      </c>
      <c r="AD77" s="57">
        <f t="shared" si="15"/>
        <v>0</v>
      </c>
      <c r="AE77" s="57">
        <f t="shared" si="15"/>
        <v>0</v>
      </c>
      <c r="AF77" s="57">
        <f t="shared" si="15"/>
        <v>0</v>
      </c>
      <c r="AG77" s="66"/>
      <c r="AH77" s="53">
        <f t="shared" si="13"/>
        <v>0</v>
      </c>
      <c r="AI77" s="54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5" t="s">
        <v>84</v>
      </c>
      <c r="B78" s="57">
        <f>IF(B61&lt;0,B61*-1,0)</f>
        <v>0</v>
      </c>
      <c r="C78" s="57">
        <f>IF(C61&lt;0,C61*-1,0)</f>
        <v>0</v>
      </c>
      <c r="D78" s="57">
        <f t="shared" ref="D78:AF78" si="16">IF(D61&lt;0,D61*-1,0)</f>
        <v>0</v>
      </c>
      <c r="E78" s="57">
        <f t="shared" si="16"/>
        <v>0</v>
      </c>
      <c r="F78" s="57">
        <f t="shared" si="16"/>
        <v>0</v>
      </c>
      <c r="G78" s="57">
        <f t="shared" si="16"/>
        <v>0</v>
      </c>
      <c r="H78" s="57">
        <f t="shared" si="16"/>
        <v>0</v>
      </c>
      <c r="I78" s="57">
        <f t="shared" si="16"/>
        <v>0</v>
      </c>
      <c r="J78" s="57">
        <f t="shared" si="16"/>
        <v>0</v>
      </c>
      <c r="K78" s="57">
        <f t="shared" si="16"/>
        <v>0</v>
      </c>
      <c r="L78" s="57">
        <f t="shared" si="16"/>
        <v>0</v>
      </c>
      <c r="M78" s="57">
        <f t="shared" si="16"/>
        <v>0</v>
      </c>
      <c r="N78" s="57">
        <f t="shared" si="16"/>
        <v>0</v>
      </c>
      <c r="O78" s="57">
        <f t="shared" si="16"/>
        <v>0</v>
      </c>
      <c r="P78" s="57">
        <f t="shared" si="16"/>
        <v>0</v>
      </c>
      <c r="Q78" s="57">
        <f t="shared" si="16"/>
        <v>0</v>
      </c>
      <c r="R78" s="57">
        <f t="shared" si="16"/>
        <v>0</v>
      </c>
      <c r="S78" s="57">
        <f t="shared" si="16"/>
        <v>0</v>
      </c>
      <c r="T78" s="57">
        <f t="shared" si="16"/>
        <v>0</v>
      </c>
      <c r="U78" s="57">
        <f t="shared" si="16"/>
        <v>0</v>
      </c>
      <c r="V78" s="57">
        <f t="shared" si="16"/>
        <v>0</v>
      </c>
      <c r="W78" s="57">
        <f t="shared" si="16"/>
        <v>0</v>
      </c>
      <c r="X78" s="57">
        <f t="shared" si="16"/>
        <v>0</v>
      </c>
      <c r="Y78" s="57">
        <f t="shared" si="16"/>
        <v>0</v>
      </c>
      <c r="Z78" s="57">
        <f t="shared" si="16"/>
        <v>0</v>
      </c>
      <c r="AA78" s="57">
        <f t="shared" si="16"/>
        <v>0</v>
      </c>
      <c r="AB78" s="57">
        <f t="shared" si="16"/>
        <v>0</v>
      </c>
      <c r="AC78" s="57">
        <f t="shared" si="16"/>
        <v>0</v>
      </c>
      <c r="AD78" s="57">
        <f t="shared" si="16"/>
        <v>0</v>
      </c>
      <c r="AE78" s="57">
        <f t="shared" si="16"/>
        <v>0</v>
      </c>
      <c r="AF78" s="57">
        <f t="shared" si="16"/>
        <v>0</v>
      </c>
      <c r="AG78" s="91"/>
      <c r="AH78" s="53">
        <f t="shared" si="13"/>
        <v>0</v>
      </c>
      <c r="AI78" s="54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5" t="s">
        <v>85</v>
      </c>
      <c r="B79" s="57">
        <f>IF(B59&lt;0,B59*-1,0)</f>
        <v>0</v>
      </c>
      <c r="C79" s="57">
        <f>IF(C59&lt;0,C59*-1,0)</f>
        <v>0</v>
      </c>
      <c r="D79" s="57">
        <f t="shared" ref="D79:AF79" si="17">IF(D59&lt;0,D59*-1,0)</f>
        <v>0</v>
      </c>
      <c r="E79" s="57">
        <f t="shared" si="17"/>
        <v>0</v>
      </c>
      <c r="F79" s="57">
        <f t="shared" si="17"/>
        <v>0</v>
      </c>
      <c r="G79" s="57">
        <f t="shared" si="17"/>
        <v>0</v>
      </c>
      <c r="H79" s="57">
        <f t="shared" si="17"/>
        <v>0</v>
      </c>
      <c r="I79" s="57">
        <f t="shared" si="17"/>
        <v>0</v>
      </c>
      <c r="J79" s="57">
        <f t="shared" si="17"/>
        <v>0</v>
      </c>
      <c r="K79" s="57">
        <f t="shared" si="17"/>
        <v>0</v>
      </c>
      <c r="L79" s="57">
        <f t="shared" si="17"/>
        <v>0</v>
      </c>
      <c r="M79" s="57">
        <f t="shared" si="17"/>
        <v>0</v>
      </c>
      <c r="N79" s="57">
        <f t="shared" si="17"/>
        <v>0</v>
      </c>
      <c r="O79" s="57">
        <f t="shared" si="17"/>
        <v>0</v>
      </c>
      <c r="P79" s="57">
        <f t="shared" si="17"/>
        <v>0</v>
      </c>
      <c r="Q79" s="57">
        <f t="shared" si="17"/>
        <v>0</v>
      </c>
      <c r="R79" s="57">
        <f t="shared" si="17"/>
        <v>0</v>
      </c>
      <c r="S79" s="57">
        <f t="shared" si="17"/>
        <v>0</v>
      </c>
      <c r="T79" s="57">
        <f t="shared" si="17"/>
        <v>0</v>
      </c>
      <c r="U79" s="57">
        <f t="shared" si="17"/>
        <v>0</v>
      </c>
      <c r="V79" s="57">
        <f t="shared" si="17"/>
        <v>0</v>
      </c>
      <c r="W79" s="57">
        <f t="shared" si="17"/>
        <v>0</v>
      </c>
      <c r="X79" s="57">
        <f t="shared" si="17"/>
        <v>0</v>
      </c>
      <c r="Y79" s="57">
        <f t="shared" si="17"/>
        <v>0</v>
      </c>
      <c r="Z79" s="57">
        <f t="shared" si="17"/>
        <v>0</v>
      </c>
      <c r="AA79" s="57">
        <f t="shared" si="17"/>
        <v>0</v>
      </c>
      <c r="AB79" s="57">
        <f t="shared" si="17"/>
        <v>0</v>
      </c>
      <c r="AC79" s="57">
        <f t="shared" si="17"/>
        <v>0</v>
      </c>
      <c r="AD79" s="57">
        <f t="shared" si="17"/>
        <v>0</v>
      </c>
      <c r="AE79" s="57">
        <f t="shared" si="17"/>
        <v>0</v>
      </c>
      <c r="AF79" s="57">
        <f t="shared" si="17"/>
        <v>0</v>
      </c>
      <c r="AG79" s="91"/>
      <c r="AH79" s="53">
        <f t="shared" si="13"/>
        <v>0</v>
      </c>
      <c r="AI79" s="54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5" t="s">
        <v>65</v>
      </c>
      <c r="B80" s="57">
        <f>IF(B57&lt;0,B57*-1,0)</f>
        <v>0</v>
      </c>
      <c r="C80" s="57">
        <f>IF(C57&lt;0,C57*-1,0)</f>
        <v>0</v>
      </c>
      <c r="D80" s="57">
        <f t="shared" ref="D80:AF80" si="18">IF(D57&lt;0,D57*-1,0)</f>
        <v>0</v>
      </c>
      <c r="E80" s="57">
        <f t="shared" si="18"/>
        <v>0</v>
      </c>
      <c r="F80" s="57">
        <f t="shared" si="18"/>
        <v>0</v>
      </c>
      <c r="G80" s="57">
        <f t="shared" si="18"/>
        <v>0</v>
      </c>
      <c r="H80" s="57">
        <f t="shared" si="18"/>
        <v>0</v>
      </c>
      <c r="I80" s="57">
        <f t="shared" si="18"/>
        <v>0</v>
      </c>
      <c r="J80" s="57">
        <f t="shared" si="18"/>
        <v>0</v>
      </c>
      <c r="K80" s="57">
        <f t="shared" si="18"/>
        <v>0</v>
      </c>
      <c r="L80" s="57">
        <f t="shared" si="18"/>
        <v>0</v>
      </c>
      <c r="M80" s="57">
        <f t="shared" si="18"/>
        <v>0</v>
      </c>
      <c r="N80" s="57">
        <f t="shared" si="18"/>
        <v>0</v>
      </c>
      <c r="O80" s="57">
        <f t="shared" si="18"/>
        <v>0</v>
      </c>
      <c r="P80" s="57">
        <f t="shared" si="18"/>
        <v>0</v>
      </c>
      <c r="Q80" s="57">
        <f t="shared" si="18"/>
        <v>0</v>
      </c>
      <c r="R80" s="57">
        <f t="shared" si="18"/>
        <v>0</v>
      </c>
      <c r="S80" s="57">
        <f t="shared" si="18"/>
        <v>0</v>
      </c>
      <c r="T80" s="57">
        <f t="shared" si="18"/>
        <v>0</v>
      </c>
      <c r="U80" s="57">
        <f t="shared" si="18"/>
        <v>0</v>
      </c>
      <c r="V80" s="57">
        <f t="shared" si="18"/>
        <v>0</v>
      </c>
      <c r="W80" s="57">
        <f t="shared" si="18"/>
        <v>0</v>
      </c>
      <c r="X80" s="57">
        <f t="shared" si="18"/>
        <v>0</v>
      </c>
      <c r="Y80" s="57">
        <f t="shared" si="18"/>
        <v>0</v>
      </c>
      <c r="Z80" s="57">
        <f t="shared" si="18"/>
        <v>0</v>
      </c>
      <c r="AA80" s="57">
        <f t="shared" si="18"/>
        <v>0</v>
      </c>
      <c r="AB80" s="57">
        <f t="shared" si="18"/>
        <v>0</v>
      </c>
      <c r="AC80" s="57">
        <f t="shared" si="18"/>
        <v>0</v>
      </c>
      <c r="AD80" s="57">
        <f t="shared" si="18"/>
        <v>0</v>
      </c>
      <c r="AE80" s="57">
        <f t="shared" si="18"/>
        <v>0</v>
      </c>
      <c r="AF80" s="57">
        <f t="shared" si="18"/>
        <v>0</v>
      </c>
      <c r="AG80" s="91"/>
      <c r="AH80" s="53">
        <f t="shared" si="13"/>
        <v>0</v>
      </c>
      <c r="AI80" s="54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5" t="s">
        <v>86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50"/>
      <c r="T81" s="50"/>
      <c r="U81" s="50"/>
      <c r="V81" s="50"/>
      <c r="W81" s="50"/>
      <c r="X81" s="50"/>
      <c r="Y81" s="50"/>
      <c r="Z81" s="50"/>
      <c r="AA81" s="50"/>
      <c r="AB81" s="62"/>
      <c r="AC81" s="62"/>
      <c r="AD81" s="62"/>
      <c r="AE81" s="62"/>
      <c r="AF81" s="62"/>
      <c r="AG81" s="86"/>
      <c r="AH81" s="53">
        <f t="shared" si="13"/>
        <v>0</v>
      </c>
      <c r="AI81" s="54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2" t="s">
        <v>87</v>
      </c>
      <c r="B82" s="71">
        <f>SUM(B76:B81)</f>
        <v>0</v>
      </c>
      <c r="C82" s="71">
        <f t="shared" ref="C82:AG82" si="19">SUM(C76:C81)</f>
        <v>0</v>
      </c>
      <c r="D82" s="71">
        <f t="shared" si="19"/>
        <v>0</v>
      </c>
      <c r="E82" s="71">
        <f t="shared" si="19"/>
        <v>0</v>
      </c>
      <c r="F82" s="71">
        <f t="shared" si="19"/>
        <v>0</v>
      </c>
      <c r="G82" s="71">
        <f t="shared" si="19"/>
        <v>0</v>
      </c>
      <c r="H82" s="71">
        <f t="shared" si="19"/>
        <v>0</v>
      </c>
      <c r="I82" s="71">
        <f t="shared" si="19"/>
        <v>0</v>
      </c>
      <c r="J82" s="71">
        <f t="shared" si="19"/>
        <v>0</v>
      </c>
      <c r="K82" s="71">
        <f t="shared" si="19"/>
        <v>0</v>
      </c>
      <c r="L82" s="71">
        <f t="shared" si="19"/>
        <v>0</v>
      </c>
      <c r="M82" s="71">
        <f t="shared" si="19"/>
        <v>0</v>
      </c>
      <c r="N82" s="71">
        <f t="shared" si="19"/>
        <v>0</v>
      </c>
      <c r="O82" s="71">
        <f t="shared" si="19"/>
        <v>0</v>
      </c>
      <c r="P82" s="71">
        <f t="shared" si="19"/>
        <v>0</v>
      </c>
      <c r="Q82" s="71">
        <f t="shared" si="19"/>
        <v>0</v>
      </c>
      <c r="R82" s="71">
        <f t="shared" si="19"/>
        <v>0</v>
      </c>
      <c r="S82" s="71">
        <f t="shared" si="19"/>
        <v>0</v>
      </c>
      <c r="T82" s="71">
        <f t="shared" si="19"/>
        <v>0</v>
      </c>
      <c r="U82" s="71">
        <f t="shared" si="19"/>
        <v>0</v>
      </c>
      <c r="V82" s="71">
        <f t="shared" si="19"/>
        <v>0</v>
      </c>
      <c r="W82" s="71">
        <f t="shared" si="19"/>
        <v>0</v>
      </c>
      <c r="X82" s="71">
        <f t="shared" si="19"/>
        <v>0</v>
      </c>
      <c r="Y82" s="71">
        <f t="shared" si="19"/>
        <v>0</v>
      </c>
      <c r="Z82" s="71">
        <f t="shared" si="19"/>
        <v>0</v>
      </c>
      <c r="AA82" s="71">
        <f t="shared" si="19"/>
        <v>0</v>
      </c>
      <c r="AB82" s="71">
        <f t="shared" si="19"/>
        <v>0</v>
      </c>
      <c r="AC82" s="71">
        <f t="shared" si="19"/>
        <v>0</v>
      </c>
      <c r="AD82" s="71">
        <f t="shared" si="19"/>
        <v>0</v>
      </c>
      <c r="AE82" s="71">
        <f t="shared" si="19"/>
        <v>0</v>
      </c>
      <c r="AF82" s="71">
        <f t="shared" si="19"/>
        <v>0</v>
      </c>
      <c r="AG82" s="76">
        <f t="shared" si="19"/>
        <v>0</v>
      </c>
      <c r="AH82" s="53">
        <f t="shared" si="13"/>
        <v>0</v>
      </c>
      <c r="AI82" s="54">
        <f t="shared" si="14"/>
        <v>0</v>
      </c>
      <c r="AK82" s="55"/>
    </row>
    <row r="83" spans="1:88" s="1" customFormat="1" ht="15.75" thickBot="1" x14ac:dyDescent="0.3">
      <c r="A83" s="70" t="s">
        <v>88</v>
      </c>
      <c r="B83" s="71">
        <f>SUM(B70:B82)</f>
        <v>7.08</v>
      </c>
      <c r="C83" s="71">
        <f t="shared" ref="C83:AG83" si="20">SUM(C70:C82)</f>
        <v>7.08</v>
      </c>
      <c r="D83" s="71">
        <f t="shared" si="20"/>
        <v>7.08</v>
      </c>
      <c r="E83" s="71">
        <f t="shared" si="20"/>
        <v>7.08</v>
      </c>
      <c r="F83" s="71">
        <f t="shared" si="20"/>
        <v>7.08</v>
      </c>
      <c r="G83" s="71">
        <f t="shared" si="20"/>
        <v>7.08</v>
      </c>
      <c r="H83" s="71">
        <f t="shared" si="20"/>
        <v>7.08</v>
      </c>
      <c r="I83" s="71">
        <f t="shared" si="20"/>
        <v>7.08</v>
      </c>
      <c r="J83" s="71">
        <f t="shared" si="20"/>
        <v>7.08</v>
      </c>
      <c r="K83" s="71">
        <f t="shared" si="20"/>
        <v>7.08</v>
      </c>
      <c r="L83" s="71">
        <f t="shared" si="20"/>
        <v>7.08</v>
      </c>
      <c r="M83" s="71">
        <f t="shared" si="20"/>
        <v>7.08</v>
      </c>
      <c r="N83" s="71">
        <f t="shared" si="20"/>
        <v>7.08</v>
      </c>
      <c r="O83" s="71">
        <f t="shared" si="20"/>
        <v>7.08</v>
      </c>
      <c r="P83" s="71">
        <f t="shared" si="20"/>
        <v>7.08</v>
      </c>
      <c r="Q83" s="71">
        <f t="shared" si="20"/>
        <v>7.08</v>
      </c>
      <c r="R83" s="71">
        <f t="shared" si="20"/>
        <v>7.08</v>
      </c>
      <c r="S83" s="71">
        <f t="shared" si="20"/>
        <v>7.08</v>
      </c>
      <c r="T83" s="71">
        <f t="shared" si="20"/>
        <v>7.08</v>
      </c>
      <c r="U83" s="71">
        <f t="shared" si="20"/>
        <v>7.08</v>
      </c>
      <c r="V83" s="71">
        <f t="shared" si="20"/>
        <v>7.08</v>
      </c>
      <c r="W83" s="71">
        <f t="shared" si="20"/>
        <v>7.08</v>
      </c>
      <c r="X83" s="71">
        <f t="shared" si="20"/>
        <v>7.08</v>
      </c>
      <c r="Y83" s="71">
        <f t="shared" si="20"/>
        <v>7.08</v>
      </c>
      <c r="Z83" s="71">
        <f t="shared" si="20"/>
        <v>7.08</v>
      </c>
      <c r="AA83" s="71">
        <f t="shared" si="20"/>
        <v>7.08</v>
      </c>
      <c r="AB83" s="71">
        <f t="shared" si="20"/>
        <v>7.08</v>
      </c>
      <c r="AC83" s="71">
        <f t="shared" si="20"/>
        <v>7.08</v>
      </c>
      <c r="AD83" s="71">
        <f t="shared" si="20"/>
        <v>7.08</v>
      </c>
      <c r="AE83" s="71">
        <f t="shared" si="20"/>
        <v>7.08</v>
      </c>
      <c r="AF83" s="71">
        <f t="shared" si="20"/>
        <v>7.08</v>
      </c>
      <c r="AG83" s="76">
        <f t="shared" si="20"/>
        <v>4360.08</v>
      </c>
      <c r="AH83" s="53">
        <f t="shared" si="13"/>
        <v>7.08</v>
      </c>
      <c r="AI83" s="54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3" t="s">
        <v>89</v>
      </c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6"/>
      <c r="AH84" s="53">
        <f t="shared" si="13"/>
        <v>0</v>
      </c>
      <c r="AI84" s="54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7" t="s">
        <v>90</v>
      </c>
      <c r="B85" s="98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99"/>
      <c r="V85" s="99"/>
      <c r="W85" s="99"/>
      <c r="X85" s="99"/>
      <c r="Y85" s="99"/>
      <c r="Z85" s="99"/>
      <c r="AA85" s="99"/>
      <c r="AB85" s="72"/>
      <c r="AC85" s="72"/>
      <c r="AD85" s="72"/>
      <c r="AE85" s="72"/>
      <c r="AF85" s="72"/>
      <c r="AG85" s="100"/>
      <c r="AH85" s="53">
        <f t="shared" si="13"/>
        <v>0</v>
      </c>
      <c r="AI85" s="54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7" t="s">
        <v>91</v>
      </c>
      <c r="B86" s="98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99"/>
      <c r="V86" s="99"/>
      <c r="W86" s="99"/>
      <c r="X86" s="99"/>
      <c r="Y86" s="99"/>
      <c r="Z86" s="99"/>
      <c r="AA86" s="99"/>
      <c r="AB86" s="72"/>
      <c r="AC86" s="72"/>
      <c r="AD86" s="72"/>
      <c r="AE86" s="72"/>
      <c r="AF86" s="72"/>
      <c r="AG86" s="100"/>
      <c r="AH86" s="53">
        <f t="shared" si="13"/>
        <v>0</v>
      </c>
      <c r="AI86" s="54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7" t="s">
        <v>92</v>
      </c>
      <c r="B87" s="98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99"/>
      <c r="Y87" s="99"/>
      <c r="Z87" s="99"/>
      <c r="AA87" s="99"/>
      <c r="AB87" s="72"/>
      <c r="AC87" s="72"/>
      <c r="AD87" s="72"/>
      <c r="AE87" s="72"/>
      <c r="AF87" s="72"/>
      <c r="AG87" s="100"/>
      <c r="AH87" s="53">
        <f t="shared" si="13"/>
        <v>0</v>
      </c>
      <c r="AI87" s="54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1" t="s">
        <v>93</v>
      </c>
      <c r="B88" s="98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99"/>
      <c r="Y88" s="99"/>
      <c r="Z88" s="99"/>
      <c r="AA88" s="99"/>
      <c r="AB88" s="72"/>
      <c r="AC88" s="72"/>
      <c r="AD88" s="72"/>
      <c r="AE88" s="72"/>
      <c r="AF88" s="72"/>
      <c r="AG88" s="100"/>
      <c r="AH88" s="53">
        <f t="shared" si="13"/>
        <v>0</v>
      </c>
      <c r="AI88" s="54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1" t="s">
        <v>94</v>
      </c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99"/>
      <c r="Y89" s="99"/>
      <c r="Z89" s="99"/>
      <c r="AA89" s="99"/>
      <c r="AB89" s="103"/>
      <c r="AC89" s="103"/>
      <c r="AD89" s="103"/>
      <c r="AE89" s="103"/>
      <c r="AF89" s="103"/>
      <c r="AG89" s="104"/>
      <c r="AH89" s="53">
        <f t="shared" si="13"/>
        <v>0</v>
      </c>
      <c r="AI89" s="54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7" t="s">
        <v>95</v>
      </c>
      <c r="B90" s="98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99"/>
      <c r="Y90" s="99"/>
      <c r="Z90" s="99"/>
      <c r="AA90" s="99"/>
      <c r="AB90" s="72"/>
      <c r="AC90" s="72"/>
      <c r="AD90" s="72"/>
      <c r="AE90" s="72"/>
      <c r="AF90" s="72"/>
      <c r="AG90" s="100"/>
      <c r="AH90" s="53">
        <f t="shared" si="13"/>
        <v>0</v>
      </c>
      <c r="AI90" s="54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7" t="s">
        <v>96</v>
      </c>
      <c r="B91" s="105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7"/>
      <c r="AH91" s="53">
        <f t="shared" si="13"/>
        <v>0</v>
      </c>
      <c r="AI91" s="54">
        <f t="shared" si="14"/>
        <v>0</v>
      </c>
    </row>
    <row r="92" spans="1:88" ht="15.75" thickBot="1" x14ac:dyDescent="0.3">
      <c r="A92" s="108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10"/>
      <c r="AH92" s="53"/>
      <c r="AI92" s="54"/>
    </row>
    <row r="93" spans="1:88" ht="15.75" thickBot="1" x14ac:dyDescent="0.3">
      <c r="A93" s="111" t="s">
        <v>97</v>
      </c>
      <c r="B93" s="112">
        <f>SUM(B15,B18,B21:B22,B42,B44:B45,B47,B49,B94:B97,B102,B108,B114,B123,B125,B137,B144,B147:B148,B155,B157,B159,B163:B165,B167:B169,B174,B180:B181,B183:B185,B193,B198)</f>
        <v>34.840000000000003</v>
      </c>
      <c r="C93" s="113">
        <f>SUM(C15,C18,C21:C22,C42,C44:C45,C47,C49,C94:C97,C102,C108,C114,C123,C125,C137,C144,C147:C148,C155,C157,C159,C163:C165,C167:C169,C174,C180:C181,C183:C185,C193,C198)</f>
        <v>34.840000000000003</v>
      </c>
      <c r="D93" s="113">
        <f t="shared" ref="D93:AF93" si="21">SUM(D15,D18,D21:D22,D42,D44:D45,D47,D49,D94:D97,D102,D108,D114,D123,D125,D137,D144,D147:D148,D155,D157,D159,D163:D165,D167:D169,D174,D180:D181,D183:D185,D193,D198)</f>
        <v>34.840000000000003</v>
      </c>
      <c r="E93" s="113">
        <f t="shared" si="21"/>
        <v>34.840000000000003</v>
      </c>
      <c r="F93" s="113">
        <f t="shared" si="21"/>
        <v>34.840000000000003</v>
      </c>
      <c r="G93" s="112">
        <f t="shared" si="21"/>
        <v>34.840000000000003</v>
      </c>
      <c r="H93" s="112">
        <f t="shared" si="21"/>
        <v>34.840000000000003</v>
      </c>
      <c r="I93" s="112">
        <f t="shared" si="21"/>
        <v>34.840000000000003</v>
      </c>
      <c r="J93" s="112">
        <f t="shared" si="21"/>
        <v>34.840000000000003</v>
      </c>
      <c r="K93" s="112">
        <f t="shared" si="21"/>
        <v>34.840000000000003</v>
      </c>
      <c r="L93" s="112">
        <f t="shared" si="21"/>
        <v>34.840000000000003</v>
      </c>
      <c r="M93" s="112">
        <f t="shared" si="21"/>
        <v>34.840000000000003</v>
      </c>
      <c r="N93" s="112">
        <f t="shared" si="21"/>
        <v>34.840000000000003</v>
      </c>
      <c r="O93" s="112">
        <f t="shared" si="21"/>
        <v>34.840000000000003</v>
      </c>
      <c r="P93" s="112">
        <f t="shared" si="21"/>
        <v>34.840000000000003</v>
      </c>
      <c r="Q93" s="112">
        <f t="shared" si="21"/>
        <v>34.840000000000003</v>
      </c>
      <c r="R93" s="112">
        <f t="shared" si="21"/>
        <v>34.840000000000003</v>
      </c>
      <c r="S93" s="112">
        <f t="shared" si="21"/>
        <v>34.840000000000003</v>
      </c>
      <c r="T93" s="112">
        <f t="shared" si="21"/>
        <v>34.840000000000003</v>
      </c>
      <c r="U93" s="112">
        <f t="shared" si="21"/>
        <v>34.840000000000003</v>
      </c>
      <c r="V93" s="112">
        <f t="shared" si="21"/>
        <v>34.840000000000003</v>
      </c>
      <c r="W93" s="112">
        <f t="shared" si="21"/>
        <v>34.840000000000003</v>
      </c>
      <c r="X93" s="112">
        <f t="shared" si="21"/>
        <v>34.840000000000003</v>
      </c>
      <c r="Y93" s="112">
        <f t="shared" si="21"/>
        <v>34.840000000000003</v>
      </c>
      <c r="Z93" s="112">
        <f t="shared" si="21"/>
        <v>34.840000000000003</v>
      </c>
      <c r="AA93" s="112">
        <f t="shared" si="21"/>
        <v>34.840000000000003</v>
      </c>
      <c r="AB93" s="112">
        <f t="shared" si="21"/>
        <v>34.840000000000003</v>
      </c>
      <c r="AC93" s="112">
        <f t="shared" si="21"/>
        <v>34.840000000000003</v>
      </c>
      <c r="AD93" s="112">
        <f t="shared" si="21"/>
        <v>34.840000000000003</v>
      </c>
      <c r="AE93" s="112">
        <f t="shared" si="21"/>
        <v>34.840000000000003</v>
      </c>
      <c r="AF93" s="112">
        <f t="shared" si="21"/>
        <v>34.840000000000003</v>
      </c>
      <c r="AG93" s="114"/>
      <c r="AH93" s="53">
        <f>MAX(C93:AF93)</f>
        <v>34.840000000000003</v>
      </c>
      <c r="AI93" s="54">
        <f>MIN(C93:AF93)</f>
        <v>34.840000000000003</v>
      </c>
    </row>
    <row r="94" spans="1:88" x14ac:dyDescent="0.25">
      <c r="A94" s="115" t="s">
        <v>98</v>
      </c>
      <c r="B94" s="116"/>
      <c r="C94" s="57"/>
      <c r="D94" s="57"/>
      <c r="E94" s="57"/>
      <c r="F94" s="57"/>
      <c r="G94" s="117"/>
      <c r="H94" s="117"/>
      <c r="I94" s="117"/>
      <c r="J94" s="117"/>
      <c r="K94" s="117"/>
      <c r="L94" s="117"/>
      <c r="M94" s="118"/>
      <c r="N94" s="117"/>
      <c r="O94" s="117"/>
      <c r="P94" s="117"/>
      <c r="Q94" s="117"/>
      <c r="R94" s="117"/>
      <c r="S94" s="117"/>
      <c r="T94" s="117"/>
      <c r="U94" s="118"/>
      <c r="V94" s="118"/>
      <c r="W94" s="118"/>
      <c r="X94" s="117"/>
      <c r="Y94" s="117"/>
      <c r="Z94" s="117"/>
      <c r="AA94" s="117"/>
      <c r="AB94" s="118"/>
      <c r="AC94" s="118"/>
      <c r="AD94" s="118"/>
      <c r="AE94" s="118"/>
      <c r="AF94" s="118"/>
      <c r="AG94" s="119">
        <v>75</v>
      </c>
      <c r="AH94" s="53">
        <f>IF(ABS(MAX(C94:AF94))&gt;ABS(MIN(C94:AF94)),MAX(C94:AF94),MIN(C94:AF94))</f>
        <v>0</v>
      </c>
      <c r="AI94" s="120" t="e">
        <f>INDEX($C$9:$AF$9,1,MATCH(AH94,C94:AF94,0))</f>
        <v>#N/A</v>
      </c>
    </row>
    <row r="95" spans="1:88" x14ac:dyDescent="0.25">
      <c r="A95" s="121" t="s">
        <v>99</v>
      </c>
      <c r="B95" s="122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72"/>
      <c r="AC95" s="72"/>
      <c r="AD95" s="72"/>
      <c r="AE95" s="72"/>
      <c r="AF95" s="72"/>
      <c r="AG95" s="119">
        <v>240</v>
      </c>
      <c r="AH95" s="53">
        <f>IF(ABS(MAX(C95:AF95))&gt;ABS(MIN(C95:AF95)),MAX(C95:AF95),MIN(C95:AF95))</f>
        <v>0</v>
      </c>
      <c r="AI95" s="120" t="e">
        <f>INDEX($C$9:$AF$9,1,MATCH(AH95,C95:AF95,0))</f>
        <v>#N/A</v>
      </c>
    </row>
    <row r="96" spans="1:88" x14ac:dyDescent="0.25">
      <c r="A96" s="121" t="s">
        <v>100</v>
      </c>
      <c r="B96" s="122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72"/>
      <c r="AC96" s="72"/>
      <c r="AD96" s="72"/>
      <c r="AE96" s="72"/>
      <c r="AF96" s="72"/>
      <c r="AG96" s="119">
        <v>60</v>
      </c>
      <c r="AH96" s="53">
        <f>IF(ABS(MAX(C96:AF96))&gt;ABS(MIN(C96:AF96)),MAX(C96:AF96),MIN(C96:AF96))</f>
        <v>0</v>
      </c>
      <c r="AI96" s="120" t="e">
        <f>INDEX($C$9:$AF$9,1,MATCH(AH96,C96:AF96,0))</f>
        <v>#N/A</v>
      </c>
    </row>
    <row r="97" spans="1:37" x14ac:dyDescent="0.25">
      <c r="A97" s="123" t="s">
        <v>101</v>
      </c>
      <c r="B97" s="124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125"/>
      <c r="AC97" s="125"/>
      <c r="AD97" s="125"/>
      <c r="AE97" s="125"/>
      <c r="AF97" s="125"/>
      <c r="AG97" s="126">
        <v>120</v>
      </c>
      <c r="AH97" s="53">
        <f>IF(ABS(MAX(C97:AF97))&gt;ABS(MIN(C97:AF97)),MAX(C97:AF97),MIN(C97:AF97))</f>
        <v>0</v>
      </c>
      <c r="AI97" s="120" t="e">
        <f>INDEX($C$9:$AF$9,1,MATCH(AH97,C97:AF97,0))</f>
        <v>#N/A</v>
      </c>
    </row>
    <row r="98" spans="1:37" x14ac:dyDescent="0.25">
      <c r="A98" s="123" t="s">
        <v>102</v>
      </c>
      <c r="B98" s="124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125"/>
      <c r="AC98" s="125"/>
      <c r="AD98" s="125"/>
      <c r="AE98" s="125"/>
      <c r="AF98" s="125"/>
      <c r="AG98" s="126"/>
      <c r="AH98" s="53">
        <f>IF(ABS(MAX(C98:AF98))&gt;ABS(MIN(C98:AF98)),MAX(C98:AF98),MIN(C98:AF98))</f>
        <v>0</v>
      </c>
      <c r="AI98" s="120" t="e">
        <f>INDEX($C$9:$AF$9,1,MATCH(AH98,C98:AF98,0))</f>
        <v>#N/A</v>
      </c>
    </row>
    <row r="99" spans="1:37" ht="15.75" thickBot="1" x14ac:dyDescent="0.3">
      <c r="A99" s="123" t="s">
        <v>103</v>
      </c>
      <c r="B99" s="124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125"/>
      <c r="AC99" s="125"/>
      <c r="AD99" s="125"/>
      <c r="AE99" s="125"/>
      <c r="AF99" s="125"/>
      <c r="AG99" s="127"/>
      <c r="AH99" s="53"/>
      <c r="AI99" s="120"/>
    </row>
    <row r="100" spans="1:37" ht="15.75" thickBot="1" x14ac:dyDescent="0.3">
      <c r="A100" s="128" t="s">
        <v>104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30"/>
      <c r="AH100" s="131"/>
      <c r="AI100" s="54"/>
      <c r="AK100" s="55"/>
    </row>
    <row r="101" spans="1:37" x14ac:dyDescent="0.25">
      <c r="A101" s="132" t="s">
        <v>105</v>
      </c>
      <c r="B101" s="133">
        <f t="shared" ref="B101:B106" si="22">AF101</f>
        <v>9.9</v>
      </c>
      <c r="C101" s="52">
        <v>9.9</v>
      </c>
      <c r="D101" s="133">
        <f t="shared" ref="D101:S106" si="23">C101</f>
        <v>9.9</v>
      </c>
      <c r="E101" s="133">
        <f t="shared" si="23"/>
        <v>9.9</v>
      </c>
      <c r="F101" s="133">
        <f t="shared" si="23"/>
        <v>9.9</v>
      </c>
      <c r="G101" s="133">
        <f t="shared" si="23"/>
        <v>9.9</v>
      </c>
      <c r="H101" s="133">
        <f t="shared" si="23"/>
        <v>9.9</v>
      </c>
      <c r="I101" s="133">
        <f t="shared" si="23"/>
        <v>9.9</v>
      </c>
      <c r="J101" s="133">
        <f t="shared" si="23"/>
        <v>9.9</v>
      </c>
      <c r="K101" s="133">
        <f t="shared" si="23"/>
        <v>9.9</v>
      </c>
      <c r="L101" s="133">
        <f t="shared" si="23"/>
        <v>9.9</v>
      </c>
      <c r="M101" s="133">
        <f t="shared" si="23"/>
        <v>9.9</v>
      </c>
      <c r="N101" s="133">
        <f t="shared" si="23"/>
        <v>9.9</v>
      </c>
      <c r="O101" s="133">
        <f t="shared" si="23"/>
        <v>9.9</v>
      </c>
      <c r="P101" s="133">
        <f t="shared" si="23"/>
        <v>9.9</v>
      </c>
      <c r="Q101" s="133">
        <f t="shared" si="23"/>
        <v>9.9</v>
      </c>
      <c r="R101" s="133">
        <f t="shared" si="23"/>
        <v>9.9</v>
      </c>
      <c r="S101" s="133">
        <f t="shared" si="23"/>
        <v>9.9</v>
      </c>
      <c r="T101" s="133">
        <f t="shared" ref="T101:AF106" si="24">S101</f>
        <v>9.9</v>
      </c>
      <c r="U101" s="133">
        <f t="shared" si="24"/>
        <v>9.9</v>
      </c>
      <c r="V101" s="133">
        <f t="shared" si="24"/>
        <v>9.9</v>
      </c>
      <c r="W101" s="133">
        <f t="shared" si="24"/>
        <v>9.9</v>
      </c>
      <c r="X101" s="133">
        <f t="shared" si="24"/>
        <v>9.9</v>
      </c>
      <c r="Y101" s="133">
        <f t="shared" si="24"/>
        <v>9.9</v>
      </c>
      <c r="Z101" s="133">
        <f t="shared" si="24"/>
        <v>9.9</v>
      </c>
      <c r="AA101" s="133">
        <f t="shared" si="24"/>
        <v>9.9</v>
      </c>
      <c r="AB101" s="133">
        <f t="shared" si="24"/>
        <v>9.9</v>
      </c>
      <c r="AC101" s="133">
        <f t="shared" si="24"/>
        <v>9.9</v>
      </c>
      <c r="AD101" s="133">
        <f t="shared" si="24"/>
        <v>9.9</v>
      </c>
      <c r="AE101" s="133">
        <f t="shared" si="24"/>
        <v>9.9</v>
      </c>
      <c r="AF101" s="133">
        <f t="shared" si="24"/>
        <v>9.9</v>
      </c>
      <c r="AG101" s="134">
        <v>9.94</v>
      </c>
      <c r="AH101" s="53"/>
      <c r="AI101" s="54"/>
      <c r="AK101" s="55"/>
    </row>
    <row r="102" spans="1:37" x14ac:dyDescent="0.25">
      <c r="A102" s="121" t="s">
        <v>106</v>
      </c>
      <c r="B102" s="135">
        <f t="shared" si="22"/>
        <v>9.6</v>
      </c>
      <c r="C102" s="136">
        <v>9.6</v>
      </c>
      <c r="D102" s="135">
        <f t="shared" si="23"/>
        <v>9.6</v>
      </c>
      <c r="E102" s="135">
        <f t="shared" si="23"/>
        <v>9.6</v>
      </c>
      <c r="F102" s="135">
        <f t="shared" si="23"/>
        <v>9.6</v>
      </c>
      <c r="G102" s="135">
        <f t="shared" si="23"/>
        <v>9.6</v>
      </c>
      <c r="H102" s="135">
        <f t="shared" si="23"/>
        <v>9.6</v>
      </c>
      <c r="I102" s="135">
        <f t="shared" si="23"/>
        <v>9.6</v>
      </c>
      <c r="J102" s="135">
        <f t="shared" si="23"/>
        <v>9.6</v>
      </c>
      <c r="K102" s="135">
        <f t="shared" si="23"/>
        <v>9.6</v>
      </c>
      <c r="L102" s="135">
        <f t="shared" si="23"/>
        <v>9.6</v>
      </c>
      <c r="M102" s="135">
        <f t="shared" si="23"/>
        <v>9.6</v>
      </c>
      <c r="N102" s="135">
        <f t="shared" si="23"/>
        <v>9.6</v>
      </c>
      <c r="O102" s="135">
        <f t="shared" si="23"/>
        <v>9.6</v>
      </c>
      <c r="P102" s="135">
        <f t="shared" si="23"/>
        <v>9.6</v>
      </c>
      <c r="Q102" s="135">
        <f t="shared" si="23"/>
        <v>9.6</v>
      </c>
      <c r="R102" s="135">
        <f t="shared" si="23"/>
        <v>9.6</v>
      </c>
      <c r="S102" s="135">
        <f t="shared" si="23"/>
        <v>9.6</v>
      </c>
      <c r="T102" s="135">
        <f t="shared" si="24"/>
        <v>9.6</v>
      </c>
      <c r="U102" s="135">
        <f t="shared" si="24"/>
        <v>9.6</v>
      </c>
      <c r="V102" s="135">
        <f t="shared" si="24"/>
        <v>9.6</v>
      </c>
      <c r="W102" s="135">
        <f t="shared" si="24"/>
        <v>9.6</v>
      </c>
      <c r="X102" s="135">
        <f t="shared" si="24"/>
        <v>9.6</v>
      </c>
      <c r="Y102" s="135">
        <f t="shared" si="24"/>
        <v>9.6</v>
      </c>
      <c r="Z102" s="135">
        <f t="shared" si="24"/>
        <v>9.6</v>
      </c>
      <c r="AA102" s="135">
        <f t="shared" si="24"/>
        <v>9.6</v>
      </c>
      <c r="AB102" s="135">
        <f t="shared" si="24"/>
        <v>9.6</v>
      </c>
      <c r="AC102" s="135">
        <f t="shared" si="24"/>
        <v>9.6</v>
      </c>
      <c r="AD102" s="135">
        <f t="shared" si="24"/>
        <v>9.6</v>
      </c>
      <c r="AE102" s="135">
        <f t="shared" si="24"/>
        <v>9.6</v>
      </c>
      <c r="AF102" s="135">
        <f t="shared" si="24"/>
        <v>9.6</v>
      </c>
      <c r="AG102" s="137">
        <v>9.9</v>
      </c>
      <c r="AH102" s="53"/>
      <c r="AI102" s="54"/>
      <c r="AK102" s="55"/>
    </row>
    <row r="103" spans="1:37" x14ac:dyDescent="0.25">
      <c r="A103" s="123" t="s">
        <v>107</v>
      </c>
      <c r="B103" s="135">
        <f t="shared" si="22"/>
        <v>9.98</v>
      </c>
      <c r="C103" s="136">
        <v>9.98</v>
      </c>
      <c r="D103" s="135">
        <f t="shared" si="23"/>
        <v>9.98</v>
      </c>
      <c r="E103" s="135">
        <f t="shared" si="23"/>
        <v>9.98</v>
      </c>
      <c r="F103" s="135">
        <f t="shared" si="23"/>
        <v>9.98</v>
      </c>
      <c r="G103" s="135">
        <f t="shared" si="23"/>
        <v>9.98</v>
      </c>
      <c r="H103" s="135">
        <f t="shared" si="23"/>
        <v>9.98</v>
      </c>
      <c r="I103" s="135">
        <f t="shared" si="23"/>
        <v>9.98</v>
      </c>
      <c r="J103" s="135">
        <f t="shared" si="23"/>
        <v>9.98</v>
      </c>
      <c r="K103" s="135">
        <f t="shared" si="23"/>
        <v>9.98</v>
      </c>
      <c r="L103" s="135">
        <f t="shared" si="23"/>
        <v>9.98</v>
      </c>
      <c r="M103" s="135">
        <f t="shared" si="23"/>
        <v>9.98</v>
      </c>
      <c r="N103" s="135">
        <f t="shared" si="23"/>
        <v>9.98</v>
      </c>
      <c r="O103" s="135">
        <f t="shared" si="23"/>
        <v>9.98</v>
      </c>
      <c r="P103" s="135">
        <f t="shared" si="23"/>
        <v>9.98</v>
      </c>
      <c r="Q103" s="135">
        <f t="shared" si="23"/>
        <v>9.98</v>
      </c>
      <c r="R103" s="135">
        <f t="shared" si="23"/>
        <v>9.98</v>
      </c>
      <c r="S103" s="135">
        <f t="shared" si="23"/>
        <v>9.98</v>
      </c>
      <c r="T103" s="135">
        <f t="shared" si="24"/>
        <v>9.98</v>
      </c>
      <c r="U103" s="135">
        <f t="shared" si="24"/>
        <v>9.98</v>
      </c>
      <c r="V103" s="135">
        <f t="shared" si="24"/>
        <v>9.98</v>
      </c>
      <c r="W103" s="135">
        <f t="shared" si="24"/>
        <v>9.98</v>
      </c>
      <c r="X103" s="135">
        <f t="shared" si="24"/>
        <v>9.98</v>
      </c>
      <c r="Y103" s="135">
        <f t="shared" si="24"/>
        <v>9.98</v>
      </c>
      <c r="Z103" s="135">
        <f t="shared" si="24"/>
        <v>9.98</v>
      </c>
      <c r="AA103" s="135">
        <f t="shared" si="24"/>
        <v>9.98</v>
      </c>
      <c r="AB103" s="135">
        <f t="shared" si="24"/>
        <v>9.98</v>
      </c>
      <c r="AC103" s="135">
        <f t="shared" si="24"/>
        <v>9.98</v>
      </c>
      <c r="AD103" s="135">
        <f t="shared" si="24"/>
        <v>9.98</v>
      </c>
      <c r="AE103" s="135">
        <f t="shared" si="24"/>
        <v>9.98</v>
      </c>
      <c r="AF103" s="135">
        <f t="shared" si="24"/>
        <v>9.98</v>
      </c>
      <c r="AG103" s="138">
        <v>9.6579999999999995</v>
      </c>
      <c r="AH103" s="53"/>
      <c r="AI103" s="54"/>
      <c r="AK103" s="55"/>
    </row>
    <row r="104" spans="1:37" x14ac:dyDescent="0.25">
      <c r="A104" s="123" t="s">
        <v>108</v>
      </c>
      <c r="B104" s="135">
        <f t="shared" si="22"/>
        <v>9.1</v>
      </c>
      <c r="C104" s="136">
        <v>9.1</v>
      </c>
      <c r="D104" s="135">
        <f t="shared" si="23"/>
        <v>9.1</v>
      </c>
      <c r="E104" s="135">
        <f t="shared" si="23"/>
        <v>9.1</v>
      </c>
      <c r="F104" s="135">
        <f t="shared" si="23"/>
        <v>9.1</v>
      </c>
      <c r="G104" s="135">
        <f t="shared" si="23"/>
        <v>9.1</v>
      </c>
      <c r="H104" s="135">
        <f t="shared" si="23"/>
        <v>9.1</v>
      </c>
      <c r="I104" s="135">
        <f t="shared" si="23"/>
        <v>9.1</v>
      </c>
      <c r="J104" s="135">
        <f t="shared" si="23"/>
        <v>9.1</v>
      </c>
      <c r="K104" s="135">
        <f t="shared" si="23"/>
        <v>9.1</v>
      </c>
      <c r="L104" s="135">
        <f t="shared" si="23"/>
        <v>9.1</v>
      </c>
      <c r="M104" s="135">
        <f t="shared" si="23"/>
        <v>9.1</v>
      </c>
      <c r="N104" s="135">
        <f t="shared" si="23"/>
        <v>9.1</v>
      </c>
      <c r="O104" s="135">
        <f t="shared" si="23"/>
        <v>9.1</v>
      </c>
      <c r="P104" s="135">
        <f t="shared" si="23"/>
        <v>9.1</v>
      </c>
      <c r="Q104" s="135">
        <f t="shared" si="23"/>
        <v>9.1</v>
      </c>
      <c r="R104" s="135">
        <f t="shared" si="23"/>
        <v>9.1</v>
      </c>
      <c r="S104" s="135">
        <f t="shared" si="23"/>
        <v>9.1</v>
      </c>
      <c r="T104" s="135">
        <f t="shared" si="24"/>
        <v>9.1</v>
      </c>
      <c r="U104" s="135">
        <f t="shared" si="24"/>
        <v>9.1</v>
      </c>
      <c r="V104" s="135">
        <f t="shared" si="24"/>
        <v>9.1</v>
      </c>
      <c r="W104" s="135">
        <f t="shared" si="24"/>
        <v>9.1</v>
      </c>
      <c r="X104" s="135">
        <f t="shared" si="24"/>
        <v>9.1</v>
      </c>
      <c r="Y104" s="135">
        <f t="shared" si="24"/>
        <v>9.1</v>
      </c>
      <c r="Z104" s="135">
        <f t="shared" si="24"/>
        <v>9.1</v>
      </c>
      <c r="AA104" s="135">
        <f t="shared" si="24"/>
        <v>9.1</v>
      </c>
      <c r="AB104" s="135">
        <f t="shared" si="24"/>
        <v>9.1</v>
      </c>
      <c r="AC104" s="135">
        <f t="shared" si="24"/>
        <v>9.1</v>
      </c>
      <c r="AD104" s="135">
        <f t="shared" si="24"/>
        <v>9.1</v>
      </c>
      <c r="AE104" s="135">
        <f t="shared" si="24"/>
        <v>9.1</v>
      </c>
      <c r="AF104" s="135">
        <f t="shared" si="24"/>
        <v>9.1</v>
      </c>
      <c r="AG104" s="138">
        <v>9.6</v>
      </c>
      <c r="AH104" s="53"/>
      <c r="AI104" s="54"/>
      <c r="AK104" s="55"/>
    </row>
    <row r="105" spans="1:37" x14ac:dyDescent="0.25">
      <c r="A105" s="123" t="s">
        <v>109</v>
      </c>
      <c r="B105" s="135">
        <f t="shared" si="22"/>
        <v>9.18</v>
      </c>
      <c r="C105" s="136">
        <v>9.18</v>
      </c>
      <c r="D105" s="135">
        <f t="shared" si="23"/>
        <v>9.18</v>
      </c>
      <c r="E105" s="135">
        <f t="shared" si="23"/>
        <v>9.18</v>
      </c>
      <c r="F105" s="135">
        <f t="shared" si="23"/>
        <v>9.18</v>
      </c>
      <c r="G105" s="135">
        <f t="shared" si="23"/>
        <v>9.18</v>
      </c>
      <c r="H105" s="135">
        <f t="shared" si="23"/>
        <v>9.18</v>
      </c>
      <c r="I105" s="135">
        <f t="shared" si="23"/>
        <v>9.18</v>
      </c>
      <c r="J105" s="135">
        <f t="shared" si="23"/>
        <v>9.18</v>
      </c>
      <c r="K105" s="135">
        <f t="shared" si="23"/>
        <v>9.18</v>
      </c>
      <c r="L105" s="135">
        <f t="shared" si="23"/>
        <v>9.18</v>
      </c>
      <c r="M105" s="135">
        <f t="shared" si="23"/>
        <v>9.18</v>
      </c>
      <c r="N105" s="135">
        <f t="shared" si="23"/>
        <v>9.18</v>
      </c>
      <c r="O105" s="135">
        <f t="shared" si="23"/>
        <v>9.18</v>
      </c>
      <c r="P105" s="135">
        <f t="shared" si="23"/>
        <v>9.18</v>
      </c>
      <c r="Q105" s="135">
        <f t="shared" si="23"/>
        <v>9.18</v>
      </c>
      <c r="R105" s="135">
        <f t="shared" si="23"/>
        <v>9.18</v>
      </c>
      <c r="S105" s="135">
        <f t="shared" si="23"/>
        <v>9.18</v>
      </c>
      <c r="T105" s="135">
        <f t="shared" si="24"/>
        <v>9.18</v>
      </c>
      <c r="U105" s="135">
        <f t="shared" si="24"/>
        <v>9.18</v>
      </c>
      <c r="V105" s="135">
        <f t="shared" si="24"/>
        <v>9.18</v>
      </c>
      <c r="W105" s="135">
        <f t="shared" si="24"/>
        <v>9.18</v>
      </c>
      <c r="X105" s="135">
        <f t="shared" si="24"/>
        <v>9.18</v>
      </c>
      <c r="Y105" s="135">
        <f t="shared" si="24"/>
        <v>9.18</v>
      </c>
      <c r="Z105" s="135">
        <f t="shared" si="24"/>
        <v>9.18</v>
      </c>
      <c r="AA105" s="135">
        <f t="shared" si="24"/>
        <v>9.18</v>
      </c>
      <c r="AB105" s="135">
        <f t="shared" si="24"/>
        <v>9.18</v>
      </c>
      <c r="AC105" s="135">
        <f t="shared" si="24"/>
        <v>9.18</v>
      </c>
      <c r="AD105" s="135">
        <f t="shared" si="24"/>
        <v>9.18</v>
      </c>
      <c r="AE105" s="135">
        <f t="shared" si="24"/>
        <v>9.18</v>
      </c>
      <c r="AF105" s="135">
        <f t="shared" si="24"/>
        <v>9.18</v>
      </c>
      <c r="AG105" s="138">
        <v>9.51</v>
      </c>
      <c r="AH105" s="53"/>
      <c r="AI105" s="54"/>
      <c r="AK105" s="55"/>
    </row>
    <row r="106" spans="1:37" x14ac:dyDescent="0.25">
      <c r="A106" s="123" t="s">
        <v>110</v>
      </c>
      <c r="B106" s="135">
        <f t="shared" si="22"/>
        <v>7</v>
      </c>
      <c r="C106" s="136">
        <v>7</v>
      </c>
      <c r="D106" s="135">
        <f t="shared" si="23"/>
        <v>7</v>
      </c>
      <c r="E106" s="135">
        <f t="shared" si="23"/>
        <v>7</v>
      </c>
      <c r="F106" s="135">
        <f t="shared" si="23"/>
        <v>7</v>
      </c>
      <c r="G106" s="135">
        <f t="shared" si="23"/>
        <v>7</v>
      </c>
      <c r="H106" s="135">
        <f t="shared" si="23"/>
        <v>7</v>
      </c>
      <c r="I106" s="135">
        <f t="shared" si="23"/>
        <v>7</v>
      </c>
      <c r="J106" s="135">
        <f t="shared" si="23"/>
        <v>7</v>
      </c>
      <c r="K106" s="135">
        <f t="shared" si="23"/>
        <v>7</v>
      </c>
      <c r="L106" s="135">
        <f t="shared" si="23"/>
        <v>7</v>
      </c>
      <c r="M106" s="135">
        <f t="shared" si="23"/>
        <v>7</v>
      </c>
      <c r="N106" s="135">
        <f t="shared" si="23"/>
        <v>7</v>
      </c>
      <c r="O106" s="135">
        <f t="shared" si="23"/>
        <v>7</v>
      </c>
      <c r="P106" s="135">
        <f t="shared" si="23"/>
        <v>7</v>
      </c>
      <c r="Q106" s="135">
        <f t="shared" si="23"/>
        <v>7</v>
      </c>
      <c r="R106" s="135">
        <f t="shared" si="23"/>
        <v>7</v>
      </c>
      <c r="S106" s="135">
        <f t="shared" si="23"/>
        <v>7</v>
      </c>
      <c r="T106" s="135">
        <f t="shared" si="24"/>
        <v>7</v>
      </c>
      <c r="U106" s="135">
        <f t="shared" si="24"/>
        <v>7</v>
      </c>
      <c r="V106" s="135">
        <f t="shared" si="24"/>
        <v>7</v>
      </c>
      <c r="W106" s="135">
        <f t="shared" si="24"/>
        <v>7</v>
      </c>
      <c r="X106" s="135">
        <f t="shared" si="24"/>
        <v>7</v>
      </c>
      <c r="Y106" s="135">
        <f t="shared" si="24"/>
        <v>7</v>
      </c>
      <c r="Z106" s="135">
        <f t="shared" si="24"/>
        <v>7</v>
      </c>
      <c r="AA106" s="135">
        <f t="shared" si="24"/>
        <v>7</v>
      </c>
      <c r="AB106" s="135">
        <f t="shared" si="24"/>
        <v>7</v>
      </c>
      <c r="AC106" s="135">
        <f t="shared" si="24"/>
        <v>7</v>
      </c>
      <c r="AD106" s="135">
        <f t="shared" si="24"/>
        <v>7</v>
      </c>
      <c r="AE106" s="135">
        <f t="shared" si="24"/>
        <v>7</v>
      </c>
      <c r="AF106" s="135">
        <f t="shared" si="24"/>
        <v>7</v>
      </c>
      <c r="AG106" s="138">
        <v>9.4</v>
      </c>
      <c r="AH106" s="53"/>
      <c r="AI106" s="54"/>
      <c r="AK106" s="55"/>
    </row>
    <row r="107" spans="1:37" x14ac:dyDescent="0.25">
      <c r="A107" s="123" t="s">
        <v>111</v>
      </c>
      <c r="B107" s="135"/>
      <c r="C107" s="136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8">
        <v>8.8000000000000007</v>
      </c>
      <c r="AH107" s="53"/>
      <c r="AI107" s="54"/>
      <c r="AK107" s="55"/>
    </row>
    <row r="108" spans="1:37" x14ac:dyDescent="0.25">
      <c r="A108" s="123" t="s">
        <v>112</v>
      </c>
      <c r="B108" s="135">
        <f>AF108</f>
        <v>2.25</v>
      </c>
      <c r="C108" s="136">
        <v>2.25</v>
      </c>
      <c r="D108" s="135">
        <f t="shared" ref="D108:S109" si="25">C108</f>
        <v>2.25</v>
      </c>
      <c r="E108" s="135">
        <f t="shared" si="25"/>
        <v>2.25</v>
      </c>
      <c r="F108" s="135">
        <f t="shared" si="25"/>
        <v>2.25</v>
      </c>
      <c r="G108" s="135">
        <f t="shared" si="25"/>
        <v>2.25</v>
      </c>
      <c r="H108" s="135">
        <f t="shared" si="25"/>
        <v>2.25</v>
      </c>
      <c r="I108" s="135">
        <f t="shared" si="25"/>
        <v>2.25</v>
      </c>
      <c r="J108" s="135">
        <f t="shared" si="25"/>
        <v>2.25</v>
      </c>
      <c r="K108" s="135">
        <f t="shared" si="25"/>
        <v>2.25</v>
      </c>
      <c r="L108" s="135">
        <f t="shared" si="25"/>
        <v>2.25</v>
      </c>
      <c r="M108" s="135">
        <f t="shared" si="25"/>
        <v>2.25</v>
      </c>
      <c r="N108" s="135">
        <f t="shared" si="25"/>
        <v>2.25</v>
      </c>
      <c r="O108" s="135">
        <f t="shared" si="25"/>
        <v>2.25</v>
      </c>
      <c r="P108" s="135">
        <f t="shared" si="25"/>
        <v>2.25</v>
      </c>
      <c r="Q108" s="135">
        <f t="shared" si="25"/>
        <v>2.25</v>
      </c>
      <c r="R108" s="135">
        <f t="shared" si="25"/>
        <v>2.25</v>
      </c>
      <c r="S108" s="135">
        <f t="shared" si="25"/>
        <v>2.25</v>
      </c>
      <c r="T108" s="135">
        <f t="shared" ref="T108:AF109" si="26">S108</f>
        <v>2.25</v>
      </c>
      <c r="U108" s="135">
        <f t="shared" si="26"/>
        <v>2.25</v>
      </c>
      <c r="V108" s="135">
        <f t="shared" si="26"/>
        <v>2.25</v>
      </c>
      <c r="W108" s="135">
        <f t="shared" si="26"/>
        <v>2.25</v>
      </c>
      <c r="X108" s="135">
        <f t="shared" si="26"/>
        <v>2.25</v>
      </c>
      <c r="Y108" s="135">
        <f t="shared" si="26"/>
        <v>2.25</v>
      </c>
      <c r="Z108" s="135">
        <f t="shared" si="26"/>
        <v>2.25</v>
      </c>
      <c r="AA108" s="135">
        <f t="shared" si="26"/>
        <v>2.25</v>
      </c>
      <c r="AB108" s="135">
        <f t="shared" si="26"/>
        <v>2.25</v>
      </c>
      <c r="AC108" s="135">
        <f t="shared" si="26"/>
        <v>2.25</v>
      </c>
      <c r="AD108" s="135">
        <f t="shared" si="26"/>
        <v>2.25</v>
      </c>
      <c r="AE108" s="135">
        <f t="shared" si="26"/>
        <v>2.25</v>
      </c>
      <c r="AF108" s="135">
        <f t="shared" si="26"/>
        <v>2.25</v>
      </c>
      <c r="AG108" s="138">
        <v>8.5</v>
      </c>
      <c r="AH108" s="53"/>
      <c r="AI108" s="54"/>
      <c r="AK108" s="55"/>
    </row>
    <row r="109" spans="1:37" x14ac:dyDescent="0.25">
      <c r="A109" s="123" t="s">
        <v>113</v>
      </c>
      <c r="B109" s="135">
        <f>AF109</f>
        <v>1.64</v>
      </c>
      <c r="C109" s="136">
        <v>1.64</v>
      </c>
      <c r="D109" s="135">
        <f t="shared" si="25"/>
        <v>1.64</v>
      </c>
      <c r="E109" s="135">
        <f t="shared" si="25"/>
        <v>1.64</v>
      </c>
      <c r="F109" s="135">
        <f t="shared" si="25"/>
        <v>1.64</v>
      </c>
      <c r="G109" s="135">
        <f t="shared" si="25"/>
        <v>1.64</v>
      </c>
      <c r="H109" s="135">
        <f t="shared" si="25"/>
        <v>1.64</v>
      </c>
      <c r="I109" s="135">
        <f t="shared" si="25"/>
        <v>1.64</v>
      </c>
      <c r="J109" s="135">
        <f t="shared" si="25"/>
        <v>1.64</v>
      </c>
      <c r="K109" s="135">
        <f t="shared" si="25"/>
        <v>1.64</v>
      </c>
      <c r="L109" s="135">
        <f t="shared" si="25"/>
        <v>1.64</v>
      </c>
      <c r="M109" s="135">
        <f t="shared" si="25"/>
        <v>1.64</v>
      </c>
      <c r="N109" s="135">
        <f t="shared" si="25"/>
        <v>1.64</v>
      </c>
      <c r="O109" s="135">
        <f t="shared" si="25"/>
        <v>1.64</v>
      </c>
      <c r="P109" s="135">
        <f t="shared" si="25"/>
        <v>1.64</v>
      </c>
      <c r="Q109" s="135">
        <f t="shared" si="25"/>
        <v>1.64</v>
      </c>
      <c r="R109" s="135">
        <f t="shared" si="25"/>
        <v>1.64</v>
      </c>
      <c r="S109" s="135">
        <f t="shared" si="25"/>
        <v>1.64</v>
      </c>
      <c r="T109" s="135">
        <f t="shared" si="26"/>
        <v>1.64</v>
      </c>
      <c r="U109" s="135">
        <f t="shared" si="26"/>
        <v>1.64</v>
      </c>
      <c r="V109" s="135">
        <f t="shared" si="26"/>
        <v>1.64</v>
      </c>
      <c r="W109" s="135">
        <f t="shared" si="26"/>
        <v>1.64</v>
      </c>
      <c r="X109" s="135">
        <f t="shared" si="26"/>
        <v>1.64</v>
      </c>
      <c r="Y109" s="135">
        <f t="shared" si="26"/>
        <v>1.64</v>
      </c>
      <c r="Z109" s="135">
        <f t="shared" si="26"/>
        <v>1.64</v>
      </c>
      <c r="AA109" s="135">
        <f t="shared" si="26"/>
        <v>1.64</v>
      </c>
      <c r="AB109" s="135">
        <f t="shared" si="26"/>
        <v>1.64</v>
      </c>
      <c r="AC109" s="135">
        <f t="shared" si="26"/>
        <v>1.64</v>
      </c>
      <c r="AD109" s="135">
        <f t="shared" si="26"/>
        <v>1.64</v>
      </c>
      <c r="AE109" s="135">
        <f t="shared" si="26"/>
        <v>1.64</v>
      </c>
      <c r="AF109" s="135">
        <f t="shared" si="26"/>
        <v>1.64</v>
      </c>
      <c r="AG109" s="138">
        <v>8.5</v>
      </c>
      <c r="AH109" s="53"/>
      <c r="AI109" s="54"/>
      <c r="AK109" s="55"/>
    </row>
    <row r="110" spans="1:37" x14ac:dyDescent="0.25">
      <c r="A110" s="123" t="s">
        <v>114</v>
      </c>
      <c r="B110" s="135"/>
      <c r="C110" s="136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8">
        <v>8.4</v>
      </c>
      <c r="AH110" s="53"/>
      <c r="AI110" s="54"/>
      <c r="AK110" s="55"/>
    </row>
    <row r="111" spans="1:37" x14ac:dyDescent="0.25">
      <c r="A111" s="123" t="s">
        <v>115</v>
      </c>
      <c r="B111" s="135">
        <f t="shared" ref="B111:B128" si="27">AF111</f>
        <v>1.62</v>
      </c>
      <c r="C111" s="136">
        <v>1.62</v>
      </c>
      <c r="D111" s="135">
        <f t="shared" ref="D111:S118" si="28">C111</f>
        <v>1.62</v>
      </c>
      <c r="E111" s="135">
        <f t="shared" si="28"/>
        <v>1.62</v>
      </c>
      <c r="F111" s="135">
        <f t="shared" si="28"/>
        <v>1.62</v>
      </c>
      <c r="G111" s="135">
        <f t="shared" si="28"/>
        <v>1.62</v>
      </c>
      <c r="H111" s="135">
        <f t="shared" si="28"/>
        <v>1.62</v>
      </c>
      <c r="I111" s="135">
        <f t="shared" si="28"/>
        <v>1.62</v>
      </c>
      <c r="J111" s="135">
        <f t="shared" si="28"/>
        <v>1.62</v>
      </c>
      <c r="K111" s="135">
        <f t="shared" si="28"/>
        <v>1.62</v>
      </c>
      <c r="L111" s="135">
        <f t="shared" si="28"/>
        <v>1.62</v>
      </c>
      <c r="M111" s="135">
        <f t="shared" si="28"/>
        <v>1.62</v>
      </c>
      <c r="N111" s="135">
        <f t="shared" si="28"/>
        <v>1.62</v>
      </c>
      <c r="O111" s="135">
        <f t="shared" si="28"/>
        <v>1.62</v>
      </c>
      <c r="P111" s="135">
        <f t="shared" si="28"/>
        <v>1.62</v>
      </c>
      <c r="Q111" s="135">
        <f t="shared" si="28"/>
        <v>1.62</v>
      </c>
      <c r="R111" s="135">
        <f t="shared" si="28"/>
        <v>1.62</v>
      </c>
      <c r="S111" s="135">
        <f t="shared" si="28"/>
        <v>1.62</v>
      </c>
      <c r="T111" s="135">
        <f t="shared" ref="T111:AF126" si="29">S111</f>
        <v>1.62</v>
      </c>
      <c r="U111" s="135">
        <f t="shared" si="29"/>
        <v>1.62</v>
      </c>
      <c r="V111" s="135">
        <f t="shared" si="29"/>
        <v>1.62</v>
      </c>
      <c r="W111" s="135">
        <f t="shared" si="29"/>
        <v>1.62</v>
      </c>
      <c r="X111" s="135">
        <f t="shared" si="29"/>
        <v>1.62</v>
      </c>
      <c r="Y111" s="135">
        <f t="shared" si="29"/>
        <v>1.62</v>
      </c>
      <c r="Z111" s="135">
        <f t="shared" si="29"/>
        <v>1.62</v>
      </c>
      <c r="AA111" s="135">
        <f t="shared" si="29"/>
        <v>1.62</v>
      </c>
      <c r="AB111" s="135">
        <f t="shared" si="29"/>
        <v>1.62</v>
      </c>
      <c r="AC111" s="135">
        <f t="shared" si="29"/>
        <v>1.62</v>
      </c>
      <c r="AD111" s="135">
        <f t="shared" si="29"/>
        <v>1.62</v>
      </c>
      <c r="AE111" s="135">
        <f t="shared" si="29"/>
        <v>1.62</v>
      </c>
      <c r="AF111" s="135">
        <f t="shared" si="29"/>
        <v>1.62</v>
      </c>
      <c r="AG111" s="138">
        <v>8</v>
      </c>
      <c r="AH111" s="53"/>
      <c r="AI111" s="54"/>
      <c r="AK111" s="55"/>
    </row>
    <row r="112" spans="1:37" x14ac:dyDescent="0.25">
      <c r="A112" s="123" t="s">
        <v>116</v>
      </c>
      <c r="B112" s="135">
        <f t="shared" si="27"/>
        <v>8.36</v>
      </c>
      <c r="C112" s="136">
        <v>8.36</v>
      </c>
      <c r="D112" s="135">
        <f t="shared" si="28"/>
        <v>8.36</v>
      </c>
      <c r="E112" s="135">
        <f t="shared" si="28"/>
        <v>8.36</v>
      </c>
      <c r="F112" s="135">
        <f t="shared" si="28"/>
        <v>8.36</v>
      </c>
      <c r="G112" s="135">
        <f t="shared" si="28"/>
        <v>8.36</v>
      </c>
      <c r="H112" s="135">
        <f t="shared" si="28"/>
        <v>8.36</v>
      </c>
      <c r="I112" s="135">
        <f t="shared" si="28"/>
        <v>8.36</v>
      </c>
      <c r="J112" s="135">
        <f t="shared" si="28"/>
        <v>8.36</v>
      </c>
      <c r="K112" s="135">
        <f t="shared" si="28"/>
        <v>8.36</v>
      </c>
      <c r="L112" s="135">
        <f t="shared" si="28"/>
        <v>8.36</v>
      </c>
      <c r="M112" s="135">
        <f t="shared" si="28"/>
        <v>8.36</v>
      </c>
      <c r="N112" s="135">
        <f t="shared" si="28"/>
        <v>8.36</v>
      </c>
      <c r="O112" s="135">
        <f t="shared" si="28"/>
        <v>8.36</v>
      </c>
      <c r="P112" s="135">
        <f t="shared" si="28"/>
        <v>8.36</v>
      </c>
      <c r="Q112" s="135">
        <f t="shared" si="28"/>
        <v>8.36</v>
      </c>
      <c r="R112" s="135">
        <f t="shared" si="28"/>
        <v>8.36</v>
      </c>
      <c r="S112" s="135">
        <f t="shared" si="28"/>
        <v>8.36</v>
      </c>
      <c r="T112" s="135">
        <f t="shared" si="29"/>
        <v>8.36</v>
      </c>
      <c r="U112" s="135">
        <f t="shared" si="29"/>
        <v>8.36</v>
      </c>
      <c r="V112" s="135">
        <f t="shared" si="29"/>
        <v>8.36</v>
      </c>
      <c r="W112" s="135">
        <f t="shared" si="29"/>
        <v>8.36</v>
      </c>
      <c r="X112" s="135">
        <f t="shared" si="29"/>
        <v>8.36</v>
      </c>
      <c r="Y112" s="135">
        <f t="shared" si="29"/>
        <v>8.36</v>
      </c>
      <c r="Z112" s="135">
        <f t="shared" si="29"/>
        <v>8.36</v>
      </c>
      <c r="AA112" s="135">
        <f t="shared" si="29"/>
        <v>8.36</v>
      </c>
      <c r="AB112" s="135">
        <f t="shared" si="29"/>
        <v>8.36</v>
      </c>
      <c r="AC112" s="135">
        <f t="shared" si="29"/>
        <v>8.36</v>
      </c>
      <c r="AD112" s="135">
        <f t="shared" si="29"/>
        <v>8.36</v>
      </c>
      <c r="AE112" s="135">
        <f t="shared" si="29"/>
        <v>8.36</v>
      </c>
      <c r="AF112" s="135">
        <f t="shared" si="29"/>
        <v>8.36</v>
      </c>
      <c r="AG112" s="138">
        <v>8</v>
      </c>
      <c r="AH112" s="53"/>
      <c r="AI112" s="54"/>
      <c r="AK112" s="55"/>
    </row>
    <row r="113" spans="1:37" x14ac:dyDescent="0.25">
      <c r="A113" s="123" t="s">
        <v>117</v>
      </c>
      <c r="B113" s="135">
        <f t="shared" si="27"/>
        <v>5.4</v>
      </c>
      <c r="C113" s="136">
        <v>8</v>
      </c>
      <c r="D113" s="135">
        <f t="shared" si="28"/>
        <v>8</v>
      </c>
      <c r="E113" s="135">
        <f t="shared" si="28"/>
        <v>8</v>
      </c>
      <c r="F113" s="135">
        <f t="shared" si="28"/>
        <v>8</v>
      </c>
      <c r="G113" s="135">
        <f t="shared" si="28"/>
        <v>8</v>
      </c>
      <c r="H113" s="135">
        <f t="shared" si="28"/>
        <v>8</v>
      </c>
      <c r="I113" s="135">
        <f t="shared" si="28"/>
        <v>8</v>
      </c>
      <c r="J113" s="135">
        <v>5.4</v>
      </c>
      <c r="K113" s="135">
        <f t="shared" si="28"/>
        <v>5.4</v>
      </c>
      <c r="L113" s="135">
        <f t="shared" si="28"/>
        <v>5.4</v>
      </c>
      <c r="M113" s="135">
        <f t="shared" si="28"/>
        <v>5.4</v>
      </c>
      <c r="N113" s="135">
        <f t="shared" si="28"/>
        <v>5.4</v>
      </c>
      <c r="O113" s="135">
        <f t="shared" si="28"/>
        <v>5.4</v>
      </c>
      <c r="P113" s="135">
        <f t="shared" si="28"/>
        <v>5.4</v>
      </c>
      <c r="Q113" s="135">
        <f t="shared" si="28"/>
        <v>5.4</v>
      </c>
      <c r="R113" s="135">
        <f t="shared" si="28"/>
        <v>5.4</v>
      </c>
      <c r="S113" s="135">
        <f t="shared" si="28"/>
        <v>5.4</v>
      </c>
      <c r="T113" s="135">
        <f t="shared" si="29"/>
        <v>5.4</v>
      </c>
      <c r="U113" s="135">
        <f t="shared" si="29"/>
        <v>5.4</v>
      </c>
      <c r="V113" s="135">
        <f t="shared" si="29"/>
        <v>5.4</v>
      </c>
      <c r="W113" s="135">
        <f t="shared" si="29"/>
        <v>5.4</v>
      </c>
      <c r="X113" s="135">
        <f t="shared" si="29"/>
        <v>5.4</v>
      </c>
      <c r="Y113" s="135">
        <f t="shared" si="29"/>
        <v>5.4</v>
      </c>
      <c r="Z113" s="135">
        <f t="shared" si="29"/>
        <v>5.4</v>
      </c>
      <c r="AA113" s="135">
        <f t="shared" si="29"/>
        <v>5.4</v>
      </c>
      <c r="AB113" s="135">
        <f t="shared" si="29"/>
        <v>5.4</v>
      </c>
      <c r="AC113" s="135">
        <f t="shared" si="29"/>
        <v>5.4</v>
      </c>
      <c r="AD113" s="135">
        <f t="shared" si="29"/>
        <v>5.4</v>
      </c>
      <c r="AE113" s="135">
        <f t="shared" si="29"/>
        <v>5.4</v>
      </c>
      <c r="AF113" s="135">
        <f t="shared" si="29"/>
        <v>5.4</v>
      </c>
      <c r="AG113" s="138">
        <v>8</v>
      </c>
      <c r="AH113" s="53"/>
      <c r="AI113" s="54"/>
      <c r="AK113" s="55"/>
    </row>
    <row r="114" spans="1:37" x14ac:dyDescent="0.25">
      <c r="A114" s="123" t="s">
        <v>118</v>
      </c>
      <c r="B114" s="135">
        <f t="shared" si="27"/>
        <v>6.57</v>
      </c>
      <c r="C114" s="136">
        <v>6.57</v>
      </c>
      <c r="D114" s="135">
        <f t="shared" si="28"/>
        <v>6.57</v>
      </c>
      <c r="E114" s="135">
        <f t="shared" si="28"/>
        <v>6.57</v>
      </c>
      <c r="F114" s="135">
        <f t="shared" si="28"/>
        <v>6.57</v>
      </c>
      <c r="G114" s="135">
        <f t="shared" si="28"/>
        <v>6.57</v>
      </c>
      <c r="H114" s="135">
        <f t="shared" si="28"/>
        <v>6.57</v>
      </c>
      <c r="I114" s="135">
        <f t="shared" si="28"/>
        <v>6.57</v>
      </c>
      <c r="J114" s="135">
        <f t="shared" si="28"/>
        <v>6.57</v>
      </c>
      <c r="K114" s="135">
        <f t="shared" si="28"/>
        <v>6.57</v>
      </c>
      <c r="L114" s="135">
        <f t="shared" si="28"/>
        <v>6.57</v>
      </c>
      <c r="M114" s="135">
        <f t="shared" si="28"/>
        <v>6.57</v>
      </c>
      <c r="N114" s="135">
        <f t="shared" si="28"/>
        <v>6.57</v>
      </c>
      <c r="O114" s="135">
        <f t="shared" si="28"/>
        <v>6.57</v>
      </c>
      <c r="P114" s="135">
        <f t="shared" si="28"/>
        <v>6.57</v>
      </c>
      <c r="Q114" s="135">
        <f t="shared" si="28"/>
        <v>6.57</v>
      </c>
      <c r="R114" s="135">
        <f t="shared" si="28"/>
        <v>6.57</v>
      </c>
      <c r="S114" s="135">
        <f t="shared" si="28"/>
        <v>6.57</v>
      </c>
      <c r="T114" s="135">
        <f t="shared" si="29"/>
        <v>6.57</v>
      </c>
      <c r="U114" s="135">
        <f t="shared" si="29"/>
        <v>6.57</v>
      </c>
      <c r="V114" s="135">
        <f t="shared" si="29"/>
        <v>6.57</v>
      </c>
      <c r="W114" s="135">
        <f t="shared" si="29"/>
        <v>6.57</v>
      </c>
      <c r="X114" s="135">
        <f t="shared" si="29"/>
        <v>6.57</v>
      </c>
      <c r="Y114" s="135">
        <f t="shared" si="29"/>
        <v>6.57</v>
      </c>
      <c r="Z114" s="135">
        <f t="shared" si="29"/>
        <v>6.57</v>
      </c>
      <c r="AA114" s="135">
        <f t="shared" si="29"/>
        <v>6.57</v>
      </c>
      <c r="AB114" s="135">
        <f t="shared" si="29"/>
        <v>6.57</v>
      </c>
      <c r="AC114" s="135">
        <f t="shared" si="29"/>
        <v>6.57</v>
      </c>
      <c r="AD114" s="135">
        <f t="shared" si="29"/>
        <v>6.57</v>
      </c>
      <c r="AE114" s="135">
        <f t="shared" si="29"/>
        <v>6.57</v>
      </c>
      <c r="AF114" s="135">
        <f t="shared" si="29"/>
        <v>6.57</v>
      </c>
      <c r="AG114" s="138">
        <v>7.8</v>
      </c>
      <c r="AH114" s="53"/>
      <c r="AI114" s="54"/>
      <c r="AK114" s="55"/>
    </row>
    <row r="115" spans="1:37" x14ac:dyDescent="0.25">
      <c r="A115" s="123" t="s">
        <v>119</v>
      </c>
      <c r="B115" s="135">
        <f t="shared" si="27"/>
        <v>3.43</v>
      </c>
      <c r="C115" s="136">
        <v>3.43</v>
      </c>
      <c r="D115" s="135">
        <f t="shared" si="28"/>
        <v>3.43</v>
      </c>
      <c r="E115" s="135">
        <f t="shared" si="28"/>
        <v>3.43</v>
      </c>
      <c r="F115" s="135">
        <f t="shared" si="28"/>
        <v>3.43</v>
      </c>
      <c r="G115" s="135">
        <f t="shared" si="28"/>
        <v>3.43</v>
      </c>
      <c r="H115" s="135">
        <f t="shared" si="28"/>
        <v>3.43</v>
      </c>
      <c r="I115" s="135">
        <f t="shared" si="28"/>
        <v>3.43</v>
      </c>
      <c r="J115" s="135">
        <f t="shared" si="28"/>
        <v>3.43</v>
      </c>
      <c r="K115" s="135">
        <f t="shared" si="28"/>
        <v>3.43</v>
      </c>
      <c r="L115" s="135">
        <f t="shared" si="28"/>
        <v>3.43</v>
      </c>
      <c r="M115" s="135">
        <f t="shared" si="28"/>
        <v>3.43</v>
      </c>
      <c r="N115" s="135">
        <f t="shared" si="28"/>
        <v>3.43</v>
      </c>
      <c r="O115" s="135">
        <f t="shared" si="28"/>
        <v>3.43</v>
      </c>
      <c r="P115" s="135">
        <f t="shared" si="28"/>
        <v>3.43</v>
      </c>
      <c r="Q115" s="135">
        <f t="shared" si="28"/>
        <v>3.43</v>
      </c>
      <c r="R115" s="135">
        <f t="shared" si="28"/>
        <v>3.43</v>
      </c>
      <c r="S115" s="135">
        <f t="shared" si="28"/>
        <v>3.43</v>
      </c>
      <c r="T115" s="135">
        <f t="shared" si="29"/>
        <v>3.43</v>
      </c>
      <c r="U115" s="135">
        <f t="shared" si="29"/>
        <v>3.43</v>
      </c>
      <c r="V115" s="135">
        <f t="shared" si="29"/>
        <v>3.43</v>
      </c>
      <c r="W115" s="135">
        <f t="shared" si="29"/>
        <v>3.43</v>
      </c>
      <c r="X115" s="135">
        <f t="shared" si="29"/>
        <v>3.43</v>
      </c>
      <c r="Y115" s="135">
        <f t="shared" si="29"/>
        <v>3.43</v>
      </c>
      <c r="Z115" s="135">
        <f t="shared" si="29"/>
        <v>3.43</v>
      </c>
      <c r="AA115" s="135">
        <f t="shared" si="29"/>
        <v>3.43</v>
      </c>
      <c r="AB115" s="135">
        <f t="shared" si="29"/>
        <v>3.43</v>
      </c>
      <c r="AC115" s="135">
        <f t="shared" si="29"/>
        <v>3.43</v>
      </c>
      <c r="AD115" s="135">
        <f t="shared" si="29"/>
        <v>3.43</v>
      </c>
      <c r="AE115" s="135">
        <f t="shared" si="29"/>
        <v>3.43</v>
      </c>
      <c r="AF115" s="135">
        <f t="shared" si="29"/>
        <v>3.43</v>
      </c>
      <c r="AG115" s="138">
        <v>7.6</v>
      </c>
      <c r="AH115" s="53"/>
      <c r="AI115" s="54"/>
      <c r="AK115" s="55"/>
    </row>
    <row r="116" spans="1:37" x14ac:dyDescent="0.25">
      <c r="A116" s="123" t="s">
        <v>120</v>
      </c>
      <c r="B116" s="135">
        <f t="shared" si="27"/>
        <v>2.96</v>
      </c>
      <c r="C116" s="136">
        <v>2.96</v>
      </c>
      <c r="D116" s="135">
        <f t="shared" si="28"/>
        <v>2.96</v>
      </c>
      <c r="E116" s="135">
        <f t="shared" si="28"/>
        <v>2.96</v>
      </c>
      <c r="F116" s="135">
        <f t="shared" si="28"/>
        <v>2.96</v>
      </c>
      <c r="G116" s="135">
        <f t="shared" si="28"/>
        <v>2.96</v>
      </c>
      <c r="H116" s="135">
        <f t="shared" si="28"/>
        <v>2.96</v>
      </c>
      <c r="I116" s="135">
        <f t="shared" si="28"/>
        <v>2.96</v>
      </c>
      <c r="J116" s="135">
        <f t="shared" si="28"/>
        <v>2.96</v>
      </c>
      <c r="K116" s="135">
        <f t="shared" si="28"/>
        <v>2.96</v>
      </c>
      <c r="L116" s="135">
        <f t="shared" si="28"/>
        <v>2.96</v>
      </c>
      <c r="M116" s="135">
        <f t="shared" si="28"/>
        <v>2.96</v>
      </c>
      <c r="N116" s="135">
        <f t="shared" si="28"/>
        <v>2.96</v>
      </c>
      <c r="O116" s="135">
        <f t="shared" si="28"/>
        <v>2.96</v>
      </c>
      <c r="P116" s="135">
        <f t="shared" si="28"/>
        <v>2.96</v>
      </c>
      <c r="Q116" s="135">
        <f t="shared" si="28"/>
        <v>2.96</v>
      </c>
      <c r="R116" s="135">
        <f t="shared" si="28"/>
        <v>2.96</v>
      </c>
      <c r="S116" s="135">
        <f t="shared" si="28"/>
        <v>2.96</v>
      </c>
      <c r="T116" s="135">
        <f t="shared" si="29"/>
        <v>2.96</v>
      </c>
      <c r="U116" s="135">
        <f t="shared" si="29"/>
        <v>2.96</v>
      </c>
      <c r="V116" s="135">
        <f t="shared" si="29"/>
        <v>2.96</v>
      </c>
      <c r="W116" s="135">
        <f t="shared" si="29"/>
        <v>2.96</v>
      </c>
      <c r="X116" s="135">
        <f t="shared" si="29"/>
        <v>2.96</v>
      </c>
      <c r="Y116" s="135">
        <f t="shared" si="29"/>
        <v>2.96</v>
      </c>
      <c r="Z116" s="135">
        <f t="shared" si="29"/>
        <v>2.96</v>
      </c>
      <c r="AA116" s="135">
        <f t="shared" si="29"/>
        <v>2.96</v>
      </c>
      <c r="AB116" s="135">
        <f t="shared" si="29"/>
        <v>2.96</v>
      </c>
      <c r="AC116" s="135">
        <f t="shared" si="29"/>
        <v>2.96</v>
      </c>
      <c r="AD116" s="135">
        <f t="shared" si="29"/>
        <v>2.96</v>
      </c>
      <c r="AE116" s="135">
        <f t="shared" si="29"/>
        <v>2.96</v>
      </c>
      <c r="AF116" s="135">
        <f t="shared" si="29"/>
        <v>2.96</v>
      </c>
      <c r="AG116" s="138">
        <v>7.5</v>
      </c>
      <c r="AH116" s="53"/>
      <c r="AI116" s="54"/>
      <c r="AK116" s="55"/>
    </row>
    <row r="117" spans="1:37" x14ac:dyDescent="0.25">
      <c r="A117" s="123" t="s">
        <v>121</v>
      </c>
      <c r="B117" s="135">
        <f t="shared" si="27"/>
        <v>8</v>
      </c>
      <c r="C117" s="136">
        <v>8</v>
      </c>
      <c r="D117" s="135">
        <f t="shared" si="28"/>
        <v>8</v>
      </c>
      <c r="E117" s="135">
        <f t="shared" si="28"/>
        <v>8</v>
      </c>
      <c r="F117" s="135">
        <f t="shared" si="28"/>
        <v>8</v>
      </c>
      <c r="G117" s="135">
        <f t="shared" si="28"/>
        <v>8</v>
      </c>
      <c r="H117" s="135">
        <f t="shared" si="28"/>
        <v>8</v>
      </c>
      <c r="I117" s="135">
        <f t="shared" si="28"/>
        <v>8</v>
      </c>
      <c r="J117" s="135">
        <f t="shared" si="28"/>
        <v>8</v>
      </c>
      <c r="K117" s="135">
        <f t="shared" si="28"/>
        <v>8</v>
      </c>
      <c r="L117" s="135">
        <f t="shared" si="28"/>
        <v>8</v>
      </c>
      <c r="M117" s="135">
        <f t="shared" si="28"/>
        <v>8</v>
      </c>
      <c r="N117" s="135">
        <f t="shared" si="28"/>
        <v>8</v>
      </c>
      <c r="O117" s="135">
        <f t="shared" si="28"/>
        <v>8</v>
      </c>
      <c r="P117" s="135">
        <f t="shared" si="28"/>
        <v>8</v>
      </c>
      <c r="Q117" s="135">
        <f t="shared" si="28"/>
        <v>8</v>
      </c>
      <c r="R117" s="135">
        <f t="shared" si="28"/>
        <v>8</v>
      </c>
      <c r="S117" s="135">
        <f t="shared" si="28"/>
        <v>8</v>
      </c>
      <c r="T117" s="135">
        <f t="shared" si="29"/>
        <v>8</v>
      </c>
      <c r="U117" s="135">
        <f t="shared" si="29"/>
        <v>8</v>
      </c>
      <c r="V117" s="135">
        <f t="shared" si="29"/>
        <v>8</v>
      </c>
      <c r="W117" s="135">
        <f t="shared" si="29"/>
        <v>8</v>
      </c>
      <c r="X117" s="135">
        <f t="shared" si="29"/>
        <v>8</v>
      </c>
      <c r="Y117" s="135">
        <f t="shared" si="29"/>
        <v>8</v>
      </c>
      <c r="Z117" s="135">
        <f t="shared" si="29"/>
        <v>8</v>
      </c>
      <c r="AA117" s="135">
        <f t="shared" si="29"/>
        <v>8</v>
      </c>
      <c r="AB117" s="135">
        <f t="shared" si="29"/>
        <v>8</v>
      </c>
      <c r="AC117" s="135">
        <f t="shared" si="29"/>
        <v>8</v>
      </c>
      <c r="AD117" s="135">
        <f t="shared" si="29"/>
        <v>8</v>
      </c>
      <c r="AE117" s="135">
        <f t="shared" si="29"/>
        <v>8</v>
      </c>
      <c r="AF117" s="135">
        <f t="shared" si="29"/>
        <v>8</v>
      </c>
      <c r="AG117" s="138">
        <v>7.5</v>
      </c>
      <c r="AH117" s="53"/>
      <c r="AI117" s="54"/>
      <c r="AK117" s="55"/>
    </row>
    <row r="118" spans="1:37" x14ac:dyDescent="0.25">
      <c r="A118" s="123" t="s">
        <v>122</v>
      </c>
      <c r="B118" s="135">
        <f t="shared" si="27"/>
        <v>7</v>
      </c>
      <c r="C118" s="136">
        <v>7</v>
      </c>
      <c r="D118" s="135">
        <f>C118</f>
        <v>7</v>
      </c>
      <c r="E118" s="135">
        <f t="shared" si="28"/>
        <v>7</v>
      </c>
      <c r="F118" s="135">
        <f t="shared" si="28"/>
        <v>7</v>
      </c>
      <c r="G118" s="135">
        <f t="shared" si="28"/>
        <v>7</v>
      </c>
      <c r="H118" s="135">
        <f t="shared" si="28"/>
        <v>7</v>
      </c>
      <c r="I118" s="135">
        <f t="shared" si="28"/>
        <v>7</v>
      </c>
      <c r="J118" s="135">
        <f t="shared" si="28"/>
        <v>7</v>
      </c>
      <c r="K118" s="135">
        <f t="shared" si="28"/>
        <v>7</v>
      </c>
      <c r="L118" s="135">
        <f t="shared" si="28"/>
        <v>7</v>
      </c>
      <c r="M118" s="135">
        <f t="shared" si="28"/>
        <v>7</v>
      </c>
      <c r="N118" s="135">
        <f t="shared" si="28"/>
        <v>7</v>
      </c>
      <c r="O118" s="135">
        <f t="shared" si="28"/>
        <v>7</v>
      </c>
      <c r="P118" s="135">
        <f t="shared" si="28"/>
        <v>7</v>
      </c>
      <c r="Q118" s="135">
        <f t="shared" si="28"/>
        <v>7</v>
      </c>
      <c r="R118" s="135">
        <f t="shared" si="28"/>
        <v>7</v>
      </c>
      <c r="S118" s="135">
        <f t="shared" si="28"/>
        <v>7</v>
      </c>
      <c r="T118" s="135">
        <f t="shared" si="29"/>
        <v>7</v>
      </c>
      <c r="U118" s="135">
        <f t="shared" si="29"/>
        <v>7</v>
      </c>
      <c r="V118" s="135">
        <f t="shared" si="29"/>
        <v>7</v>
      </c>
      <c r="W118" s="135">
        <f t="shared" si="29"/>
        <v>7</v>
      </c>
      <c r="X118" s="135">
        <f t="shared" si="29"/>
        <v>7</v>
      </c>
      <c r="Y118" s="135">
        <f t="shared" si="29"/>
        <v>7</v>
      </c>
      <c r="Z118" s="135">
        <f t="shared" si="29"/>
        <v>7</v>
      </c>
      <c r="AA118" s="135">
        <f t="shared" si="29"/>
        <v>7</v>
      </c>
      <c r="AB118" s="135">
        <f t="shared" si="29"/>
        <v>7</v>
      </c>
      <c r="AC118" s="135">
        <f t="shared" si="29"/>
        <v>7</v>
      </c>
      <c r="AD118" s="135">
        <f t="shared" si="29"/>
        <v>7</v>
      </c>
      <c r="AE118" s="135">
        <f t="shared" si="29"/>
        <v>7</v>
      </c>
      <c r="AF118" s="135">
        <f t="shared" si="29"/>
        <v>7</v>
      </c>
      <c r="AG118" s="138">
        <v>7</v>
      </c>
      <c r="AH118" s="53"/>
      <c r="AI118" s="54"/>
      <c r="AK118" s="55"/>
    </row>
    <row r="119" spans="1:37" x14ac:dyDescent="0.25">
      <c r="A119" s="123" t="s">
        <v>123</v>
      </c>
      <c r="B119" s="135">
        <f t="shared" si="27"/>
        <v>3.47</v>
      </c>
      <c r="C119" s="136">
        <v>3.47</v>
      </c>
      <c r="D119" s="135">
        <f t="shared" ref="D119:S128" si="30">C119</f>
        <v>3.47</v>
      </c>
      <c r="E119" s="135">
        <f t="shared" si="30"/>
        <v>3.47</v>
      </c>
      <c r="F119" s="135">
        <f t="shared" si="30"/>
        <v>3.47</v>
      </c>
      <c r="G119" s="135">
        <f t="shared" si="30"/>
        <v>3.47</v>
      </c>
      <c r="H119" s="135">
        <f t="shared" si="30"/>
        <v>3.47</v>
      </c>
      <c r="I119" s="135">
        <f t="shared" si="30"/>
        <v>3.47</v>
      </c>
      <c r="J119" s="135">
        <f t="shared" si="30"/>
        <v>3.47</v>
      </c>
      <c r="K119" s="135">
        <f t="shared" si="30"/>
        <v>3.47</v>
      </c>
      <c r="L119" s="135">
        <f t="shared" si="30"/>
        <v>3.47</v>
      </c>
      <c r="M119" s="135">
        <f t="shared" si="30"/>
        <v>3.47</v>
      </c>
      <c r="N119" s="135">
        <f t="shared" si="30"/>
        <v>3.47</v>
      </c>
      <c r="O119" s="135">
        <f t="shared" si="30"/>
        <v>3.47</v>
      </c>
      <c r="P119" s="135">
        <f t="shared" si="30"/>
        <v>3.47</v>
      </c>
      <c r="Q119" s="135">
        <f t="shared" si="30"/>
        <v>3.47</v>
      </c>
      <c r="R119" s="135">
        <f t="shared" si="30"/>
        <v>3.47</v>
      </c>
      <c r="S119" s="135">
        <f t="shared" si="30"/>
        <v>3.47</v>
      </c>
      <c r="T119" s="135">
        <f t="shared" si="29"/>
        <v>3.47</v>
      </c>
      <c r="U119" s="135">
        <f t="shared" si="29"/>
        <v>3.47</v>
      </c>
      <c r="V119" s="135">
        <f t="shared" si="29"/>
        <v>3.47</v>
      </c>
      <c r="W119" s="135">
        <f t="shared" si="29"/>
        <v>3.47</v>
      </c>
      <c r="X119" s="135">
        <f t="shared" si="29"/>
        <v>3.47</v>
      </c>
      <c r="Y119" s="135">
        <f t="shared" si="29"/>
        <v>3.47</v>
      </c>
      <c r="Z119" s="135">
        <f t="shared" si="29"/>
        <v>3.47</v>
      </c>
      <c r="AA119" s="135">
        <f t="shared" si="29"/>
        <v>3.47</v>
      </c>
      <c r="AB119" s="135">
        <f t="shared" si="29"/>
        <v>3.47</v>
      </c>
      <c r="AC119" s="135">
        <f t="shared" si="29"/>
        <v>3.47</v>
      </c>
      <c r="AD119" s="135">
        <f t="shared" si="29"/>
        <v>3.47</v>
      </c>
      <c r="AE119" s="135">
        <f t="shared" si="29"/>
        <v>3.47</v>
      </c>
      <c r="AF119" s="135">
        <f t="shared" si="29"/>
        <v>3.47</v>
      </c>
      <c r="AG119" s="138">
        <v>7</v>
      </c>
      <c r="AH119" s="53"/>
      <c r="AI119" s="54"/>
      <c r="AK119" s="55"/>
    </row>
    <row r="120" spans="1:37" x14ac:dyDescent="0.25">
      <c r="A120" s="123" t="s">
        <v>124</v>
      </c>
      <c r="B120" s="135">
        <f t="shared" si="27"/>
        <v>2.1</v>
      </c>
      <c r="C120" s="136">
        <v>2.1</v>
      </c>
      <c r="D120" s="135">
        <f t="shared" si="30"/>
        <v>2.1</v>
      </c>
      <c r="E120" s="135">
        <f t="shared" si="30"/>
        <v>2.1</v>
      </c>
      <c r="F120" s="135">
        <f t="shared" si="30"/>
        <v>2.1</v>
      </c>
      <c r="G120" s="135">
        <f t="shared" si="30"/>
        <v>2.1</v>
      </c>
      <c r="H120" s="135">
        <f t="shared" si="30"/>
        <v>2.1</v>
      </c>
      <c r="I120" s="135">
        <f t="shared" si="30"/>
        <v>2.1</v>
      </c>
      <c r="J120" s="135">
        <f t="shared" si="30"/>
        <v>2.1</v>
      </c>
      <c r="K120" s="135">
        <f t="shared" si="30"/>
        <v>2.1</v>
      </c>
      <c r="L120" s="135">
        <f t="shared" si="30"/>
        <v>2.1</v>
      </c>
      <c r="M120" s="135">
        <f t="shared" si="30"/>
        <v>2.1</v>
      </c>
      <c r="N120" s="135">
        <f t="shared" si="30"/>
        <v>2.1</v>
      </c>
      <c r="O120" s="135">
        <f t="shared" si="30"/>
        <v>2.1</v>
      </c>
      <c r="P120" s="135">
        <f t="shared" si="30"/>
        <v>2.1</v>
      </c>
      <c r="Q120" s="135">
        <f t="shared" si="30"/>
        <v>2.1</v>
      </c>
      <c r="R120" s="135">
        <f t="shared" si="30"/>
        <v>2.1</v>
      </c>
      <c r="S120" s="135">
        <f t="shared" si="30"/>
        <v>2.1</v>
      </c>
      <c r="T120" s="135">
        <f t="shared" si="29"/>
        <v>2.1</v>
      </c>
      <c r="U120" s="135">
        <f t="shared" si="29"/>
        <v>2.1</v>
      </c>
      <c r="V120" s="135">
        <f t="shared" si="29"/>
        <v>2.1</v>
      </c>
      <c r="W120" s="135">
        <f t="shared" si="29"/>
        <v>2.1</v>
      </c>
      <c r="X120" s="135">
        <f t="shared" si="29"/>
        <v>2.1</v>
      </c>
      <c r="Y120" s="135">
        <f t="shared" si="29"/>
        <v>2.1</v>
      </c>
      <c r="Z120" s="135">
        <f t="shared" si="29"/>
        <v>2.1</v>
      </c>
      <c r="AA120" s="135">
        <f t="shared" si="29"/>
        <v>2.1</v>
      </c>
      <c r="AB120" s="135">
        <f t="shared" si="29"/>
        <v>2.1</v>
      </c>
      <c r="AC120" s="135">
        <f t="shared" si="29"/>
        <v>2.1</v>
      </c>
      <c r="AD120" s="135">
        <f t="shared" si="29"/>
        <v>2.1</v>
      </c>
      <c r="AE120" s="135">
        <f t="shared" si="29"/>
        <v>2.1</v>
      </c>
      <c r="AF120" s="135">
        <f t="shared" si="29"/>
        <v>2.1</v>
      </c>
      <c r="AG120" s="138">
        <v>7</v>
      </c>
      <c r="AH120" s="53"/>
      <c r="AI120" s="54"/>
      <c r="AK120" s="55"/>
    </row>
    <row r="121" spans="1:37" x14ac:dyDescent="0.25">
      <c r="A121" s="123" t="s">
        <v>125</v>
      </c>
      <c r="B121" s="135">
        <f t="shared" si="27"/>
        <v>9.3000000000000007</v>
      </c>
      <c r="C121" s="136">
        <v>9.3000000000000007</v>
      </c>
      <c r="D121" s="135">
        <f t="shared" si="30"/>
        <v>9.3000000000000007</v>
      </c>
      <c r="E121" s="135">
        <f t="shared" si="30"/>
        <v>9.3000000000000007</v>
      </c>
      <c r="F121" s="135">
        <f t="shared" si="30"/>
        <v>9.3000000000000007</v>
      </c>
      <c r="G121" s="135">
        <f t="shared" si="30"/>
        <v>9.3000000000000007</v>
      </c>
      <c r="H121" s="135">
        <f t="shared" si="30"/>
        <v>9.3000000000000007</v>
      </c>
      <c r="I121" s="135">
        <f t="shared" si="30"/>
        <v>9.3000000000000007</v>
      </c>
      <c r="J121" s="135">
        <f t="shared" si="30"/>
        <v>9.3000000000000007</v>
      </c>
      <c r="K121" s="135">
        <f t="shared" si="30"/>
        <v>9.3000000000000007</v>
      </c>
      <c r="L121" s="135">
        <f t="shared" si="30"/>
        <v>9.3000000000000007</v>
      </c>
      <c r="M121" s="135">
        <f t="shared" si="30"/>
        <v>9.3000000000000007</v>
      </c>
      <c r="N121" s="135">
        <f t="shared" si="30"/>
        <v>9.3000000000000007</v>
      </c>
      <c r="O121" s="135">
        <f t="shared" si="30"/>
        <v>9.3000000000000007</v>
      </c>
      <c r="P121" s="135">
        <f t="shared" si="30"/>
        <v>9.3000000000000007</v>
      </c>
      <c r="Q121" s="135">
        <f t="shared" si="30"/>
        <v>9.3000000000000007</v>
      </c>
      <c r="R121" s="135">
        <f t="shared" si="30"/>
        <v>9.3000000000000007</v>
      </c>
      <c r="S121" s="135">
        <f t="shared" si="30"/>
        <v>9.3000000000000007</v>
      </c>
      <c r="T121" s="135">
        <f t="shared" si="29"/>
        <v>9.3000000000000007</v>
      </c>
      <c r="U121" s="135">
        <f t="shared" si="29"/>
        <v>9.3000000000000007</v>
      </c>
      <c r="V121" s="135">
        <f t="shared" si="29"/>
        <v>9.3000000000000007</v>
      </c>
      <c r="W121" s="135">
        <f t="shared" si="29"/>
        <v>9.3000000000000007</v>
      </c>
      <c r="X121" s="135">
        <f t="shared" si="29"/>
        <v>9.3000000000000007</v>
      </c>
      <c r="Y121" s="135">
        <f t="shared" si="29"/>
        <v>9.3000000000000007</v>
      </c>
      <c r="Z121" s="135">
        <f t="shared" si="29"/>
        <v>9.3000000000000007</v>
      </c>
      <c r="AA121" s="135">
        <f t="shared" si="29"/>
        <v>9.3000000000000007</v>
      </c>
      <c r="AB121" s="135">
        <f t="shared" si="29"/>
        <v>9.3000000000000007</v>
      </c>
      <c r="AC121" s="135">
        <f t="shared" si="29"/>
        <v>9.3000000000000007</v>
      </c>
      <c r="AD121" s="135">
        <f t="shared" si="29"/>
        <v>9.3000000000000007</v>
      </c>
      <c r="AE121" s="135">
        <f t="shared" si="29"/>
        <v>9.3000000000000007</v>
      </c>
      <c r="AF121" s="135">
        <f t="shared" si="29"/>
        <v>9.3000000000000007</v>
      </c>
      <c r="AG121" s="138">
        <v>7</v>
      </c>
      <c r="AH121" s="53"/>
      <c r="AI121" s="54"/>
      <c r="AK121" s="55"/>
    </row>
    <row r="122" spans="1:37" x14ac:dyDescent="0.25">
      <c r="A122" s="123" t="s">
        <v>126</v>
      </c>
      <c r="B122" s="135">
        <f t="shared" si="27"/>
        <v>0</v>
      </c>
      <c r="C122" s="136">
        <v>0</v>
      </c>
      <c r="D122" s="135">
        <f t="shared" si="30"/>
        <v>0</v>
      </c>
      <c r="E122" s="135">
        <f t="shared" si="30"/>
        <v>0</v>
      </c>
      <c r="F122" s="135">
        <f t="shared" si="30"/>
        <v>0</v>
      </c>
      <c r="G122" s="135">
        <f t="shared" si="30"/>
        <v>0</v>
      </c>
      <c r="H122" s="135">
        <f t="shared" si="30"/>
        <v>0</v>
      </c>
      <c r="I122" s="135">
        <f t="shared" si="30"/>
        <v>0</v>
      </c>
      <c r="J122" s="135">
        <f t="shared" si="30"/>
        <v>0</v>
      </c>
      <c r="K122" s="135">
        <f t="shared" si="30"/>
        <v>0</v>
      </c>
      <c r="L122" s="135">
        <f t="shared" si="30"/>
        <v>0</v>
      </c>
      <c r="M122" s="135">
        <f t="shared" si="30"/>
        <v>0</v>
      </c>
      <c r="N122" s="135">
        <f t="shared" si="30"/>
        <v>0</v>
      </c>
      <c r="O122" s="135">
        <f t="shared" si="30"/>
        <v>0</v>
      </c>
      <c r="P122" s="135">
        <f t="shared" si="30"/>
        <v>0</v>
      </c>
      <c r="Q122" s="135">
        <f t="shared" si="30"/>
        <v>0</v>
      </c>
      <c r="R122" s="135">
        <f t="shared" si="30"/>
        <v>0</v>
      </c>
      <c r="S122" s="135">
        <f t="shared" si="30"/>
        <v>0</v>
      </c>
      <c r="T122" s="135">
        <f t="shared" si="29"/>
        <v>0</v>
      </c>
      <c r="U122" s="135">
        <f t="shared" si="29"/>
        <v>0</v>
      </c>
      <c r="V122" s="135">
        <f t="shared" si="29"/>
        <v>0</v>
      </c>
      <c r="W122" s="135">
        <f t="shared" si="29"/>
        <v>0</v>
      </c>
      <c r="X122" s="135">
        <f t="shared" si="29"/>
        <v>0</v>
      </c>
      <c r="Y122" s="135">
        <f t="shared" si="29"/>
        <v>0</v>
      </c>
      <c r="Z122" s="135">
        <f t="shared" si="29"/>
        <v>0</v>
      </c>
      <c r="AA122" s="135">
        <f t="shared" si="29"/>
        <v>0</v>
      </c>
      <c r="AB122" s="135">
        <f t="shared" si="29"/>
        <v>0</v>
      </c>
      <c r="AC122" s="135">
        <f t="shared" si="29"/>
        <v>0</v>
      </c>
      <c r="AD122" s="135">
        <f t="shared" si="29"/>
        <v>0</v>
      </c>
      <c r="AE122" s="135">
        <f t="shared" si="29"/>
        <v>0</v>
      </c>
      <c r="AF122" s="135">
        <f t="shared" si="29"/>
        <v>0</v>
      </c>
      <c r="AG122" s="138">
        <v>6.6</v>
      </c>
      <c r="AH122" s="53"/>
      <c r="AI122" s="54"/>
      <c r="AK122" s="55"/>
    </row>
    <row r="123" spans="1:37" x14ac:dyDescent="0.25">
      <c r="A123" s="123" t="s">
        <v>127</v>
      </c>
      <c r="B123" s="135">
        <f t="shared" si="27"/>
        <v>0</v>
      </c>
      <c r="C123" s="136">
        <v>0</v>
      </c>
      <c r="D123" s="135">
        <f t="shared" si="30"/>
        <v>0</v>
      </c>
      <c r="E123" s="135">
        <f t="shared" si="30"/>
        <v>0</v>
      </c>
      <c r="F123" s="135">
        <f t="shared" si="30"/>
        <v>0</v>
      </c>
      <c r="G123" s="135">
        <f t="shared" si="30"/>
        <v>0</v>
      </c>
      <c r="H123" s="135">
        <f t="shared" si="30"/>
        <v>0</v>
      </c>
      <c r="I123" s="135">
        <f t="shared" si="30"/>
        <v>0</v>
      </c>
      <c r="J123" s="135">
        <f t="shared" si="30"/>
        <v>0</v>
      </c>
      <c r="K123" s="135">
        <f t="shared" si="30"/>
        <v>0</v>
      </c>
      <c r="L123" s="135">
        <f t="shared" si="30"/>
        <v>0</v>
      </c>
      <c r="M123" s="135">
        <f t="shared" si="30"/>
        <v>0</v>
      </c>
      <c r="N123" s="135">
        <f t="shared" si="30"/>
        <v>0</v>
      </c>
      <c r="O123" s="135">
        <f t="shared" si="30"/>
        <v>0</v>
      </c>
      <c r="P123" s="135">
        <f t="shared" si="30"/>
        <v>0</v>
      </c>
      <c r="Q123" s="135">
        <f t="shared" si="30"/>
        <v>0</v>
      </c>
      <c r="R123" s="135">
        <f t="shared" si="30"/>
        <v>0</v>
      </c>
      <c r="S123" s="135">
        <f t="shared" si="30"/>
        <v>0</v>
      </c>
      <c r="T123" s="135">
        <f t="shared" si="29"/>
        <v>0</v>
      </c>
      <c r="U123" s="135">
        <f t="shared" si="29"/>
        <v>0</v>
      </c>
      <c r="V123" s="135">
        <f t="shared" si="29"/>
        <v>0</v>
      </c>
      <c r="W123" s="135">
        <f t="shared" si="29"/>
        <v>0</v>
      </c>
      <c r="X123" s="135">
        <f t="shared" si="29"/>
        <v>0</v>
      </c>
      <c r="Y123" s="135">
        <f t="shared" si="29"/>
        <v>0</v>
      </c>
      <c r="Z123" s="135">
        <f t="shared" si="29"/>
        <v>0</v>
      </c>
      <c r="AA123" s="135">
        <f t="shared" si="29"/>
        <v>0</v>
      </c>
      <c r="AB123" s="135">
        <f t="shared" si="29"/>
        <v>0</v>
      </c>
      <c r="AC123" s="135">
        <f t="shared" si="29"/>
        <v>0</v>
      </c>
      <c r="AD123" s="135">
        <f t="shared" si="29"/>
        <v>0</v>
      </c>
      <c r="AE123" s="135">
        <f t="shared" si="29"/>
        <v>0</v>
      </c>
      <c r="AF123" s="135">
        <f t="shared" si="29"/>
        <v>0</v>
      </c>
      <c r="AG123" s="138">
        <v>6.6</v>
      </c>
      <c r="AH123" s="53"/>
      <c r="AI123" s="54"/>
      <c r="AK123" s="55"/>
    </row>
    <row r="124" spans="1:37" x14ac:dyDescent="0.25">
      <c r="A124" s="123" t="s">
        <v>128</v>
      </c>
      <c r="B124" s="135">
        <f t="shared" si="27"/>
        <v>5</v>
      </c>
      <c r="C124" s="136">
        <v>5</v>
      </c>
      <c r="D124" s="135">
        <f t="shared" si="30"/>
        <v>5</v>
      </c>
      <c r="E124" s="135">
        <f t="shared" si="30"/>
        <v>5</v>
      </c>
      <c r="F124" s="135">
        <f t="shared" si="30"/>
        <v>5</v>
      </c>
      <c r="G124" s="135">
        <f t="shared" si="30"/>
        <v>5</v>
      </c>
      <c r="H124" s="135">
        <f t="shared" si="30"/>
        <v>5</v>
      </c>
      <c r="I124" s="135">
        <f t="shared" si="30"/>
        <v>5</v>
      </c>
      <c r="J124" s="135">
        <f t="shared" si="30"/>
        <v>5</v>
      </c>
      <c r="K124" s="135">
        <f t="shared" si="30"/>
        <v>5</v>
      </c>
      <c r="L124" s="135">
        <f t="shared" si="30"/>
        <v>5</v>
      </c>
      <c r="M124" s="135">
        <f t="shared" si="30"/>
        <v>5</v>
      </c>
      <c r="N124" s="135">
        <f t="shared" si="30"/>
        <v>5</v>
      </c>
      <c r="O124" s="135">
        <f t="shared" si="30"/>
        <v>5</v>
      </c>
      <c r="P124" s="135">
        <f t="shared" si="30"/>
        <v>5</v>
      </c>
      <c r="Q124" s="135">
        <f t="shared" si="30"/>
        <v>5</v>
      </c>
      <c r="R124" s="135">
        <f t="shared" si="30"/>
        <v>5</v>
      </c>
      <c r="S124" s="135">
        <f t="shared" si="30"/>
        <v>5</v>
      </c>
      <c r="T124" s="135">
        <f t="shared" si="29"/>
        <v>5</v>
      </c>
      <c r="U124" s="135">
        <f t="shared" si="29"/>
        <v>5</v>
      </c>
      <c r="V124" s="135">
        <f t="shared" si="29"/>
        <v>5</v>
      </c>
      <c r="W124" s="135">
        <f t="shared" si="29"/>
        <v>5</v>
      </c>
      <c r="X124" s="135">
        <f t="shared" si="29"/>
        <v>5</v>
      </c>
      <c r="Y124" s="135">
        <f t="shared" si="29"/>
        <v>5</v>
      </c>
      <c r="Z124" s="135">
        <f t="shared" si="29"/>
        <v>5</v>
      </c>
      <c r="AA124" s="135">
        <f t="shared" si="29"/>
        <v>5</v>
      </c>
      <c r="AB124" s="135">
        <f t="shared" si="29"/>
        <v>5</v>
      </c>
      <c r="AC124" s="135">
        <f t="shared" si="29"/>
        <v>5</v>
      </c>
      <c r="AD124" s="135">
        <f t="shared" si="29"/>
        <v>5</v>
      </c>
      <c r="AE124" s="135">
        <f t="shared" si="29"/>
        <v>5</v>
      </c>
      <c r="AF124" s="135">
        <f t="shared" si="29"/>
        <v>5</v>
      </c>
      <c r="AG124" s="138">
        <v>6.4</v>
      </c>
      <c r="AH124" s="53"/>
      <c r="AI124" s="54"/>
      <c r="AK124" s="55"/>
    </row>
    <row r="125" spans="1:37" x14ac:dyDescent="0.25">
      <c r="A125" s="123" t="s">
        <v>129</v>
      </c>
      <c r="B125" s="135">
        <f t="shared" si="27"/>
        <v>1</v>
      </c>
      <c r="C125" s="136">
        <v>1</v>
      </c>
      <c r="D125" s="135">
        <f t="shared" si="30"/>
        <v>1</v>
      </c>
      <c r="E125" s="135">
        <f t="shared" si="30"/>
        <v>1</v>
      </c>
      <c r="F125" s="135">
        <f t="shared" si="30"/>
        <v>1</v>
      </c>
      <c r="G125" s="135">
        <f t="shared" si="30"/>
        <v>1</v>
      </c>
      <c r="H125" s="135">
        <f t="shared" si="30"/>
        <v>1</v>
      </c>
      <c r="I125" s="135">
        <f t="shared" si="30"/>
        <v>1</v>
      </c>
      <c r="J125" s="135">
        <f t="shared" si="30"/>
        <v>1</v>
      </c>
      <c r="K125" s="135">
        <f t="shared" si="30"/>
        <v>1</v>
      </c>
      <c r="L125" s="135">
        <f t="shared" si="30"/>
        <v>1</v>
      </c>
      <c r="M125" s="135">
        <f t="shared" si="30"/>
        <v>1</v>
      </c>
      <c r="N125" s="135">
        <f t="shared" si="30"/>
        <v>1</v>
      </c>
      <c r="O125" s="135">
        <f t="shared" si="30"/>
        <v>1</v>
      </c>
      <c r="P125" s="135">
        <f t="shared" si="30"/>
        <v>1</v>
      </c>
      <c r="Q125" s="135">
        <f t="shared" si="30"/>
        <v>1</v>
      </c>
      <c r="R125" s="135">
        <f t="shared" si="30"/>
        <v>1</v>
      </c>
      <c r="S125" s="135">
        <f t="shared" si="30"/>
        <v>1</v>
      </c>
      <c r="T125" s="135">
        <f t="shared" si="29"/>
        <v>1</v>
      </c>
      <c r="U125" s="135">
        <f t="shared" si="29"/>
        <v>1</v>
      </c>
      <c r="V125" s="135">
        <f t="shared" si="29"/>
        <v>1</v>
      </c>
      <c r="W125" s="135">
        <f t="shared" si="29"/>
        <v>1</v>
      </c>
      <c r="X125" s="135">
        <f t="shared" si="29"/>
        <v>1</v>
      </c>
      <c r="Y125" s="135">
        <f t="shared" si="29"/>
        <v>1</v>
      </c>
      <c r="Z125" s="135">
        <f t="shared" si="29"/>
        <v>1</v>
      </c>
      <c r="AA125" s="135">
        <f t="shared" si="29"/>
        <v>1</v>
      </c>
      <c r="AB125" s="135">
        <f t="shared" si="29"/>
        <v>1</v>
      </c>
      <c r="AC125" s="135">
        <f t="shared" si="29"/>
        <v>1</v>
      </c>
      <c r="AD125" s="135">
        <f t="shared" si="29"/>
        <v>1</v>
      </c>
      <c r="AE125" s="135">
        <f t="shared" si="29"/>
        <v>1</v>
      </c>
      <c r="AF125" s="135">
        <f t="shared" si="29"/>
        <v>1</v>
      </c>
      <c r="AG125" s="138">
        <v>6</v>
      </c>
      <c r="AH125" s="53"/>
      <c r="AI125" s="54"/>
      <c r="AK125" s="55"/>
    </row>
    <row r="126" spans="1:37" x14ac:dyDescent="0.25">
      <c r="A126" s="123" t="s">
        <v>130</v>
      </c>
      <c r="B126" s="135">
        <f t="shared" si="27"/>
        <v>1.58</v>
      </c>
      <c r="C126" s="136">
        <v>1.58</v>
      </c>
      <c r="D126" s="135">
        <f t="shared" si="30"/>
        <v>1.58</v>
      </c>
      <c r="E126" s="135">
        <f t="shared" si="30"/>
        <v>1.58</v>
      </c>
      <c r="F126" s="135">
        <f t="shared" si="30"/>
        <v>1.58</v>
      </c>
      <c r="G126" s="135">
        <f t="shared" si="30"/>
        <v>1.58</v>
      </c>
      <c r="H126" s="135">
        <f t="shared" si="30"/>
        <v>1.58</v>
      </c>
      <c r="I126" s="135">
        <f t="shared" si="30"/>
        <v>1.58</v>
      </c>
      <c r="J126" s="135">
        <f t="shared" si="30"/>
        <v>1.58</v>
      </c>
      <c r="K126" s="135">
        <f t="shared" si="30"/>
        <v>1.58</v>
      </c>
      <c r="L126" s="135">
        <f t="shared" si="30"/>
        <v>1.58</v>
      </c>
      <c r="M126" s="135">
        <f t="shared" si="30"/>
        <v>1.58</v>
      </c>
      <c r="N126" s="135">
        <f t="shared" si="30"/>
        <v>1.58</v>
      </c>
      <c r="O126" s="135">
        <f t="shared" si="30"/>
        <v>1.58</v>
      </c>
      <c r="P126" s="135">
        <f t="shared" si="30"/>
        <v>1.58</v>
      </c>
      <c r="Q126" s="135">
        <f t="shared" si="30"/>
        <v>1.58</v>
      </c>
      <c r="R126" s="135">
        <f t="shared" si="30"/>
        <v>1.58</v>
      </c>
      <c r="S126" s="135">
        <f t="shared" si="30"/>
        <v>1.58</v>
      </c>
      <c r="T126" s="135">
        <f t="shared" si="29"/>
        <v>1.58</v>
      </c>
      <c r="U126" s="135">
        <f t="shared" si="29"/>
        <v>1.58</v>
      </c>
      <c r="V126" s="135">
        <f t="shared" si="29"/>
        <v>1.58</v>
      </c>
      <c r="W126" s="135">
        <f t="shared" si="29"/>
        <v>1.58</v>
      </c>
      <c r="X126" s="135">
        <f t="shared" si="29"/>
        <v>1.58</v>
      </c>
      <c r="Y126" s="135">
        <f t="shared" si="29"/>
        <v>1.58</v>
      </c>
      <c r="Z126" s="135">
        <f t="shared" si="29"/>
        <v>1.58</v>
      </c>
      <c r="AA126" s="135">
        <f t="shared" si="29"/>
        <v>1.58</v>
      </c>
      <c r="AB126" s="135">
        <f t="shared" si="29"/>
        <v>1.58</v>
      </c>
      <c r="AC126" s="135">
        <f t="shared" si="29"/>
        <v>1.58</v>
      </c>
      <c r="AD126" s="135">
        <f t="shared" si="29"/>
        <v>1.58</v>
      </c>
      <c r="AE126" s="135">
        <f t="shared" si="29"/>
        <v>1.58</v>
      </c>
      <c r="AF126" s="135">
        <f t="shared" si="29"/>
        <v>1.58</v>
      </c>
      <c r="AG126" s="138">
        <v>5.0999999999999996</v>
      </c>
      <c r="AH126" s="53"/>
      <c r="AI126" s="54"/>
      <c r="AK126" s="55"/>
    </row>
    <row r="127" spans="1:37" x14ac:dyDescent="0.25">
      <c r="A127" s="123" t="s">
        <v>131</v>
      </c>
      <c r="B127" s="135">
        <f t="shared" si="27"/>
        <v>1.46</v>
      </c>
      <c r="C127" s="136">
        <v>1.46</v>
      </c>
      <c r="D127" s="135">
        <f t="shared" si="30"/>
        <v>1.46</v>
      </c>
      <c r="E127" s="135">
        <f t="shared" si="30"/>
        <v>1.46</v>
      </c>
      <c r="F127" s="135">
        <f t="shared" si="30"/>
        <v>1.46</v>
      </c>
      <c r="G127" s="135">
        <f t="shared" si="30"/>
        <v>1.46</v>
      </c>
      <c r="H127" s="135">
        <f t="shared" si="30"/>
        <v>1.46</v>
      </c>
      <c r="I127" s="135">
        <f t="shared" si="30"/>
        <v>1.46</v>
      </c>
      <c r="J127" s="135">
        <f t="shared" si="30"/>
        <v>1.46</v>
      </c>
      <c r="K127" s="135">
        <f t="shared" si="30"/>
        <v>1.46</v>
      </c>
      <c r="L127" s="135">
        <f t="shared" si="30"/>
        <v>1.46</v>
      </c>
      <c r="M127" s="135">
        <f t="shared" si="30"/>
        <v>1.46</v>
      </c>
      <c r="N127" s="135">
        <f t="shared" si="30"/>
        <v>1.46</v>
      </c>
      <c r="O127" s="135">
        <f t="shared" si="30"/>
        <v>1.46</v>
      </c>
      <c r="P127" s="135">
        <f t="shared" si="30"/>
        <v>1.46</v>
      </c>
      <c r="Q127" s="135">
        <f t="shared" si="30"/>
        <v>1.46</v>
      </c>
      <c r="R127" s="135">
        <f t="shared" si="30"/>
        <v>1.46</v>
      </c>
      <c r="S127" s="135">
        <f t="shared" si="30"/>
        <v>1.46</v>
      </c>
      <c r="T127" s="135">
        <f t="shared" ref="T127:AF128" si="31">S127</f>
        <v>1.46</v>
      </c>
      <c r="U127" s="135">
        <f t="shared" si="31"/>
        <v>1.46</v>
      </c>
      <c r="V127" s="135">
        <f t="shared" si="31"/>
        <v>1.46</v>
      </c>
      <c r="W127" s="135">
        <f t="shared" si="31"/>
        <v>1.46</v>
      </c>
      <c r="X127" s="135">
        <f t="shared" si="31"/>
        <v>1.46</v>
      </c>
      <c r="Y127" s="135">
        <f t="shared" si="31"/>
        <v>1.46</v>
      </c>
      <c r="Z127" s="135">
        <f t="shared" si="31"/>
        <v>1.46</v>
      </c>
      <c r="AA127" s="135">
        <f t="shared" si="31"/>
        <v>1.46</v>
      </c>
      <c r="AB127" s="135">
        <f t="shared" si="31"/>
        <v>1.46</v>
      </c>
      <c r="AC127" s="135">
        <f t="shared" si="31"/>
        <v>1.46</v>
      </c>
      <c r="AD127" s="135">
        <f t="shared" si="31"/>
        <v>1.46</v>
      </c>
      <c r="AE127" s="135">
        <f t="shared" si="31"/>
        <v>1.46</v>
      </c>
      <c r="AF127" s="135">
        <f t="shared" si="31"/>
        <v>1.46</v>
      </c>
      <c r="AG127" s="138">
        <v>5</v>
      </c>
      <c r="AH127" s="53"/>
      <c r="AI127" s="54"/>
      <c r="AK127" s="55"/>
    </row>
    <row r="128" spans="1:37" x14ac:dyDescent="0.25">
      <c r="A128" s="121" t="s">
        <v>132</v>
      </c>
      <c r="B128" s="135">
        <f t="shared" si="27"/>
        <v>1.48</v>
      </c>
      <c r="C128" s="136">
        <v>1.48</v>
      </c>
      <c r="D128" s="135">
        <f t="shared" si="30"/>
        <v>1.48</v>
      </c>
      <c r="E128" s="135">
        <f t="shared" si="30"/>
        <v>1.48</v>
      </c>
      <c r="F128" s="135">
        <f t="shared" si="30"/>
        <v>1.48</v>
      </c>
      <c r="G128" s="135">
        <f t="shared" si="30"/>
        <v>1.48</v>
      </c>
      <c r="H128" s="135">
        <f t="shared" si="30"/>
        <v>1.48</v>
      </c>
      <c r="I128" s="135">
        <f t="shared" si="30"/>
        <v>1.48</v>
      </c>
      <c r="J128" s="135">
        <f t="shared" si="30"/>
        <v>1.48</v>
      </c>
      <c r="K128" s="135">
        <f t="shared" si="30"/>
        <v>1.48</v>
      </c>
      <c r="L128" s="135">
        <f t="shared" si="30"/>
        <v>1.48</v>
      </c>
      <c r="M128" s="135">
        <f t="shared" si="30"/>
        <v>1.48</v>
      </c>
      <c r="N128" s="135">
        <f t="shared" si="30"/>
        <v>1.48</v>
      </c>
      <c r="O128" s="135">
        <f t="shared" si="30"/>
        <v>1.48</v>
      </c>
      <c r="P128" s="135">
        <f t="shared" si="30"/>
        <v>1.48</v>
      </c>
      <c r="Q128" s="135">
        <f t="shared" si="30"/>
        <v>1.48</v>
      </c>
      <c r="R128" s="135">
        <f t="shared" si="30"/>
        <v>1.48</v>
      </c>
      <c r="S128" s="135">
        <f t="shared" si="30"/>
        <v>1.48</v>
      </c>
      <c r="T128" s="135">
        <f t="shared" si="31"/>
        <v>1.48</v>
      </c>
      <c r="U128" s="135">
        <f t="shared" si="31"/>
        <v>1.48</v>
      </c>
      <c r="V128" s="135">
        <f t="shared" si="31"/>
        <v>1.48</v>
      </c>
      <c r="W128" s="135">
        <f t="shared" si="31"/>
        <v>1.48</v>
      </c>
      <c r="X128" s="135">
        <f t="shared" si="31"/>
        <v>1.48</v>
      </c>
      <c r="Y128" s="135">
        <f t="shared" si="31"/>
        <v>1.48</v>
      </c>
      <c r="Z128" s="135">
        <f t="shared" si="31"/>
        <v>1.48</v>
      </c>
      <c r="AA128" s="135">
        <f t="shared" si="31"/>
        <v>1.48</v>
      </c>
      <c r="AB128" s="135">
        <f t="shared" si="31"/>
        <v>1.48</v>
      </c>
      <c r="AC128" s="135">
        <f t="shared" si="31"/>
        <v>1.48</v>
      </c>
      <c r="AD128" s="135">
        <f t="shared" si="31"/>
        <v>1.48</v>
      </c>
      <c r="AE128" s="135">
        <f t="shared" si="31"/>
        <v>1.48</v>
      </c>
      <c r="AF128" s="135">
        <f t="shared" si="31"/>
        <v>1.48</v>
      </c>
      <c r="AG128" s="137">
        <v>5</v>
      </c>
      <c r="AH128" s="53"/>
      <c r="AI128" s="54"/>
      <c r="AK128" s="55"/>
    </row>
    <row r="129" spans="1:37" x14ac:dyDescent="0.25">
      <c r="A129" s="123" t="s">
        <v>133</v>
      </c>
      <c r="B129" s="135"/>
      <c r="C129" s="136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8">
        <v>5</v>
      </c>
      <c r="AH129" s="53"/>
      <c r="AI129" s="54"/>
      <c r="AK129" s="55"/>
    </row>
    <row r="130" spans="1:37" x14ac:dyDescent="0.25">
      <c r="A130" s="123" t="s">
        <v>134</v>
      </c>
      <c r="B130" s="135">
        <f t="shared" ref="B130:B137" si="32">AF130</f>
        <v>2.2000000000000002</v>
      </c>
      <c r="C130" s="136">
        <v>2.2000000000000002</v>
      </c>
      <c r="D130" s="135">
        <f t="shared" ref="D130:S137" si="33">C130</f>
        <v>2.2000000000000002</v>
      </c>
      <c r="E130" s="135">
        <f t="shared" si="33"/>
        <v>2.2000000000000002</v>
      </c>
      <c r="F130" s="135">
        <f t="shared" si="33"/>
        <v>2.2000000000000002</v>
      </c>
      <c r="G130" s="135">
        <f t="shared" si="33"/>
        <v>2.2000000000000002</v>
      </c>
      <c r="H130" s="135">
        <f t="shared" si="33"/>
        <v>2.2000000000000002</v>
      </c>
      <c r="I130" s="135">
        <f t="shared" si="33"/>
        <v>2.2000000000000002</v>
      </c>
      <c r="J130" s="135">
        <f t="shared" si="33"/>
        <v>2.2000000000000002</v>
      </c>
      <c r="K130" s="135">
        <f t="shared" si="33"/>
        <v>2.2000000000000002</v>
      </c>
      <c r="L130" s="135">
        <f t="shared" si="33"/>
        <v>2.2000000000000002</v>
      </c>
      <c r="M130" s="135">
        <f t="shared" si="33"/>
        <v>2.2000000000000002</v>
      </c>
      <c r="N130" s="135">
        <f t="shared" si="33"/>
        <v>2.2000000000000002</v>
      </c>
      <c r="O130" s="135">
        <f t="shared" si="33"/>
        <v>2.2000000000000002</v>
      </c>
      <c r="P130" s="135">
        <f t="shared" si="33"/>
        <v>2.2000000000000002</v>
      </c>
      <c r="Q130" s="135">
        <f t="shared" si="33"/>
        <v>2.2000000000000002</v>
      </c>
      <c r="R130" s="135">
        <f t="shared" si="33"/>
        <v>2.2000000000000002</v>
      </c>
      <c r="S130" s="135">
        <f t="shared" si="33"/>
        <v>2.2000000000000002</v>
      </c>
      <c r="T130" s="135">
        <f t="shared" ref="T130:AF137" si="34">S130</f>
        <v>2.2000000000000002</v>
      </c>
      <c r="U130" s="135">
        <f t="shared" si="34"/>
        <v>2.2000000000000002</v>
      </c>
      <c r="V130" s="135">
        <f t="shared" si="34"/>
        <v>2.2000000000000002</v>
      </c>
      <c r="W130" s="135">
        <f t="shared" si="34"/>
        <v>2.2000000000000002</v>
      </c>
      <c r="X130" s="135">
        <f t="shared" si="34"/>
        <v>2.2000000000000002</v>
      </c>
      <c r="Y130" s="135">
        <f t="shared" si="34"/>
        <v>2.2000000000000002</v>
      </c>
      <c r="Z130" s="135">
        <f t="shared" si="34"/>
        <v>2.2000000000000002</v>
      </c>
      <c r="AA130" s="135">
        <f t="shared" si="34"/>
        <v>2.2000000000000002</v>
      </c>
      <c r="AB130" s="135">
        <f t="shared" si="34"/>
        <v>2.2000000000000002</v>
      </c>
      <c r="AC130" s="135">
        <f t="shared" si="34"/>
        <v>2.2000000000000002</v>
      </c>
      <c r="AD130" s="135">
        <f t="shared" si="34"/>
        <v>2.2000000000000002</v>
      </c>
      <c r="AE130" s="135">
        <f t="shared" si="34"/>
        <v>2.2000000000000002</v>
      </c>
      <c r="AF130" s="135">
        <f t="shared" si="34"/>
        <v>2.2000000000000002</v>
      </c>
      <c r="AG130" s="138">
        <v>5</v>
      </c>
      <c r="AH130" s="53"/>
      <c r="AI130" s="54"/>
      <c r="AK130" s="55"/>
    </row>
    <row r="131" spans="1:37" x14ac:dyDescent="0.25">
      <c r="A131" s="123" t="s">
        <v>135</v>
      </c>
      <c r="B131" s="135">
        <f t="shared" si="32"/>
        <v>2</v>
      </c>
      <c r="C131" s="136">
        <v>2</v>
      </c>
      <c r="D131" s="135">
        <f t="shared" si="33"/>
        <v>2</v>
      </c>
      <c r="E131" s="135">
        <f t="shared" si="33"/>
        <v>2</v>
      </c>
      <c r="F131" s="135">
        <f t="shared" si="33"/>
        <v>2</v>
      </c>
      <c r="G131" s="135">
        <f t="shared" si="33"/>
        <v>2</v>
      </c>
      <c r="H131" s="135">
        <f t="shared" si="33"/>
        <v>2</v>
      </c>
      <c r="I131" s="135">
        <f t="shared" si="33"/>
        <v>2</v>
      </c>
      <c r="J131" s="135">
        <f t="shared" si="33"/>
        <v>2</v>
      </c>
      <c r="K131" s="135">
        <f t="shared" si="33"/>
        <v>2</v>
      </c>
      <c r="L131" s="135">
        <f t="shared" si="33"/>
        <v>2</v>
      </c>
      <c r="M131" s="135">
        <f t="shared" si="33"/>
        <v>2</v>
      </c>
      <c r="N131" s="135">
        <f t="shared" si="33"/>
        <v>2</v>
      </c>
      <c r="O131" s="135">
        <f t="shared" si="33"/>
        <v>2</v>
      </c>
      <c r="P131" s="135">
        <f t="shared" si="33"/>
        <v>2</v>
      </c>
      <c r="Q131" s="135">
        <f t="shared" si="33"/>
        <v>2</v>
      </c>
      <c r="R131" s="135">
        <f t="shared" si="33"/>
        <v>2</v>
      </c>
      <c r="S131" s="135">
        <f t="shared" si="33"/>
        <v>2</v>
      </c>
      <c r="T131" s="135">
        <f t="shared" si="34"/>
        <v>2</v>
      </c>
      <c r="U131" s="135">
        <f t="shared" si="34"/>
        <v>2</v>
      </c>
      <c r="V131" s="135">
        <f t="shared" si="34"/>
        <v>2</v>
      </c>
      <c r="W131" s="135">
        <f t="shared" si="34"/>
        <v>2</v>
      </c>
      <c r="X131" s="135">
        <f t="shared" si="34"/>
        <v>2</v>
      </c>
      <c r="Y131" s="135">
        <f t="shared" si="34"/>
        <v>2</v>
      </c>
      <c r="Z131" s="135">
        <f t="shared" si="34"/>
        <v>2</v>
      </c>
      <c r="AA131" s="135">
        <f t="shared" si="34"/>
        <v>2</v>
      </c>
      <c r="AB131" s="135">
        <f t="shared" si="34"/>
        <v>2</v>
      </c>
      <c r="AC131" s="135">
        <f t="shared" si="34"/>
        <v>2</v>
      </c>
      <c r="AD131" s="135">
        <f t="shared" si="34"/>
        <v>2</v>
      </c>
      <c r="AE131" s="135">
        <f t="shared" si="34"/>
        <v>2</v>
      </c>
      <c r="AF131" s="135">
        <f t="shared" si="34"/>
        <v>2</v>
      </c>
      <c r="AG131" s="138">
        <v>5</v>
      </c>
      <c r="AH131" s="53"/>
      <c r="AI131" s="54"/>
      <c r="AK131" s="55"/>
    </row>
    <row r="132" spans="1:37" x14ac:dyDescent="0.25">
      <c r="A132" s="123" t="s">
        <v>136</v>
      </c>
      <c r="B132" s="135">
        <f t="shared" si="32"/>
        <v>1.25</v>
      </c>
      <c r="C132" s="136">
        <v>1.25</v>
      </c>
      <c r="D132" s="135">
        <f t="shared" si="33"/>
        <v>1.25</v>
      </c>
      <c r="E132" s="135">
        <f t="shared" si="33"/>
        <v>1.25</v>
      </c>
      <c r="F132" s="135">
        <f t="shared" si="33"/>
        <v>1.25</v>
      </c>
      <c r="G132" s="135">
        <f t="shared" si="33"/>
        <v>1.25</v>
      </c>
      <c r="H132" s="135">
        <f t="shared" si="33"/>
        <v>1.25</v>
      </c>
      <c r="I132" s="135">
        <f t="shared" si="33"/>
        <v>1.25</v>
      </c>
      <c r="J132" s="135">
        <f t="shared" si="33"/>
        <v>1.25</v>
      </c>
      <c r="K132" s="135">
        <f t="shared" si="33"/>
        <v>1.25</v>
      </c>
      <c r="L132" s="135">
        <f t="shared" si="33"/>
        <v>1.25</v>
      </c>
      <c r="M132" s="135">
        <f t="shared" si="33"/>
        <v>1.25</v>
      </c>
      <c r="N132" s="135">
        <f t="shared" si="33"/>
        <v>1.25</v>
      </c>
      <c r="O132" s="135">
        <f t="shared" si="33"/>
        <v>1.25</v>
      </c>
      <c r="P132" s="135">
        <f t="shared" si="33"/>
        <v>1.25</v>
      </c>
      <c r="Q132" s="135">
        <f t="shared" si="33"/>
        <v>1.25</v>
      </c>
      <c r="R132" s="135">
        <f t="shared" si="33"/>
        <v>1.25</v>
      </c>
      <c r="S132" s="135">
        <f t="shared" si="33"/>
        <v>1.25</v>
      </c>
      <c r="T132" s="135">
        <f t="shared" si="34"/>
        <v>1.25</v>
      </c>
      <c r="U132" s="135">
        <f t="shared" si="34"/>
        <v>1.25</v>
      </c>
      <c r="V132" s="135">
        <f t="shared" si="34"/>
        <v>1.25</v>
      </c>
      <c r="W132" s="135">
        <f t="shared" si="34"/>
        <v>1.25</v>
      </c>
      <c r="X132" s="135">
        <f t="shared" si="34"/>
        <v>1.25</v>
      </c>
      <c r="Y132" s="135">
        <f t="shared" si="34"/>
        <v>1.25</v>
      </c>
      <c r="Z132" s="135">
        <f t="shared" si="34"/>
        <v>1.25</v>
      </c>
      <c r="AA132" s="135">
        <f t="shared" si="34"/>
        <v>1.25</v>
      </c>
      <c r="AB132" s="135">
        <f t="shared" si="34"/>
        <v>1.25</v>
      </c>
      <c r="AC132" s="135">
        <f t="shared" si="34"/>
        <v>1.25</v>
      </c>
      <c r="AD132" s="135">
        <f t="shared" si="34"/>
        <v>1.25</v>
      </c>
      <c r="AE132" s="135">
        <f t="shared" si="34"/>
        <v>1.25</v>
      </c>
      <c r="AF132" s="135">
        <f t="shared" si="34"/>
        <v>1.25</v>
      </c>
      <c r="AG132" s="138">
        <v>5</v>
      </c>
      <c r="AH132" s="53"/>
      <c r="AI132" s="54"/>
      <c r="AK132" s="55"/>
    </row>
    <row r="133" spans="1:37" x14ac:dyDescent="0.25">
      <c r="A133" s="123" t="s">
        <v>137</v>
      </c>
      <c r="B133" s="135">
        <f t="shared" si="32"/>
        <v>1.1499999999999999</v>
      </c>
      <c r="C133" s="136">
        <v>1.1499999999999999</v>
      </c>
      <c r="D133" s="135">
        <f t="shared" si="33"/>
        <v>1.1499999999999999</v>
      </c>
      <c r="E133" s="135">
        <f t="shared" si="33"/>
        <v>1.1499999999999999</v>
      </c>
      <c r="F133" s="135">
        <f t="shared" si="33"/>
        <v>1.1499999999999999</v>
      </c>
      <c r="G133" s="135">
        <f t="shared" si="33"/>
        <v>1.1499999999999999</v>
      </c>
      <c r="H133" s="135">
        <f t="shared" si="33"/>
        <v>1.1499999999999999</v>
      </c>
      <c r="I133" s="135">
        <f t="shared" si="33"/>
        <v>1.1499999999999999</v>
      </c>
      <c r="J133" s="135">
        <f t="shared" si="33"/>
        <v>1.1499999999999999</v>
      </c>
      <c r="K133" s="135">
        <f t="shared" si="33"/>
        <v>1.1499999999999999</v>
      </c>
      <c r="L133" s="135">
        <f t="shared" si="33"/>
        <v>1.1499999999999999</v>
      </c>
      <c r="M133" s="135">
        <f t="shared" si="33"/>
        <v>1.1499999999999999</v>
      </c>
      <c r="N133" s="135">
        <f t="shared" si="33"/>
        <v>1.1499999999999999</v>
      </c>
      <c r="O133" s="135">
        <f t="shared" si="33"/>
        <v>1.1499999999999999</v>
      </c>
      <c r="P133" s="135">
        <f t="shared" si="33"/>
        <v>1.1499999999999999</v>
      </c>
      <c r="Q133" s="135">
        <f t="shared" si="33"/>
        <v>1.1499999999999999</v>
      </c>
      <c r="R133" s="135">
        <f t="shared" si="33"/>
        <v>1.1499999999999999</v>
      </c>
      <c r="S133" s="135">
        <f t="shared" si="33"/>
        <v>1.1499999999999999</v>
      </c>
      <c r="T133" s="135">
        <f t="shared" si="34"/>
        <v>1.1499999999999999</v>
      </c>
      <c r="U133" s="135">
        <f t="shared" si="34"/>
        <v>1.1499999999999999</v>
      </c>
      <c r="V133" s="135">
        <f t="shared" si="34"/>
        <v>1.1499999999999999</v>
      </c>
      <c r="W133" s="135">
        <f t="shared" si="34"/>
        <v>1.1499999999999999</v>
      </c>
      <c r="X133" s="135">
        <f t="shared" si="34"/>
        <v>1.1499999999999999</v>
      </c>
      <c r="Y133" s="135">
        <f t="shared" si="34"/>
        <v>1.1499999999999999</v>
      </c>
      <c r="Z133" s="135">
        <f t="shared" si="34"/>
        <v>1.1499999999999999</v>
      </c>
      <c r="AA133" s="135">
        <f t="shared" si="34"/>
        <v>1.1499999999999999</v>
      </c>
      <c r="AB133" s="135">
        <f t="shared" si="34"/>
        <v>1.1499999999999999</v>
      </c>
      <c r="AC133" s="135">
        <f t="shared" si="34"/>
        <v>1.1499999999999999</v>
      </c>
      <c r="AD133" s="135">
        <f t="shared" si="34"/>
        <v>1.1499999999999999</v>
      </c>
      <c r="AE133" s="135">
        <f t="shared" si="34"/>
        <v>1.1499999999999999</v>
      </c>
      <c r="AF133" s="135">
        <f t="shared" si="34"/>
        <v>1.1499999999999999</v>
      </c>
      <c r="AG133" s="138">
        <v>5</v>
      </c>
      <c r="AH133" s="53"/>
      <c r="AI133" s="54"/>
      <c r="AK133" s="55"/>
    </row>
    <row r="134" spans="1:37" x14ac:dyDescent="0.25">
      <c r="A134" s="123" t="s">
        <v>138</v>
      </c>
      <c r="B134" s="135">
        <f t="shared" si="32"/>
        <v>2.133</v>
      </c>
      <c r="C134" s="136">
        <v>2.133</v>
      </c>
      <c r="D134" s="135">
        <f t="shared" si="33"/>
        <v>2.133</v>
      </c>
      <c r="E134" s="135">
        <f t="shared" si="33"/>
        <v>2.133</v>
      </c>
      <c r="F134" s="135">
        <f t="shared" si="33"/>
        <v>2.133</v>
      </c>
      <c r="G134" s="135">
        <f t="shared" si="33"/>
        <v>2.133</v>
      </c>
      <c r="H134" s="135">
        <f t="shared" si="33"/>
        <v>2.133</v>
      </c>
      <c r="I134" s="135">
        <f t="shared" si="33"/>
        <v>2.133</v>
      </c>
      <c r="J134" s="135">
        <f t="shared" si="33"/>
        <v>2.133</v>
      </c>
      <c r="K134" s="135">
        <f t="shared" si="33"/>
        <v>2.133</v>
      </c>
      <c r="L134" s="135">
        <f t="shared" si="33"/>
        <v>2.133</v>
      </c>
      <c r="M134" s="135">
        <f t="shared" si="33"/>
        <v>2.133</v>
      </c>
      <c r="N134" s="135">
        <f t="shared" si="33"/>
        <v>2.133</v>
      </c>
      <c r="O134" s="135">
        <f t="shared" si="33"/>
        <v>2.133</v>
      </c>
      <c r="P134" s="135">
        <f t="shared" si="33"/>
        <v>2.133</v>
      </c>
      <c r="Q134" s="135">
        <f t="shared" si="33"/>
        <v>2.133</v>
      </c>
      <c r="R134" s="135">
        <f t="shared" si="33"/>
        <v>2.133</v>
      </c>
      <c r="S134" s="135">
        <f t="shared" si="33"/>
        <v>2.133</v>
      </c>
      <c r="T134" s="135">
        <f t="shared" si="34"/>
        <v>2.133</v>
      </c>
      <c r="U134" s="135">
        <f t="shared" si="34"/>
        <v>2.133</v>
      </c>
      <c r="V134" s="135">
        <f t="shared" si="34"/>
        <v>2.133</v>
      </c>
      <c r="W134" s="135">
        <f t="shared" si="34"/>
        <v>2.133</v>
      </c>
      <c r="X134" s="135">
        <f t="shared" si="34"/>
        <v>2.133</v>
      </c>
      <c r="Y134" s="135">
        <f t="shared" si="34"/>
        <v>2.133</v>
      </c>
      <c r="Z134" s="135">
        <f t="shared" si="34"/>
        <v>2.133</v>
      </c>
      <c r="AA134" s="135">
        <f t="shared" si="34"/>
        <v>2.133</v>
      </c>
      <c r="AB134" s="135">
        <f t="shared" si="34"/>
        <v>2.133</v>
      </c>
      <c r="AC134" s="135">
        <f t="shared" si="34"/>
        <v>2.133</v>
      </c>
      <c r="AD134" s="135">
        <f t="shared" si="34"/>
        <v>2.133</v>
      </c>
      <c r="AE134" s="135">
        <f t="shared" si="34"/>
        <v>2.133</v>
      </c>
      <c r="AF134" s="135">
        <f t="shared" si="34"/>
        <v>2.133</v>
      </c>
      <c r="AG134" s="138">
        <v>4.9930000000000003</v>
      </c>
      <c r="AH134" s="53"/>
      <c r="AI134" s="54"/>
      <c r="AK134" s="55"/>
    </row>
    <row r="135" spans="1:37" x14ac:dyDescent="0.25">
      <c r="A135" s="123" t="s">
        <v>139</v>
      </c>
      <c r="B135" s="135">
        <f t="shared" si="32"/>
        <v>2.09</v>
      </c>
      <c r="C135" s="136">
        <v>2.09</v>
      </c>
      <c r="D135" s="135">
        <f t="shared" si="33"/>
        <v>2.09</v>
      </c>
      <c r="E135" s="135">
        <f t="shared" si="33"/>
        <v>2.09</v>
      </c>
      <c r="F135" s="135">
        <f t="shared" si="33"/>
        <v>2.09</v>
      </c>
      <c r="G135" s="135">
        <f t="shared" si="33"/>
        <v>2.09</v>
      </c>
      <c r="H135" s="135">
        <f t="shared" si="33"/>
        <v>2.09</v>
      </c>
      <c r="I135" s="135">
        <f t="shared" si="33"/>
        <v>2.09</v>
      </c>
      <c r="J135" s="135">
        <f t="shared" si="33"/>
        <v>2.09</v>
      </c>
      <c r="K135" s="135">
        <f t="shared" si="33"/>
        <v>2.09</v>
      </c>
      <c r="L135" s="135">
        <f t="shared" si="33"/>
        <v>2.09</v>
      </c>
      <c r="M135" s="135">
        <f t="shared" si="33"/>
        <v>2.09</v>
      </c>
      <c r="N135" s="135">
        <f t="shared" si="33"/>
        <v>2.09</v>
      </c>
      <c r="O135" s="135">
        <f t="shared" si="33"/>
        <v>2.09</v>
      </c>
      <c r="P135" s="135">
        <f t="shared" si="33"/>
        <v>2.09</v>
      </c>
      <c r="Q135" s="135">
        <f t="shared" si="33"/>
        <v>2.09</v>
      </c>
      <c r="R135" s="135">
        <f t="shared" si="33"/>
        <v>2.09</v>
      </c>
      <c r="S135" s="135">
        <f t="shared" si="33"/>
        <v>2.09</v>
      </c>
      <c r="T135" s="135">
        <f t="shared" si="34"/>
        <v>2.09</v>
      </c>
      <c r="U135" s="135">
        <f t="shared" si="34"/>
        <v>2.09</v>
      </c>
      <c r="V135" s="135">
        <f t="shared" si="34"/>
        <v>2.09</v>
      </c>
      <c r="W135" s="135">
        <f t="shared" si="34"/>
        <v>2.09</v>
      </c>
      <c r="X135" s="135">
        <f t="shared" si="34"/>
        <v>2.09</v>
      </c>
      <c r="Y135" s="135">
        <f t="shared" si="34"/>
        <v>2.09</v>
      </c>
      <c r="Z135" s="135">
        <f t="shared" si="34"/>
        <v>2.09</v>
      </c>
      <c r="AA135" s="135">
        <f t="shared" si="34"/>
        <v>2.09</v>
      </c>
      <c r="AB135" s="135">
        <f t="shared" si="34"/>
        <v>2.09</v>
      </c>
      <c r="AC135" s="135">
        <f t="shared" si="34"/>
        <v>2.09</v>
      </c>
      <c r="AD135" s="135">
        <f t="shared" si="34"/>
        <v>2.09</v>
      </c>
      <c r="AE135" s="135">
        <f t="shared" si="34"/>
        <v>2.09</v>
      </c>
      <c r="AF135" s="135">
        <f t="shared" si="34"/>
        <v>2.09</v>
      </c>
      <c r="AG135" s="138">
        <v>4.9800000000000004</v>
      </c>
      <c r="AH135" s="53"/>
      <c r="AI135" s="54"/>
      <c r="AK135" s="55"/>
    </row>
    <row r="136" spans="1:37" x14ac:dyDescent="0.25">
      <c r="A136" s="123" t="s">
        <v>140</v>
      </c>
      <c r="B136" s="135">
        <f t="shared" si="32"/>
        <v>1.1399999999999999</v>
      </c>
      <c r="C136" s="136">
        <v>1.1399999999999999</v>
      </c>
      <c r="D136" s="135">
        <f t="shared" si="33"/>
        <v>1.1399999999999999</v>
      </c>
      <c r="E136" s="135">
        <f t="shared" si="33"/>
        <v>1.1399999999999999</v>
      </c>
      <c r="F136" s="135">
        <f t="shared" si="33"/>
        <v>1.1399999999999999</v>
      </c>
      <c r="G136" s="135">
        <f t="shared" si="33"/>
        <v>1.1399999999999999</v>
      </c>
      <c r="H136" s="135">
        <f t="shared" si="33"/>
        <v>1.1399999999999999</v>
      </c>
      <c r="I136" s="135">
        <f t="shared" si="33"/>
        <v>1.1399999999999999</v>
      </c>
      <c r="J136" s="135">
        <f t="shared" si="33"/>
        <v>1.1399999999999999</v>
      </c>
      <c r="K136" s="135">
        <f t="shared" si="33"/>
        <v>1.1399999999999999</v>
      </c>
      <c r="L136" s="135">
        <f t="shared" si="33"/>
        <v>1.1399999999999999</v>
      </c>
      <c r="M136" s="135">
        <f t="shared" si="33"/>
        <v>1.1399999999999999</v>
      </c>
      <c r="N136" s="135">
        <f t="shared" si="33"/>
        <v>1.1399999999999999</v>
      </c>
      <c r="O136" s="135">
        <f t="shared" si="33"/>
        <v>1.1399999999999999</v>
      </c>
      <c r="P136" s="135">
        <f t="shared" si="33"/>
        <v>1.1399999999999999</v>
      </c>
      <c r="Q136" s="135">
        <f t="shared" si="33"/>
        <v>1.1399999999999999</v>
      </c>
      <c r="R136" s="135">
        <f t="shared" si="33"/>
        <v>1.1399999999999999</v>
      </c>
      <c r="S136" s="135">
        <f t="shared" si="33"/>
        <v>1.1399999999999999</v>
      </c>
      <c r="T136" s="135">
        <f t="shared" si="34"/>
        <v>1.1399999999999999</v>
      </c>
      <c r="U136" s="135">
        <f t="shared" si="34"/>
        <v>1.1399999999999999</v>
      </c>
      <c r="V136" s="135">
        <f t="shared" si="34"/>
        <v>1.1399999999999999</v>
      </c>
      <c r="W136" s="135">
        <f t="shared" si="34"/>
        <v>1.1399999999999999</v>
      </c>
      <c r="X136" s="135">
        <f t="shared" si="34"/>
        <v>1.1399999999999999</v>
      </c>
      <c r="Y136" s="135">
        <f t="shared" si="34"/>
        <v>1.1399999999999999</v>
      </c>
      <c r="Z136" s="135">
        <f t="shared" si="34"/>
        <v>1.1399999999999999</v>
      </c>
      <c r="AA136" s="135">
        <f t="shared" si="34"/>
        <v>1.1399999999999999</v>
      </c>
      <c r="AB136" s="135">
        <f t="shared" si="34"/>
        <v>1.1399999999999999</v>
      </c>
      <c r="AC136" s="135">
        <f t="shared" si="34"/>
        <v>1.1399999999999999</v>
      </c>
      <c r="AD136" s="135">
        <f t="shared" si="34"/>
        <v>1.1399999999999999</v>
      </c>
      <c r="AE136" s="135">
        <f t="shared" si="34"/>
        <v>1.1399999999999999</v>
      </c>
      <c r="AF136" s="135">
        <f t="shared" si="34"/>
        <v>1.1399999999999999</v>
      </c>
      <c r="AG136" s="138">
        <v>4.95</v>
      </c>
      <c r="AH136" s="53"/>
      <c r="AI136" s="54"/>
      <c r="AK136" s="55"/>
    </row>
    <row r="137" spans="1:37" x14ac:dyDescent="0.25">
      <c r="A137" s="123" t="s">
        <v>141</v>
      </c>
      <c r="B137" s="135">
        <f t="shared" si="32"/>
        <v>0.82</v>
      </c>
      <c r="C137" s="136">
        <v>0.82</v>
      </c>
      <c r="D137" s="135">
        <f t="shared" si="33"/>
        <v>0.82</v>
      </c>
      <c r="E137" s="135">
        <f t="shared" si="33"/>
        <v>0.82</v>
      </c>
      <c r="F137" s="135">
        <f t="shared" si="33"/>
        <v>0.82</v>
      </c>
      <c r="G137" s="135">
        <f t="shared" si="33"/>
        <v>0.82</v>
      </c>
      <c r="H137" s="135">
        <f t="shared" si="33"/>
        <v>0.82</v>
      </c>
      <c r="I137" s="135">
        <f t="shared" si="33"/>
        <v>0.82</v>
      </c>
      <c r="J137" s="135">
        <f t="shared" si="33"/>
        <v>0.82</v>
      </c>
      <c r="K137" s="135">
        <f t="shared" si="33"/>
        <v>0.82</v>
      </c>
      <c r="L137" s="135">
        <f t="shared" si="33"/>
        <v>0.82</v>
      </c>
      <c r="M137" s="135">
        <f t="shared" si="33"/>
        <v>0.82</v>
      </c>
      <c r="N137" s="135">
        <f t="shared" si="33"/>
        <v>0.82</v>
      </c>
      <c r="O137" s="135">
        <f t="shared" si="33"/>
        <v>0.82</v>
      </c>
      <c r="P137" s="135">
        <f t="shared" si="33"/>
        <v>0.82</v>
      </c>
      <c r="Q137" s="135">
        <f t="shared" si="33"/>
        <v>0.82</v>
      </c>
      <c r="R137" s="135">
        <f t="shared" si="33"/>
        <v>0.82</v>
      </c>
      <c r="S137" s="135">
        <f t="shared" si="33"/>
        <v>0.82</v>
      </c>
      <c r="T137" s="135">
        <f t="shared" si="34"/>
        <v>0.82</v>
      </c>
      <c r="U137" s="135">
        <f t="shared" si="34"/>
        <v>0.82</v>
      </c>
      <c r="V137" s="135">
        <f t="shared" si="34"/>
        <v>0.82</v>
      </c>
      <c r="W137" s="135">
        <f t="shared" si="34"/>
        <v>0.82</v>
      </c>
      <c r="X137" s="135">
        <f t="shared" si="34"/>
        <v>0.82</v>
      </c>
      <c r="Y137" s="135">
        <f t="shared" si="34"/>
        <v>0.82</v>
      </c>
      <c r="Z137" s="135">
        <f t="shared" si="34"/>
        <v>0.82</v>
      </c>
      <c r="AA137" s="135">
        <f t="shared" si="34"/>
        <v>0.82</v>
      </c>
      <c r="AB137" s="135">
        <f t="shared" si="34"/>
        <v>0.82</v>
      </c>
      <c r="AC137" s="135">
        <f t="shared" si="34"/>
        <v>0.82</v>
      </c>
      <c r="AD137" s="135">
        <f t="shared" si="34"/>
        <v>0.82</v>
      </c>
      <c r="AE137" s="135">
        <f t="shared" si="34"/>
        <v>0.82</v>
      </c>
      <c r="AF137" s="135">
        <f t="shared" si="34"/>
        <v>0.82</v>
      </c>
      <c r="AG137" s="138">
        <v>4.95</v>
      </c>
      <c r="AH137" s="53"/>
      <c r="AI137" s="54"/>
      <c r="AK137" s="55"/>
    </row>
    <row r="138" spans="1:37" x14ac:dyDescent="0.25">
      <c r="A138" s="123" t="s">
        <v>142</v>
      </c>
      <c r="B138" s="135"/>
      <c r="C138" s="136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8">
        <v>4.8</v>
      </c>
      <c r="AH138" s="53"/>
      <c r="AI138" s="54"/>
      <c r="AK138" s="55"/>
    </row>
    <row r="139" spans="1:37" x14ac:dyDescent="0.25">
      <c r="A139" s="123" t="s">
        <v>143</v>
      </c>
      <c r="B139" s="135">
        <f t="shared" ref="B139:B145" si="35">AF139</f>
        <v>2</v>
      </c>
      <c r="C139" s="136">
        <v>2</v>
      </c>
      <c r="D139" s="135">
        <f t="shared" ref="D139:S145" si="36">C139</f>
        <v>2</v>
      </c>
      <c r="E139" s="135">
        <f t="shared" si="36"/>
        <v>2</v>
      </c>
      <c r="F139" s="135">
        <f t="shared" si="36"/>
        <v>2</v>
      </c>
      <c r="G139" s="135">
        <f t="shared" si="36"/>
        <v>2</v>
      </c>
      <c r="H139" s="135">
        <f t="shared" si="36"/>
        <v>2</v>
      </c>
      <c r="I139" s="135">
        <f t="shared" si="36"/>
        <v>2</v>
      </c>
      <c r="J139" s="135">
        <f t="shared" si="36"/>
        <v>2</v>
      </c>
      <c r="K139" s="135">
        <f t="shared" si="36"/>
        <v>2</v>
      </c>
      <c r="L139" s="135">
        <f t="shared" si="36"/>
        <v>2</v>
      </c>
      <c r="M139" s="135">
        <f t="shared" si="36"/>
        <v>2</v>
      </c>
      <c r="N139" s="135">
        <f t="shared" si="36"/>
        <v>2</v>
      </c>
      <c r="O139" s="135">
        <f t="shared" si="36"/>
        <v>2</v>
      </c>
      <c r="P139" s="135">
        <f t="shared" si="36"/>
        <v>2</v>
      </c>
      <c r="Q139" s="135">
        <f t="shared" si="36"/>
        <v>2</v>
      </c>
      <c r="R139" s="135">
        <f t="shared" si="36"/>
        <v>2</v>
      </c>
      <c r="S139" s="135">
        <f t="shared" si="36"/>
        <v>2</v>
      </c>
      <c r="T139" s="135">
        <f t="shared" ref="T139:AF145" si="37">S139</f>
        <v>2</v>
      </c>
      <c r="U139" s="135">
        <f t="shared" si="37"/>
        <v>2</v>
      </c>
      <c r="V139" s="135">
        <f t="shared" si="37"/>
        <v>2</v>
      </c>
      <c r="W139" s="135">
        <f t="shared" si="37"/>
        <v>2</v>
      </c>
      <c r="X139" s="135">
        <f t="shared" si="37"/>
        <v>2</v>
      </c>
      <c r="Y139" s="135">
        <f t="shared" si="37"/>
        <v>2</v>
      </c>
      <c r="Z139" s="135">
        <f t="shared" si="37"/>
        <v>2</v>
      </c>
      <c r="AA139" s="135">
        <f t="shared" si="37"/>
        <v>2</v>
      </c>
      <c r="AB139" s="135">
        <f t="shared" si="37"/>
        <v>2</v>
      </c>
      <c r="AC139" s="135">
        <f t="shared" si="37"/>
        <v>2</v>
      </c>
      <c r="AD139" s="135">
        <f t="shared" si="37"/>
        <v>2</v>
      </c>
      <c r="AE139" s="135">
        <f t="shared" si="37"/>
        <v>2</v>
      </c>
      <c r="AF139" s="135">
        <f t="shared" si="37"/>
        <v>2</v>
      </c>
      <c r="AG139" s="138">
        <v>4.8</v>
      </c>
      <c r="AH139" s="53"/>
      <c r="AI139" s="54"/>
      <c r="AK139" s="55"/>
    </row>
    <row r="140" spans="1:37" x14ac:dyDescent="0.25">
      <c r="A140" s="123" t="s">
        <v>144</v>
      </c>
      <c r="B140" s="135">
        <f t="shared" si="35"/>
        <v>5.61</v>
      </c>
      <c r="C140" s="136">
        <v>5.61</v>
      </c>
      <c r="D140" s="135">
        <f t="shared" si="36"/>
        <v>5.61</v>
      </c>
      <c r="E140" s="135">
        <f t="shared" si="36"/>
        <v>5.61</v>
      </c>
      <c r="F140" s="135">
        <f t="shared" si="36"/>
        <v>5.61</v>
      </c>
      <c r="G140" s="135">
        <f t="shared" si="36"/>
        <v>5.61</v>
      </c>
      <c r="H140" s="135">
        <f t="shared" si="36"/>
        <v>5.61</v>
      </c>
      <c r="I140" s="135">
        <f t="shared" si="36"/>
        <v>5.61</v>
      </c>
      <c r="J140" s="135">
        <f t="shared" si="36"/>
        <v>5.61</v>
      </c>
      <c r="K140" s="135">
        <f t="shared" si="36"/>
        <v>5.61</v>
      </c>
      <c r="L140" s="135">
        <f t="shared" si="36"/>
        <v>5.61</v>
      </c>
      <c r="M140" s="135">
        <f t="shared" si="36"/>
        <v>5.61</v>
      </c>
      <c r="N140" s="135">
        <f t="shared" si="36"/>
        <v>5.61</v>
      </c>
      <c r="O140" s="135">
        <f t="shared" si="36"/>
        <v>5.61</v>
      </c>
      <c r="P140" s="135">
        <f t="shared" si="36"/>
        <v>5.61</v>
      </c>
      <c r="Q140" s="135">
        <f t="shared" si="36"/>
        <v>5.61</v>
      </c>
      <c r="R140" s="135">
        <f t="shared" si="36"/>
        <v>5.61</v>
      </c>
      <c r="S140" s="135">
        <f t="shared" si="36"/>
        <v>5.61</v>
      </c>
      <c r="T140" s="135">
        <f t="shared" si="37"/>
        <v>5.61</v>
      </c>
      <c r="U140" s="135">
        <f t="shared" si="37"/>
        <v>5.61</v>
      </c>
      <c r="V140" s="135">
        <f t="shared" si="37"/>
        <v>5.61</v>
      </c>
      <c r="W140" s="135">
        <f t="shared" si="37"/>
        <v>5.61</v>
      </c>
      <c r="X140" s="135">
        <f t="shared" si="37"/>
        <v>5.61</v>
      </c>
      <c r="Y140" s="135">
        <f t="shared" si="37"/>
        <v>5.61</v>
      </c>
      <c r="Z140" s="135">
        <f t="shared" si="37"/>
        <v>5.61</v>
      </c>
      <c r="AA140" s="135">
        <f t="shared" si="37"/>
        <v>5.61</v>
      </c>
      <c r="AB140" s="135">
        <f t="shared" si="37"/>
        <v>5.61</v>
      </c>
      <c r="AC140" s="135">
        <f t="shared" si="37"/>
        <v>5.61</v>
      </c>
      <c r="AD140" s="135">
        <f t="shared" si="37"/>
        <v>5.61</v>
      </c>
      <c r="AE140" s="135">
        <f t="shared" si="37"/>
        <v>5.61</v>
      </c>
      <c r="AF140" s="135">
        <f t="shared" si="37"/>
        <v>5.61</v>
      </c>
      <c r="AG140" s="138">
        <v>4.8</v>
      </c>
      <c r="AH140" s="53"/>
      <c r="AI140" s="54"/>
      <c r="AK140" s="55"/>
    </row>
    <row r="141" spans="1:37" x14ac:dyDescent="0.25">
      <c r="A141" s="123" t="s">
        <v>145</v>
      </c>
      <c r="B141" s="135">
        <f t="shared" si="35"/>
        <v>1.25</v>
      </c>
      <c r="C141" s="136">
        <v>1.25</v>
      </c>
      <c r="D141" s="135">
        <f t="shared" si="36"/>
        <v>1.25</v>
      </c>
      <c r="E141" s="135">
        <f t="shared" si="36"/>
        <v>1.25</v>
      </c>
      <c r="F141" s="135">
        <f t="shared" si="36"/>
        <v>1.25</v>
      </c>
      <c r="G141" s="135">
        <f t="shared" si="36"/>
        <v>1.25</v>
      </c>
      <c r="H141" s="135">
        <f t="shared" si="36"/>
        <v>1.25</v>
      </c>
      <c r="I141" s="135">
        <f t="shared" si="36"/>
        <v>1.25</v>
      </c>
      <c r="J141" s="135">
        <f t="shared" si="36"/>
        <v>1.25</v>
      </c>
      <c r="K141" s="135">
        <f t="shared" si="36"/>
        <v>1.25</v>
      </c>
      <c r="L141" s="135">
        <f t="shared" si="36"/>
        <v>1.25</v>
      </c>
      <c r="M141" s="135">
        <f t="shared" si="36"/>
        <v>1.25</v>
      </c>
      <c r="N141" s="135">
        <f t="shared" si="36"/>
        <v>1.25</v>
      </c>
      <c r="O141" s="135">
        <f t="shared" si="36"/>
        <v>1.25</v>
      </c>
      <c r="P141" s="135">
        <f t="shared" si="36"/>
        <v>1.25</v>
      </c>
      <c r="Q141" s="135">
        <f t="shared" si="36"/>
        <v>1.25</v>
      </c>
      <c r="R141" s="135">
        <f t="shared" si="36"/>
        <v>1.25</v>
      </c>
      <c r="S141" s="135">
        <f t="shared" si="36"/>
        <v>1.25</v>
      </c>
      <c r="T141" s="135">
        <f t="shared" si="37"/>
        <v>1.25</v>
      </c>
      <c r="U141" s="135">
        <f t="shared" si="37"/>
        <v>1.25</v>
      </c>
      <c r="V141" s="135">
        <f t="shared" si="37"/>
        <v>1.25</v>
      </c>
      <c r="W141" s="135">
        <f t="shared" si="37"/>
        <v>1.25</v>
      </c>
      <c r="X141" s="135">
        <f t="shared" si="37"/>
        <v>1.25</v>
      </c>
      <c r="Y141" s="135">
        <f t="shared" si="37"/>
        <v>1.25</v>
      </c>
      <c r="Z141" s="135">
        <f t="shared" si="37"/>
        <v>1.25</v>
      </c>
      <c r="AA141" s="135">
        <f t="shared" si="37"/>
        <v>1.25</v>
      </c>
      <c r="AB141" s="135">
        <f t="shared" si="37"/>
        <v>1.25</v>
      </c>
      <c r="AC141" s="135">
        <f t="shared" si="37"/>
        <v>1.25</v>
      </c>
      <c r="AD141" s="135">
        <f t="shared" si="37"/>
        <v>1.25</v>
      </c>
      <c r="AE141" s="135">
        <f t="shared" si="37"/>
        <v>1.25</v>
      </c>
      <c r="AF141" s="135">
        <f t="shared" si="37"/>
        <v>1.25</v>
      </c>
      <c r="AG141" s="138">
        <v>4.5</v>
      </c>
      <c r="AH141" s="53"/>
      <c r="AI141" s="54"/>
      <c r="AK141" s="55"/>
    </row>
    <row r="142" spans="1:37" x14ac:dyDescent="0.25">
      <c r="A142" s="123" t="s">
        <v>146</v>
      </c>
      <c r="B142" s="135">
        <f t="shared" si="35"/>
        <v>1.25</v>
      </c>
      <c r="C142" s="136">
        <v>1.25</v>
      </c>
      <c r="D142" s="135">
        <f t="shared" si="36"/>
        <v>1.25</v>
      </c>
      <c r="E142" s="135">
        <f t="shared" si="36"/>
        <v>1.25</v>
      </c>
      <c r="F142" s="135">
        <f t="shared" si="36"/>
        <v>1.25</v>
      </c>
      <c r="G142" s="135">
        <f t="shared" si="36"/>
        <v>1.25</v>
      </c>
      <c r="H142" s="135">
        <f t="shared" si="36"/>
        <v>1.25</v>
      </c>
      <c r="I142" s="135">
        <f t="shared" si="36"/>
        <v>1.25</v>
      </c>
      <c r="J142" s="135">
        <f t="shared" si="36"/>
        <v>1.25</v>
      </c>
      <c r="K142" s="135">
        <f t="shared" si="36"/>
        <v>1.25</v>
      </c>
      <c r="L142" s="135">
        <f t="shared" si="36"/>
        <v>1.25</v>
      </c>
      <c r="M142" s="135">
        <f t="shared" si="36"/>
        <v>1.25</v>
      </c>
      <c r="N142" s="135">
        <f t="shared" si="36"/>
        <v>1.25</v>
      </c>
      <c r="O142" s="135">
        <f t="shared" si="36"/>
        <v>1.25</v>
      </c>
      <c r="P142" s="135">
        <f t="shared" si="36"/>
        <v>1.25</v>
      </c>
      <c r="Q142" s="135">
        <f t="shared" si="36"/>
        <v>1.25</v>
      </c>
      <c r="R142" s="135">
        <f t="shared" si="36"/>
        <v>1.25</v>
      </c>
      <c r="S142" s="135">
        <f t="shared" si="36"/>
        <v>1.25</v>
      </c>
      <c r="T142" s="135">
        <f t="shared" si="37"/>
        <v>1.25</v>
      </c>
      <c r="U142" s="135">
        <f t="shared" si="37"/>
        <v>1.25</v>
      </c>
      <c r="V142" s="135">
        <f t="shared" si="37"/>
        <v>1.25</v>
      </c>
      <c r="W142" s="135">
        <f t="shared" si="37"/>
        <v>1.25</v>
      </c>
      <c r="X142" s="135">
        <f t="shared" si="37"/>
        <v>1.25</v>
      </c>
      <c r="Y142" s="135">
        <f t="shared" si="37"/>
        <v>1.25</v>
      </c>
      <c r="Z142" s="135">
        <f t="shared" si="37"/>
        <v>1.25</v>
      </c>
      <c r="AA142" s="135">
        <f t="shared" si="37"/>
        <v>1.25</v>
      </c>
      <c r="AB142" s="135">
        <f t="shared" si="37"/>
        <v>1.25</v>
      </c>
      <c r="AC142" s="135">
        <f t="shared" si="37"/>
        <v>1.25</v>
      </c>
      <c r="AD142" s="135">
        <f t="shared" si="37"/>
        <v>1.25</v>
      </c>
      <c r="AE142" s="135">
        <f t="shared" si="37"/>
        <v>1.25</v>
      </c>
      <c r="AF142" s="135">
        <f t="shared" si="37"/>
        <v>1.25</v>
      </c>
      <c r="AG142" s="138">
        <v>4.5</v>
      </c>
      <c r="AH142" s="53"/>
      <c r="AI142" s="54"/>
      <c r="AK142" s="55"/>
    </row>
    <row r="143" spans="1:37" x14ac:dyDescent="0.25">
      <c r="A143" s="123" t="s">
        <v>147</v>
      </c>
      <c r="B143" s="135">
        <f t="shared" si="35"/>
        <v>1.46</v>
      </c>
      <c r="C143" s="136">
        <v>1.46</v>
      </c>
      <c r="D143" s="135">
        <f t="shared" si="36"/>
        <v>1.46</v>
      </c>
      <c r="E143" s="135">
        <f t="shared" si="36"/>
        <v>1.46</v>
      </c>
      <c r="F143" s="135">
        <f t="shared" si="36"/>
        <v>1.46</v>
      </c>
      <c r="G143" s="135">
        <f t="shared" si="36"/>
        <v>1.46</v>
      </c>
      <c r="H143" s="135">
        <f t="shared" si="36"/>
        <v>1.46</v>
      </c>
      <c r="I143" s="135">
        <f t="shared" si="36"/>
        <v>1.46</v>
      </c>
      <c r="J143" s="135">
        <f t="shared" si="36"/>
        <v>1.46</v>
      </c>
      <c r="K143" s="135">
        <f t="shared" si="36"/>
        <v>1.46</v>
      </c>
      <c r="L143" s="135">
        <f t="shared" si="36"/>
        <v>1.46</v>
      </c>
      <c r="M143" s="135">
        <f t="shared" si="36"/>
        <v>1.46</v>
      </c>
      <c r="N143" s="135">
        <f t="shared" si="36"/>
        <v>1.46</v>
      </c>
      <c r="O143" s="135">
        <f t="shared" si="36"/>
        <v>1.46</v>
      </c>
      <c r="P143" s="135">
        <f t="shared" si="36"/>
        <v>1.46</v>
      </c>
      <c r="Q143" s="135">
        <f t="shared" si="36"/>
        <v>1.46</v>
      </c>
      <c r="R143" s="135">
        <f t="shared" si="36"/>
        <v>1.46</v>
      </c>
      <c r="S143" s="135">
        <f t="shared" si="36"/>
        <v>1.46</v>
      </c>
      <c r="T143" s="135">
        <f t="shared" si="37"/>
        <v>1.46</v>
      </c>
      <c r="U143" s="135">
        <f t="shared" si="37"/>
        <v>1.46</v>
      </c>
      <c r="V143" s="135">
        <f t="shared" si="37"/>
        <v>1.46</v>
      </c>
      <c r="W143" s="135">
        <f t="shared" si="37"/>
        <v>1.46</v>
      </c>
      <c r="X143" s="135">
        <f t="shared" si="37"/>
        <v>1.46</v>
      </c>
      <c r="Y143" s="135">
        <f t="shared" si="37"/>
        <v>1.46</v>
      </c>
      <c r="Z143" s="135">
        <f t="shared" si="37"/>
        <v>1.46</v>
      </c>
      <c r="AA143" s="135">
        <f t="shared" si="37"/>
        <v>1.46</v>
      </c>
      <c r="AB143" s="135">
        <f t="shared" si="37"/>
        <v>1.46</v>
      </c>
      <c r="AC143" s="135">
        <f t="shared" si="37"/>
        <v>1.46</v>
      </c>
      <c r="AD143" s="135">
        <f t="shared" si="37"/>
        <v>1.46</v>
      </c>
      <c r="AE143" s="135">
        <f t="shared" si="37"/>
        <v>1.46</v>
      </c>
      <c r="AF143" s="135">
        <f t="shared" si="37"/>
        <v>1.46</v>
      </c>
      <c r="AG143" s="138">
        <v>4.4550000000000001</v>
      </c>
      <c r="AH143" s="53"/>
      <c r="AI143" s="54"/>
      <c r="AK143" s="55"/>
    </row>
    <row r="144" spans="1:37" x14ac:dyDescent="0.25">
      <c r="A144" s="123" t="s">
        <v>148</v>
      </c>
      <c r="B144" s="135">
        <f t="shared" si="35"/>
        <v>3</v>
      </c>
      <c r="C144" s="136">
        <v>3</v>
      </c>
      <c r="D144" s="135">
        <f t="shared" si="36"/>
        <v>3</v>
      </c>
      <c r="E144" s="135">
        <f t="shared" si="36"/>
        <v>3</v>
      </c>
      <c r="F144" s="135">
        <f t="shared" si="36"/>
        <v>3</v>
      </c>
      <c r="G144" s="135">
        <f t="shared" si="36"/>
        <v>3</v>
      </c>
      <c r="H144" s="135">
        <f t="shared" si="36"/>
        <v>3</v>
      </c>
      <c r="I144" s="135">
        <f t="shared" si="36"/>
        <v>3</v>
      </c>
      <c r="J144" s="135">
        <f t="shared" si="36"/>
        <v>3</v>
      </c>
      <c r="K144" s="135">
        <f t="shared" si="36"/>
        <v>3</v>
      </c>
      <c r="L144" s="135">
        <f t="shared" si="36"/>
        <v>3</v>
      </c>
      <c r="M144" s="135">
        <f t="shared" si="36"/>
        <v>3</v>
      </c>
      <c r="N144" s="135">
        <f t="shared" si="36"/>
        <v>3</v>
      </c>
      <c r="O144" s="135">
        <f t="shared" si="36"/>
        <v>3</v>
      </c>
      <c r="P144" s="135">
        <f t="shared" si="36"/>
        <v>3</v>
      </c>
      <c r="Q144" s="135">
        <f t="shared" si="36"/>
        <v>3</v>
      </c>
      <c r="R144" s="135">
        <f t="shared" si="36"/>
        <v>3</v>
      </c>
      <c r="S144" s="135">
        <f t="shared" si="36"/>
        <v>3</v>
      </c>
      <c r="T144" s="135">
        <f t="shared" si="37"/>
        <v>3</v>
      </c>
      <c r="U144" s="135">
        <f t="shared" si="37"/>
        <v>3</v>
      </c>
      <c r="V144" s="135">
        <f t="shared" si="37"/>
        <v>3</v>
      </c>
      <c r="W144" s="135">
        <f t="shared" si="37"/>
        <v>3</v>
      </c>
      <c r="X144" s="135">
        <f t="shared" si="37"/>
        <v>3</v>
      </c>
      <c r="Y144" s="135">
        <f t="shared" si="37"/>
        <v>3</v>
      </c>
      <c r="Z144" s="135">
        <f t="shared" si="37"/>
        <v>3</v>
      </c>
      <c r="AA144" s="135">
        <f t="shared" si="37"/>
        <v>3</v>
      </c>
      <c r="AB144" s="135">
        <f t="shared" si="37"/>
        <v>3</v>
      </c>
      <c r="AC144" s="135">
        <f t="shared" si="37"/>
        <v>3</v>
      </c>
      <c r="AD144" s="135">
        <f t="shared" si="37"/>
        <v>3</v>
      </c>
      <c r="AE144" s="135">
        <f t="shared" si="37"/>
        <v>3</v>
      </c>
      <c r="AF144" s="135">
        <f t="shared" si="37"/>
        <v>3</v>
      </c>
      <c r="AG144" s="138">
        <v>4.41</v>
      </c>
      <c r="AH144" s="53"/>
      <c r="AI144" s="54"/>
      <c r="AK144" s="55"/>
    </row>
    <row r="145" spans="1:37" x14ac:dyDescent="0.25">
      <c r="A145" s="123" t="s">
        <v>149</v>
      </c>
      <c r="B145" s="135">
        <f t="shared" si="35"/>
        <v>3.3</v>
      </c>
      <c r="C145" s="136">
        <v>3.3</v>
      </c>
      <c r="D145" s="135">
        <f t="shared" si="36"/>
        <v>3.3</v>
      </c>
      <c r="E145" s="135">
        <f t="shared" si="36"/>
        <v>3.3</v>
      </c>
      <c r="F145" s="135">
        <f t="shared" si="36"/>
        <v>3.3</v>
      </c>
      <c r="G145" s="135">
        <f t="shared" si="36"/>
        <v>3.3</v>
      </c>
      <c r="H145" s="135">
        <f t="shared" si="36"/>
        <v>3.3</v>
      </c>
      <c r="I145" s="135">
        <f t="shared" si="36"/>
        <v>3.3</v>
      </c>
      <c r="J145" s="135">
        <f t="shared" si="36"/>
        <v>3.3</v>
      </c>
      <c r="K145" s="135">
        <f t="shared" si="36"/>
        <v>3.3</v>
      </c>
      <c r="L145" s="135">
        <f t="shared" si="36"/>
        <v>3.3</v>
      </c>
      <c r="M145" s="135">
        <f t="shared" si="36"/>
        <v>3.3</v>
      </c>
      <c r="N145" s="135">
        <f t="shared" si="36"/>
        <v>3.3</v>
      </c>
      <c r="O145" s="135">
        <f t="shared" si="36"/>
        <v>3.3</v>
      </c>
      <c r="P145" s="135">
        <f t="shared" si="36"/>
        <v>3.3</v>
      </c>
      <c r="Q145" s="135">
        <f t="shared" si="36"/>
        <v>3.3</v>
      </c>
      <c r="R145" s="135">
        <f t="shared" si="36"/>
        <v>3.3</v>
      </c>
      <c r="S145" s="135">
        <f t="shared" si="36"/>
        <v>3.3</v>
      </c>
      <c r="T145" s="135">
        <f t="shared" si="37"/>
        <v>3.3</v>
      </c>
      <c r="U145" s="135">
        <f t="shared" si="37"/>
        <v>3.3</v>
      </c>
      <c r="V145" s="135">
        <f t="shared" si="37"/>
        <v>3.3</v>
      </c>
      <c r="W145" s="135">
        <f t="shared" si="37"/>
        <v>3.3</v>
      </c>
      <c r="X145" s="135">
        <f t="shared" si="37"/>
        <v>3.3</v>
      </c>
      <c r="Y145" s="135">
        <f t="shared" si="37"/>
        <v>3.3</v>
      </c>
      <c r="Z145" s="135">
        <f t="shared" si="37"/>
        <v>3.3</v>
      </c>
      <c r="AA145" s="135">
        <f t="shared" si="37"/>
        <v>3.3</v>
      </c>
      <c r="AB145" s="135">
        <f t="shared" si="37"/>
        <v>3.3</v>
      </c>
      <c r="AC145" s="135">
        <f t="shared" si="37"/>
        <v>3.3</v>
      </c>
      <c r="AD145" s="135">
        <f t="shared" si="37"/>
        <v>3.3</v>
      </c>
      <c r="AE145" s="135">
        <f t="shared" si="37"/>
        <v>3.3</v>
      </c>
      <c r="AF145" s="135">
        <f t="shared" si="37"/>
        <v>3.3</v>
      </c>
      <c r="AG145" s="138">
        <v>4.4000000000000004</v>
      </c>
      <c r="AH145" s="53"/>
      <c r="AI145" s="54"/>
      <c r="AK145" s="55"/>
    </row>
    <row r="146" spans="1:37" x14ac:dyDescent="0.25">
      <c r="A146" s="123" t="s">
        <v>150</v>
      </c>
      <c r="B146" s="135"/>
      <c r="C146" s="136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8">
        <v>4.3600000000000003</v>
      </c>
      <c r="AH146" s="53"/>
      <c r="AI146" s="54"/>
      <c r="AK146" s="55"/>
    </row>
    <row r="147" spans="1:37" x14ac:dyDescent="0.25">
      <c r="A147" s="123" t="s">
        <v>151</v>
      </c>
      <c r="B147" s="135">
        <f>AF147</f>
        <v>1.76</v>
      </c>
      <c r="C147" s="136">
        <v>1.76</v>
      </c>
      <c r="D147" s="135">
        <f t="shared" ref="D147:S148" si="38">C147</f>
        <v>1.76</v>
      </c>
      <c r="E147" s="135">
        <f t="shared" si="38"/>
        <v>1.76</v>
      </c>
      <c r="F147" s="135">
        <f t="shared" si="38"/>
        <v>1.76</v>
      </c>
      <c r="G147" s="135">
        <f t="shared" si="38"/>
        <v>1.76</v>
      </c>
      <c r="H147" s="135">
        <f t="shared" si="38"/>
        <v>1.76</v>
      </c>
      <c r="I147" s="135">
        <f t="shared" si="38"/>
        <v>1.76</v>
      </c>
      <c r="J147" s="135">
        <f t="shared" si="38"/>
        <v>1.76</v>
      </c>
      <c r="K147" s="135">
        <f t="shared" si="38"/>
        <v>1.76</v>
      </c>
      <c r="L147" s="135">
        <f t="shared" si="38"/>
        <v>1.76</v>
      </c>
      <c r="M147" s="135">
        <f t="shared" si="38"/>
        <v>1.76</v>
      </c>
      <c r="N147" s="135">
        <f t="shared" si="38"/>
        <v>1.76</v>
      </c>
      <c r="O147" s="135">
        <f t="shared" si="38"/>
        <v>1.76</v>
      </c>
      <c r="P147" s="135">
        <f t="shared" si="38"/>
        <v>1.76</v>
      </c>
      <c r="Q147" s="135">
        <f t="shared" si="38"/>
        <v>1.76</v>
      </c>
      <c r="R147" s="135">
        <f t="shared" si="38"/>
        <v>1.76</v>
      </c>
      <c r="S147" s="135">
        <f t="shared" si="38"/>
        <v>1.76</v>
      </c>
      <c r="T147" s="135">
        <f t="shared" ref="T147:AF148" si="39">S147</f>
        <v>1.76</v>
      </c>
      <c r="U147" s="135">
        <f t="shared" si="39"/>
        <v>1.76</v>
      </c>
      <c r="V147" s="135">
        <f t="shared" si="39"/>
        <v>1.76</v>
      </c>
      <c r="W147" s="135">
        <f t="shared" si="39"/>
        <v>1.76</v>
      </c>
      <c r="X147" s="135">
        <f t="shared" si="39"/>
        <v>1.76</v>
      </c>
      <c r="Y147" s="135">
        <f t="shared" si="39"/>
        <v>1.76</v>
      </c>
      <c r="Z147" s="135">
        <f t="shared" si="39"/>
        <v>1.76</v>
      </c>
      <c r="AA147" s="135">
        <f t="shared" si="39"/>
        <v>1.76</v>
      </c>
      <c r="AB147" s="135">
        <f t="shared" si="39"/>
        <v>1.76</v>
      </c>
      <c r="AC147" s="135">
        <f t="shared" si="39"/>
        <v>1.76</v>
      </c>
      <c r="AD147" s="135">
        <f t="shared" si="39"/>
        <v>1.76</v>
      </c>
      <c r="AE147" s="135">
        <f t="shared" si="39"/>
        <v>1.76</v>
      </c>
      <c r="AF147" s="135">
        <f t="shared" si="39"/>
        <v>1.76</v>
      </c>
      <c r="AG147" s="138">
        <v>4.2</v>
      </c>
      <c r="AH147" s="53"/>
      <c r="AI147" s="54"/>
      <c r="AK147" s="55"/>
    </row>
    <row r="148" spans="1:37" x14ac:dyDescent="0.25">
      <c r="A148" s="123" t="s">
        <v>152</v>
      </c>
      <c r="B148" s="135">
        <f>AF148</f>
        <v>0</v>
      </c>
      <c r="C148" s="136">
        <v>0</v>
      </c>
      <c r="D148" s="135">
        <f t="shared" si="38"/>
        <v>0</v>
      </c>
      <c r="E148" s="135">
        <f t="shared" si="38"/>
        <v>0</v>
      </c>
      <c r="F148" s="135">
        <f t="shared" si="38"/>
        <v>0</v>
      </c>
      <c r="G148" s="135">
        <f t="shared" si="38"/>
        <v>0</v>
      </c>
      <c r="H148" s="135">
        <f t="shared" si="38"/>
        <v>0</v>
      </c>
      <c r="I148" s="135">
        <f t="shared" si="38"/>
        <v>0</v>
      </c>
      <c r="J148" s="135">
        <f t="shared" si="38"/>
        <v>0</v>
      </c>
      <c r="K148" s="135">
        <f t="shared" si="38"/>
        <v>0</v>
      </c>
      <c r="L148" s="135">
        <f t="shared" si="38"/>
        <v>0</v>
      </c>
      <c r="M148" s="135">
        <f t="shared" si="38"/>
        <v>0</v>
      </c>
      <c r="N148" s="135">
        <f t="shared" si="38"/>
        <v>0</v>
      </c>
      <c r="O148" s="135">
        <f t="shared" si="38"/>
        <v>0</v>
      </c>
      <c r="P148" s="135">
        <f t="shared" si="38"/>
        <v>0</v>
      </c>
      <c r="Q148" s="135">
        <f t="shared" si="38"/>
        <v>0</v>
      </c>
      <c r="R148" s="135">
        <f t="shared" si="38"/>
        <v>0</v>
      </c>
      <c r="S148" s="135">
        <f t="shared" si="38"/>
        <v>0</v>
      </c>
      <c r="T148" s="135">
        <f t="shared" si="39"/>
        <v>0</v>
      </c>
      <c r="U148" s="135">
        <f t="shared" si="39"/>
        <v>0</v>
      </c>
      <c r="V148" s="135">
        <f t="shared" si="39"/>
        <v>0</v>
      </c>
      <c r="W148" s="135">
        <f t="shared" si="39"/>
        <v>0</v>
      </c>
      <c r="X148" s="135">
        <f t="shared" si="39"/>
        <v>0</v>
      </c>
      <c r="Y148" s="135">
        <f t="shared" si="39"/>
        <v>0</v>
      </c>
      <c r="Z148" s="135">
        <f t="shared" si="39"/>
        <v>0</v>
      </c>
      <c r="AA148" s="135">
        <f t="shared" si="39"/>
        <v>0</v>
      </c>
      <c r="AB148" s="135">
        <f t="shared" si="39"/>
        <v>0</v>
      </c>
      <c r="AC148" s="135">
        <f t="shared" si="39"/>
        <v>0</v>
      </c>
      <c r="AD148" s="135">
        <f t="shared" si="39"/>
        <v>0</v>
      </c>
      <c r="AE148" s="135">
        <f t="shared" si="39"/>
        <v>0</v>
      </c>
      <c r="AF148" s="135">
        <f t="shared" si="39"/>
        <v>0</v>
      </c>
      <c r="AG148" s="138">
        <v>4</v>
      </c>
      <c r="AH148" s="53"/>
      <c r="AI148" s="54"/>
      <c r="AK148" s="55"/>
    </row>
    <row r="149" spans="1:37" x14ac:dyDescent="0.25">
      <c r="A149" s="123" t="s">
        <v>153</v>
      </c>
      <c r="B149" s="135"/>
      <c r="C149" s="136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8">
        <v>4</v>
      </c>
      <c r="AH149" s="53"/>
      <c r="AI149" s="54"/>
      <c r="AK149" s="55"/>
    </row>
    <row r="150" spans="1:37" x14ac:dyDescent="0.25">
      <c r="A150" s="123" t="s">
        <v>154</v>
      </c>
      <c r="B150" s="135">
        <f>AF150</f>
        <v>0.1</v>
      </c>
      <c r="C150" s="136">
        <v>0.1</v>
      </c>
      <c r="D150" s="135">
        <f t="shared" ref="D150:S153" si="40">C150</f>
        <v>0.1</v>
      </c>
      <c r="E150" s="135">
        <f t="shared" si="40"/>
        <v>0.1</v>
      </c>
      <c r="F150" s="135">
        <f t="shared" si="40"/>
        <v>0.1</v>
      </c>
      <c r="G150" s="135">
        <f t="shared" si="40"/>
        <v>0.1</v>
      </c>
      <c r="H150" s="135">
        <f t="shared" si="40"/>
        <v>0.1</v>
      </c>
      <c r="I150" s="135">
        <f t="shared" si="40"/>
        <v>0.1</v>
      </c>
      <c r="J150" s="135">
        <f t="shared" si="40"/>
        <v>0.1</v>
      </c>
      <c r="K150" s="135">
        <f t="shared" si="40"/>
        <v>0.1</v>
      </c>
      <c r="L150" s="135">
        <f t="shared" si="40"/>
        <v>0.1</v>
      </c>
      <c r="M150" s="135">
        <f t="shared" si="40"/>
        <v>0.1</v>
      </c>
      <c r="N150" s="135">
        <f t="shared" si="40"/>
        <v>0.1</v>
      </c>
      <c r="O150" s="135">
        <f t="shared" si="40"/>
        <v>0.1</v>
      </c>
      <c r="P150" s="135">
        <f t="shared" si="40"/>
        <v>0.1</v>
      </c>
      <c r="Q150" s="135">
        <f t="shared" si="40"/>
        <v>0.1</v>
      </c>
      <c r="R150" s="135">
        <f t="shared" si="40"/>
        <v>0.1</v>
      </c>
      <c r="S150" s="135">
        <f t="shared" si="40"/>
        <v>0.1</v>
      </c>
      <c r="T150" s="135">
        <f t="shared" ref="T150:AF153" si="41">S150</f>
        <v>0.1</v>
      </c>
      <c r="U150" s="135">
        <f t="shared" si="41"/>
        <v>0.1</v>
      </c>
      <c r="V150" s="135">
        <f t="shared" si="41"/>
        <v>0.1</v>
      </c>
      <c r="W150" s="135">
        <f t="shared" si="41"/>
        <v>0.1</v>
      </c>
      <c r="X150" s="135">
        <f t="shared" si="41"/>
        <v>0.1</v>
      </c>
      <c r="Y150" s="135">
        <f t="shared" si="41"/>
        <v>0.1</v>
      </c>
      <c r="Z150" s="135">
        <f t="shared" si="41"/>
        <v>0.1</v>
      </c>
      <c r="AA150" s="135">
        <f t="shared" si="41"/>
        <v>0.1</v>
      </c>
      <c r="AB150" s="135">
        <f t="shared" si="41"/>
        <v>0.1</v>
      </c>
      <c r="AC150" s="135">
        <f t="shared" si="41"/>
        <v>0.1</v>
      </c>
      <c r="AD150" s="135">
        <f t="shared" si="41"/>
        <v>0.1</v>
      </c>
      <c r="AE150" s="135">
        <f t="shared" si="41"/>
        <v>0.1</v>
      </c>
      <c r="AF150" s="135">
        <f t="shared" si="41"/>
        <v>0.1</v>
      </c>
      <c r="AG150" s="138">
        <v>4</v>
      </c>
      <c r="AH150" s="53"/>
      <c r="AI150" s="54"/>
      <c r="AK150" s="55"/>
    </row>
    <row r="151" spans="1:37" x14ac:dyDescent="0.25">
      <c r="A151" s="123" t="s">
        <v>155</v>
      </c>
      <c r="B151" s="135">
        <f>AF151</f>
        <v>2.0499999999999998</v>
      </c>
      <c r="C151" s="136">
        <v>2.0499999999999998</v>
      </c>
      <c r="D151" s="135">
        <f t="shared" si="40"/>
        <v>2.0499999999999998</v>
      </c>
      <c r="E151" s="135">
        <f t="shared" si="40"/>
        <v>2.0499999999999998</v>
      </c>
      <c r="F151" s="135">
        <f t="shared" si="40"/>
        <v>2.0499999999999998</v>
      </c>
      <c r="G151" s="135">
        <f t="shared" si="40"/>
        <v>2.0499999999999998</v>
      </c>
      <c r="H151" s="135">
        <f t="shared" si="40"/>
        <v>2.0499999999999998</v>
      </c>
      <c r="I151" s="135">
        <f t="shared" si="40"/>
        <v>2.0499999999999998</v>
      </c>
      <c r="J151" s="135">
        <f t="shared" si="40"/>
        <v>2.0499999999999998</v>
      </c>
      <c r="K151" s="135">
        <f t="shared" si="40"/>
        <v>2.0499999999999998</v>
      </c>
      <c r="L151" s="135">
        <f t="shared" si="40"/>
        <v>2.0499999999999998</v>
      </c>
      <c r="M151" s="135">
        <f t="shared" si="40"/>
        <v>2.0499999999999998</v>
      </c>
      <c r="N151" s="135">
        <f t="shared" si="40"/>
        <v>2.0499999999999998</v>
      </c>
      <c r="O151" s="135">
        <f t="shared" si="40"/>
        <v>2.0499999999999998</v>
      </c>
      <c r="P151" s="135">
        <f t="shared" si="40"/>
        <v>2.0499999999999998</v>
      </c>
      <c r="Q151" s="135">
        <f t="shared" si="40"/>
        <v>2.0499999999999998</v>
      </c>
      <c r="R151" s="135">
        <f t="shared" si="40"/>
        <v>2.0499999999999998</v>
      </c>
      <c r="S151" s="135">
        <f t="shared" si="40"/>
        <v>2.0499999999999998</v>
      </c>
      <c r="T151" s="135">
        <f t="shared" si="41"/>
        <v>2.0499999999999998</v>
      </c>
      <c r="U151" s="135">
        <f t="shared" si="41"/>
        <v>2.0499999999999998</v>
      </c>
      <c r="V151" s="135">
        <f t="shared" si="41"/>
        <v>2.0499999999999998</v>
      </c>
      <c r="W151" s="135">
        <f t="shared" si="41"/>
        <v>2.0499999999999998</v>
      </c>
      <c r="X151" s="135">
        <f t="shared" si="41"/>
        <v>2.0499999999999998</v>
      </c>
      <c r="Y151" s="135">
        <f t="shared" si="41"/>
        <v>2.0499999999999998</v>
      </c>
      <c r="Z151" s="135">
        <f t="shared" si="41"/>
        <v>2.0499999999999998</v>
      </c>
      <c r="AA151" s="135">
        <f t="shared" si="41"/>
        <v>2.0499999999999998</v>
      </c>
      <c r="AB151" s="135">
        <f t="shared" si="41"/>
        <v>2.0499999999999998</v>
      </c>
      <c r="AC151" s="135">
        <f t="shared" si="41"/>
        <v>2.0499999999999998</v>
      </c>
      <c r="AD151" s="135">
        <f t="shared" si="41"/>
        <v>2.0499999999999998</v>
      </c>
      <c r="AE151" s="135">
        <f t="shared" si="41"/>
        <v>2.0499999999999998</v>
      </c>
      <c r="AF151" s="135">
        <f t="shared" si="41"/>
        <v>2.0499999999999998</v>
      </c>
      <c r="AG151" s="138">
        <v>4</v>
      </c>
      <c r="AH151" s="53"/>
      <c r="AI151" s="54"/>
      <c r="AK151" s="55"/>
    </row>
    <row r="152" spans="1:37" x14ac:dyDescent="0.25">
      <c r="A152" s="123" t="s">
        <v>156</v>
      </c>
      <c r="B152" s="135">
        <f>AF152</f>
        <v>2.7</v>
      </c>
      <c r="C152" s="136">
        <v>2.7</v>
      </c>
      <c r="D152" s="135">
        <f t="shared" si="40"/>
        <v>2.7</v>
      </c>
      <c r="E152" s="135">
        <f t="shared" si="40"/>
        <v>2.7</v>
      </c>
      <c r="F152" s="135">
        <f t="shared" si="40"/>
        <v>2.7</v>
      </c>
      <c r="G152" s="135">
        <f t="shared" si="40"/>
        <v>2.7</v>
      </c>
      <c r="H152" s="135">
        <f t="shared" si="40"/>
        <v>2.7</v>
      </c>
      <c r="I152" s="135">
        <f t="shared" si="40"/>
        <v>2.7</v>
      </c>
      <c r="J152" s="135">
        <f t="shared" si="40"/>
        <v>2.7</v>
      </c>
      <c r="K152" s="135">
        <f t="shared" si="40"/>
        <v>2.7</v>
      </c>
      <c r="L152" s="135">
        <f t="shared" si="40"/>
        <v>2.7</v>
      </c>
      <c r="M152" s="135">
        <f t="shared" si="40"/>
        <v>2.7</v>
      </c>
      <c r="N152" s="135">
        <f t="shared" si="40"/>
        <v>2.7</v>
      </c>
      <c r="O152" s="135">
        <f t="shared" si="40"/>
        <v>2.7</v>
      </c>
      <c r="P152" s="135">
        <f t="shared" si="40"/>
        <v>2.7</v>
      </c>
      <c r="Q152" s="135">
        <f t="shared" si="40"/>
        <v>2.7</v>
      </c>
      <c r="R152" s="135">
        <f t="shared" si="40"/>
        <v>2.7</v>
      </c>
      <c r="S152" s="135">
        <f t="shared" si="40"/>
        <v>2.7</v>
      </c>
      <c r="T152" s="135">
        <f t="shared" si="41"/>
        <v>2.7</v>
      </c>
      <c r="U152" s="135">
        <f t="shared" si="41"/>
        <v>2.7</v>
      </c>
      <c r="V152" s="135">
        <f t="shared" si="41"/>
        <v>2.7</v>
      </c>
      <c r="W152" s="135">
        <f t="shared" si="41"/>
        <v>2.7</v>
      </c>
      <c r="X152" s="135">
        <f t="shared" si="41"/>
        <v>2.7</v>
      </c>
      <c r="Y152" s="135">
        <f t="shared" si="41"/>
        <v>2.7</v>
      </c>
      <c r="Z152" s="135">
        <f t="shared" si="41"/>
        <v>2.7</v>
      </c>
      <c r="AA152" s="135">
        <f t="shared" si="41"/>
        <v>2.7</v>
      </c>
      <c r="AB152" s="135">
        <f t="shared" si="41"/>
        <v>2.7</v>
      </c>
      <c r="AC152" s="135">
        <f t="shared" si="41"/>
        <v>2.7</v>
      </c>
      <c r="AD152" s="135">
        <f t="shared" si="41"/>
        <v>2.7</v>
      </c>
      <c r="AE152" s="135">
        <f t="shared" si="41"/>
        <v>2.7</v>
      </c>
      <c r="AF152" s="135">
        <f t="shared" si="41"/>
        <v>2.7</v>
      </c>
      <c r="AG152" s="138">
        <v>4</v>
      </c>
      <c r="AH152" s="53"/>
      <c r="AI152" s="54"/>
      <c r="AK152" s="55"/>
    </row>
    <row r="153" spans="1:37" x14ac:dyDescent="0.25">
      <c r="A153" s="123" t="s">
        <v>157</v>
      </c>
      <c r="B153" s="135">
        <f>AF153</f>
        <v>2.15</v>
      </c>
      <c r="C153" s="136">
        <v>2.15</v>
      </c>
      <c r="D153" s="135">
        <f t="shared" si="40"/>
        <v>2.15</v>
      </c>
      <c r="E153" s="135">
        <f t="shared" si="40"/>
        <v>2.15</v>
      </c>
      <c r="F153" s="135">
        <f t="shared" si="40"/>
        <v>2.15</v>
      </c>
      <c r="G153" s="135">
        <f t="shared" si="40"/>
        <v>2.15</v>
      </c>
      <c r="H153" s="135">
        <f t="shared" si="40"/>
        <v>2.15</v>
      </c>
      <c r="I153" s="135">
        <f t="shared" si="40"/>
        <v>2.15</v>
      </c>
      <c r="J153" s="135">
        <f t="shared" si="40"/>
        <v>2.15</v>
      </c>
      <c r="K153" s="135">
        <f t="shared" si="40"/>
        <v>2.15</v>
      </c>
      <c r="L153" s="135">
        <f t="shared" si="40"/>
        <v>2.15</v>
      </c>
      <c r="M153" s="135">
        <f t="shared" si="40"/>
        <v>2.15</v>
      </c>
      <c r="N153" s="135">
        <f t="shared" si="40"/>
        <v>2.15</v>
      </c>
      <c r="O153" s="135">
        <f t="shared" si="40"/>
        <v>2.15</v>
      </c>
      <c r="P153" s="135">
        <f t="shared" si="40"/>
        <v>2.15</v>
      </c>
      <c r="Q153" s="135">
        <f t="shared" si="40"/>
        <v>2.15</v>
      </c>
      <c r="R153" s="135">
        <f t="shared" si="40"/>
        <v>2.15</v>
      </c>
      <c r="S153" s="135">
        <f t="shared" si="40"/>
        <v>2.15</v>
      </c>
      <c r="T153" s="135">
        <f t="shared" si="41"/>
        <v>2.15</v>
      </c>
      <c r="U153" s="135">
        <f t="shared" si="41"/>
        <v>2.15</v>
      </c>
      <c r="V153" s="135">
        <f t="shared" si="41"/>
        <v>2.15</v>
      </c>
      <c r="W153" s="135">
        <f t="shared" si="41"/>
        <v>2.15</v>
      </c>
      <c r="X153" s="135">
        <f t="shared" si="41"/>
        <v>2.15</v>
      </c>
      <c r="Y153" s="135">
        <f t="shared" si="41"/>
        <v>2.15</v>
      </c>
      <c r="Z153" s="135">
        <f t="shared" si="41"/>
        <v>2.15</v>
      </c>
      <c r="AA153" s="135">
        <f t="shared" si="41"/>
        <v>2.15</v>
      </c>
      <c r="AB153" s="135">
        <f t="shared" si="41"/>
        <v>2.15</v>
      </c>
      <c r="AC153" s="135">
        <f t="shared" si="41"/>
        <v>2.15</v>
      </c>
      <c r="AD153" s="135">
        <f t="shared" si="41"/>
        <v>2.15</v>
      </c>
      <c r="AE153" s="135">
        <f t="shared" si="41"/>
        <v>2.15</v>
      </c>
      <c r="AF153" s="135">
        <f t="shared" si="41"/>
        <v>2.15</v>
      </c>
      <c r="AG153" s="138">
        <v>4</v>
      </c>
      <c r="AH153" s="53"/>
      <c r="AI153" s="54"/>
      <c r="AK153" s="55"/>
    </row>
    <row r="154" spans="1:37" x14ac:dyDescent="0.25">
      <c r="A154" s="123" t="s">
        <v>158</v>
      </c>
      <c r="B154" s="135"/>
      <c r="C154" s="136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8">
        <v>4</v>
      </c>
      <c r="AH154" s="53"/>
      <c r="AI154" s="54"/>
      <c r="AK154" s="55"/>
    </row>
    <row r="155" spans="1:37" x14ac:dyDescent="0.25">
      <c r="A155" s="123" t="s">
        <v>159</v>
      </c>
      <c r="B155" s="135">
        <f t="shared" ref="B155:B167" si="42">AF155</f>
        <v>0.9</v>
      </c>
      <c r="C155" s="136">
        <v>0.9</v>
      </c>
      <c r="D155" s="135">
        <f t="shared" ref="D155:S167" si="43">C155</f>
        <v>0.9</v>
      </c>
      <c r="E155" s="135">
        <f t="shared" si="43"/>
        <v>0.9</v>
      </c>
      <c r="F155" s="135">
        <f t="shared" si="43"/>
        <v>0.9</v>
      </c>
      <c r="G155" s="135">
        <f t="shared" si="43"/>
        <v>0.9</v>
      </c>
      <c r="H155" s="135">
        <f t="shared" si="43"/>
        <v>0.9</v>
      </c>
      <c r="I155" s="135">
        <f t="shared" si="43"/>
        <v>0.9</v>
      </c>
      <c r="J155" s="135">
        <f t="shared" si="43"/>
        <v>0.9</v>
      </c>
      <c r="K155" s="135">
        <f t="shared" si="43"/>
        <v>0.9</v>
      </c>
      <c r="L155" s="135">
        <f t="shared" si="43"/>
        <v>0.9</v>
      </c>
      <c r="M155" s="135">
        <f t="shared" si="43"/>
        <v>0.9</v>
      </c>
      <c r="N155" s="135">
        <f t="shared" si="43"/>
        <v>0.9</v>
      </c>
      <c r="O155" s="135">
        <f t="shared" si="43"/>
        <v>0.9</v>
      </c>
      <c r="P155" s="135">
        <f t="shared" si="43"/>
        <v>0.9</v>
      </c>
      <c r="Q155" s="135">
        <f t="shared" si="43"/>
        <v>0.9</v>
      </c>
      <c r="R155" s="135">
        <f t="shared" si="43"/>
        <v>0.9</v>
      </c>
      <c r="S155" s="135">
        <f t="shared" si="43"/>
        <v>0.9</v>
      </c>
      <c r="T155" s="135">
        <f t="shared" ref="S155:AF167" si="44">S155</f>
        <v>0.9</v>
      </c>
      <c r="U155" s="135">
        <f t="shared" si="44"/>
        <v>0.9</v>
      </c>
      <c r="V155" s="135">
        <f t="shared" si="44"/>
        <v>0.9</v>
      </c>
      <c r="W155" s="135">
        <f t="shared" si="44"/>
        <v>0.9</v>
      </c>
      <c r="X155" s="135">
        <f t="shared" si="44"/>
        <v>0.9</v>
      </c>
      <c r="Y155" s="135">
        <f t="shared" si="44"/>
        <v>0.9</v>
      </c>
      <c r="Z155" s="135">
        <f t="shared" si="44"/>
        <v>0.9</v>
      </c>
      <c r="AA155" s="135">
        <f t="shared" si="44"/>
        <v>0.9</v>
      </c>
      <c r="AB155" s="135">
        <f t="shared" si="44"/>
        <v>0.9</v>
      </c>
      <c r="AC155" s="135">
        <f t="shared" si="44"/>
        <v>0.9</v>
      </c>
      <c r="AD155" s="135">
        <f t="shared" si="44"/>
        <v>0.9</v>
      </c>
      <c r="AE155" s="135">
        <f t="shared" si="44"/>
        <v>0.9</v>
      </c>
      <c r="AF155" s="135">
        <f t="shared" si="44"/>
        <v>0.9</v>
      </c>
      <c r="AG155" s="138">
        <v>4</v>
      </c>
      <c r="AH155" s="53"/>
      <c r="AI155" s="54"/>
      <c r="AK155" s="55"/>
    </row>
    <row r="156" spans="1:37" x14ac:dyDescent="0.25">
      <c r="A156" s="123" t="s">
        <v>160</v>
      </c>
      <c r="B156" s="135">
        <f t="shared" si="42"/>
        <v>1.08</v>
      </c>
      <c r="C156" s="136">
        <v>1.08</v>
      </c>
      <c r="D156" s="135">
        <f t="shared" si="43"/>
        <v>1.08</v>
      </c>
      <c r="E156" s="135">
        <f t="shared" si="43"/>
        <v>1.08</v>
      </c>
      <c r="F156" s="135">
        <f t="shared" si="43"/>
        <v>1.08</v>
      </c>
      <c r="G156" s="135">
        <f t="shared" si="43"/>
        <v>1.08</v>
      </c>
      <c r="H156" s="135">
        <f t="shared" si="43"/>
        <v>1.08</v>
      </c>
      <c r="I156" s="135">
        <f t="shared" si="43"/>
        <v>1.08</v>
      </c>
      <c r="J156" s="135">
        <f t="shared" si="43"/>
        <v>1.08</v>
      </c>
      <c r="K156" s="135">
        <f t="shared" si="43"/>
        <v>1.08</v>
      </c>
      <c r="L156" s="135">
        <f t="shared" si="43"/>
        <v>1.08</v>
      </c>
      <c r="M156" s="135">
        <f t="shared" si="43"/>
        <v>1.08</v>
      </c>
      <c r="N156" s="135">
        <f t="shared" si="43"/>
        <v>1.08</v>
      </c>
      <c r="O156" s="135">
        <f t="shared" si="43"/>
        <v>1.08</v>
      </c>
      <c r="P156" s="135">
        <f t="shared" si="43"/>
        <v>1.08</v>
      </c>
      <c r="Q156" s="135">
        <f t="shared" si="43"/>
        <v>1.08</v>
      </c>
      <c r="R156" s="135">
        <f t="shared" si="43"/>
        <v>1.08</v>
      </c>
      <c r="S156" s="135">
        <f t="shared" si="43"/>
        <v>1.08</v>
      </c>
      <c r="T156" s="135">
        <f t="shared" si="44"/>
        <v>1.08</v>
      </c>
      <c r="U156" s="135">
        <f t="shared" si="44"/>
        <v>1.08</v>
      </c>
      <c r="V156" s="135">
        <f t="shared" si="44"/>
        <v>1.08</v>
      </c>
      <c r="W156" s="135">
        <f t="shared" si="44"/>
        <v>1.08</v>
      </c>
      <c r="X156" s="135">
        <f t="shared" si="44"/>
        <v>1.08</v>
      </c>
      <c r="Y156" s="135">
        <f t="shared" si="44"/>
        <v>1.08</v>
      </c>
      <c r="Z156" s="135">
        <f t="shared" si="44"/>
        <v>1.08</v>
      </c>
      <c r="AA156" s="135">
        <f t="shared" si="44"/>
        <v>1.08</v>
      </c>
      <c r="AB156" s="135">
        <f t="shared" si="44"/>
        <v>1.08</v>
      </c>
      <c r="AC156" s="135">
        <f t="shared" si="44"/>
        <v>1.08</v>
      </c>
      <c r="AD156" s="135">
        <f t="shared" si="44"/>
        <v>1.08</v>
      </c>
      <c r="AE156" s="135">
        <f t="shared" si="44"/>
        <v>1.08</v>
      </c>
      <c r="AF156" s="135">
        <f t="shared" si="44"/>
        <v>1.08</v>
      </c>
      <c r="AG156" s="138">
        <v>3.75</v>
      </c>
      <c r="AH156" s="53"/>
      <c r="AI156" s="54"/>
      <c r="AK156" s="55"/>
    </row>
    <row r="157" spans="1:37" x14ac:dyDescent="0.25">
      <c r="A157" s="123" t="s">
        <v>161</v>
      </c>
      <c r="B157" s="135">
        <f t="shared" si="42"/>
        <v>2.37</v>
      </c>
      <c r="C157" s="136">
        <v>2.37</v>
      </c>
      <c r="D157" s="135">
        <f t="shared" si="43"/>
        <v>2.37</v>
      </c>
      <c r="E157" s="135">
        <f t="shared" si="43"/>
        <v>2.37</v>
      </c>
      <c r="F157" s="135">
        <f t="shared" si="43"/>
        <v>2.37</v>
      </c>
      <c r="G157" s="135">
        <f t="shared" si="43"/>
        <v>2.37</v>
      </c>
      <c r="H157" s="135">
        <f t="shared" si="43"/>
        <v>2.37</v>
      </c>
      <c r="I157" s="135">
        <f t="shared" si="43"/>
        <v>2.37</v>
      </c>
      <c r="J157" s="135">
        <f t="shared" si="43"/>
        <v>2.37</v>
      </c>
      <c r="K157" s="135">
        <f t="shared" si="43"/>
        <v>2.37</v>
      </c>
      <c r="L157" s="135">
        <f t="shared" si="43"/>
        <v>2.37</v>
      </c>
      <c r="M157" s="135">
        <f t="shared" si="43"/>
        <v>2.37</v>
      </c>
      <c r="N157" s="135">
        <f t="shared" si="43"/>
        <v>2.37</v>
      </c>
      <c r="O157" s="135">
        <f t="shared" si="43"/>
        <v>2.37</v>
      </c>
      <c r="P157" s="135">
        <f t="shared" si="43"/>
        <v>2.37</v>
      </c>
      <c r="Q157" s="135">
        <f t="shared" si="43"/>
        <v>2.37</v>
      </c>
      <c r="R157" s="135">
        <f t="shared" si="43"/>
        <v>2.37</v>
      </c>
      <c r="S157" s="135">
        <f t="shared" si="43"/>
        <v>2.37</v>
      </c>
      <c r="T157" s="135">
        <f t="shared" si="44"/>
        <v>2.37</v>
      </c>
      <c r="U157" s="135">
        <f t="shared" si="44"/>
        <v>2.37</v>
      </c>
      <c r="V157" s="135">
        <f t="shared" si="44"/>
        <v>2.37</v>
      </c>
      <c r="W157" s="135">
        <f t="shared" si="44"/>
        <v>2.37</v>
      </c>
      <c r="X157" s="135">
        <f t="shared" si="44"/>
        <v>2.37</v>
      </c>
      <c r="Y157" s="135">
        <f t="shared" si="44"/>
        <v>2.37</v>
      </c>
      <c r="Z157" s="135">
        <f t="shared" si="44"/>
        <v>2.37</v>
      </c>
      <c r="AA157" s="135">
        <f t="shared" si="44"/>
        <v>2.37</v>
      </c>
      <c r="AB157" s="135">
        <f t="shared" si="44"/>
        <v>2.37</v>
      </c>
      <c r="AC157" s="135">
        <f t="shared" si="44"/>
        <v>2.37</v>
      </c>
      <c r="AD157" s="135">
        <f t="shared" si="44"/>
        <v>2.37</v>
      </c>
      <c r="AE157" s="135">
        <f t="shared" si="44"/>
        <v>2.37</v>
      </c>
      <c r="AF157" s="135">
        <f t="shared" si="44"/>
        <v>2.37</v>
      </c>
      <c r="AG157" s="138">
        <v>3.52</v>
      </c>
      <c r="AH157" s="53"/>
      <c r="AI157" s="54"/>
      <c r="AK157" s="55"/>
    </row>
    <row r="158" spans="1:37" x14ac:dyDescent="0.25">
      <c r="A158" s="123" t="s">
        <v>162</v>
      </c>
      <c r="B158" s="135">
        <f t="shared" si="42"/>
        <v>1.81</v>
      </c>
      <c r="C158" s="136">
        <v>1.81</v>
      </c>
      <c r="D158" s="135">
        <f t="shared" si="43"/>
        <v>1.81</v>
      </c>
      <c r="E158" s="135">
        <f t="shared" si="43"/>
        <v>1.81</v>
      </c>
      <c r="F158" s="135">
        <f t="shared" si="43"/>
        <v>1.81</v>
      </c>
      <c r="G158" s="135">
        <f t="shared" si="43"/>
        <v>1.81</v>
      </c>
      <c r="H158" s="135">
        <f t="shared" si="43"/>
        <v>1.81</v>
      </c>
      <c r="I158" s="135">
        <f t="shared" si="43"/>
        <v>1.81</v>
      </c>
      <c r="J158" s="135">
        <f t="shared" si="43"/>
        <v>1.81</v>
      </c>
      <c r="K158" s="135">
        <f t="shared" si="43"/>
        <v>1.81</v>
      </c>
      <c r="L158" s="135">
        <f t="shared" si="43"/>
        <v>1.81</v>
      </c>
      <c r="M158" s="135">
        <f t="shared" si="43"/>
        <v>1.81</v>
      </c>
      <c r="N158" s="135">
        <f t="shared" si="43"/>
        <v>1.81</v>
      </c>
      <c r="O158" s="135">
        <f t="shared" si="43"/>
        <v>1.81</v>
      </c>
      <c r="P158" s="135">
        <f t="shared" si="43"/>
        <v>1.81</v>
      </c>
      <c r="Q158" s="135">
        <f t="shared" si="43"/>
        <v>1.81</v>
      </c>
      <c r="R158" s="135">
        <f t="shared" si="43"/>
        <v>1.81</v>
      </c>
      <c r="S158" s="135">
        <f t="shared" si="43"/>
        <v>1.81</v>
      </c>
      <c r="T158" s="135">
        <f t="shared" si="44"/>
        <v>1.81</v>
      </c>
      <c r="U158" s="135">
        <f t="shared" si="44"/>
        <v>1.81</v>
      </c>
      <c r="V158" s="135">
        <f t="shared" si="44"/>
        <v>1.81</v>
      </c>
      <c r="W158" s="135">
        <f t="shared" si="44"/>
        <v>1.81</v>
      </c>
      <c r="X158" s="135">
        <f t="shared" si="44"/>
        <v>1.81</v>
      </c>
      <c r="Y158" s="135">
        <f t="shared" si="44"/>
        <v>1.81</v>
      </c>
      <c r="Z158" s="135">
        <f t="shared" si="44"/>
        <v>1.81</v>
      </c>
      <c r="AA158" s="135">
        <f t="shared" si="44"/>
        <v>1.81</v>
      </c>
      <c r="AB158" s="135">
        <f t="shared" si="44"/>
        <v>1.81</v>
      </c>
      <c r="AC158" s="135">
        <f t="shared" si="44"/>
        <v>1.81</v>
      </c>
      <c r="AD158" s="135">
        <f t="shared" si="44"/>
        <v>1.81</v>
      </c>
      <c r="AE158" s="135">
        <f t="shared" si="44"/>
        <v>1.81</v>
      </c>
      <c r="AF158" s="135">
        <f t="shared" si="44"/>
        <v>1.81</v>
      </c>
      <c r="AG158" s="138">
        <v>3.33</v>
      </c>
      <c r="AH158" s="53"/>
      <c r="AI158" s="54"/>
      <c r="AK158" s="55"/>
    </row>
    <row r="159" spans="1:37" x14ac:dyDescent="0.25">
      <c r="A159" s="123" t="s">
        <v>163</v>
      </c>
      <c r="B159" s="135">
        <f t="shared" si="42"/>
        <v>1.0900000000000001</v>
      </c>
      <c r="C159" s="136">
        <v>1.0900000000000001</v>
      </c>
      <c r="D159" s="135">
        <f t="shared" si="43"/>
        <v>1.0900000000000001</v>
      </c>
      <c r="E159" s="135">
        <f t="shared" si="43"/>
        <v>1.0900000000000001</v>
      </c>
      <c r="F159" s="135">
        <f t="shared" si="43"/>
        <v>1.0900000000000001</v>
      </c>
      <c r="G159" s="135">
        <f t="shared" si="43"/>
        <v>1.0900000000000001</v>
      </c>
      <c r="H159" s="135">
        <f t="shared" si="43"/>
        <v>1.0900000000000001</v>
      </c>
      <c r="I159" s="135">
        <f t="shared" si="43"/>
        <v>1.0900000000000001</v>
      </c>
      <c r="J159" s="135">
        <f t="shared" si="43"/>
        <v>1.0900000000000001</v>
      </c>
      <c r="K159" s="135">
        <f t="shared" si="43"/>
        <v>1.0900000000000001</v>
      </c>
      <c r="L159" s="135">
        <f t="shared" si="43"/>
        <v>1.0900000000000001</v>
      </c>
      <c r="M159" s="135">
        <f t="shared" si="43"/>
        <v>1.0900000000000001</v>
      </c>
      <c r="N159" s="135">
        <f t="shared" si="43"/>
        <v>1.0900000000000001</v>
      </c>
      <c r="O159" s="135">
        <f t="shared" si="43"/>
        <v>1.0900000000000001</v>
      </c>
      <c r="P159" s="135">
        <f t="shared" si="43"/>
        <v>1.0900000000000001</v>
      </c>
      <c r="Q159" s="135">
        <f t="shared" si="43"/>
        <v>1.0900000000000001</v>
      </c>
      <c r="R159" s="135">
        <f t="shared" si="43"/>
        <v>1.0900000000000001</v>
      </c>
      <c r="S159" s="135">
        <f t="shared" si="43"/>
        <v>1.0900000000000001</v>
      </c>
      <c r="T159" s="135">
        <f t="shared" si="44"/>
        <v>1.0900000000000001</v>
      </c>
      <c r="U159" s="135">
        <f t="shared" si="44"/>
        <v>1.0900000000000001</v>
      </c>
      <c r="V159" s="135">
        <f t="shared" si="44"/>
        <v>1.0900000000000001</v>
      </c>
      <c r="W159" s="135">
        <f t="shared" si="44"/>
        <v>1.0900000000000001</v>
      </c>
      <c r="X159" s="135">
        <f t="shared" si="44"/>
        <v>1.0900000000000001</v>
      </c>
      <c r="Y159" s="135">
        <f t="shared" si="44"/>
        <v>1.0900000000000001</v>
      </c>
      <c r="Z159" s="135">
        <f t="shared" si="44"/>
        <v>1.0900000000000001</v>
      </c>
      <c r="AA159" s="135">
        <f t="shared" si="44"/>
        <v>1.0900000000000001</v>
      </c>
      <c r="AB159" s="135">
        <f t="shared" si="44"/>
        <v>1.0900000000000001</v>
      </c>
      <c r="AC159" s="135">
        <f t="shared" si="44"/>
        <v>1.0900000000000001</v>
      </c>
      <c r="AD159" s="135">
        <f t="shared" si="44"/>
        <v>1.0900000000000001</v>
      </c>
      <c r="AE159" s="135">
        <f t="shared" si="44"/>
        <v>1.0900000000000001</v>
      </c>
      <c r="AF159" s="135">
        <f t="shared" si="44"/>
        <v>1.0900000000000001</v>
      </c>
      <c r="AG159" s="138">
        <v>3.2</v>
      </c>
      <c r="AH159" s="53"/>
      <c r="AI159" s="54"/>
      <c r="AK159" s="55"/>
    </row>
    <row r="160" spans="1:37" x14ac:dyDescent="0.25">
      <c r="A160" s="123" t="s">
        <v>164</v>
      </c>
      <c r="B160" s="135">
        <f t="shared" si="42"/>
        <v>1.58</v>
      </c>
      <c r="C160" s="136">
        <v>1.58</v>
      </c>
      <c r="D160" s="135">
        <f t="shared" si="43"/>
        <v>1.58</v>
      </c>
      <c r="E160" s="135">
        <f t="shared" si="43"/>
        <v>1.58</v>
      </c>
      <c r="F160" s="135">
        <f t="shared" si="43"/>
        <v>1.58</v>
      </c>
      <c r="G160" s="135">
        <f t="shared" si="43"/>
        <v>1.58</v>
      </c>
      <c r="H160" s="135">
        <f t="shared" si="43"/>
        <v>1.58</v>
      </c>
      <c r="I160" s="135">
        <f t="shared" si="43"/>
        <v>1.58</v>
      </c>
      <c r="J160" s="135">
        <f t="shared" si="43"/>
        <v>1.58</v>
      </c>
      <c r="K160" s="135">
        <f t="shared" si="43"/>
        <v>1.58</v>
      </c>
      <c r="L160" s="135">
        <f t="shared" si="43"/>
        <v>1.58</v>
      </c>
      <c r="M160" s="135">
        <f t="shared" si="43"/>
        <v>1.58</v>
      </c>
      <c r="N160" s="135">
        <f t="shared" si="43"/>
        <v>1.58</v>
      </c>
      <c r="O160" s="135">
        <f t="shared" si="43"/>
        <v>1.58</v>
      </c>
      <c r="P160" s="135">
        <f t="shared" si="43"/>
        <v>1.58</v>
      </c>
      <c r="Q160" s="135">
        <f t="shared" si="43"/>
        <v>1.58</v>
      </c>
      <c r="R160" s="135">
        <f t="shared" si="43"/>
        <v>1.58</v>
      </c>
      <c r="S160" s="135">
        <f t="shared" si="43"/>
        <v>1.58</v>
      </c>
      <c r="T160" s="135">
        <f t="shared" si="44"/>
        <v>1.58</v>
      </c>
      <c r="U160" s="135">
        <f t="shared" si="44"/>
        <v>1.58</v>
      </c>
      <c r="V160" s="135">
        <f t="shared" si="44"/>
        <v>1.58</v>
      </c>
      <c r="W160" s="135">
        <f t="shared" si="44"/>
        <v>1.58</v>
      </c>
      <c r="X160" s="135">
        <f t="shared" si="44"/>
        <v>1.58</v>
      </c>
      <c r="Y160" s="135">
        <f t="shared" si="44"/>
        <v>1.58</v>
      </c>
      <c r="Z160" s="135">
        <f t="shared" si="44"/>
        <v>1.58</v>
      </c>
      <c r="AA160" s="135">
        <f t="shared" si="44"/>
        <v>1.58</v>
      </c>
      <c r="AB160" s="135">
        <f t="shared" si="44"/>
        <v>1.58</v>
      </c>
      <c r="AC160" s="135">
        <f t="shared" si="44"/>
        <v>1.58</v>
      </c>
      <c r="AD160" s="135">
        <f t="shared" si="44"/>
        <v>1.58</v>
      </c>
      <c r="AE160" s="135">
        <f t="shared" si="44"/>
        <v>1.58</v>
      </c>
      <c r="AF160" s="135">
        <f t="shared" si="44"/>
        <v>1.58</v>
      </c>
      <c r="AG160" s="138">
        <v>3</v>
      </c>
      <c r="AH160" s="53"/>
      <c r="AI160" s="54"/>
      <c r="AK160" s="55"/>
    </row>
    <row r="161" spans="1:37" x14ac:dyDescent="0.25">
      <c r="A161" s="123" t="s">
        <v>165</v>
      </c>
      <c r="B161" s="135">
        <f t="shared" si="42"/>
        <v>2</v>
      </c>
      <c r="C161" s="136">
        <v>2</v>
      </c>
      <c r="D161" s="135">
        <f t="shared" si="43"/>
        <v>2</v>
      </c>
      <c r="E161" s="135">
        <f t="shared" si="43"/>
        <v>2</v>
      </c>
      <c r="F161" s="135">
        <f t="shared" si="43"/>
        <v>2</v>
      </c>
      <c r="G161" s="135">
        <f t="shared" si="43"/>
        <v>2</v>
      </c>
      <c r="H161" s="135">
        <f t="shared" si="43"/>
        <v>2</v>
      </c>
      <c r="I161" s="135">
        <f t="shared" si="43"/>
        <v>2</v>
      </c>
      <c r="J161" s="135">
        <f t="shared" si="43"/>
        <v>2</v>
      </c>
      <c r="K161" s="135">
        <f t="shared" si="43"/>
        <v>2</v>
      </c>
      <c r="L161" s="135">
        <f t="shared" si="43"/>
        <v>2</v>
      </c>
      <c r="M161" s="135">
        <f t="shared" si="43"/>
        <v>2</v>
      </c>
      <c r="N161" s="135">
        <f t="shared" si="43"/>
        <v>2</v>
      </c>
      <c r="O161" s="135">
        <f t="shared" si="43"/>
        <v>2</v>
      </c>
      <c r="P161" s="135">
        <f t="shared" si="43"/>
        <v>2</v>
      </c>
      <c r="Q161" s="135">
        <f t="shared" si="43"/>
        <v>2</v>
      </c>
      <c r="R161" s="135">
        <f t="shared" si="43"/>
        <v>2</v>
      </c>
      <c r="S161" s="135">
        <f t="shared" si="43"/>
        <v>2</v>
      </c>
      <c r="T161" s="135">
        <f t="shared" si="44"/>
        <v>2</v>
      </c>
      <c r="U161" s="135">
        <f t="shared" si="44"/>
        <v>2</v>
      </c>
      <c r="V161" s="135">
        <f t="shared" si="44"/>
        <v>2</v>
      </c>
      <c r="W161" s="135">
        <f t="shared" si="44"/>
        <v>2</v>
      </c>
      <c r="X161" s="135">
        <f t="shared" si="44"/>
        <v>2</v>
      </c>
      <c r="Y161" s="135">
        <f t="shared" si="44"/>
        <v>2</v>
      </c>
      <c r="Z161" s="135">
        <f t="shared" si="44"/>
        <v>2</v>
      </c>
      <c r="AA161" s="135">
        <f t="shared" si="44"/>
        <v>2</v>
      </c>
      <c r="AB161" s="135">
        <f t="shared" si="44"/>
        <v>2</v>
      </c>
      <c r="AC161" s="135">
        <f t="shared" si="44"/>
        <v>2</v>
      </c>
      <c r="AD161" s="135">
        <f t="shared" si="44"/>
        <v>2</v>
      </c>
      <c r="AE161" s="135">
        <f t="shared" si="44"/>
        <v>2</v>
      </c>
      <c r="AF161" s="135">
        <f t="shared" si="44"/>
        <v>2</v>
      </c>
      <c r="AG161" s="138">
        <v>3</v>
      </c>
      <c r="AH161" s="53"/>
      <c r="AI161" s="54"/>
      <c r="AK161" s="55"/>
    </row>
    <row r="162" spans="1:37" x14ac:dyDescent="0.25">
      <c r="A162" s="123" t="s">
        <v>166</v>
      </c>
      <c r="B162" s="135">
        <f t="shared" si="42"/>
        <v>0.47</v>
      </c>
      <c r="C162" s="136">
        <v>0.47</v>
      </c>
      <c r="D162" s="135">
        <f t="shared" si="43"/>
        <v>0.47</v>
      </c>
      <c r="E162" s="135">
        <f t="shared" si="43"/>
        <v>0.47</v>
      </c>
      <c r="F162" s="135">
        <f t="shared" si="43"/>
        <v>0.47</v>
      </c>
      <c r="G162" s="135">
        <f t="shared" si="43"/>
        <v>0.47</v>
      </c>
      <c r="H162" s="135">
        <f t="shared" si="43"/>
        <v>0.47</v>
      </c>
      <c r="I162" s="135">
        <f t="shared" si="43"/>
        <v>0.47</v>
      </c>
      <c r="J162" s="135">
        <f t="shared" si="43"/>
        <v>0.47</v>
      </c>
      <c r="K162" s="135">
        <f t="shared" si="43"/>
        <v>0.47</v>
      </c>
      <c r="L162" s="135">
        <f t="shared" si="43"/>
        <v>0.47</v>
      </c>
      <c r="M162" s="135">
        <f t="shared" si="43"/>
        <v>0.47</v>
      </c>
      <c r="N162" s="135">
        <f t="shared" si="43"/>
        <v>0.47</v>
      </c>
      <c r="O162" s="135">
        <f t="shared" si="43"/>
        <v>0.47</v>
      </c>
      <c r="P162" s="135">
        <f t="shared" si="43"/>
        <v>0.47</v>
      </c>
      <c r="Q162" s="135">
        <f t="shared" si="43"/>
        <v>0.47</v>
      </c>
      <c r="R162" s="135">
        <f t="shared" si="43"/>
        <v>0.47</v>
      </c>
      <c r="S162" s="135">
        <f t="shared" si="43"/>
        <v>0.47</v>
      </c>
      <c r="T162" s="135">
        <f t="shared" si="44"/>
        <v>0.47</v>
      </c>
      <c r="U162" s="135">
        <f t="shared" si="44"/>
        <v>0.47</v>
      </c>
      <c r="V162" s="135">
        <f t="shared" si="44"/>
        <v>0.47</v>
      </c>
      <c r="W162" s="135">
        <f t="shared" si="44"/>
        <v>0.47</v>
      </c>
      <c r="X162" s="135">
        <f t="shared" si="44"/>
        <v>0.47</v>
      </c>
      <c r="Y162" s="135">
        <f t="shared" si="44"/>
        <v>0.47</v>
      </c>
      <c r="Z162" s="135">
        <f t="shared" si="44"/>
        <v>0.47</v>
      </c>
      <c r="AA162" s="135">
        <f t="shared" si="44"/>
        <v>0.47</v>
      </c>
      <c r="AB162" s="135">
        <f t="shared" si="44"/>
        <v>0.47</v>
      </c>
      <c r="AC162" s="135">
        <f t="shared" si="44"/>
        <v>0.47</v>
      </c>
      <c r="AD162" s="135">
        <f t="shared" si="44"/>
        <v>0.47</v>
      </c>
      <c r="AE162" s="135">
        <f t="shared" si="44"/>
        <v>0.47</v>
      </c>
      <c r="AF162" s="135">
        <f t="shared" si="44"/>
        <v>0.47</v>
      </c>
      <c r="AG162" s="138">
        <v>3</v>
      </c>
      <c r="AH162" s="53"/>
      <c r="AI162" s="54"/>
      <c r="AK162" s="55"/>
    </row>
    <row r="163" spans="1:37" x14ac:dyDescent="0.25">
      <c r="A163" s="123" t="s">
        <v>167</v>
      </c>
      <c r="B163" s="135">
        <f t="shared" si="42"/>
        <v>0</v>
      </c>
      <c r="C163" s="136">
        <v>0</v>
      </c>
      <c r="D163" s="135">
        <f t="shared" si="43"/>
        <v>0</v>
      </c>
      <c r="E163" s="135">
        <f t="shared" si="43"/>
        <v>0</v>
      </c>
      <c r="F163" s="135">
        <f t="shared" si="43"/>
        <v>0</v>
      </c>
      <c r="G163" s="135">
        <f t="shared" si="43"/>
        <v>0</v>
      </c>
      <c r="H163" s="135">
        <f t="shared" si="43"/>
        <v>0</v>
      </c>
      <c r="I163" s="135">
        <f t="shared" si="43"/>
        <v>0</v>
      </c>
      <c r="J163" s="135">
        <f t="shared" si="43"/>
        <v>0</v>
      </c>
      <c r="K163" s="135">
        <f t="shared" si="43"/>
        <v>0</v>
      </c>
      <c r="L163" s="135">
        <f t="shared" si="43"/>
        <v>0</v>
      </c>
      <c r="M163" s="135">
        <f t="shared" si="43"/>
        <v>0</v>
      </c>
      <c r="N163" s="135">
        <f t="shared" si="43"/>
        <v>0</v>
      </c>
      <c r="O163" s="135">
        <f t="shared" si="43"/>
        <v>0</v>
      </c>
      <c r="P163" s="135">
        <f t="shared" si="43"/>
        <v>0</v>
      </c>
      <c r="Q163" s="135">
        <f t="shared" si="43"/>
        <v>0</v>
      </c>
      <c r="R163" s="135">
        <f t="shared" si="43"/>
        <v>0</v>
      </c>
      <c r="S163" s="135">
        <f t="shared" si="43"/>
        <v>0</v>
      </c>
      <c r="T163" s="135">
        <f t="shared" si="44"/>
        <v>0</v>
      </c>
      <c r="U163" s="135">
        <f t="shared" si="44"/>
        <v>0</v>
      </c>
      <c r="V163" s="135">
        <f t="shared" si="44"/>
        <v>0</v>
      </c>
      <c r="W163" s="135">
        <f t="shared" si="44"/>
        <v>0</v>
      </c>
      <c r="X163" s="135">
        <f t="shared" si="44"/>
        <v>0</v>
      </c>
      <c r="Y163" s="135">
        <f t="shared" si="44"/>
        <v>0</v>
      </c>
      <c r="Z163" s="135">
        <f t="shared" si="44"/>
        <v>0</v>
      </c>
      <c r="AA163" s="135">
        <f t="shared" si="44"/>
        <v>0</v>
      </c>
      <c r="AB163" s="135">
        <f t="shared" si="44"/>
        <v>0</v>
      </c>
      <c r="AC163" s="135">
        <f t="shared" si="44"/>
        <v>0</v>
      </c>
      <c r="AD163" s="135">
        <f t="shared" si="44"/>
        <v>0</v>
      </c>
      <c r="AE163" s="135">
        <f t="shared" si="44"/>
        <v>0</v>
      </c>
      <c r="AF163" s="135">
        <f t="shared" si="44"/>
        <v>0</v>
      </c>
      <c r="AG163" s="138">
        <v>3</v>
      </c>
      <c r="AH163" s="53"/>
      <c r="AI163" s="54"/>
      <c r="AK163" s="55"/>
    </row>
    <row r="164" spans="1:37" x14ac:dyDescent="0.25">
      <c r="A164" s="123" t="s">
        <v>168</v>
      </c>
      <c r="B164" s="135">
        <f t="shared" si="42"/>
        <v>0</v>
      </c>
      <c r="C164" s="136">
        <v>0</v>
      </c>
      <c r="D164" s="135">
        <f t="shared" si="43"/>
        <v>0</v>
      </c>
      <c r="E164" s="135">
        <f t="shared" si="43"/>
        <v>0</v>
      </c>
      <c r="F164" s="135">
        <f t="shared" si="43"/>
        <v>0</v>
      </c>
      <c r="G164" s="135">
        <f t="shared" si="43"/>
        <v>0</v>
      </c>
      <c r="H164" s="135">
        <f t="shared" si="43"/>
        <v>0</v>
      </c>
      <c r="I164" s="135">
        <f t="shared" si="43"/>
        <v>0</v>
      </c>
      <c r="J164" s="135">
        <f t="shared" si="43"/>
        <v>0</v>
      </c>
      <c r="K164" s="135">
        <f t="shared" si="43"/>
        <v>0</v>
      </c>
      <c r="L164" s="135">
        <f t="shared" si="43"/>
        <v>0</v>
      </c>
      <c r="M164" s="135">
        <f t="shared" si="43"/>
        <v>0</v>
      </c>
      <c r="N164" s="135">
        <f t="shared" si="43"/>
        <v>0</v>
      </c>
      <c r="O164" s="135">
        <f t="shared" si="43"/>
        <v>0</v>
      </c>
      <c r="P164" s="135">
        <f t="shared" si="43"/>
        <v>0</v>
      </c>
      <c r="Q164" s="135">
        <f t="shared" si="43"/>
        <v>0</v>
      </c>
      <c r="R164" s="135">
        <f t="shared" si="43"/>
        <v>0</v>
      </c>
      <c r="S164" s="135">
        <f t="shared" si="44"/>
        <v>0</v>
      </c>
      <c r="T164" s="135">
        <f t="shared" si="44"/>
        <v>0</v>
      </c>
      <c r="U164" s="135">
        <f t="shared" si="44"/>
        <v>0</v>
      </c>
      <c r="V164" s="135">
        <f t="shared" si="44"/>
        <v>0</v>
      </c>
      <c r="W164" s="135">
        <f t="shared" si="44"/>
        <v>0</v>
      </c>
      <c r="X164" s="135">
        <f t="shared" si="44"/>
        <v>0</v>
      </c>
      <c r="Y164" s="135">
        <f t="shared" si="44"/>
        <v>0</v>
      </c>
      <c r="Z164" s="135">
        <f t="shared" si="44"/>
        <v>0</v>
      </c>
      <c r="AA164" s="135">
        <f t="shared" si="44"/>
        <v>0</v>
      </c>
      <c r="AB164" s="135">
        <f t="shared" si="44"/>
        <v>0</v>
      </c>
      <c r="AC164" s="135">
        <f t="shared" si="44"/>
        <v>0</v>
      </c>
      <c r="AD164" s="135">
        <f t="shared" si="44"/>
        <v>0</v>
      </c>
      <c r="AE164" s="135">
        <f t="shared" si="44"/>
        <v>0</v>
      </c>
      <c r="AF164" s="135">
        <f t="shared" si="44"/>
        <v>0</v>
      </c>
      <c r="AG164" s="138">
        <v>3</v>
      </c>
      <c r="AH164" s="53"/>
      <c r="AI164" s="54"/>
      <c r="AK164" s="55"/>
    </row>
    <row r="165" spans="1:37" x14ac:dyDescent="0.25">
      <c r="A165" s="123" t="s">
        <v>169</v>
      </c>
      <c r="B165" s="135">
        <f t="shared" si="42"/>
        <v>0.8</v>
      </c>
      <c r="C165" s="136">
        <v>0.8</v>
      </c>
      <c r="D165" s="135">
        <f t="shared" si="43"/>
        <v>0.8</v>
      </c>
      <c r="E165" s="135">
        <f t="shared" si="43"/>
        <v>0.8</v>
      </c>
      <c r="F165" s="135">
        <f t="shared" si="43"/>
        <v>0.8</v>
      </c>
      <c r="G165" s="135">
        <f t="shared" si="43"/>
        <v>0.8</v>
      </c>
      <c r="H165" s="135">
        <f t="shared" si="43"/>
        <v>0.8</v>
      </c>
      <c r="I165" s="135">
        <f t="shared" si="43"/>
        <v>0.8</v>
      </c>
      <c r="J165" s="135">
        <f t="shared" si="43"/>
        <v>0.8</v>
      </c>
      <c r="K165" s="135">
        <f t="shared" si="43"/>
        <v>0.8</v>
      </c>
      <c r="L165" s="135">
        <f t="shared" si="43"/>
        <v>0.8</v>
      </c>
      <c r="M165" s="135">
        <f t="shared" si="43"/>
        <v>0.8</v>
      </c>
      <c r="N165" s="135">
        <f t="shared" si="43"/>
        <v>0.8</v>
      </c>
      <c r="O165" s="135">
        <f t="shared" si="43"/>
        <v>0.8</v>
      </c>
      <c r="P165" s="135">
        <f t="shared" si="43"/>
        <v>0.8</v>
      </c>
      <c r="Q165" s="135">
        <f t="shared" si="43"/>
        <v>0.8</v>
      </c>
      <c r="R165" s="135">
        <f t="shared" si="43"/>
        <v>0.8</v>
      </c>
      <c r="S165" s="135">
        <f t="shared" si="44"/>
        <v>0.8</v>
      </c>
      <c r="T165" s="135">
        <f t="shared" si="44"/>
        <v>0.8</v>
      </c>
      <c r="U165" s="135">
        <f t="shared" si="44"/>
        <v>0.8</v>
      </c>
      <c r="V165" s="135">
        <f t="shared" si="44"/>
        <v>0.8</v>
      </c>
      <c r="W165" s="135">
        <f t="shared" si="44"/>
        <v>0.8</v>
      </c>
      <c r="X165" s="135">
        <f t="shared" si="44"/>
        <v>0.8</v>
      </c>
      <c r="Y165" s="135">
        <f t="shared" si="44"/>
        <v>0.8</v>
      </c>
      <c r="Z165" s="135">
        <f t="shared" si="44"/>
        <v>0.8</v>
      </c>
      <c r="AA165" s="135">
        <f t="shared" si="44"/>
        <v>0.8</v>
      </c>
      <c r="AB165" s="135">
        <f t="shared" si="44"/>
        <v>0.8</v>
      </c>
      <c r="AC165" s="135">
        <f t="shared" si="44"/>
        <v>0.8</v>
      </c>
      <c r="AD165" s="135">
        <f t="shared" si="44"/>
        <v>0.8</v>
      </c>
      <c r="AE165" s="135">
        <f t="shared" si="44"/>
        <v>0.8</v>
      </c>
      <c r="AF165" s="135">
        <f t="shared" si="44"/>
        <v>0.8</v>
      </c>
      <c r="AG165" s="138">
        <v>3</v>
      </c>
      <c r="AH165" s="53"/>
      <c r="AI165" s="54"/>
      <c r="AK165" s="55"/>
    </row>
    <row r="166" spans="1:37" x14ac:dyDescent="0.25">
      <c r="A166" s="123" t="s">
        <v>170</v>
      </c>
      <c r="B166" s="135">
        <f t="shared" si="42"/>
        <v>1.5</v>
      </c>
      <c r="C166" s="136">
        <v>1.5</v>
      </c>
      <c r="D166" s="135">
        <f t="shared" si="43"/>
        <v>1.5</v>
      </c>
      <c r="E166" s="135">
        <f t="shared" si="43"/>
        <v>1.5</v>
      </c>
      <c r="F166" s="135">
        <f t="shared" si="43"/>
        <v>1.5</v>
      </c>
      <c r="G166" s="135">
        <f t="shared" si="43"/>
        <v>1.5</v>
      </c>
      <c r="H166" s="135">
        <f t="shared" si="43"/>
        <v>1.5</v>
      </c>
      <c r="I166" s="135">
        <f t="shared" si="43"/>
        <v>1.5</v>
      </c>
      <c r="J166" s="135">
        <f t="shared" si="43"/>
        <v>1.5</v>
      </c>
      <c r="K166" s="135">
        <f t="shared" si="43"/>
        <v>1.5</v>
      </c>
      <c r="L166" s="135">
        <f t="shared" si="43"/>
        <v>1.5</v>
      </c>
      <c r="M166" s="135">
        <f t="shared" si="43"/>
        <v>1.5</v>
      </c>
      <c r="N166" s="135">
        <f t="shared" si="43"/>
        <v>1.5</v>
      </c>
      <c r="O166" s="135">
        <f t="shared" si="43"/>
        <v>1.5</v>
      </c>
      <c r="P166" s="135">
        <f t="shared" si="43"/>
        <v>1.5</v>
      </c>
      <c r="Q166" s="135">
        <f t="shared" si="43"/>
        <v>1.5</v>
      </c>
      <c r="R166" s="135">
        <f t="shared" si="43"/>
        <v>1.5</v>
      </c>
      <c r="S166" s="135">
        <f t="shared" si="44"/>
        <v>1.5</v>
      </c>
      <c r="T166" s="135">
        <f t="shared" si="44"/>
        <v>1.5</v>
      </c>
      <c r="U166" s="135">
        <f t="shared" si="44"/>
        <v>1.5</v>
      </c>
      <c r="V166" s="135">
        <f t="shared" si="44"/>
        <v>1.5</v>
      </c>
      <c r="W166" s="135">
        <f t="shared" si="44"/>
        <v>1.5</v>
      </c>
      <c r="X166" s="135">
        <f t="shared" si="44"/>
        <v>1.5</v>
      </c>
      <c r="Y166" s="135">
        <f t="shared" si="44"/>
        <v>1.5</v>
      </c>
      <c r="Z166" s="135">
        <f t="shared" si="44"/>
        <v>1.5</v>
      </c>
      <c r="AA166" s="135">
        <f t="shared" si="44"/>
        <v>1.5</v>
      </c>
      <c r="AB166" s="135">
        <f t="shared" si="44"/>
        <v>1.5</v>
      </c>
      <c r="AC166" s="135">
        <f t="shared" si="44"/>
        <v>1.5</v>
      </c>
      <c r="AD166" s="135">
        <f t="shared" si="44"/>
        <v>1.5</v>
      </c>
      <c r="AE166" s="135">
        <f t="shared" si="44"/>
        <v>1.5</v>
      </c>
      <c r="AF166" s="135">
        <f t="shared" si="44"/>
        <v>1.5</v>
      </c>
      <c r="AG166" s="138">
        <v>3</v>
      </c>
      <c r="AH166" s="53"/>
      <c r="AI166" s="54"/>
      <c r="AK166" s="55"/>
    </row>
    <row r="167" spans="1:37" x14ac:dyDescent="0.25">
      <c r="A167" s="123" t="s">
        <v>171</v>
      </c>
      <c r="B167" s="135">
        <f t="shared" si="42"/>
        <v>1</v>
      </c>
      <c r="C167" s="136">
        <v>1</v>
      </c>
      <c r="D167" s="135">
        <f t="shared" si="43"/>
        <v>1</v>
      </c>
      <c r="E167" s="135">
        <f t="shared" si="43"/>
        <v>1</v>
      </c>
      <c r="F167" s="135">
        <f t="shared" si="43"/>
        <v>1</v>
      </c>
      <c r="G167" s="135">
        <f t="shared" si="43"/>
        <v>1</v>
      </c>
      <c r="H167" s="135">
        <f t="shared" si="43"/>
        <v>1</v>
      </c>
      <c r="I167" s="135">
        <f t="shared" si="43"/>
        <v>1</v>
      </c>
      <c r="J167" s="135">
        <f t="shared" si="43"/>
        <v>1</v>
      </c>
      <c r="K167" s="135">
        <f t="shared" si="43"/>
        <v>1</v>
      </c>
      <c r="L167" s="135">
        <f t="shared" si="43"/>
        <v>1</v>
      </c>
      <c r="M167" s="135">
        <f t="shared" si="43"/>
        <v>1</v>
      </c>
      <c r="N167" s="135">
        <f t="shared" si="43"/>
        <v>1</v>
      </c>
      <c r="O167" s="135">
        <f t="shared" si="43"/>
        <v>1</v>
      </c>
      <c r="P167" s="135">
        <f t="shared" si="43"/>
        <v>1</v>
      </c>
      <c r="Q167" s="135">
        <f t="shared" si="43"/>
        <v>1</v>
      </c>
      <c r="R167" s="135">
        <f t="shared" si="43"/>
        <v>1</v>
      </c>
      <c r="S167" s="135">
        <f t="shared" si="44"/>
        <v>1</v>
      </c>
      <c r="T167" s="135">
        <f t="shared" si="44"/>
        <v>1</v>
      </c>
      <c r="U167" s="135">
        <f t="shared" si="44"/>
        <v>1</v>
      </c>
      <c r="V167" s="135">
        <f t="shared" si="44"/>
        <v>1</v>
      </c>
      <c r="W167" s="135">
        <f t="shared" si="44"/>
        <v>1</v>
      </c>
      <c r="X167" s="135">
        <f t="shared" si="44"/>
        <v>1</v>
      </c>
      <c r="Y167" s="135">
        <f t="shared" si="44"/>
        <v>1</v>
      </c>
      <c r="Z167" s="135">
        <f t="shared" si="44"/>
        <v>1</v>
      </c>
      <c r="AA167" s="135">
        <f t="shared" si="44"/>
        <v>1</v>
      </c>
      <c r="AB167" s="135">
        <f t="shared" si="44"/>
        <v>1</v>
      </c>
      <c r="AC167" s="135">
        <f t="shared" si="44"/>
        <v>1</v>
      </c>
      <c r="AD167" s="135">
        <f t="shared" si="44"/>
        <v>1</v>
      </c>
      <c r="AE167" s="135">
        <f t="shared" si="44"/>
        <v>1</v>
      </c>
      <c r="AF167" s="135">
        <f t="shared" si="44"/>
        <v>1</v>
      </c>
      <c r="AG167" s="138">
        <v>3</v>
      </c>
      <c r="AH167" s="53"/>
      <c r="AI167" s="54"/>
      <c r="AK167" s="55"/>
    </row>
    <row r="168" spans="1:37" x14ac:dyDescent="0.25">
      <c r="A168" s="123" t="s">
        <v>172</v>
      </c>
      <c r="B168" s="135"/>
      <c r="C168" s="136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8">
        <v>2.83</v>
      </c>
      <c r="AH168" s="53"/>
      <c r="AI168" s="54"/>
      <c r="AK168" s="55"/>
    </row>
    <row r="169" spans="1:37" x14ac:dyDescent="0.25">
      <c r="A169" s="123" t="s">
        <v>173</v>
      </c>
      <c r="B169" s="135">
        <f t="shared" ref="B169:B176" si="45">AF169</f>
        <v>1</v>
      </c>
      <c r="C169" s="136">
        <v>1</v>
      </c>
      <c r="D169" s="135">
        <f t="shared" ref="D169:S176" si="46">C169</f>
        <v>1</v>
      </c>
      <c r="E169" s="135">
        <f t="shared" si="46"/>
        <v>1</v>
      </c>
      <c r="F169" s="135">
        <f t="shared" si="46"/>
        <v>1</v>
      </c>
      <c r="G169" s="135">
        <f t="shared" si="46"/>
        <v>1</v>
      </c>
      <c r="H169" s="135">
        <f t="shared" si="46"/>
        <v>1</v>
      </c>
      <c r="I169" s="135">
        <f t="shared" si="46"/>
        <v>1</v>
      </c>
      <c r="J169" s="135">
        <f t="shared" si="46"/>
        <v>1</v>
      </c>
      <c r="K169" s="135">
        <f t="shared" si="46"/>
        <v>1</v>
      </c>
      <c r="L169" s="135">
        <f t="shared" si="46"/>
        <v>1</v>
      </c>
      <c r="M169" s="135">
        <f t="shared" si="46"/>
        <v>1</v>
      </c>
      <c r="N169" s="135">
        <f t="shared" si="46"/>
        <v>1</v>
      </c>
      <c r="O169" s="135">
        <f t="shared" si="46"/>
        <v>1</v>
      </c>
      <c r="P169" s="135">
        <f t="shared" si="46"/>
        <v>1</v>
      </c>
      <c r="Q169" s="135">
        <f t="shared" si="46"/>
        <v>1</v>
      </c>
      <c r="R169" s="135">
        <f t="shared" si="46"/>
        <v>1</v>
      </c>
      <c r="S169" s="135">
        <f t="shared" si="46"/>
        <v>1</v>
      </c>
      <c r="T169" s="135">
        <f t="shared" ref="S169:AF176" si="47">S169</f>
        <v>1</v>
      </c>
      <c r="U169" s="135">
        <f t="shared" si="47"/>
        <v>1</v>
      </c>
      <c r="V169" s="135">
        <f t="shared" si="47"/>
        <v>1</v>
      </c>
      <c r="W169" s="135">
        <f t="shared" si="47"/>
        <v>1</v>
      </c>
      <c r="X169" s="135">
        <f t="shared" si="47"/>
        <v>1</v>
      </c>
      <c r="Y169" s="135">
        <f t="shared" si="47"/>
        <v>1</v>
      </c>
      <c r="Z169" s="135">
        <f t="shared" si="47"/>
        <v>1</v>
      </c>
      <c r="AA169" s="135">
        <f t="shared" si="47"/>
        <v>1</v>
      </c>
      <c r="AB169" s="135">
        <f t="shared" si="47"/>
        <v>1</v>
      </c>
      <c r="AC169" s="135">
        <f t="shared" si="47"/>
        <v>1</v>
      </c>
      <c r="AD169" s="135">
        <f t="shared" si="47"/>
        <v>1</v>
      </c>
      <c r="AE169" s="135">
        <f t="shared" si="47"/>
        <v>1</v>
      </c>
      <c r="AF169" s="135">
        <f t="shared" si="47"/>
        <v>1</v>
      </c>
      <c r="AG169" s="138">
        <v>2.5</v>
      </c>
      <c r="AH169" s="53"/>
      <c r="AI169" s="54"/>
      <c r="AK169" s="55"/>
    </row>
    <row r="170" spans="1:37" x14ac:dyDescent="0.25">
      <c r="A170" s="123" t="s">
        <v>174</v>
      </c>
      <c r="B170" s="135">
        <f t="shared" si="45"/>
        <v>0.42</v>
      </c>
      <c r="C170" s="136">
        <v>0.42</v>
      </c>
      <c r="D170" s="135">
        <f t="shared" si="46"/>
        <v>0.42</v>
      </c>
      <c r="E170" s="135">
        <f t="shared" si="46"/>
        <v>0.42</v>
      </c>
      <c r="F170" s="135">
        <f t="shared" si="46"/>
        <v>0.42</v>
      </c>
      <c r="G170" s="135">
        <f t="shared" si="46"/>
        <v>0.42</v>
      </c>
      <c r="H170" s="135">
        <f t="shared" si="46"/>
        <v>0.42</v>
      </c>
      <c r="I170" s="135">
        <f t="shared" si="46"/>
        <v>0.42</v>
      </c>
      <c r="J170" s="135">
        <f t="shared" si="46"/>
        <v>0.42</v>
      </c>
      <c r="K170" s="135">
        <f t="shared" si="46"/>
        <v>0.42</v>
      </c>
      <c r="L170" s="135">
        <f t="shared" si="46"/>
        <v>0.42</v>
      </c>
      <c r="M170" s="135">
        <f t="shared" si="46"/>
        <v>0.42</v>
      </c>
      <c r="N170" s="135">
        <f t="shared" si="46"/>
        <v>0.42</v>
      </c>
      <c r="O170" s="135">
        <f t="shared" si="46"/>
        <v>0.42</v>
      </c>
      <c r="P170" s="135">
        <f t="shared" si="46"/>
        <v>0.42</v>
      </c>
      <c r="Q170" s="135">
        <f t="shared" si="46"/>
        <v>0.42</v>
      </c>
      <c r="R170" s="135">
        <f t="shared" si="46"/>
        <v>0.42</v>
      </c>
      <c r="S170" s="135">
        <f t="shared" si="47"/>
        <v>0.42</v>
      </c>
      <c r="T170" s="135">
        <f t="shared" si="47"/>
        <v>0.42</v>
      </c>
      <c r="U170" s="135">
        <f t="shared" si="47"/>
        <v>0.42</v>
      </c>
      <c r="V170" s="135">
        <f t="shared" si="47"/>
        <v>0.42</v>
      </c>
      <c r="W170" s="135">
        <f t="shared" si="47"/>
        <v>0.42</v>
      </c>
      <c r="X170" s="135">
        <f t="shared" si="47"/>
        <v>0.42</v>
      </c>
      <c r="Y170" s="135">
        <f t="shared" si="47"/>
        <v>0.42</v>
      </c>
      <c r="Z170" s="135">
        <f t="shared" si="47"/>
        <v>0.42</v>
      </c>
      <c r="AA170" s="135">
        <f t="shared" si="47"/>
        <v>0.42</v>
      </c>
      <c r="AB170" s="135">
        <f t="shared" si="47"/>
        <v>0.42</v>
      </c>
      <c r="AC170" s="135">
        <f t="shared" si="47"/>
        <v>0.42</v>
      </c>
      <c r="AD170" s="135">
        <f t="shared" si="47"/>
        <v>0.42</v>
      </c>
      <c r="AE170" s="135">
        <f t="shared" si="47"/>
        <v>0.42</v>
      </c>
      <c r="AF170" s="135">
        <f t="shared" si="47"/>
        <v>0.42</v>
      </c>
      <c r="AG170" s="138">
        <v>2.5</v>
      </c>
      <c r="AH170" s="53"/>
      <c r="AI170" s="54"/>
      <c r="AK170" s="55"/>
    </row>
    <row r="171" spans="1:37" x14ac:dyDescent="0.25">
      <c r="A171" s="123" t="s">
        <v>175</v>
      </c>
      <c r="B171" s="135">
        <f t="shared" si="45"/>
        <v>0.46</v>
      </c>
      <c r="C171" s="136">
        <v>0.46</v>
      </c>
      <c r="D171" s="135">
        <f t="shared" si="46"/>
        <v>0.46</v>
      </c>
      <c r="E171" s="135">
        <f t="shared" si="46"/>
        <v>0.46</v>
      </c>
      <c r="F171" s="135">
        <f t="shared" si="46"/>
        <v>0.46</v>
      </c>
      <c r="G171" s="135">
        <f t="shared" si="46"/>
        <v>0.46</v>
      </c>
      <c r="H171" s="135">
        <f t="shared" si="46"/>
        <v>0.46</v>
      </c>
      <c r="I171" s="135">
        <f t="shared" si="46"/>
        <v>0.46</v>
      </c>
      <c r="J171" s="135">
        <f t="shared" si="46"/>
        <v>0.46</v>
      </c>
      <c r="K171" s="135">
        <f t="shared" si="46"/>
        <v>0.46</v>
      </c>
      <c r="L171" s="135">
        <f t="shared" si="46"/>
        <v>0.46</v>
      </c>
      <c r="M171" s="135">
        <f t="shared" si="46"/>
        <v>0.46</v>
      </c>
      <c r="N171" s="135">
        <f t="shared" si="46"/>
        <v>0.46</v>
      </c>
      <c r="O171" s="135">
        <f t="shared" si="46"/>
        <v>0.46</v>
      </c>
      <c r="P171" s="135">
        <f t="shared" si="46"/>
        <v>0.46</v>
      </c>
      <c r="Q171" s="135">
        <f t="shared" si="46"/>
        <v>0.46</v>
      </c>
      <c r="R171" s="135">
        <f t="shared" si="46"/>
        <v>0.46</v>
      </c>
      <c r="S171" s="135">
        <f t="shared" si="47"/>
        <v>0.46</v>
      </c>
      <c r="T171" s="135">
        <f t="shared" si="47"/>
        <v>0.46</v>
      </c>
      <c r="U171" s="135">
        <f t="shared" si="47"/>
        <v>0.46</v>
      </c>
      <c r="V171" s="135">
        <f t="shared" si="47"/>
        <v>0.46</v>
      </c>
      <c r="W171" s="135">
        <f t="shared" si="47"/>
        <v>0.46</v>
      </c>
      <c r="X171" s="135">
        <f t="shared" si="47"/>
        <v>0.46</v>
      </c>
      <c r="Y171" s="135">
        <f t="shared" si="47"/>
        <v>0.46</v>
      </c>
      <c r="Z171" s="135">
        <f t="shared" si="47"/>
        <v>0.46</v>
      </c>
      <c r="AA171" s="135">
        <f t="shared" si="47"/>
        <v>0.46</v>
      </c>
      <c r="AB171" s="135">
        <f t="shared" si="47"/>
        <v>0.46</v>
      </c>
      <c r="AC171" s="135">
        <f t="shared" si="47"/>
        <v>0.46</v>
      </c>
      <c r="AD171" s="135">
        <f t="shared" si="47"/>
        <v>0.46</v>
      </c>
      <c r="AE171" s="135">
        <f t="shared" si="47"/>
        <v>0.46</v>
      </c>
      <c r="AF171" s="135">
        <f t="shared" si="47"/>
        <v>0.46</v>
      </c>
      <c r="AG171" s="138">
        <v>2.4</v>
      </c>
      <c r="AH171" s="53"/>
      <c r="AI171" s="54"/>
      <c r="AK171" s="55"/>
    </row>
    <row r="172" spans="1:37" x14ac:dyDescent="0.25">
      <c r="A172" s="123" t="s">
        <v>176</v>
      </c>
      <c r="B172" s="135">
        <f t="shared" si="45"/>
        <v>0.85</v>
      </c>
      <c r="C172" s="136">
        <v>0.85</v>
      </c>
      <c r="D172" s="135">
        <f t="shared" si="46"/>
        <v>0.85</v>
      </c>
      <c r="E172" s="135">
        <f t="shared" si="46"/>
        <v>0.85</v>
      </c>
      <c r="F172" s="135">
        <f t="shared" si="46"/>
        <v>0.85</v>
      </c>
      <c r="G172" s="135">
        <f t="shared" si="46"/>
        <v>0.85</v>
      </c>
      <c r="H172" s="135">
        <f t="shared" si="46"/>
        <v>0.85</v>
      </c>
      <c r="I172" s="135">
        <f t="shared" si="46"/>
        <v>0.85</v>
      </c>
      <c r="J172" s="135">
        <f t="shared" si="46"/>
        <v>0.85</v>
      </c>
      <c r="K172" s="135">
        <f t="shared" si="46"/>
        <v>0.85</v>
      </c>
      <c r="L172" s="135">
        <f t="shared" si="46"/>
        <v>0.85</v>
      </c>
      <c r="M172" s="135">
        <f t="shared" si="46"/>
        <v>0.85</v>
      </c>
      <c r="N172" s="135">
        <f t="shared" si="46"/>
        <v>0.85</v>
      </c>
      <c r="O172" s="135">
        <f t="shared" si="46"/>
        <v>0.85</v>
      </c>
      <c r="P172" s="135">
        <f t="shared" si="46"/>
        <v>0.85</v>
      </c>
      <c r="Q172" s="135">
        <f t="shared" si="46"/>
        <v>0.85</v>
      </c>
      <c r="R172" s="135">
        <f t="shared" si="46"/>
        <v>0.85</v>
      </c>
      <c r="S172" s="135">
        <f t="shared" si="47"/>
        <v>0.85</v>
      </c>
      <c r="T172" s="135">
        <f t="shared" si="47"/>
        <v>0.85</v>
      </c>
      <c r="U172" s="135">
        <f t="shared" si="47"/>
        <v>0.85</v>
      </c>
      <c r="V172" s="135">
        <f t="shared" si="47"/>
        <v>0.85</v>
      </c>
      <c r="W172" s="135">
        <f t="shared" si="47"/>
        <v>0.85</v>
      </c>
      <c r="X172" s="135">
        <f t="shared" si="47"/>
        <v>0.85</v>
      </c>
      <c r="Y172" s="135">
        <f t="shared" si="47"/>
        <v>0.85</v>
      </c>
      <c r="Z172" s="135">
        <f t="shared" si="47"/>
        <v>0.85</v>
      </c>
      <c r="AA172" s="135">
        <f t="shared" si="47"/>
        <v>0.85</v>
      </c>
      <c r="AB172" s="135">
        <f t="shared" si="47"/>
        <v>0.85</v>
      </c>
      <c r="AC172" s="135">
        <f t="shared" si="47"/>
        <v>0.85</v>
      </c>
      <c r="AD172" s="135">
        <f t="shared" si="47"/>
        <v>0.85</v>
      </c>
      <c r="AE172" s="135">
        <f t="shared" si="47"/>
        <v>0.85</v>
      </c>
      <c r="AF172" s="135">
        <f t="shared" si="47"/>
        <v>0.85</v>
      </c>
      <c r="AG172" s="138">
        <v>2.4</v>
      </c>
      <c r="AH172" s="53"/>
      <c r="AI172" s="54"/>
      <c r="AK172" s="55"/>
    </row>
    <row r="173" spans="1:37" x14ac:dyDescent="0.25">
      <c r="A173" s="123" t="s">
        <v>177</v>
      </c>
      <c r="B173" s="135">
        <f t="shared" si="45"/>
        <v>0.9</v>
      </c>
      <c r="C173" s="136">
        <v>0.9</v>
      </c>
      <c r="D173" s="135">
        <f t="shared" si="46"/>
        <v>0.9</v>
      </c>
      <c r="E173" s="135">
        <f t="shared" si="46"/>
        <v>0.9</v>
      </c>
      <c r="F173" s="135">
        <f t="shared" si="46"/>
        <v>0.9</v>
      </c>
      <c r="G173" s="135">
        <f t="shared" si="46"/>
        <v>0.9</v>
      </c>
      <c r="H173" s="135">
        <f t="shared" si="46"/>
        <v>0.9</v>
      </c>
      <c r="I173" s="135">
        <f t="shared" si="46"/>
        <v>0.9</v>
      </c>
      <c r="J173" s="135">
        <f t="shared" si="46"/>
        <v>0.9</v>
      </c>
      <c r="K173" s="135">
        <f t="shared" si="46"/>
        <v>0.9</v>
      </c>
      <c r="L173" s="135">
        <f t="shared" si="46"/>
        <v>0.9</v>
      </c>
      <c r="M173" s="135">
        <f t="shared" si="46"/>
        <v>0.9</v>
      </c>
      <c r="N173" s="135">
        <f t="shared" si="46"/>
        <v>0.9</v>
      </c>
      <c r="O173" s="135">
        <f t="shared" si="46"/>
        <v>0.9</v>
      </c>
      <c r="P173" s="135">
        <f t="shared" si="46"/>
        <v>0.9</v>
      </c>
      <c r="Q173" s="135">
        <f t="shared" si="46"/>
        <v>0.9</v>
      </c>
      <c r="R173" s="135">
        <f t="shared" si="46"/>
        <v>0.9</v>
      </c>
      <c r="S173" s="135">
        <f t="shared" si="47"/>
        <v>0.9</v>
      </c>
      <c r="T173" s="135">
        <f t="shared" si="47"/>
        <v>0.9</v>
      </c>
      <c r="U173" s="135">
        <f t="shared" si="47"/>
        <v>0.9</v>
      </c>
      <c r="V173" s="135">
        <f t="shared" si="47"/>
        <v>0.9</v>
      </c>
      <c r="W173" s="135">
        <f t="shared" si="47"/>
        <v>0.9</v>
      </c>
      <c r="X173" s="135">
        <f t="shared" si="47"/>
        <v>0.9</v>
      </c>
      <c r="Y173" s="135">
        <f t="shared" si="47"/>
        <v>0.9</v>
      </c>
      <c r="Z173" s="135">
        <f t="shared" si="47"/>
        <v>0.9</v>
      </c>
      <c r="AA173" s="135">
        <f t="shared" si="47"/>
        <v>0.9</v>
      </c>
      <c r="AB173" s="135">
        <f t="shared" si="47"/>
        <v>0.9</v>
      </c>
      <c r="AC173" s="135">
        <f t="shared" si="47"/>
        <v>0.9</v>
      </c>
      <c r="AD173" s="135">
        <f t="shared" si="47"/>
        <v>0.9</v>
      </c>
      <c r="AE173" s="135">
        <f t="shared" si="47"/>
        <v>0.9</v>
      </c>
      <c r="AF173" s="135">
        <f t="shared" si="47"/>
        <v>0.9</v>
      </c>
      <c r="AG173" s="138">
        <v>2.2000000000000002</v>
      </c>
      <c r="AH173" s="53"/>
      <c r="AI173" s="54"/>
      <c r="AK173" s="55"/>
    </row>
    <row r="174" spans="1:37" x14ac:dyDescent="0.25">
      <c r="A174" s="123" t="s">
        <v>178</v>
      </c>
      <c r="B174" s="135">
        <f t="shared" si="45"/>
        <v>0.44</v>
      </c>
      <c r="C174" s="136">
        <v>0.44</v>
      </c>
      <c r="D174" s="135">
        <f t="shared" si="46"/>
        <v>0.44</v>
      </c>
      <c r="E174" s="135">
        <f t="shared" si="46"/>
        <v>0.44</v>
      </c>
      <c r="F174" s="135">
        <f t="shared" si="46"/>
        <v>0.44</v>
      </c>
      <c r="G174" s="135">
        <f t="shared" si="46"/>
        <v>0.44</v>
      </c>
      <c r="H174" s="135">
        <f t="shared" si="46"/>
        <v>0.44</v>
      </c>
      <c r="I174" s="135">
        <f t="shared" si="46"/>
        <v>0.44</v>
      </c>
      <c r="J174" s="135">
        <f t="shared" si="46"/>
        <v>0.44</v>
      </c>
      <c r="K174" s="135">
        <f t="shared" si="46"/>
        <v>0.44</v>
      </c>
      <c r="L174" s="135">
        <f t="shared" si="46"/>
        <v>0.44</v>
      </c>
      <c r="M174" s="135">
        <f t="shared" si="46"/>
        <v>0.44</v>
      </c>
      <c r="N174" s="135">
        <f t="shared" si="46"/>
        <v>0.44</v>
      </c>
      <c r="O174" s="135">
        <f t="shared" si="46"/>
        <v>0.44</v>
      </c>
      <c r="P174" s="135">
        <f t="shared" si="46"/>
        <v>0.44</v>
      </c>
      <c r="Q174" s="135">
        <f t="shared" si="46"/>
        <v>0.44</v>
      </c>
      <c r="R174" s="135">
        <f t="shared" si="46"/>
        <v>0.44</v>
      </c>
      <c r="S174" s="135">
        <f t="shared" si="47"/>
        <v>0.44</v>
      </c>
      <c r="T174" s="135">
        <f t="shared" si="47"/>
        <v>0.44</v>
      </c>
      <c r="U174" s="135">
        <f t="shared" si="47"/>
        <v>0.44</v>
      </c>
      <c r="V174" s="135">
        <f t="shared" si="47"/>
        <v>0.44</v>
      </c>
      <c r="W174" s="135">
        <f t="shared" si="47"/>
        <v>0.44</v>
      </c>
      <c r="X174" s="135">
        <f t="shared" si="47"/>
        <v>0.44</v>
      </c>
      <c r="Y174" s="135">
        <f t="shared" si="47"/>
        <v>0.44</v>
      </c>
      <c r="Z174" s="135">
        <f t="shared" si="47"/>
        <v>0.44</v>
      </c>
      <c r="AA174" s="135">
        <f t="shared" si="47"/>
        <v>0.44</v>
      </c>
      <c r="AB174" s="135">
        <f t="shared" si="47"/>
        <v>0.44</v>
      </c>
      <c r="AC174" s="135">
        <f t="shared" si="47"/>
        <v>0.44</v>
      </c>
      <c r="AD174" s="135">
        <f t="shared" si="47"/>
        <v>0.44</v>
      </c>
      <c r="AE174" s="135">
        <f t="shared" si="47"/>
        <v>0.44</v>
      </c>
      <c r="AF174" s="135">
        <f t="shared" si="47"/>
        <v>0.44</v>
      </c>
      <c r="AG174" s="138">
        <v>2</v>
      </c>
      <c r="AH174" s="53"/>
      <c r="AI174" s="54"/>
      <c r="AK174" s="55"/>
    </row>
    <row r="175" spans="1:37" x14ac:dyDescent="0.25">
      <c r="A175" s="123" t="s">
        <v>179</v>
      </c>
      <c r="B175" s="135">
        <f t="shared" si="45"/>
        <v>2.1</v>
      </c>
      <c r="C175" s="136">
        <v>2.1</v>
      </c>
      <c r="D175" s="135">
        <f t="shared" si="46"/>
        <v>2.1</v>
      </c>
      <c r="E175" s="135">
        <f t="shared" si="46"/>
        <v>2.1</v>
      </c>
      <c r="F175" s="135">
        <f t="shared" si="46"/>
        <v>2.1</v>
      </c>
      <c r="G175" s="135">
        <f t="shared" si="46"/>
        <v>2.1</v>
      </c>
      <c r="H175" s="135">
        <f t="shared" si="46"/>
        <v>2.1</v>
      </c>
      <c r="I175" s="135">
        <f t="shared" si="46"/>
        <v>2.1</v>
      </c>
      <c r="J175" s="135">
        <f t="shared" si="46"/>
        <v>2.1</v>
      </c>
      <c r="K175" s="135">
        <f t="shared" si="46"/>
        <v>2.1</v>
      </c>
      <c r="L175" s="135">
        <f t="shared" si="46"/>
        <v>2.1</v>
      </c>
      <c r="M175" s="135">
        <f t="shared" si="46"/>
        <v>2.1</v>
      </c>
      <c r="N175" s="135">
        <f t="shared" si="46"/>
        <v>2.1</v>
      </c>
      <c r="O175" s="135">
        <f t="shared" si="46"/>
        <v>2.1</v>
      </c>
      <c r="P175" s="135">
        <f t="shared" si="46"/>
        <v>2.1</v>
      </c>
      <c r="Q175" s="135">
        <f t="shared" si="46"/>
        <v>2.1</v>
      </c>
      <c r="R175" s="135">
        <f t="shared" si="46"/>
        <v>2.1</v>
      </c>
      <c r="S175" s="135">
        <f t="shared" si="47"/>
        <v>2.1</v>
      </c>
      <c r="T175" s="135">
        <f t="shared" si="47"/>
        <v>2.1</v>
      </c>
      <c r="U175" s="135">
        <f t="shared" si="47"/>
        <v>2.1</v>
      </c>
      <c r="V175" s="135">
        <f t="shared" si="47"/>
        <v>2.1</v>
      </c>
      <c r="W175" s="135">
        <f t="shared" si="47"/>
        <v>2.1</v>
      </c>
      <c r="X175" s="135">
        <f t="shared" si="47"/>
        <v>2.1</v>
      </c>
      <c r="Y175" s="135">
        <f t="shared" si="47"/>
        <v>2.1</v>
      </c>
      <c r="Z175" s="135">
        <f t="shared" si="47"/>
        <v>2.1</v>
      </c>
      <c r="AA175" s="135">
        <f t="shared" si="47"/>
        <v>2.1</v>
      </c>
      <c r="AB175" s="135">
        <f t="shared" si="47"/>
        <v>2.1</v>
      </c>
      <c r="AC175" s="135">
        <f t="shared" si="47"/>
        <v>2.1</v>
      </c>
      <c r="AD175" s="135">
        <f t="shared" si="47"/>
        <v>2.1</v>
      </c>
      <c r="AE175" s="135">
        <f t="shared" si="47"/>
        <v>2.1</v>
      </c>
      <c r="AF175" s="135">
        <f t="shared" si="47"/>
        <v>2.1</v>
      </c>
      <c r="AG175" s="138">
        <v>2</v>
      </c>
      <c r="AH175" s="53"/>
      <c r="AI175" s="54"/>
      <c r="AK175" s="55"/>
    </row>
    <row r="176" spans="1:37" x14ac:dyDescent="0.25">
      <c r="A176" s="123" t="s">
        <v>180</v>
      </c>
      <c r="B176" s="135">
        <f t="shared" si="45"/>
        <v>0.9</v>
      </c>
      <c r="C176" s="136">
        <v>0.9</v>
      </c>
      <c r="D176" s="135">
        <f t="shared" si="46"/>
        <v>0.9</v>
      </c>
      <c r="E176" s="135">
        <f t="shared" si="46"/>
        <v>0.9</v>
      </c>
      <c r="F176" s="135">
        <f t="shared" si="46"/>
        <v>0.9</v>
      </c>
      <c r="G176" s="135">
        <f t="shared" si="46"/>
        <v>0.9</v>
      </c>
      <c r="H176" s="135">
        <f t="shared" si="46"/>
        <v>0.9</v>
      </c>
      <c r="I176" s="135">
        <f t="shared" si="46"/>
        <v>0.9</v>
      </c>
      <c r="J176" s="135">
        <f t="shared" si="46"/>
        <v>0.9</v>
      </c>
      <c r="K176" s="135">
        <f t="shared" si="46"/>
        <v>0.9</v>
      </c>
      <c r="L176" s="135">
        <f t="shared" si="46"/>
        <v>0.9</v>
      </c>
      <c r="M176" s="135">
        <f t="shared" si="46"/>
        <v>0.9</v>
      </c>
      <c r="N176" s="135">
        <f t="shared" si="46"/>
        <v>0.9</v>
      </c>
      <c r="O176" s="135">
        <f t="shared" si="46"/>
        <v>0.9</v>
      </c>
      <c r="P176" s="135">
        <f t="shared" si="46"/>
        <v>0.9</v>
      </c>
      <c r="Q176" s="135">
        <f t="shared" si="46"/>
        <v>0.9</v>
      </c>
      <c r="R176" s="135">
        <f t="shared" si="46"/>
        <v>0.9</v>
      </c>
      <c r="S176" s="135">
        <f t="shared" si="47"/>
        <v>0.9</v>
      </c>
      <c r="T176" s="135">
        <f t="shared" si="47"/>
        <v>0.9</v>
      </c>
      <c r="U176" s="135">
        <f t="shared" si="47"/>
        <v>0.9</v>
      </c>
      <c r="V176" s="135">
        <f t="shared" si="47"/>
        <v>0.9</v>
      </c>
      <c r="W176" s="135">
        <f t="shared" si="47"/>
        <v>0.9</v>
      </c>
      <c r="X176" s="135">
        <f t="shared" si="47"/>
        <v>0.9</v>
      </c>
      <c r="Y176" s="135">
        <f t="shared" si="47"/>
        <v>0.9</v>
      </c>
      <c r="Z176" s="135">
        <f t="shared" si="47"/>
        <v>0.9</v>
      </c>
      <c r="AA176" s="135">
        <f t="shared" si="47"/>
        <v>0.9</v>
      </c>
      <c r="AB176" s="135">
        <f t="shared" si="47"/>
        <v>0.9</v>
      </c>
      <c r="AC176" s="135">
        <f t="shared" si="47"/>
        <v>0.9</v>
      </c>
      <c r="AD176" s="135">
        <f t="shared" si="47"/>
        <v>0.9</v>
      </c>
      <c r="AE176" s="135">
        <f t="shared" si="47"/>
        <v>0.9</v>
      </c>
      <c r="AF176" s="135">
        <f t="shared" si="47"/>
        <v>0.9</v>
      </c>
      <c r="AG176" s="138">
        <v>2</v>
      </c>
      <c r="AH176" s="53"/>
      <c r="AI176" s="54"/>
      <c r="AK176" s="55"/>
    </row>
    <row r="177" spans="1:37" x14ac:dyDescent="0.25">
      <c r="A177" s="123" t="s">
        <v>181</v>
      </c>
      <c r="B177" s="135"/>
      <c r="C177" s="136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8">
        <v>1.8</v>
      </c>
      <c r="AH177" s="53"/>
      <c r="AI177" s="54"/>
      <c r="AK177" s="55"/>
    </row>
    <row r="178" spans="1:37" x14ac:dyDescent="0.25">
      <c r="A178" s="123" t="s">
        <v>182</v>
      </c>
      <c r="B178" s="135">
        <f t="shared" ref="B178:B190" si="48">AF178</f>
        <v>0.57999999999999996</v>
      </c>
      <c r="C178" s="136">
        <v>0.57999999999999996</v>
      </c>
      <c r="D178" s="135">
        <f t="shared" ref="D178:S190" si="49">C178</f>
        <v>0.57999999999999996</v>
      </c>
      <c r="E178" s="135">
        <f t="shared" si="49"/>
        <v>0.57999999999999996</v>
      </c>
      <c r="F178" s="135">
        <f t="shared" si="49"/>
        <v>0.57999999999999996</v>
      </c>
      <c r="G178" s="135">
        <f t="shared" si="49"/>
        <v>0.57999999999999996</v>
      </c>
      <c r="H178" s="135">
        <f t="shared" si="49"/>
        <v>0.57999999999999996</v>
      </c>
      <c r="I178" s="135">
        <f t="shared" si="49"/>
        <v>0.57999999999999996</v>
      </c>
      <c r="J178" s="135">
        <f t="shared" si="49"/>
        <v>0.57999999999999996</v>
      </c>
      <c r="K178" s="135">
        <f t="shared" si="49"/>
        <v>0.57999999999999996</v>
      </c>
      <c r="L178" s="135">
        <f t="shared" si="49"/>
        <v>0.57999999999999996</v>
      </c>
      <c r="M178" s="135">
        <f t="shared" si="49"/>
        <v>0.57999999999999996</v>
      </c>
      <c r="N178" s="135">
        <f t="shared" si="49"/>
        <v>0.57999999999999996</v>
      </c>
      <c r="O178" s="135">
        <f t="shared" si="49"/>
        <v>0.57999999999999996</v>
      </c>
      <c r="P178" s="135">
        <f t="shared" si="49"/>
        <v>0.57999999999999996</v>
      </c>
      <c r="Q178" s="135">
        <f t="shared" si="49"/>
        <v>0.57999999999999996</v>
      </c>
      <c r="R178" s="135">
        <f t="shared" si="49"/>
        <v>0.57999999999999996</v>
      </c>
      <c r="S178" s="135">
        <f t="shared" si="49"/>
        <v>0.57999999999999996</v>
      </c>
      <c r="T178" s="135">
        <f t="shared" ref="S178:AF190" si="50">S178</f>
        <v>0.57999999999999996</v>
      </c>
      <c r="U178" s="135">
        <f t="shared" si="50"/>
        <v>0.57999999999999996</v>
      </c>
      <c r="V178" s="135">
        <f t="shared" si="50"/>
        <v>0.57999999999999996</v>
      </c>
      <c r="W178" s="135">
        <f t="shared" si="50"/>
        <v>0.57999999999999996</v>
      </c>
      <c r="X178" s="135">
        <f t="shared" si="50"/>
        <v>0.57999999999999996</v>
      </c>
      <c r="Y178" s="135">
        <f t="shared" si="50"/>
        <v>0.57999999999999996</v>
      </c>
      <c r="Z178" s="135">
        <f t="shared" si="50"/>
        <v>0.57999999999999996</v>
      </c>
      <c r="AA178" s="135">
        <f t="shared" si="50"/>
        <v>0.57999999999999996</v>
      </c>
      <c r="AB178" s="135">
        <f t="shared" si="50"/>
        <v>0.57999999999999996</v>
      </c>
      <c r="AC178" s="135">
        <f t="shared" si="50"/>
        <v>0.57999999999999996</v>
      </c>
      <c r="AD178" s="135">
        <f t="shared" si="50"/>
        <v>0.57999999999999996</v>
      </c>
      <c r="AE178" s="135">
        <f t="shared" si="50"/>
        <v>0.57999999999999996</v>
      </c>
      <c r="AF178" s="135">
        <f t="shared" si="50"/>
        <v>0.57999999999999996</v>
      </c>
      <c r="AG178" s="138">
        <v>1.8</v>
      </c>
      <c r="AH178" s="53"/>
      <c r="AI178" s="54"/>
      <c r="AK178" s="55"/>
    </row>
    <row r="179" spans="1:37" x14ac:dyDescent="0.25">
      <c r="A179" s="123" t="s">
        <v>183</v>
      </c>
      <c r="B179" s="135">
        <f t="shared" si="48"/>
        <v>0.8</v>
      </c>
      <c r="C179" s="136">
        <v>0.8</v>
      </c>
      <c r="D179" s="135">
        <f t="shared" si="49"/>
        <v>0.8</v>
      </c>
      <c r="E179" s="135">
        <f t="shared" si="49"/>
        <v>0.8</v>
      </c>
      <c r="F179" s="135">
        <f t="shared" si="49"/>
        <v>0.8</v>
      </c>
      <c r="G179" s="135">
        <f t="shared" si="49"/>
        <v>0.8</v>
      </c>
      <c r="H179" s="135">
        <f t="shared" si="49"/>
        <v>0.8</v>
      </c>
      <c r="I179" s="135">
        <f t="shared" si="49"/>
        <v>0.8</v>
      </c>
      <c r="J179" s="135">
        <f t="shared" si="49"/>
        <v>0.8</v>
      </c>
      <c r="K179" s="135">
        <f t="shared" si="49"/>
        <v>0.8</v>
      </c>
      <c r="L179" s="135">
        <f t="shared" si="49"/>
        <v>0.8</v>
      </c>
      <c r="M179" s="135">
        <f t="shared" si="49"/>
        <v>0.8</v>
      </c>
      <c r="N179" s="135">
        <f t="shared" si="49"/>
        <v>0.8</v>
      </c>
      <c r="O179" s="135">
        <f t="shared" si="49"/>
        <v>0.8</v>
      </c>
      <c r="P179" s="135">
        <f t="shared" si="49"/>
        <v>0.8</v>
      </c>
      <c r="Q179" s="135">
        <f t="shared" si="49"/>
        <v>0.8</v>
      </c>
      <c r="R179" s="135">
        <f t="shared" si="49"/>
        <v>0.8</v>
      </c>
      <c r="S179" s="135">
        <f t="shared" si="49"/>
        <v>0.8</v>
      </c>
      <c r="T179" s="135">
        <f t="shared" si="50"/>
        <v>0.8</v>
      </c>
      <c r="U179" s="135">
        <f t="shared" si="50"/>
        <v>0.8</v>
      </c>
      <c r="V179" s="135">
        <f t="shared" si="50"/>
        <v>0.8</v>
      </c>
      <c r="W179" s="135">
        <f t="shared" si="50"/>
        <v>0.8</v>
      </c>
      <c r="X179" s="135">
        <f t="shared" si="50"/>
        <v>0.8</v>
      </c>
      <c r="Y179" s="135">
        <f t="shared" si="50"/>
        <v>0.8</v>
      </c>
      <c r="Z179" s="135">
        <f t="shared" si="50"/>
        <v>0.8</v>
      </c>
      <c r="AA179" s="135">
        <f t="shared" si="50"/>
        <v>0.8</v>
      </c>
      <c r="AB179" s="135">
        <f t="shared" si="50"/>
        <v>0.8</v>
      </c>
      <c r="AC179" s="135">
        <f t="shared" si="50"/>
        <v>0.8</v>
      </c>
      <c r="AD179" s="135">
        <f t="shared" si="50"/>
        <v>0.8</v>
      </c>
      <c r="AE179" s="135">
        <f t="shared" si="50"/>
        <v>0.8</v>
      </c>
      <c r="AF179" s="135">
        <f t="shared" si="50"/>
        <v>0.8</v>
      </c>
      <c r="AG179" s="138">
        <v>1.65</v>
      </c>
      <c r="AH179" s="53"/>
      <c r="AI179" s="54"/>
      <c r="AK179" s="55"/>
    </row>
    <row r="180" spans="1:37" x14ac:dyDescent="0.25">
      <c r="A180" s="123" t="s">
        <v>184</v>
      </c>
      <c r="B180" s="135">
        <f t="shared" si="48"/>
        <v>0</v>
      </c>
      <c r="C180" s="136">
        <v>0</v>
      </c>
      <c r="D180" s="135">
        <f t="shared" si="49"/>
        <v>0</v>
      </c>
      <c r="E180" s="135">
        <f t="shared" si="49"/>
        <v>0</v>
      </c>
      <c r="F180" s="135">
        <f t="shared" si="49"/>
        <v>0</v>
      </c>
      <c r="G180" s="135">
        <f t="shared" si="49"/>
        <v>0</v>
      </c>
      <c r="H180" s="135">
        <f t="shared" si="49"/>
        <v>0</v>
      </c>
      <c r="I180" s="135">
        <f t="shared" si="49"/>
        <v>0</v>
      </c>
      <c r="J180" s="135">
        <f t="shared" si="49"/>
        <v>0</v>
      </c>
      <c r="K180" s="135">
        <f t="shared" si="49"/>
        <v>0</v>
      </c>
      <c r="L180" s="135">
        <f t="shared" si="49"/>
        <v>0</v>
      </c>
      <c r="M180" s="135">
        <f t="shared" si="49"/>
        <v>0</v>
      </c>
      <c r="N180" s="135">
        <f t="shared" si="49"/>
        <v>0</v>
      </c>
      <c r="O180" s="135">
        <f t="shared" si="49"/>
        <v>0</v>
      </c>
      <c r="P180" s="135">
        <f t="shared" si="49"/>
        <v>0</v>
      </c>
      <c r="Q180" s="135">
        <f t="shared" si="49"/>
        <v>0</v>
      </c>
      <c r="R180" s="135">
        <f t="shared" si="49"/>
        <v>0</v>
      </c>
      <c r="S180" s="135">
        <f t="shared" si="49"/>
        <v>0</v>
      </c>
      <c r="T180" s="135">
        <f t="shared" si="50"/>
        <v>0</v>
      </c>
      <c r="U180" s="135">
        <f t="shared" si="50"/>
        <v>0</v>
      </c>
      <c r="V180" s="135">
        <f t="shared" si="50"/>
        <v>0</v>
      </c>
      <c r="W180" s="135">
        <f t="shared" si="50"/>
        <v>0</v>
      </c>
      <c r="X180" s="135">
        <f t="shared" si="50"/>
        <v>0</v>
      </c>
      <c r="Y180" s="135">
        <f t="shared" si="50"/>
        <v>0</v>
      </c>
      <c r="Z180" s="135">
        <f t="shared" si="50"/>
        <v>0</v>
      </c>
      <c r="AA180" s="135">
        <f t="shared" si="50"/>
        <v>0</v>
      </c>
      <c r="AB180" s="135">
        <f t="shared" si="50"/>
        <v>0</v>
      </c>
      <c r="AC180" s="135">
        <f t="shared" si="50"/>
        <v>0</v>
      </c>
      <c r="AD180" s="135">
        <f t="shared" si="50"/>
        <v>0</v>
      </c>
      <c r="AE180" s="135">
        <f t="shared" si="50"/>
        <v>0</v>
      </c>
      <c r="AF180" s="135">
        <f t="shared" si="50"/>
        <v>0</v>
      </c>
      <c r="AG180" s="138">
        <v>1.5</v>
      </c>
      <c r="AH180" s="53"/>
      <c r="AI180" s="54"/>
      <c r="AK180" s="55"/>
    </row>
    <row r="181" spans="1:37" x14ac:dyDescent="0.25">
      <c r="A181" s="123" t="s">
        <v>185</v>
      </c>
      <c r="B181" s="135">
        <f t="shared" si="48"/>
        <v>0.6</v>
      </c>
      <c r="C181" s="136">
        <v>0.6</v>
      </c>
      <c r="D181" s="135">
        <f t="shared" si="49"/>
        <v>0.6</v>
      </c>
      <c r="E181" s="135">
        <f t="shared" si="49"/>
        <v>0.6</v>
      </c>
      <c r="F181" s="135">
        <f t="shared" si="49"/>
        <v>0.6</v>
      </c>
      <c r="G181" s="135">
        <f t="shared" si="49"/>
        <v>0.6</v>
      </c>
      <c r="H181" s="135">
        <f t="shared" si="49"/>
        <v>0.6</v>
      </c>
      <c r="I181" s="135">
        <f t="shared" si="49"/>
        <v>0.6</v>
      </c>
      <c r="J181" s="135">
        <f t="shared" si="49"/>
        <v>0.6</v>
      </c>
      <c r="K181" s="135">
        <f t="shared" si="49"/>
        <v>0.6</v>
      </c>
      <c r="L181" s="135">
        <f t="shared" si="49"/>
        <v>0.6</v>
      </c>
      <c r="M181" s="135">
        <f t="shared" si="49"/>
        <v>0.6</v>
      </c>
      <c r="N181" s="135">
        <f t="shared" si="49"/>
        <v>0.6</v>
      </c>
      <c r="O181" s="135">
        <f t="shared" si="49"/>
        <v>0.6</v>
      </c>
      <c r="P181" s="135">
        <f t="shared" si="49"/>
        <v>0.6</v>
      </c>
      <c r="Q181" s="135">
        <f t="shared" si="49"/>
        <v>0.6</v>
      </c>
      <c r="R181" s="135">
        <f t="shared" si="49"/>
        <v>0.6</v>
      </c>
      <c r="S181" s="135">
        <f t="shared" si="49"/>
        <v>0.6</v>
      </c>
      <c r="T181" s="135">
        <f t="shared" si="50"/>
        <v>0.6</v>
      </c>
      <c r="U181" s="135">
        <f t="shared" si="50"/>
        <v>0.6</v>
      </c>
      <c r="V181" s="135">
        <f t="shared" si="50"/>
        <v>0.6</v>
      </c>
      <c r="W181" s="135">
        <f t="shared" si="50"/>
        <v>0.6</v>
      </c>
      <c r="X181" s="135">
        <f t="shared" si="50"/>
        <v>0.6</v>
      </c>
      <c r="Y181" s="135">
        <f t="shared" si="50"/>
        <v>0.6</v>
      </c>
      <c r="Z181" s="135">
        <f t="shared" si="50"/>
        <v>0.6</v>
      </c>
      <c r="AA181" s="135">
        <f t="shared" si="50"/>
        <v>0.6</v>
      </c>
      <c r="AB181" s="135">
        <f t="shared" si="50"/>
        <v>0.6</v>
      </c>
      <c r="AC181" s="135">
        <f t="shared" si="50"/>
        <v>0.6</v>
      </c>
      <c r="AD181" s="135">
        <f t="shared" si="50"/>
        <v>0.6</v>
      </c>
      <c r="AE181" s="135">
        <f t="shared" si="50"/>
        <v>0.6</v>
      </c>
      <c r="AF181" s="135">
        <f t="shared" si="50"/>
        <v>0.6</v>
      </c>
      <c r="AG181" s="138">
        <v>0.998</v>
      </c>
      <c r="AH181" s="53"/>
      <c r="AI181" s="54"/>
      <c r="AK181" s="55"/>
    </row>
    <row r="182" spans="1:37" x14ac:dyDescent="0.25">
      <c r="A182" s="123" t="s">
        <v>186</v>
      </c>
      <c r="B182" s="135">
        <f t="shared" si="48"/>
        <v>0.6</v>
      </c>
      <c r="C182" s="136">
        <v>0.6</v>
      </c>
      <c r="D182" s="135">
        <f t="shared" si="49"/>
        <v>0.6</v>
      </c>
      <c r="E182" s="135">
        <f t="shared" si="49"/>
        <v>0.6</v>
      </c>
      <c r="F182" s="135">
        <f t="shared" si="49"/>
        <v>0.6</v>
      </c>
      <c r="G182" s="135">
        <f t="shared" si="49"/>
        <v>0.6</v>
      </c>
      <c r="H182" s="135">
        <f t="shared" si="49"/>
        <v>0.6</v>
      </c>
      <c r="I182" s="135">
        <f t="shared" si="49"/>
        <v>0.6</v>
      </c>
      <c r="J182" s="135">
        <f t="shared" si="49"/>
        <v>0.6</v>
      </c>
      <c r="K182" s="135">
        <f t="shared" si="49"/>
        <v>0.6</v>
      </c>
      <c r="L182" s="135">
        <f t="shared" si="49"/>
        <v>0.6</v>
      </c>
      <c r="M182" s="135">
        <f t="shared" si="49"/>
        <v>0.6</v>
      </c>
      <c r="N182" s="135">
        <f t="shared" si="49"/>
        <v>0.6</v>
      </c>
      <c r="O182" s="135">
        <f t="shared" si="49"/>
        <v>0.6</v>
      </c>
      <c r="P182" s="135">
        <f t="shared" si="49"/>
        <v>0.6</v>
      </c>
      <c r="Q182" s="135">
        <f t="shared" si="49"/>
        <v>0.6</v>
      </c>
      <c r="R182" s="135">
        <f t="shared" si="49"/>
        <v>0.6</v>
      </c>
      <c r="S182" s="135">
        <f t="shared" si="49"/>
        <v>0.6</v>
      </c>
      <c r="T182" s="135">
        <f t="shared" si="50"/>
        <v>0.6</v>
      </c>
      <c r="U182" s="135">
        <f t="shared" si="50"/>
        <v>0.6</v>
      </c>
      <c r="V182" s="135">
        <f t="shared" si="50"/>
        <v>0.6</v>
      </c>
      <c r="W182" s="135">
        <f t="shared" si="50"/>
        <v>0.6</v>
      </c>
      <c r="X182" s="135">
        <f t="shared" si="50"/>
        <v>0.6</v>
      </c>
      <c r="Y182" s="135">
        <f t="shared" si="50"/>
        <v>0.6</v>
      </c>
      <c r="Z182" s="135">
        <f t="shared" si="50"/>
        <v>0.6</v>
      </c>
      <c r="AA182" s="135">
        <f t="shared" si="50"/>
        <v>0.6</v>
      </c>
      <c r="AB182" s="135">
        <f t="shared" si="50"/>
        <v>0.6</v>
      </c>
      <c r="AC182" s="135">
        <f t="shared" si="50"/>
        <v>0.6</v>
      </c>
      <c r="AD182" s="135">
        <f t="shared" si="50"/>
        <v>0.6</v>
      </c>
      <c r="AE182" s="135">
        <f t="shared" si="50"/>
        <v>0.6</v>
      </c>
      <c r="AF182" s="135">
        <f t="shared" si="50"/>
        <v>0.6</v>
      </c>
      <c r="AG182" s="138">
        <v>0.997</v>
      </c>
      <c r="AH182" s="53"/>
      <c r="AI182" s="54"/>
      <c r="AK182" s="55"/>
    </row>
    <row r="183" spans="1:37" x14ac:dyDescent="0.25">
      <c r="A183" s="123" t="s">
        <v>187</v>
      </c>
      <c r="B183" s="135">
        <f t="shared" si="48"/>
        <v>0.35</v>
      </c>
      <c r="C183" s="136">
        <v>0.35</v>
      </c>
      <c r="D183" s="135">
        <f t="shared" si="49"/>
        <v>0.35</v>
      </c>
      <c r="E183" s="135">
        <f t="shared" si="49"/>
        <v>0.35</v>
      </c>
      <c r="F183" s="135">
        <f t="shared" si="49"/>
        <v>0.35</v>
      </c>
      <c r="G183" s="135">
        <f t="shared" si="49"/>
        <v>0.35</v>
      </c>
      <c r="H183" s="135">
        <f t="shared" si="49"/>
        <v>0.35</v>
      </c>
      <c r="I183" s="135">
        <f t="shared" si="49"/>
        <v>0.35</v>
      </c>
      <c r="J183" s="135">
        <f t="shared" si="49"/>
        <v>0.35</v>
      </c>
      <c r="K183" s="135">
        <f t="shared" si="49"/>
        <v>0.35</v>
      </c>
      <c r="L183" s="135">
        <f t="shared" si="49"/>
        <v>0.35</v>
      </c>
      <c r="M183" s="135">
        <f t="shared" si="49"/>
        <v>0.35</v>
      </c>
      <c r="N183" s="135">
        <f t="shared" si="49"/>
        <v>0.35</v>
      </c>
      <c r="O183" s="135">
        <f t="shared" si="49"/>
        <v>0.35</v>
      </c>
      <c r="P183" s="135">
        <f t="shared" si="49"/>
        <v>0.35</v>
      </c>
      <c r="Q183" s="135">
        <f t="shared" si="49"/>
        <v>0.35</v>
      </c>
      <c r="R183" s="135">
        <f t="shared" si="49"/>
        <v>0.35</v>
      </c>
      <c r="S183" s="135">
        <f t="shared" si="49"/>
        <v>0.35</v>
      </c>
      <c r="T183" s="135">
        <f t="shared" si="50"/>
        <v>0.35</v>
      </c>
      <c r="U183" s="135">
        <f t="shared" si="50"/>
        <v>0.35</v>
      </c>
      <c r="V183" s="135">
        <f t="shared" si="50"/>
        <v>0.35</v>
      </c>
      <c r="W183" s="135">
        <f t="shared" si="50"/>
        <v>0.35</v>
      </c>
      <c r="X183" s="135">
        <f t="shared" si="50"/>
        <v>0.35</v>
      </c>
      <c r="Y183" s="135">
        <f t="shared" si="50"/>
        <v>0.35</v>
      </c>
      <c r="Z183" s="135">
        <f t="shared" si="50"/>
        <v>0.35</v>
      </c>
      <c r="AA183" s="135">
        <f t="shared" si="50"/>
        <v>0.35</v>
      </c>
      <c r="AB183" s="135">
        <f t="shared" si="50"/>
        <v>0.35</v>
      </c>
      <c r="AC183" s="135">
        <f t="shared" si="50"/>
        <v>0.35</v>
      </c>
      <c r="AD183" s="135">
        <f t="shared" si="50"/>
        <v>0.35</v>
      </c>
      <c r="AE183" s="135">
        <f t="shared" si="50"/>
        <v>0.35</v>
      </c>
      <c r="AF183" s="135">
        <f t="shared" si="50"/>
        <v>0.35</v>
      </c>
      <c r="AG183" s="138">
        <v>0.997</v>
      </c>
      <c r="AH183" s="53"/>
      <c r="AI183" s="54"/>
      <c r="AK183" s="55"/>
    </row>
    <row r="184" spans="1:37" x14ac:dyDescent="0.25">
      <c r="A184" s="123" t="s">
        <v>188</v>
      </c>
      <c r="B184" s="135">
        <f t="shared" si="48"/>
        <v>0.28999999999999998</v>
      </c>
      <c r="C184" s="136">
        <v>0.28999999999999998</v>
      </c>
      <c r="D184" s="135">
        <f t="shared" si="49"/>
        <v>0.28999999999999998</v>
      </c>
      <c r="E184" s="135">
        <f t="shared" si="49"/>
        <v>0.28999999999999998</v>
      </c>
      <c r="F184" s="135">
        <f t="shared" si="49"/>
        <v>0.28999999999999998</v>
      </c>
      <c r="G184" s="135">
        <f t="shared" si="49"/>
        <v>0.28999999999999998</v>
      </c>
      <c r="H184" s="135">
        <f t="shared" si="49"/>
        <v>0.28999999999999998</v>
      </c>
      <c r="I184" s="135">
        <f t="shared" si="49"/>
        <v>0.28999999999999998</v>
      </c>
      <c r="J184" s="135">
        <f t="shared" si="49"/>
        <v>0.28999999999999998</v>
      </c>
      <c r="K184" s="135">
        <f t="shared" si="49"/>
        <v>0.28999999999999998</v>
      </c>
      <c r="L184" s="135">
        <f t="shared" si="49"/>
        <v>0.28999999999999998</v>
      </c>
      <c r="M184" s="135">
        <f t="shared" si="49"/>
        <v>0.28999999999999998</v>
      </c>
      <c r="N184" s="135">
        <f t="shared" si="49"/>
        <v>0.28999999999999998</v>
      </c>
      <c r="O184" s="135">
        <f t="shared" si="49"/>
        <v>0.28999999999999998</v>
      </c>
      <c r="P184" s="135">
        <f t="shared" si="49"/>
        <v>0.28999999999999998</v>
      </c>
      <c r="Q184" s="135">
        <f t="shared" si="49"/>
        <v>0.28999999999999998</v>
      </c>
      <c r="R184" s="135">
        <f t="shared" si="49"/>
        <v>0.28999999999999998</v>
      </c>
      <c r="S184" s="135">
        <f t="shared" si="49"/>
        <v>0.28999999999999998</v>
      </c>
      <c r="T184" s="135">
        <f t="shared" si="50"/>
        <v>0.28999999999999998</v>
      </c>
      <c r="U184" s="135">
        <f t="shared" si="50"/>
        <v>0.28999999999999998</v>
      </c>
      <c r="V184" s="135">
        <f t="shared" si="50"/>
        <v>0.28999999999999998</v>
      </c>
      <c r="W184" s="135">
        <f t="shared" si="50"/>
        <v>0.28999999999999998</v>
      </c>
      <c r="X184" s="135">
        <f t="shared" si="50"/>
        <v>0.28999999999999998</v>
      </c>
      <c r="Y184" s="135">
        <f t="shared" si="50"/>
        <v>0.28999999999999998</v>
      </c>
      <c r="Z184" s="135">
        <f t="shared" si="50"/>
        <v>0.28999999999999998</v>
      </c>
      <c r="AA184" s="135">
        <f t="shared" si="50"/>
        <v>0.28999999999999998</v>
      </c>
      <c r="AB184" s="135">
        <f t="shared" si="50"/>
        <v>0.28999999999999998</v>
      </c>
      <c r="AC184" s="135">
        <f t="shared" si="50"/>
        <v>0.28999999999999998</v>
      </c>
      <c r="AD184" s="135">
        <f t="shared" si="50"/>
        <v>0.28999999999999998</v>
      </c>
      <c r="AE184" s="135">
        <f t="shared" si="50"/>
        <v>0.28999999999999998</v>
      </c>
      <c r="AF184" s="135">
        <f t="shared" si="50"/>
        <v>0.28999999999999998</v>
      </c>
      <c r="AG184" s="138">
        <v>0.996</v>
      </c>
      <c r="AH184" s="53"/>
      <c r="AI184" s="54"/>
      <c r="AK184" s="55"/>
    </row>
    <row r="185" spans="1:37" x14ac:dyDescent="0.25">
      <c r="A185" s="123" t="s">
        <v>189</v>
      </c>
      <c r="B185" s="135">
        <f t="shared" si="48"/>
        <v>0.06</v>
      </c>
      <c r="C185" s="136">
        <v>0.06</v>
      </c>
      <c r="D185" s="135">
        <f t="shared" si="49"/>
        <v>0.06</v>
      </c>
      <c r="E185" s="135">
        <f t="shared" si="49"/>
        <v>0.06</v>
      </c>
      <c r="F185" s="135">
        <f t="shared" si="49"/>
        <v>0.06</v>
      </c>
      <c r="G185" s="135">
        <f t="shared" si="49"/>
        <v>0.06</v>
      </c>
      <c r="H185" s="135">
        <f t="shared" si="49"/>
        <v>0.06</v>
      </c>
      <c r="I185" s="135">
        <f t="shared" si="49"/>
        <v>0.06</v>
      </c>
      <c r="J185" s="135">
        <f t="shared" si="49"/>
        <v>0.06</v>
      </c>
      <c r="K185" s="135">
        <f t="shared" si="49"/>
        <v>0.06</v>
      </c>
      <c r="L185" s="135">
        <f t="shared" si="49"/>
        <v>0.06</v>
      </c>
      <c r="M185" s="135">
        <f t="shared" si="49"/>
        <v>0.06</v>
      </c>
      <c r="N185" s="135">
        <f t="shared" si="49"/>
        <v>0.06</v>
      </c>
      <c r="O185" s="135">
        <f t="shared" si="49"/>
        <v>0.06</v>
      </c>
      <c r="P185" s="135">
        <f t="shared" si="49"/>
        <v>0.06</v>
      </c>
      <c r="Q185" s="135">
        <f t="shared" si="49"/>
        <v>0.06</v>
      </c>
      <c r="R185" s="135">
        <f t="shared" si="49"/>
        <v>0.06</v>
      </c>
      <c r="S185" s="135">
        <f t="shared" si="49"/>
        <v>0.06</v>
      </c>
      <c r="T185" s="135">
        <f t="shared" si="50"/>
        <v>0.06</v>
      </c>
      <c r="U185" s="135">
        <f t="shared" si="50"/>
        <v>0.06</v>
      </c>
      <c r="V185" s="135">
        <f t="shared" si="50"/>
        <v>0.06</v>
      </c>
      <c r="W185" s="135">
        <f t="shared" si="50"/>
        <v>0.06</v>
      </c>
      <c r="X185" s="135">
        <f t="shared" si="50"/>
        <v>0.06</v>
      </c>
      <c r="Y185" s="135">
        <f t="shared" si="50"/>
        <v>0.06</v>
      </c>
      <c r="Z185" s="135">
        <f t="shared" si="50"/>
        <v>0.06</v>
      </c>
      <c r="AA185" s="135">
        <f t="shared" si="50"/>
        <v>0.06</v>
      </c>
      <c r="AB185" s="135">
        <f t="shared" si="50"/>
        <v>0.06</v>
      </c>
      <c r="AC185" s="135">
        <f t="shared" si="50"/>
        <v>0.06</v>
      </c>
      <c r="AD185" s="135">
        <f t="shared" si="50"/>
        <v>0.06</v>
      </c>
      <c r="AE185" s="135">
        <f t="shared" si="50"/>
        <v>0.06</v>
      </c>
      <c r="AF185" s="135">
        <f t="shared" si="50"/>
        <v>0.06</v>
      </c>
      <c r="AG185" s="138">
        <v>0.996</v>
      </c>
      <c r="AH185" s="53"/>
      <c r="AI185" s="54"/>
      <c r="AK185" s="55"/>
    </row>
    <row r="186" spans="1:37" x14ac:dyDescent="0.25">
      <c r="A186" s="123" t="s">
        <v>190</v>
      </c>
      <c r="B186" s="135">
        <f t="shared" si="48"/>
        <v>0.11</v>
      </c>
      <c r="C186" s="136">
        <v>0.11</v>
      </c>
      <c r="D186" s="135">
        <f t="shared" si="49"/>
        <v>0.11</v>
      </c>
      <c r="E186" s="135">
        <f t="shared" si="49"/>
        <v>0.11</v>
      </c>
      <c r="F186" s="135">
        <f t="shared" si="49"/>
        <v>0.11</v>
      </c>
      <c r="G186" s="135">
        <f t="shared" si="49"/>
        <v>0.11</v>
      </c>
      <c r="H186" s="135">
        <f t="shared" si="49"/>
        <v>0.11</v>
      </c>
      <c r="I186" s="135">
        <f t="shared" si="49"/>
        <v>0.11</v>
      </c>
      <c r="J186" s="135">
        <f t="shared" si="49"/>
        <v>0.11</v>
      </c>
      <c r="K186" s="135">
        <f t="shared" si="49"/>
        <v>0.11</v>
      </c>
      <c r="L186" s="135">
        <f t="shared" si="49"/>
        <v>0.11</v>
      </c>
      <c r="M186" s="135">
        <f t="shared" si="49"/>
        <v>0.11</v>
      </c>
      <c r="N186" s="135">
        <f t="shared" si="49"/>
        <v>0.11</v>
      </c>
      <c r="O186" s="135">
        <f t="shared" si="49"/>
        <v>0.11</v>
      </c>
      <c r="P186" s="135">
        <f t="shared" si="49"/>
        <v>0.11</v>
      </c>
      <c r="Q186" s="135">
        <f t="shared" si="49"/>
        <v>0.11</v>
      </c>
      <c r="R186" s="135">
        <f t="shared" si="49"/>
        <v>0.11</v>
      </c>
      <c r="S186" s="135">
        <f t="shared" si="49"/>
        <v>0.11</v>
      </c>
      <c r="T186" s="135">
        <f t="shared" si="50"/>
        <v>0.11</v>
      </c>
      <c r="U186" s="135">
        <f t="shared" si="50"/>
        <v>0.11</v>
      </c>
      <c r="V186" s="135">
        <f t="shared" si="50"/>
        <v>0.11</v>
      </c>
      <c r="W186" s="135">
        <f t="shared" si="50"/>
        <v>0.11</v>
      </c>
      <c r="X186" s="135">
        <f t="shared" si="50"/>
        <v>0.11</v>
      </c>
      <c r="Y186" s="135">
        <f t="shared" si="50"/>
        <v>0.11</v>
      </c>
      <c r="Z186" s="135">
        <f t="shared" si="50"/>
        <v>0.11</v>
      </c>
      <c r="AA186" s="135">
        <f t="shared" si="50"/>
        <v>0.11</v>
      </c>
      <c r="AB186" s="135">
        <f t="shared" si="50"/>
        <v>0.11</v>
      </c>
      <c r="AC186" s="135">
        <f t="shared" si="50"/>
        <v>0.11</v>
      </c>
      <c r="AD186" s="135">
        <f t="shared" si="50"/>
        <v>0.11</v>
      </c>
      <c r="AE186" s="135">
        <f t="shared" si="50"/>
        <v>0.11</v>
      </c>
      <c r="AF186" s="135">
        <f t="shared" si="50"/>
        <v>0.11</v>
      </c>
      <c r="AG186" s="138">
        <v>0.996</v>
      </c>
      <c r="AH186" s="53"/>
      <c r="AI186" s="54"/>
      <c r="AK186" s="55"/>
    </row>
    <row r="187" spans="1:37" x14ac:dyDescent="0.25">
      <c r="A187" s="123" t="s">
        <v>191</v>
      </c>
      <c r="B187" s="135">
        <f t="shared" si="48"/>
        <v>0.1</v>
      </c>
      <c r="C187" s="136">
        <v>0.1</v>
      </c>
      <c r="D187" s="135">
        <f t="shared" si="49"/>
        <v>0.1</v>
      </c>
      <c r="E187" s="135">
        <f t="shared" si="49"/>
        <v>0.1</v>
      </c>
      <c r="F187" s="135">
        <f t="shared" si="49"/>
        <v>0.1</v>
      </c>
      <c r="G187" s="135">
        <f t="shared" si="49"/>
        <v>0.1</v>
      </c>
      <c r="H187" s="135">
        <f t="shared" si="49"/>
        <v>0.1</v>
      </c>
      <c r="I187" s="135">
        <f t="shared" si="49"/>
        <v>0.1</v>
      </c>
      <c r="J187" s="135">
        <f t="shared" si="49"/>
        <v>0.1</v>
      </c>
      <c r="K187" s="135">
        <f t="shared" si="49"/>
        <v>0.1</v>
      </c>
      <c r="L187" s="135">
        <f t="shared" si="49"/>
        <v>0.1</v>
      </c>
      <c r="M187" s="135">
        <f t="shared" si="49"/>
        <v>0.1</v>
      </c>
      <c r="N187" s="135">
        <f t="shared" si="49"/>
        <v>0.1</v>
      </c>
      <c r="O187" s="135">
        <f t="shared" si="49"/>
        <v>0.1</v>
      </c>
      <c r="P187" s="135">
        <f t="shared" si="49"/>
        <v>0.1</v>
      </c>
      <c r="Q187" s="135">
        <f t="shared" si="49"/>
        <v>0.1</v>
      </c>
      <c r="R187" s="135">
        <f t="shared" si="49"/>
        <v>0.1</v>
      </c>
      <c r="S187" s="135">
        <f t="shared" si="50"/>
        <v>0.1</v>
      </c>
      <c r="T187" s="135">
        <f t="shared" si="50"/>
        <v>0.1</v>
      </c>
      <c r="U187" s="135">
        <f t="shared" si="50"/>
        <v>0.1</v>
      </c>
      <c r="V187" s="135">
        <f t="shared" si="50"/>
        <v>0.1</v>
      </c>
      <c r="W187" s="135">
        <f t="shared" si="50"/>
        <v>0.1</v>
      </c>
      <c r="X187" s="135">
        <f t="shared" si="50"/>
        <v>0.1</v>
      </c>
      <c r="Y187" s="135">
        <f t="shared" si="50"/>
        <v>0.1</v>
      </c>
      <c r="Z187" s="135">
        <f t="shared" si="50"/>
        <v>0.1</v>
      </c>
      <c r="AA187" s="135">
        <f t="shared" si="50"/>
        <v>0.1</v>
      </c>
      <c r="AB187" s="135">
        <f t="shared" si="50"/>
        <v>0.1</v>
      </c>
      <c r="AC187" s="135">
        <f t="shared" si="50"/>
        <v>0.1</v>
      </c>
      <c r="AD187" s="135">
        <f t="shared" si="50"/>
        <v>0.1</v>
      </c>
      <c r="AE187" s="135">
        <f t="shared" si="50"/>
        <v>0.1</v>
      </c>
      <c r="AF187" s="135">
        <f t="shared" si="50"/>
        <v>0.1</v>
      </c>
      <c r="AG187" s="138">
        <v>0.995</v>
      </c>
      <c r="AH187" s="53"/>
      <c r="AI187" s="54"/>
      <c r="AK187" s="55"/>
    </row>
    <row r="188" spans="1:37" x14ac:dyDescent="0.25">
      <c r="A188" s="123" t="s">
        <v>192</v>
      </c>
      <c r="B188" s="135">
        <f t="shared" si="48"/>
        <v>0.09</v>
      </c>
      <c r="C188" s="136">
        <v>0.09</v>
      </c>
      <c r="D188" s="135">
        <f t="shared" si="49"/>
        <v>0.09</v>
      </c>
      <c r="E188" s="135">
        <f t="shared" si="49"/>
        <v>0.09</v>
      </c>
      <c r="F188" s="135">
        <f t="shared" si="49"/>
        <v>0.09</v>
      </c>
      <c r="G188" s="135">
        <f t="shared" si="49"/>
        <v>0.09</v>
      </c>
      <c r="H188" s="135">
        <f t="shared" si="49"/>
        <v>0.09</v>
      </c>
      <c r="I188" s="135">
        <f t="shared" si="49"/>
        <v>0.09</v>
      </c>
      <c r="J188" s="135">
        <f t="shared" si="49"/>
        <v>0.09</v>
      </c>
      <c r="K188" s="135">
        <f t="shared" si="49"/>
        <v>0.09</v>
      </c>
      <c r="L188" s="135">
        <f t="shared" si="49"/>
        <v>0.09</v>
      </c>
      <c r="M188" s="135">
        <f t="shared" si="49"/>
        <v>0.09</v>
      </c>
      <c r="N188" s="135">
        <f t="shared" si="49"/>
        <v>0.09</v>
      </c>
      <c r="O188" s="135">
        <f t="shared" si="49"/>
        <v>0.09</v>
      </c>
      <c r="P188" s="135">
        <f t="shared" si="49"/>
        <v>0.09</v>
      </c>
      <c r="Q188" s="135">
        <f t="shared" si="49"/>
        <v>0.09</v>
      </c>
      <c r="R188" s="135">
        <f t="shared" si="49"/>
        <v>0.09</v>
      </c>
      <c r="S188" s="135">
        <f t="shared" si="50"/>
        <v>0.09</v>
      </c>
      <c r="T188" s="135">
        <f t="shared" si="50"/>
        <v>0.09</v>
      </c>
      <c r="U188" s="135">
        <f t="shared" si="50"/>
        <v>0.09</v>
      </c>
      <c r="V188" s="135">
        <f t="shared" si="50"/>
        <v>0.09</v>
      </c>
      <c r="W188" s="135">
        <f t="shared" si="50"/>
        <v>0.09</v>
      </c>
      <c r="X188" s="135">
        <f t="shared" si="50"/>
        <v>0.09</v>
      </c>
      <c r="Y188" s="135">
        <f t="shared" si="50"/>
        <v>0.09</v>
      </c>
      <c r="Z188" s="135">
        <f t="shared" si="50"/>
        <v>0.09</v>
      </c>
      <c r="AA188" s="135">
        <f t="shared" si="50"/>
        <v>0.09</v>
      </c>
      <c r="AB188" s="135">
        <f t="shared" si="50"/>
        <v>0.09</v>
      </c>
      <c r="AC188" s="135">
        <f t="shared" si="50"/>
        <v>0.09</v>
      </c>
      <c r="AD188" s="135">
        <f t="shared" si="50"/>
        <v>0.09</v>
      </c>
      <c r="AE188" s="135">
        <f t="shared" si="50"/>
        <v>0.09</v>
      </c>
      <c r="AF188" s="135">
        <f t="shared" si="50"/>
        <v>0.09</v>
      </c>
      <c r="AG188" s="138">
        <v>0.99299999999999999</v>
      </c>
      <c r="AH188" s="53"/>
      <c r="AI188" s="54"/>
      <c r="AK188" s="55"/>
    </row>
    <row r="189" spans="1:37" x14ac:dyDescent="0.25">
      <c r="A189" s="123" t="s">
        <v>193</v>
      </c>
      <c r="B189" s="135">
        <f t="shared" si="48"/>
        <v>0.04</v>
      </c>
      <c r="C189" s="52">
        <v>0.04</v>
      </c>
      <c r="D189" s="135">
        <f t="shared" si="49"/>
        <v>0.04</v>
      </c>
      <c r="E189" s="135">
        <f t="shared" si="49"/>
        <v>0.04</v>
      </c>
      <c r="F189" s="135">
        <f t="shared" si="49"/>
        <v>0.04</v>
      </c>
      <c r="G189" s="135">
        <f t="shared" si="49"/>
        <v>0.04</v>
      </c>
      <c r="H189" s="135">
        <f t="shared" si="49"/>
        <v>0.04</v>
      </c>
      <c r="I189" s="135">
        <f t="shared" si="49"/>
        <v>0.04</v>
      </c>
      <c r="J189" s="135">
        <f t="shared" si="49"/>
        <v>0.04</v>
      </c>
      <c r="K189" s="135">
        <f t="shared" si="49"/>
        <v>0.04</v>
      </c>
      <c r="L189" s="135">
        <f t="shared" si="49"/>
        <v>0.04</v>
      </c>
      <c r="M189" s="135">
        <f t="shared" si="49"/>
        <v>0.04</v>
      </c>
      <c r="N189" s="135">
        <f t="shared" si="49"/>
        <v>0.04</v>
      </c>
      <c r="O189" s="135">
        <f t="shared" si="49"/>
        <v>0.04</v>
      </c>
      <c r="P189" s="135">
        <f t="shared" si="49"/>
        <v>0.04</v>
      </c>
      <c r="Q189" s="135">
        <f t="shared" si="49"/>
        <v>0.04</v>
      </c>
      <c r="R189" s="135">
        <f t="shared" si="49"/>
        <v>0.04</v>
      </c>
      <c r="S189" s="135">
        <f t="shared" si="50"/>
        <v>0.04</v>
      </c>
      <c r="T189" s="135">
        <f t="shared" si="50"/>
        <v>0.04</v>
      </c>
      <c r="U189" s="135">
        <f t="shared" si="50"/>
        <v>0.04</v>
      </c>
      <c r="V189" s="135">
        <f t="shared" si="50"/>
        <v>0.04</v>
      </c>
      <c r="W189" s="135">
        <f t="shared" si="50"/>
        <v>0.04</v>
      </c>
      <c r="X189" s="135">
        <f t="shared" si="50"/>
        <v>0.04</v>
      </c>
      <c r="Y189" s="135">
        <f t="shared" si="50"/>
        <v>0.04</v>
      </c>
      <c r="Z189" s="135">
        <f t="shared" si="50"/>
        <v>0.04</v>
      </c>
      <c r="AA189" s="135">
        <f t="shared" si="50"/>
        <v>0.04</v>
      </c>
      <c r="AB189" s="135">
        <f t="shared" si="50"/>
        <v>0.04</v>
      </c>
      <c r="AC189" s="135">
        <f t="shared" si="50"/>
        <v>0.04</v>
      </c>
      <c r="AD189" s="135">
        <f t="shared" si="50"/>
        <v>0.04</v>
      </c>
      <c r="AE189" s="135">
        <f t="shared" si="50"/>
        <v>0.04</v>
      </c>
      <c r="AF189" s="135">
        <f t="shared" si="50"/>
        <v>0.04</v>
      </c>
      <c r="AG189" s="138">
        <v>0.99</v>
      </c>
      <c r="AH189" s="53"/>
      <c r="AI189" s="54"/>
      <c r="AK189" s="55"/>
    </row>
    <row r="190" spans="1:37" x14ac:dyDescent="0.25">
      <c r="A190" s="123" t="s">
        <v>194</v>
      </c>
      <c r="B190" s="135">
        <f t="shared" si="48"/>
        <v>2.3E-2</v>
      </c>
      <c r="C190" s="52">
        <v>2.3E-2</v>
      </c>
      <c r="D190" s="135">
        <f>C190</f>
        <v>2.3E-2</v>
      </c>
      <c r="E190" s="135">
        <f t="shared" si="49"/>
        <v>2.3E-2</v>
      </c>
      <c r="F190" s="135">
        <f t="shared" si="49"/>
        <v>2.3E-2</v>
      </c>
      <c r="G190" s="135">
        <f t="shared" si="49"/>
        <v>2.3E-2</v>
      </c>
      <c r="H190" s="135">
        <f t="shared" si="49"/>
        <v>2.3E-2</v>
      </c>
      <c r="I190" s="135">
        <f t="shared" si="49"/>
        <v>2.3E-2</v>
      </c>
      <c r="J190" s="135">
        <f t="shared" si="49"/>
        <v>2.3E-2</v>
      </c>
      <c r="K190" s="135">
        <f t="shared" si="49"/>
        <v>2.3E-2</v>
      </c>
      <c r="L190" s="135">
        <f t="shared" si="49"/>
        <v>2.3E-2</v>
      </c>
      <c r="M190" s="135">
        <f t="shared" si="49"/>
        <v>2.3E-2</v>
      </c>
      <c r="N190" s="135">
        <f t="shared" si="49"/>
        <v>2.3E-2</v>
      </c>
      <c r="O190" s="135">
        <f t="shared" si="49"/>
        <v>2.3E-2</v>
      </c>
      <c r="P190" s="135">
        <f t="shared" si="49"/>
        <v>2.3E-2</v>
      </c>
      <c r="Q190" s="135">
        <f t="shared" si="49"/>
        <v>2.3E-2</v>
      </c>
      <c r="R190" s="135">
        <f t="shared" si="49"/>
        <v>2.3E-2</v>
      </c>
      <c r="S190" s="135">
        <f t="shared" si="50"/>
        <v>2.3E-2</v>
      </c>
      <c r="T190" s="135">
        <f t="shared" si="50"/>
        <v>2.3E-2</v>
      </c>
      <c r="U190" s="135">
        <f t="shared" si="50"/>
        <v>2.3E-2</v>
      </c>
      <c r="V190" s="135">
        <f t="shared" si="50"/>
        <v>2.3E-2</v>
      </c>
      <c r="W190" s="135">
        <f t="shared" si="50"/>
        <v>2.3E-2</v>
      </c>
      <c r="X190" s="135">
        <f t="shared" si="50"/>
        <v>2.3E-2</v>
      </c>
      <c r="Y190" s="135">
        <f t="shared" si="50"/>
        <v>2.3E-2</v>
      </c>
      <c r="Z190" s="135">
        <f t="shared" si="50"/>
        <v>2.3E-2</v>
      </c>
      <c r="AA190" s="135">
        <f t="shared" si="50"/>
        <v>2.3E-2</v>
      </c>
      <c r="AB190" s="135">
        <f t="shared" si="50"/>
        <v>2.3E-2</v>
      </c>
      <c r="AC190" s="135">
        <f t="shared" si="50"/>
        <v>2.3E-2</v>
      </c>
      <c r="AD190" s="135">
        <f t="shared" si="50"/>
        <v>2.3E-2</v>
      </c>
      <c r="AE190" s="135">
        <f t="shared" si="50"/>
        <v>2.3E-2</v>
      </c>
      <c r="AF190" s="135">
        <f t="shared" si="50"/>
        <v>2.3E-2</v>
      </c>
      <c r="AG190" s="138">
        <v>0.97899999999999998</v>
      </c>
      <c r="AH190" s="53"/>
      <c r="AI190" s="54"/>
      <c r="AK190" s="55"/>
    </row>
    <row r="191" spans="1:37" ht="15.75" thickBot="1" x14ac:dyDescent="0.3">
      <c r="A191" s="139" t="s">
        <v>195</v>
      </c>
      <c r="B191" s="140">
        <f>SUM(B101:B190)</f>
        <v>192.10600000000005</v>
      </c>
      <c r="C191" s="140">
        <f t="shared" ref="C191:AG191" si="51">SUM(C101:C190)</f>
        <v>194.70600000000002</v>
      </c>
      <c r="D191" s="140">
        <f t="shared" si="51"/>
        <v>194.70600000000002</v>
      </c>
      <c r="E191" s="140">
        <f t="shared" si="51"/>
        <v>194.70600000000002</v>
      </c>
      <c r="F191" s="140">
        <f t="shared" si="51"/>
        <v>194.70600000000002</v>
      </c>
      <c r="G191" s="140">
        <f t="shared" si="51"/>
        <v>194.70600000000002</v>
      </c>
      <c r="H191" s="140">
        <f t="shared" si="51"/>
        <v>194.70600000000002</v>
      </c>
      <c r="I191" s="140">
        <f t="shared" si="51"/>
        <v>194.70600000000002</v>
      </c>
      <c r="J191" s="140">
        <f t="shared" si="51"/>
        <v>192.10600000000005</v>
      </c>
      <c r="K191" s="140">
        <f t="shared" si="51"/>
        <v>192.10600000000005</v>
      </c>
      <c r="L191" s="140">
        <f t="shared" si="51"/>
        <v>192.10600000000005</v>
      </c>
      <c r="M191" s="140">
        <f t="shared" si="51"/>
        <v>192.10600000000005</v>
      </c>
      <c r="N191" s="140">
        <f t="shared" si="51"/>
        <v>192.10600000000005</v>
      </c>
      <c r="O191" s="140">
        <f t="shared" si="51"/>
        <v>192.10600000000005</v>
      </c>
      <c r="P191" s="140">
        <f t="shared" si="51"/>
        <v>192.10600000000005</v>
      </c>
      <c r="Q191" s="140">
        <f t="shared" si="51"/>
        <v>192.10600000000005</v>
      </c>
      <c r="R191" s="140">
        <f t="shared" si="51"/>
        <v>192.10600000000005</v>
      </c>
      <c r="S191" s="140">
        <f t="shared" si="51"/>
        <v>192.10600000000005</v>
      </c>
      <c r="T191" s="140">
        <f t="shared" si="51"/>
        <v>192.10600000000005</v>
      </c>
      <c r="U191" s="140">
        <f t="shared" si="51"/>
        <v>192.10600000000005</v>
      </c>
      <c r="V191" s="140">
        <f t="shared" si="51"/>
        <v>192.10600000000005</v>
      </c>
      <c r="W191" s="140">
        <f t="shared" si="51"/>
        <v>192.10600000000005</v>
      </c>
      <c r="X191" s="140">
        <f t="shared" si="51"/>
        <v>192.10600000000005</v>
      </c>
      <c r="Y191" s="140">
        <f t="shared" si="51"/>
        <v>192.10600000000005</v>
      </c>
      <c r="Z191" s="140">
        <f t="shared" si="51"/>
        <v>192.10600000000005</v>
      </c>
      <c r="AA191" s="140">
        <f t="shared" si="51"/>
        <v>192.10600000000005</v>
      </c>
      <c r="AB191" s="140">
        <f t="shared" si="51"/>
        <v>192.10600000000005</v>
      </c>
      <c r="AC191" s="140">
        <f t="shared" si="51"/>
        <v>192.10600000000005</v>
      </c>
      <c r="AD191" s="140">
        <f t="shared" si="51"/>
        <v>192.10600000000005</v>
      </c>
      <c r="AE191" s="140">
        <f t="shared" si="51"/>
        <v>192.10600000000005</v>
      </c>
      <c r="AF191" s="140">
        <f t="shared" si="51"/>
        <v>192.10600000000005</v>
      </c>
      <c r="AG191" s="141">
        <f t="shared" si="51"/>
        <v>412.72299999999984</v>
      </c>
      <c r="AH191" s="53"/>
      <c r="AI191" s="54"/>
      <c r="AK191" s="55"/>
    </row>
    <row r="192" spans="1:37" ht="15.75" thickBot="1" x14ac:dyDescent="0.3">
      <c r="A192" s="28" t="s">
        <v>59</v>
      </c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53"/>
      <c r="AI192" s="54"/>
      <c r="AK192" s="55"/>
    </row>
    <row r="193" spans="1:37" x14ac:dyDescent="0.25">
      <c r="A193" s="115" t="s">
        <v>196</v>
      </c>
      <c r="B193" s="142">
        <f t="shared" ref="B193:B198" si="52">AF193</f>
        <v>0.3</v>
      </c>
      <c r="C193" s="142">
        <v>0.3</v>
      </c>
      <c r="D193" s="142">
        <f t="shared" ref="D193:S198" si="53">C193</f>
        <v>0.3</v>
      </c>
      <c r="E193" s="142">
        <f t="shared" si="53"/>
        <v>0.3</v>
      </c>
      <c r="F193" s="142">
        <f t="shared" si="53"/>
        <v>0.3</v>
      </c>
      <c r="G193" s="142">
        <f t="shared" si="53"/>
        <v>0.3</v>
      </c>
      <c r="H193" s="142">
        <f t="shared" si="53"/>
        <v>0.3</v>
      </c>
      <c r="I193" s="142">
        <f t="shared" si="53"/>
        <v>0.3</v>
      </c>
      <c r="J193" s="142">
        <f t="shared" si="53"/>
        <v>0.3</v>
      </c>
      <c r="K193" s="142">
        <f t="shared" si="53"/>
        <v>0.3</v>
      </c>
      <c r="L193" s="142">
        <f t="shared" si="53"/>
        <v>0.3</v>
      </c>
      <c r="M193" s="142">
        <f t="shared" si="53"/>
        <v>0.3</v>
      </c>
      <c r="N193" s="142">
        <f t="shared" si="53"/>
        <v>0.3</v>
      </c>
      <c r="O193" s="142">
        <f t="shared" si="53"/>
        <v>0.3</v>
      </c>
      <c r="P193" s="142">
        <f t="shared" si="53"/>
        <v>0.3</v>
      </c>
      <c r="Q193" s="142">
        <f t="shared" si="53"/>
        <v>0.3</v>
      </c>
      <c r="R193" s="142">
        <f t="shared" si="53"/>
        <v>0.3</v>
      </c>
      <c r="S193" s="142">
        <f t="shared" si="53"/>
        <v>0.3</v>
      </c>
      <c r="T193" s="142">
        <f t="shared" ref="T193:AF198" si="54">S193</f>
        <v>0.3</v>
      </c>
      <c r="U193" s="142">
        <f t="shared" si="54"/>
        <v>0.3</v>
      </c>
      <c r="V193" s="142">
        <f t="shared" si="54"/>
        <v>0.3</v>
      </c>
      <c r="W193" s="142">
        <f t="shared" si="54"/>
        <v>0.3</v>
      </c>
      <c r="X193" s="142">
        <f t="shared" si="54"/>
        <v>0.3</v>
      </c>
      <c r="Y193" s="142">
        <f t="shared" si="54"/>
        <v>0.3</v>
      </c>
      <c r="Z193" s="142">
        <f t="shared" si="54"/>
        <v>0.3</v>
      </c>
      <c r="AA193" s="142">
        <f t="shared" si="54"/>
        <v>0.3</v>
      </c>
      <c r="AB193" s="142">
        <f t="shared" si="54"/>
        <v>0.3</v>
      </c>
      <c r="AC193" s="142">
        <f t="shared" si="54"/>
        <v>0.3</v>
      </c>
      <c r="AD193" s="142">
        <f t="shared" si="54"/>
        <v>0.3</v>
      </c>
      <c r="AE193" s="142">
        <f t="shared" si="54"/>
        <v>0.3</v>
      </c>
      <c r="AF193" s="142">
        <f t="shared" si="54"/>
        <v>0.3</v>
      </c>
      <c r="AG193" s="143">
        <v>2.4</v>
      </c>
      <c r="AH193" s="53"/>
      <c r="AI193" s="54"/>
      <c r="AK193" s="55"/>
    </row>
    <row r="194" spans="1:37" x14ac:dyDescent="0.25">
      <c r="A194" s="121" t="s">
        <v>197</v>
      </c>
      <c r="B194" s="135">
        <f t="shared" si="52"/>
        <v>0.4</v>
      </c>
      <c r="C194" s="135">
        <v>0.4</v>
      </c>
      <c r="D194" s="135">
        <f t="shared" si="53"/>
        <v>0.4</v>
      </c>
      <c r="E194" s="135">
        <f t="shared" si="53"/>
        <v>0.4</v>
      </c>
      <c r="F194" s="135">
        <f t="shared" si="53"/>
        <v>0.4</v>
      </c>
      <c r="G194" s="135">
        <f t="shared" si="53"/>
        <v>0.4</v>
      </c>
      <c r="H194" s="135">
        <f t="shared" si="53"/>
        <v>0.4</v>
      </c>
      <c r="I194" s="135">
        <f t="shared" si="53"/>
        <v>0.4</v>
      </c>
      <c r="J194" s="135">
        <f t="shared" si="53"/>
        <v>0.4</v>
      </c>
      <c r="K194" s="135">
        <f t="shared" si="53"/>
        <v>0.4</v>
      </c>
      <c r="L194" s="135">
        <f t="shared" si="53"/>
        <v>0.4</v>
      </c>
      <c r="M194" s="135">
        <f t="shared" si="53"/>
        <v>0.4</v>
      </c>
      <c r="N194" s="135">
        <f t="shared" si="53"/>
        <v>0.4</v>
      </c>
      <c r="O194" s="135">
        <f t="shared" si="53"/>
        <v>0.4</v>
      </c>
      <c r="P194" s="135">
        <f t="shared" si="53"/>
        <v>0.4</v>
      </c>
      <c r="Q194" s="135">
        <f t="shared" si="53"/>
        <v>0.4</v>
      </c>
      <c r="R194" s="135">
        <f t="shared" si="53"/>
        <v>0.4</v>
      </c>
      <c r="S194" s="135">
        <f t="shared" si="53"/>
        <v>0.4</v>
      </c>
      <c r="T194" s="135">
        <f t="shared" si="54"/>
        <v>0.4</v>
      </c>
      <c r="U194" s="135">
        <f t="shared" si="54"/>
        <v>0.4</v>
      </c>
      <c r="V194" s="135">
        <f t="shared" si="54"/>
        <v>0.4</v>
      </c>
      <c r="W194" s="135">
        <f>V194</f>
        <v>0.4</v>
      </c>
      <c r="X194" s="135">
        <f>W194</f>
        <v>0.4</v>
      </c>
      <c r="Y194" s="135">
        <f t="shared" si="54"/>
        <v>0.4</v>
      </c>
      <c r="Z194" s="135">
        <f t="shared" si="54"/>
        <v>0.4</v>
      </c>
      <c r="AA194" s="135">
        <f t="shared" si="54"/>
        <v>0.4</v>
      </c>
      <c r="AB194" s="135">
        <f t="shared" si="54"/>
        <v>0.4</v>
      </c>
      <c r="AC194" s="135">
        <f t="shared" si="54"/>
        <v>0.4</v>
      </c>
      <c r="AD194" s="135">
        <f t="shared" si="54"/>
        <v>0.4</v>
      </c>
      <c r="AE194" s="135">
        <f t="shared" si="54"/>
        <v>0.4</v>
      </c>
      <c r="AF194" s="135">
        <f t="shared" si="54"/>
        <v>0.4</v>
      </c>
      <c r="AG194" s="144">
        <v>2</v>
      </c>
      <c r="AH194" s="53"/>
      <c r="AI194" s="54"/>
      <c r="AK194" s="55"/>
    </row>
    <row r="195" spans="1:37" x14ac:dyDescent="0.25">
      <c r="A195" s="121" t="s">
        <v>198</v>
      </c>
      <c r="B195" s="135">
        <f t="shared" si="52"/>
        <v>1.5</v>
      </c>
      <c r="C195" s="135">
        <v>1.5</v>
      </c>
      <c r="D195" s="135">
        <f t="shared" si="53"/>
        <v>1.5</v>
      </c>
      <c r="E195" s="135">
        <f t="shared" si="53"/>
        <v>1.5</v>
      </c>
      <c r="F195" s="135">
        <f t="shared" si="53"/>
        <v>1.5</v>
      </c>
      <c r="G195" s="135">
        <f t="shared" si="53"/>
        <v>1.5</v>
      </c>
      <c r="H195" s="135">
        <f t="shared" si="53"/>
        <v>1.5</v>
      </c>
      <c r="I195" s="135">
        <f t="shared" si="53"/>
        <v>1.5</v>
      </c>
      <c r="J195" s="135">
        <f t="shared" si="53"/>
        <v>1.5</v>
      </c>
      <c r="K195" s="135">
        <f t="shared" si="53"/>
        <v>1.5</v>
      </c>
      <c r="L195" s="135">
        <f t="shared" si="53"/>
        <v>1.5</v>
      </c>
      <c r="M195" s="135">
        <f t="shared" si="53"/>
        <v>1.5</v>
      </c>
      <c r="N195" s="135">
        <f t="shared" si="53"/>
        <v>1.5</v>
      </c>
      <c r="O195" s="135">
        <f t="shared" si="53"/>
        <v>1.5</v>
      </c>
      <c r="P195" s="135">
        <f t="shared" si="53"/>
        <v>1.5</v>
      </c>
      <c r="Q195" s="135">
        <f t="shared" si="53"/>
        <v>1.5</v>
      </c>
      <c r="R195" s="135">
        <f t="shared" si="53"/>
        <v>1.5</v>
      </c>
      <c r="S195" s="135">
        <f t="shared" si="53"/>
        <v>1.5</v>
      </c>
      <c r="T195" s="135">
        <f t="shared" si="54"/>
        <v>1.5</v>
      </c>
      <c r="U195" s="135">
        <f t="shared" si="54"/>
        <v>1.5</v>
      </c>
      <c r="V195" s="135">
        <f t="shared" si="54"/>
        <v>1.5</v>
      </c>
      <c r="W195" s="135">
        <f t="shared" si="54"/>
        <v>1.5</v>
      </c>
      <c r="X195" s="135">
        <f t="shared" si="54"/>
        <v>1.5</v>
      </c>
      <c r="Y195" s="135">
        <f t="shared" si="54"/>
        <v>1.5</v>
      </c>
      <c r="Z195" s="135">
        <f t="shared" si="54"/>
        <v>1.5</v>
      </c>
      <c r="AA195" s="135">
        <f t="shared" si="54"/>
        <v>1.5</v>
      </c>
      <c r="AB195" s="135">
        <f t="shared" si="54"/>
        <v>1.5</v>
      </c>
      <c r="AC195" s="135">
        <f t="shared" si="54"/>
        <v>1.5</v>
      </c>
      <c r="AD195" s="135">
        <f t="shared" si="54"/>
        <v>1.5</v>
      </c>
      <c r="AE195" s="135">
        <f t="shared" si="54"/>
        <v>1.5</v>
      </c>
      <c r="AF195" s="135">
        <f t="shared" si="54"/>
        <v>1.5</v>
      </c>
      <c r="AG195" s="144">
        <v>1.5</v>
      </c>
      <c r="AH195" s="53"/>
      <c r="AI195" s="54"/>
      <c r="AK195" s="55"/>
    </row>
    <row r="196" spans="1:37" x14ac:dyDescent="0.25">
      <c r="A196" s="121" t="s">
        <v>199</v>
      </c>
      <c r="B196" s="135">
        <f t="shared" si="52"/>
        <v>0.3</v>
      </c>
      <c r="C196" s="135">
        <v>0.3</v>
      </c>
      <c r="D196" s="135">
        <f t="shared" si="53"/>
        <v>0.3</v>
      </c>
      <c r="E196" s="135">
        <f t="shared" si="53"/>
        <v>0.3</v>
      </c>
      <c r="F196" s="135">
        <f t="shared" si="53"/>
        <v>0.3</v>
      </c>
      <c r="G196" s="135">
        <f t="shared" si="53"/>
        <v>0.3</v>
      </c>
      <c r="H196" s="135">
        <f t="shared" si="53"/>
        <v>0.3</v>
      </c>
      <c r="I196" s="135">
        <f t="shared" si="53"/>
        <v>0.3</v>
      </c>
      <c r="J196" s="135">
        <f t="shared" si="53"/>
        <v>0.3</v>
      </c>
      <c r="K196" s="135">
        <f t="shared" si="53"/>
        <v>0.3</v>
      </c>
      <c r="L196" s="135">
        <f t="shared" si="53"/>
        <v>0.3</v>
      </c>
      <c r="M196" s="135">
        <f t="shared" si="53"/>
        <v>0.3</v>
      </c>
      <c r="N196" s="135">
        <f t="shared" si="53"/>
        <v>0.3</v>
      </c>
      <c r="O196" s="135">
        <f t="shared" si="53"/>
        <v>0.3</v>
      </c>
      <c r="P196" s="135">
        <f t="shared" si="53"/>
        <v>0.3</v>
      </c>
      <c r="Q196" s="135">
        <f t="shared" si="53"/>
        <v>0.3</v>
      </c>
      <c r="R196" s="135">
        <f t="shared" si="53"/>
        <v>0.3</v>
      </c>
      <c r="S196" s="135">
        <f t="shared" si="53"/>
        <v>0.3</v>
      </c>
      <c r="T196" s="135">
        <f t="shared" si="54"/>
        <v>0.3</v>
      </c>
      <c r="U196" s="135">
        <f t="shared" si="54"/>
        <v>0.3</v>
      </c>
      <c r="V196" s="135">
        <f t="shared" si="54"/>
        <v>0.3</v>
      </c>
      <c r="W196" s="135">
        <f t="shared" si="54"/>
        <v>0.3</v>
      </c>
      <c r="X196" s="135">
        <f t="shared" si="54"/>
        <v>0.3</v>
      </c>
      <c r="Y196" s="135">
        <f t="shared" si="54"/>
        <v>0.3</v>
      </c>
      <c r="Z196" s="135">
        <f t="shared" si="54"/>
        <v>0.3</v>
      </c>
      <c r="AA196" s="135">
        <f t="shared" si="54"/>
        <v>0.3</v>
      </c>
      <c r="AB196" s="135">
        <f t="shared" si="54"/>
        <v>0.3</v>
      </c>
      <c r="AC196" s="135">
        <f t="shared" si="54"/>
        <v>0.3</v>
      </c>
      <c r="AD196" s="135">
        <f t="shared" si="54"/>
        <v>0.3</v>
      </c>
      <c r="AE196" s="135">
        <f t="shared" si="54"/>
        <v>0.3</v>
      </c>
      <c r="AF196" s="135">
        <f t="shared" si="54"/>
        <v>0.3</v>
      </c>
      <c r="AG196" s="144">
        <v>1</v>
      </c>
      <c r="AH196" s="53"/>
      <c r="AI196" s="54"/>
      <c r="AK196" s="55"/>
    </row>
    <row r="197" spans="1:37" x14ac:dyDescent="0.25">
      <c r="A197" s="121" t="s">
        <v>200</v>
      </c>
      <c r="B197" s="135">
        <f t="shared" si="52"/>
        <v>0.4</v>
      </c>
      <c r="C197" s="135">
        <v>0.4</v>
      </c>
      <c r="D197" s="135">
        <f t="shared" si="53"/>
        <v>0.4</v>
      </c>
      <c r="E197" s="135">
        <f t="shared" si="53"/>
        <v>0.4</v>
      </c>
      <c r="F197" s="135">
        <f t="shared" si="53"/>
        <v>0.4</v>
      </c>
      <c r="G197" s="135">
        <f t="shared" si="53"/>
        <v>0.4</v>
      </c>
      <c r="H197" s="135">
        <f t="shared" si="53"/>
        <v>0.4</v>
      </c>
      <c r="I197" s="135">
        <f t="shared" si="53"/>
        <v>0.4</v>
      </c>
      <c r="J197" s="135">
        <f t="shared" si="53"/>
        <v>0.4</v>
      </c>
      <c r="K197" s="135">
        <f t="shared" si="53"/>
        <v>0.4</v>
      </c>
      <c r="L197" s="135">
        <f t="shared" si="53"/>
        <v>0.4</v>
      </c>
      <c r="M197" s="135">
        <f t="shared" si="53"/>
        <v>0.4</v>
      </c>
      <c r="N197" s="135">
        <f t="shared" si="53"/>
        <v>0.4</v>
      </c>
      <c r="O197" s="135">
        <f t="shared" si="53"/>
        <v>0.4</v>
      </c>
      <c r="P197" s="135">
        <f t="shared" si="53"/>
        <v>0.4</v>
      </c>
      <c r="Q197" s="135">
        <f t="shared" si="53"/>
        <v>0.4</v>
      </c>
      <c r="R197" s="135">
        <f t="shared" si="53"/>
        <v>0.4</v>
      </c>
      <c r="S197" s="135">
        <f t="shared" si="53"/>
        <v>0.4</v>
      </c>
      <c r="T197" s="135">
        <f t="shared" si="54"/>
        <v>0.4</v>
      </c>
      <c r="U197" s="135">
        <f t="shared" si="54"/>
        <v>0.4</v>
      </c>
      <c r="V197" s="135">
        <f t="shared" si="54"/>
        <v>0.4</v>
      </c>
      <c r="W197" s="135">
        <f t="shared" si="54"/>
        <v>0.4</v>
      </c>
      <c r="X197" s="135">
        <f t="shared" si="54"/>
        <v>0.4</v>
      </c>
      <c r="Y197" s="135">
        <f t="shared" si="54"/>
        <v>0.4</v>
      </c>
      <c r="Z197" s="135">
        <f t="shared" si="54"/>
        <v>0.4</v>
      </c>
      <c r="AA197" s="135">
        <f t="shared" si="54"/>
        <v>0.4</v>
      </c>
      <c r="AB197" s="135">
        <f t="shared" si="54"/>
        <v>0.4</v>
      </c>
      <c r="AC197" s="135">
        <f t="shared" si="54"/>
        <v>0.4</v>
      </c>
      <c r="AD197" s="135">
        <f t="shared" si="54"/>
        <v>0.4</v>
      </c>
      <c r="AE197" s="135">
        <f t="shared" si="54"/>
        <v>0.4</v>
      </c>
      <c r="AF197" s="135">
        <f t="shared" si="54"/>
        <v>0.4</v>
      </c>
      <c r="AG197" s="144">
        <v>1</v>
      </c>
      <c r="AH197" s="53"/>
      <c r="AI197" s="54"/>
      <c r="AK197" s="55"/>
    </row>
    <row r="198" spans="1:37" ht="15.75" thickBot="1" x14ac:dyDescent="0.3">
      <c r="A198" s="123" t="s">
        <v>201</v>
      </c>
      <c r="B198" s="145">
        <f t="shared" si="52"/>
        <v>0.64</v>
      </c>
      <c r="C198" s="145">
        <v>0.64</v>
      </c>
      <c r="D198" s="145">
        <f t="shared" si="53"/>
        <v>0.64</v>
      </c>
      <c r="E198" s="145">
        <f t="shared" si="53"/>
        <v>0.64</v>
      </c>
      <c r="F198" s="145">
        <f t="shared" si="53"/>
        <v>0.64</v>
      </c>
      <c r="G198" s="145">
        <f t="shared" si="53"/>
        <v>0.64</v>
      </c>
      <c r="H198" s="145">
        <f t="shared" si="53"/>
        <v>0.64</v>
      </c>
      <c r="I198" s="145">
        <f t="shared" si="53"/>
        <v>0.64</v>
      </c>
      <c r="J198" s="145">
        <f t="shared" si="53"/>
        <v>0.64</v>
      </c>
      <c r="K198" s="145">
        <f t="shared" si="53"/>
        <v>0.64</v>
      </c>
      <c r="L198" s="145">
        <f t="shared" si="53"/>
        <v>0.64</v>
      </c>
      <c r="M198" s="145">
        <f t="shared" si="53"/>
        <v>0.64</v>
      </c>
      <c r="N198" s="145">
        <f t="shared" si="53"/>
        <v>0.64</v>
      </c>
      <c r="O198" s="145">
        <f t="shared" si="53"/>
        <v>0.64</v>
      </c>
      <c r="P198" s="145">
        <f t="shared" si="53"/>
        <v>0.64</v>
      </c>
      <c r="Q198" s="145">
        <f t="shared" si="53"/>
        <v>0.64</v>
      </c>
      <c r="R198" s="145">
        <f t="shared" si="53"/>
        <v>0.64</v>
      </c>
      <c r="S198" s="145">
        <f t="shared" si="53"/>
        <v>0.64</v>
      </c>
      <c r="T198" s="145">
        <f t="shared" si="54"/>
        <v>0.64</v>
      </c>
      <c r="U198" s="145">
        <f t="shared" si="54"/>
        <v>0.64</v>
      </c>
      <c r="V198" s="145">
        <f t="shared" si="54"/>
        <v>0.64</v>
      </c>
      <c r="W198" s="145">
        <f t="shared" si="54"/>
        <v>0.64</v>
      </c>
      <c r="X198" s="145">
        <f t="shared" si="54"/>
        <v>0.64</v>
      </c>
      <c r="Y198" s="145">
        <f t="shared" si="54"/>
        <v>0.64</v>
      </c>
      <c r="Z198" s="145">
        <f t="shared" si="54"/>
        <v>0.64</v>
      </c>
      <c r="AA198" s="145">
        <f t="shared" si="54"/>
        <v>0.64</v>
      </c>
      <c r="AB198" s="145">
        <f t="shared" si="54"/>
        <v>0.64</v>
      </c>
      <c r="AC198" s="145">
        <f t="shared" si="54"/>
        <v>0.64</v>
      </c>
      <c r="AD198" s="145">
        <f t="shared" si="54"/>
        <v>0.64</v>
      </c>
      <c r="AE198" s="145">
        <f t="shared" si="54"/>
        <v>0.64</v>
      </c>
      <c r="AF198" s="145">
        <f t="shared" si="54"/>
        <v>0.64</v>
      </c>
      <c r="AG198" s="146">
        <v>0.66</v>
      </c>
      <c r="AH198" s="53"/>
      <c r="AI198" s="54"/>
    </row>
    <row r="199" spans="1:37" ht="15.75" thickBot="1" x14ac:dyDescent="0.3">
      <c r="A199" s="147" t="s">
        <v>59</v>
      </c>
      <c r="B199" s="148">
        <f>SUM(B193:B198)</f>
        <v>3.54</v>
      </c>
      <c r="C199" s="148">
        <f>SUM(C193:C198)</f>
        <v>3.54</v>
      </c>
      <c r="D199" s="148">
        <f t="shared" ref="D199:L199" si="55">SUM(D193:D198)</f>
        <v>3.54</v>
      </c>
      <c r="E199" s="148">
        <f t="shared" si="55"/>
        <v>3.54</v>
      </c>
      <c r="F199" s="148">
        <f t="shared" si="55"/>
        <v>3.54</v>
      </c>
      <c r="G199" s="148">
        <f t="shared" si="55"/>
        <v>3.54</v>
      </c>
      <c r="H199" s="148">
        <f t="shared" si="55"/>
        <v>3.54</v>
      </c>
      <c r="I199" s="148">
        <f t="shared" si="55"/>
        <v>3.54</v>
      </c>
      <c r="J199" s="148">
        <f t="shared" si="55"/>
        <v>3.54</v>
      </c>
      <c r="K199" s="148">
        <f t="shared" si="55"/>
        <v>3.54</v>
      </c>
      <c r="L199" s="148">
        <f t="shared" si="55"/>
        <v>3.54</v>
      </c>
      <c r="M199" s="148">
        <f>SUM(M193:M198)</f>
        <v>3.54</v>
      </c>
      <c r="N199" s="148">
        <f t="shared" ref="N199:S199" si="56">SUM(N193:N198)</f>
        <v>3.54</v>
      </c>
      <c r="O199" s="148">
        <f t="shared" si="56"/>
        <v>3.54</v>
      </c>
      <c r="P199" s="148">
        <f t="shared" si="56"/>
        <v>3.54</v>
      </c>
      <c r="Q199" s="148">
        <f t="shared" si="56"/>
        <v>3.54</v>
      </c>
      <c r="R199" s="148">
        <f t="shared" si="56"/>
        <v>3.54</v>
      </c>
      <c r="S199" s="148">
        <f t="shared" si="56"/>
        <v>3.54</v>
      </c>
      <c r="T199" s="148">
        <f>SUM(T193:T198)</f>
        <v>3.54</v>
      </c>
      <c r="U199" s="148">
        <f t="shared" ref="U199:AG199" si="57">SUM(U193:U198)</f>
        <v>3.54</v>
      </c>
      <c r="V199" s="148">
        <f t="shared" si="57"/>
        <v>3.54</v>
      </c>
      <c r="W199" s="148">
        <f t="shared" si="57"/>
        <v>3.54</v>
      </c>
      <c r="X199" s="148">
        <f t="shared" si="57"/>
        <v>3.54</v>
      </c>
      <c r="Y199" s="148">
        <f t="shared" si="57"/>
        <v>3.54</v>
      </c>
      <c r="Z199" s="148">
        <f t="shared" si="57"/>
        <v>3.54</v>
      </c>
      <c r="AA199" s="148">
        <f t="shared" si="57"/>
        <v>3.54</v>
      </c>
      <c r="AB199" s="148">
        <f t="shared" si="57"/>
        <v>3.54</v>
      </c>
      <c r="AC199" s="148">
        <f t="shared" si="57"/>
        <v>3.54</v>
      </c>
      <c r="AD199" s="148">
        <f t="shared" si="57"/>
        <v>3.54</v>
      </c>
      <c r="AE199" s="148">
        <f t="shared" si="57"/>
        <v>3.54</v>
      </c>
      <c r="AF199" s="148">
        <f t="shared" si="57"/>
        <v>3.54</v>
      </c>
      <c r="AG199" s="149">
        <f t="shared" si="57"/>
        <v>8.56</v>
      </c>
      <c r="AH199" s="53"/>
      <c r="AI199" s="54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0"/>
      <c r="AH200" s="47"/>
    </row>
    <row r="201" spans="1:37" x14ac:dyDescent="0.25">
      <c r="A201" s="93" t="s">
        <v>202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47"/>
      <c r="AH201" s="53"/>
      <c r="AI201" s="54"/>
    </row>
    <row r="202" spans="1:37" x14ac:dyDescent="0.25">
      <c r="A202" s="152" t="s">
        <v>203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4"/>
      <c r="AG202" s="155"/>
      <c r="AH202" s="53"/>
      <c r="AI202" s="54"/>
    </row>
    <row r="203" spans="1:37" x14ac:dyDescent="0.25">
      <c r="A203" s="97" t="s">
        <v>204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7"/>
      <c r="AG203" s="155"/>
      <c r="AH203" s="53"/>
      <c r="AI203" s="54"/>
    </row>
    <row r="204" spans="1:37" x14ac:dyDescent="0.25">
      <c r="A204" s="97" t="s">
        <v>205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7"/>
      <c r="AG204" s="155"/>
      <c r="AH204" s="53"/>
      <c r="AI204" s="54"/>
    </row>
    <row r="205" spans="1:37" ht="15.75" thickBot="1" x14ac:dyDescent="0.3">
      <c r="A205" s="158" t="s">
        <v>206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60"/>
      <c r="AG205" s="155"/>
      <c r="AH205" s="53"/>
      <c r="AI205" s="54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1" t="s">
        <v>207</v>
      </c>
      <c r="B208" s="162">
        <f>MAX(G75:N75)</f>
        <v>3.54</v>
      </c>
      <c r="C208" s="163">
        <f>INDEX(G9:N9,1,MATCH(MAX(G75:N75),G75:N75,0))</f>
        <v>0.20833333333333301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4" t="str">
        <f ca="1">MID(CELL("filename",C7),FIND("]",CELL("filename",C7))+1,600)</f>
        <v>new_sample (3)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91" t="s">
        <v>208</v>
      </c>
      <c r="B210" s="191"/>
      <c r="C210" s="47"/>
      <c r="D210" s="164" t="e">
        <f ca="1">"Pie Chart of Daily Peak Demand(Inclusive of Export) of Nepal ("&amp;A4&amp;" "&amp;B4&amp;")"</f>
        <v>#VALUE!</v>
      </c>
      <c r="E210" s="47"/>
      <c r="F210" s="47"/>
      <c r="G210" s="164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4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5" t="s">
        <v>7</v>
      </c>
      <c r="B211" s="166"/>
      <c r="C211" s="47"/>
      <c r="D211" s="16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5" t="s">
        <v>209</v>
      </c>
      <c r="B212" s="16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8" t="s">
        <v>210</v>
      </c>
      <c r="T212" s="169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5" t="s">
        <v>211</v>
      </c>
      <c r="B213" s="16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3">
        <f t="shared" ref="T213:AX213" si="58">B75</f>
        <v>3.54</v>
      </c>
      <c r="U213" s="173">
        <f t="shared" si="58"/>
        <v>3.54</v>
      </c>
      <c r="V213" s="173">
        <f t="shared" si="58"/>
        <v>3.54</v>
      </c>
      <c r="W213" s="173">
        <f t="shared" si="58"/>
        <v>3.54</v>
      </c>
      <c r="X213" s="173">
        <f t="shared" si="58"/>
        <v>3.54</v>
      </c>
      <c r="Y213" s="173">
        <f t="shared" si="58"/>
        <v>3.54</v>
      </c>
      <c r="Z213" s="173">
        <f t="shared" si="58"/>
        <v>3.54</v>
      </c>
      <c r="AA213" s="173">
        <f t="shared" si="58"/>
        <v>3.54</v>
      </c>
      <c r="AB213" s="173">
        <f t="shared" si="58"/>
        <v>3.54</v>
      </c>
      <c r="AC213" s="173">
        <f t="shared" si="58"/>
        <v>3.54</v>
      </c>
      <c r="AD213" s="173">
        <f t="shared" si="58"/>
        <v>3.54</v>
      </c>
      <c r="AE213" s="173">
        <f t="shared" si="58"/>
        <v>3.54</v>
      </c>
      <c r="AF213" s="173">
        <f t="shared" si="58"/>
        <v>3.54</v>
      </c>
      <c r="AG213" s="173">
        <f t="shared" si="58"/>
        <v>3.54</v>
      </c>
      <c r="AH213" s="173">
        <f t="shared" si="58"/>
        <v>3.54</v>
      </c>
      <c r="AI213" s="173">
        <f t="shared" si="58"/>
        <v>3.54</v>
      </c>
      <c r="AJ213" s="173">
        <f t="shared" si="58"/>
        <v>3.54</v>
      </c>
      <c r="AK213" s="173">
        <f t="shared" si="58"/>
        <v>3.54</v>
      </c>
      <c r="AL213" s="173">
        <f t="shared" si="58"/>
        <v>3.54</v>
      </c>
      <c r="AM213" s="173">
        <f t="shared" si="58"/>
        <v>3.54</v>
      </c>
      <c r="AN213" s="173">
        <f t="shared" si="58"/>
        <v>3.54</v>
      </c>
      <c r="AO213" s="173">
        <f t="shared" si="58"/>
        <v>3.54</v>
      </c>
      <c r="AP213" s="173">
        <f t="shared" si="58"/>
        <v>3.54</v>
      </c>
      <c r="AQ213" s="173">
        <f t="shared" si="58"/>
        <v>3.54</v>
      </c>
      <c r="AR213" s="173">
        <f t="shared" si="58"/>
        <v>3.54</v>
      </c>
      <c r="AS213" s="173">
        <f t="shared" si="58"/>
        <v>3.54</v>
      </c>
      <c r="AT213" s="173">
        <f t="shared" si="58"/>
        <v>3.54</v>
      </c>
      <c r="AU213" s="173">
        <f t="shared" si="58"/>
        <v>3.54</v>
      </c>
      <c r="AV213" s="173">
        <f t="shared" si="58"/>
        <v>3.54</v>
      </c>
      <c r="AW213" s="173">
        <f t="shared" si="58"/>
        <v>3.54</v>
      </c>
      <c r="AX213" s="173">
        <f t="shared" si="58"/>
        <v>3.54</v>
      </c>
    </row>
    <row r="214" spans="1:50" x14ac:dyDescent="0.25">
      <c r="A214" s="165" t="s">
        <v>213</v>
      </c>
      <c r="B214" s="16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5" t="s">
        <v>214</v>
      </c>
      <c r="B215" s="16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5" t="s">
        <v>215</v>
      </c>
      <c r="B216" s="16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5" t="s">
        <v>216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5" t="s">
        <v>217</v>
      </c>
      <c r="B218" s="16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5" t="s">
        <v>202</v>
      </c>
      <c r="B234" s="176">
        <f t="shared" ref="B234:AE234" si="59">C198</f>
        <v>0.64</v>
      </c>
      <c r="C234" s="176">
        <f t="shared" si="59"/>
        <v>0.64</v>
      </c>
      <c r="D234" s="176">
        <f t="shared" si="59"/>
        <v>0.64</v>
      </c>
      <c r="E234" s="176">
        <f t="shared" si="59"/>
        <v>0.64</v>
      </c>
      <c r="F234" s="176">
        <f t="shared" si="59"/>
        <v>0.64</v>
      </c>
      <c r="G234" s="176">
        <f t="shared" si="59"/>
        <v>0.64</v>
      </c>
      <c r="H234" s="176">
        <f t="shared" si="59"/>
        <v>0.64</v>
      </c>
      <c r="I234" s="176">
        <f t="shared" si="59"/>
        <v>0.64</v>
      </c>
      <c r="J234" s="176">
        <f t="shared" si="59"/>
        <v>0.64</v>
      </c>
      <c r="K234" s="176">
        <f t="shared" si="59"/>
        <v>0.64</v>
      </c>
      <c r="L234" s="176">
        <f t="shared" si="59"/>
        <v>0.64</v>
      </c>
      <c r="M234" s="176">
        <f t="shared" si="59"/>
        <v>0.64</v>
      </c>
      <c r="N234" s="176">
        <f t="shared" si="59"/>
        <v>0.64</v>
      </c>
      <c r="O234" s="176">
        <f t="shared" si="59"/>
        <v>0.64</v>
      </c>
      <c r="P234" s="176">
        <f t="shared" si="59"/>
        <v>0.64</v>
      </c>
      <c r="Q234" s="176">
        <f t="shared" si="59"/>
        <v>0.64</v>
      </c>
      <c r="R234" s="176">
        <f t="shared" si="59"/>
        <v>0.64</v>
      </c>
      <c r="S234" s="176">
        <f t="shared" si="59"/>
        <v>0.64</v>
      </c>
      <c r="T234" s="176">
        <f t="shared" si="59"/>
        <v>0.64</v>
      </c>
      <c r="U234" s="176">
        <f t="shared" si="59"/>
        <v>0.64</v>
      </c>
      <c r="V234" s="176">
        <f t="shared" si="59"/>
        <v>0.64</v>
      </c>
      <c r="W234" s="176">
        <f t="shared" si="59"/>
        <v>0.64</v>
      </c>
      <c r="X234" s="176">
        <f t="shared" si="59"/>
        <v>0.64</v>
      </c>
      <c r="Y234" s="176">
        <f t="shared" si="59"/>
        <v>0.64</v>
      </c>
      <c r="Z234" s="176">
        <f t="shared" si="59"/>
        <v>0.64</v>
      </c>
      <c r="AA234" s="176">
        <f t="shared" si="59"/>
        <v>0.64</v>
      </c>
      <c r="AB234" s="176">
        <f t="shared" si="59"/>
        <v>0.64</v>
      </c>
      <c r="AC234" s="176">
        <f t="shared" si="59"/>
        <v>0.64</v>
      </c>
      <c r="AD234" s="176">
        <f t="shared" si="59"/>
        <v>0.64</v>
      </c>
      <c r="AE234" s="176">
        <f t="shared" si="59"/>
        <v>0.64</v>
      </c>
      <c r="AF234" s="176">
        <f>B198</f>
        <v>0.64</v>
      </c>
      <c r="AG234" s="47"/>
      <c r="AH234" s="47"/>
    </row>
    <row r="235" spans="1:34" customFormat="1" x14ac:dyDescent="0.25">
      <c r="A235" s="119" t="str">
        <f>A202</f>
        <v>KGA</v>
      </c>
      <c r="B235" s="119" t="str">
        <f>IF(B202&lt;100,"",B202-520)</f>
        <v/>
      </c>
      <c r="C235" s="119" t="str">
        <f t="shared" ref="C235:AF235" si="60">IF(C202&lt;100,"",C202-520)</f>
        <v/>
      </c>
      <c r="D235" s="119" t="str">
        <f t="shared" si="60"/>
        <v/>
      </c>
      <c r="E235" s="119" t="str">
        <f t="shared" si="60"/>
        <v/>
      </c>
      <c r="F235" s="119" t="str">
        <f t="shared" si="60"/>
        <v/>
      </c>
      <c r="G235" s="119" t="str">
        <f t="shared" si="60"/>
        <v/>
      </c>
      <c r="H235" s="119" t="str">
        <f t="shared" si="60"/>
        <v/>
      </c>
      <c r="I235" s="119" t="str">
        <f t="shared" si="60"/>
        <v/>
      </c>
      <c r="J235" s="119" t="str">
        <f t="shared" si="60"/>
        <v/>
      </c>
      <c r="K235" s="119" t="str">
        <f t="shared" si="60"/>
        <v/>
      </c>
      <c r="L235" s="119" t="str">
        <f t="shared" si="60"/>
        <v/>
      </c>
      <c r="M235" s="119" t="str">
        <f t="shared" si="60"/>
        <v/>
      </c>
      <c r="N235" s="119" t="str">
        <f t="shared" si="60"/>
        <v/>
      </c>
      <c r="O235" s="119" t="str">
        <f t="shared" si="60"/>
        <v/>
      </c>
      <c r="P235" s="119" t="str">
        <f t="shared" si="60"/>
        <v/>
      </c>
      <c r="Q235" s="119" t="str">
        <f t="shared" si="60"/>
        <v/>
      </c>
      <c r="R235" s="119" t="str">
        <f t="shared" si="60"/>
        <v/>
      </c>
      <c r="S235" s="119" t="str">
        <f t="shared" si="60"/>
        <v/>
      </c>
      <c r="T235" s="119" t="str">
        <f t="shared" si="60"/>
        <v/>
      </c>
      <c r="U235" s="119" t="str">
        <f t="shared" si="60"/>
        <v/>
      </c>
      <c r="V235" s="119" t="str">
        <f t="shared" si="60"/>
        <v/>
      </c>
      <c r="W235" s="119" t="str">
        <f t="shared" si="60"/>
        <v/>
      </c>
      <c r="X235" s="119" t="str">
        <f t="shared" si="60"/>
        <v/>
      </c>
      <c r="Y235" s="119" t="str">
        <f t="shared" si="60"/>
        <v/>
      </c>
      <c r="Z235" s="119" t="str">
        <f t="shared" si="60"/>
        <v/>
      </c>
      <c r="AA235" s="119" t="str">
        <f t="shared" si="60"/>
        <v/>
      </c>
      <c r="AB235" s="119" t="str">
        <f t="shared" si="60"/>
        <v/>
      </c>
      <c r="AC235" s="119" t="str">
        <f t="shared" si="60"/>
        <v/>
      </c>
      <c r="AD235" s="119" t="str">
        <f t="shared" si="60"/>
        <v/>
      </c>
      <c r="AE235" s="119" t="str">
        <f t="shared" si="60"/>
        <v/>
      </c>
      <c r="AF235" s="119" t="str">
        <f t="shared" si="60"/>
        <v/>
      </c>
      <c r="AG235" s="47"/>
      <c r="AH235" s="47"/>
    </row>
    <row r="236" spans="1:34" customFormat="1" x14ac:dyDescent="0.25">
      <c r="A236" s="119" t="str">
        <f>A203</f>
        <v>MMRS</v>
      </c>
      <c r="B236" s="119" t="str">
        <f t="shared" ref="B236:AF236" si="61">IF(B203&lt;100,"",B203-620)</f>
        <v/>
      </c>
      <c r="C236" s="119" t="str">
        <f t="shared" si="61"/>
        <v/>
      </c>
      <c r="D236" s="119" t="str">
        <f t="shared" si="61"/>
        <v/>
      </c>
      <c r="E236" s="119" t="str">
        <f t="shared" si="61"/>
        <v/>
      </c>
      <c r="F236" s="119" t="str">
        <f t="shared" si="61"/>
        <v/>
      </c>
      <c r="G236" s="119" t="str">
        <f t="shared" si="61"/>
        <v/>
      </c>
      <c r="H236" s="119" t="str">
        <f t="shared" si="61"/>
        <v/>
      </c>
      <c r="I236" s="119" t="str">
        <f t="shared" si="61"/>
        <v/>
      </c>
      <c r="J236" s="119" t="str">
        <f t="shared" si="61"/>
        <v/>
      </c>
      <c r="K236" s="119" t="str">
        <f t="shared" si="61"/>
        <v/>
      </c>
      <c r="L236" s="119" t="str">
        <f t="shared" si="61"/>
        <v/>
      </c>
      <c r="M236" s="119" t="str">
        <f t="shared" si="61"/>
        <v/>
      </c>
      <c r="N236" s="119" t="str">
        <f t="shared" si="61"/>
        <v/>
      </c>
      <c r="O236" s="119" t="str">
        <f t="shared" si="61"/>
        <v/>
      </c>
      <c r="P236" s="119" t="str">
        <f t="shared" si="61"/>
        <v/>
      </c>
      <c r="Q236" s="119" t="str">
        <f t="shared" si="61"/>
        <v/>
      </c>
      <c r="R236" s="119" t="str">
        <f t="shared" si="61"/>
        <v/>
      </c>
      <c r="S236" s="119" t="str">
        <f t="shared" si="61"/>
        <v/>
      </c>
      <c r="T236" s="119" t="str">
        <f t="shared" si="61"/>
        <v/>
      </c>
      <c r="U236" s="119" t="str">
        <f t="shared" si="61"/>
        <v/>
      </c>
      <c r="V236" s="119" t="str">
        <f t="shared" si="61"/>
        <v/>
      </c>
      <c r="W236" s="119" t="str">
        <f t="shared" si="61"/>
        <v/>
      </c>
      <c r="X236" s="119" t="str">
        <f t="shared" si="61"/>
        <v/>
      </c>
      <c r="Y236" s="119" t="str">
        <f t="shared" si="61"/>
        <v/>
      </c>
      <c r="Z236" s="119" t="str">
        <f t="shared" si="61"/>
        <v/>
      </c>
      <c r="AA236" s="119" t="str">
        <f t="shared" si="61"/>
        <v/>
      </c>
      <c r="AB236" s="119" t="str">
        <f t="shared" si="61"/>
        <v/>
      </c>
      <c r="AC236" s="119" t="str">
        <f t="shared" si="61"/>
        <v/>
      </c>
      <c r="AD236" s="119" t="str">
        <f t="shared" si="61"/>
        <v/>
      </c>
      <c r="AE236" s="119" t="str">
        <f t="shared" si="61"/>
        <v/>
      </c>
      <c r="AF236" s="119" t="str">
        <f t="shared" si="61"/>
        <v/>
      </c>
      <c r="AG236" s="47"/>
      <c r="AH236" s="47"/>
    </row>
    <row r="237" spans="1:34" customFormat="1" x14ac:dyDescent="0.25">
      <c r="A237" s="119" t="str">
        <f>A204</f>
        <v>MRS</v>
      </c>
      <c r="B237" s="119" t="str">
        <f t="shared" ref="B237:AF237" si="62">IF(B204&lt;100,"",B204-330)</f>
        <v/>
      </c>
      <c r="C237" s="119" t="str">
        <f t="shared" si="62"/>
        <v/>
      </c>
      <c r="D237" s="119" t="str">
        <f t="shared" si="62"/>
        <v/>
      </c>
      <c r="E237" s="119" t="str">
        <f t="shared" si="62"/>
        <v/>
      </c>
      <c r="F237" s="119" t="str">
        <f t="shared" si="62"/>
        <v/>
      </c>
      <c r="G237" s="119" t="str">
        <f t="shared" si="62"/>
        <v/>
      </c>
      <c r="H237" s="119" t="str">
        <f t="shared" si="62"/>
        <v/>
      </c>
      <c r="I237" s="119" t="str">
        <f t="shared" si="62"/>
        <v/>
      </c>
      <c r="J237" s="119" t="str">
        <f t="shared" si="62"/>
        <v/>
      </c>
      <c r="K237" s="119" t="str">
        <f t="shared" si="62"/>
        <v/>
      </c>
      <c r="L237" s="119" t="str">
        <f t="shared" si="62"/>
        <v/>
      </c>
      <c r="M237" s="119" t="str">
        <f t="shared" si="62"/>
        <v/>
      </c>
      <c r="N237" s="119" t="str">
        <f t="shared" si="62"/>
        <v/>
      </c>
      <c r="O237" s="119" t="str">
        <f t="shared" si="62"/>
        <v/>
      </c>
      <c r="P237" s="119" t="str">
        <f t="shared" si="62"/>
        <v/>
      </c>
      <c r="Q237" s="119" t="str">
        <f t="shared" si="62"/>
        <v/>
      </c>
      <c r="R237" s="119" t="str">
        <f t="shared" si="62"/>
        <v/>
      </c>
      <c r="S237" s="119" t="str">
        <f t="shared" si="62"/>
        <v/>
      </c>
      <c r="T237" s="119" t="str">
        <f t="shared" si="62"/>
        <v/>
      </c>
      <c r="U237" s="119" t="str">
        <f t="shared" si="62"/>
        <v/>
      </c>
      <c r="V237" s="119" t="str">
        <f t="shared" si="62"/>
        <v/>
      </c>
      <c r="W237" s="119" t="str">
        <f t="shared" si="62"/>
        <v/>
      </c>
      <c r="X237" s="119" t="str">
        <f t="shared" si="62"/>
        <v/>
      </c>
      <c r="Y237" s="119" t="str">
        <f t="shared" si="62"/>
        <v/>
      </c>
      <c r="Z237" s="119" t="str">
        <f t="shared" si="62"/>
        <v/>
      </c>
      <c r="AA237" s="119" t="str">
        <f t="shared" si="62"/>
        <v/>
      </c>
      <c r="AB237" s="119" t="str">
        <f t="shared" si="62"/>
        <v/>
      </c>
      <c r="AC237" s="119" t="str">
        <f t="shared" si="62"/>
        <v/>
      </c>
      <c r="AD237" s="119" t="str">
        <f t="shared" si="62"/>
        <v/>
      </c>
      <c r="AE237" s="119" t="str">
        <f t="shared" si="62"/>
        <v/>
      </c>
      <c r="AF237" s="119" t="str">
        <f t="shared" si="62"/>
        <v/>
      </c>
      <c r="AG237" s="47"/>
      <c r="AH237" s="47"/>
    </row>
    <row r="238" spans="1:34" customFormat="1" x14ac:dyDescent="0.25">
      <c r="A238" s="119" t="str">
        <f>A205</f>
        <v>KL 1</v>
      </c>
      <c r="B238" s="119" t="str">
        <f>IF(B205&lt;100,"",B205-1500)</f>
        <v/>
      </c>
      <c r="C238" s="119" t="str">
        <f t="shared" ref="C238:AF238" si="63">IF(C205&lt;100,"",C205-1500)</f>
        <v/>
      </c>
      <c r="D238" s="119" t="str">
        <f t="shared" si="63"/>
        <v/>
      </c>
      <c r="E238" s="119" t="str">
        <f t="shared" si="63"/>
        <v/>
      </c>
      <c r="F238" s="119" t="str">
        <f t="shared" si="63"/>
        <v/>
      </c>
      <c r="G238" s="119" t="str">
        <f t="shared" si="63"/>
        <v/>
      </c>
      <c r="H238" s="119" t="str">
        <f t="shared" si="63"/>
        <v/>
      </c>
      <c r="I238" s="119" t="str">
        <f t="shared" si="63"/>
        <v/>
      </c>
      <c r="J238" s="119" t="str">
        <f t="shared" si="63"/>
        <v/>
      </c>
      <c r="K238" s="119" t="str">
        <f t="shared" si="63"/>
        <v/>
      </c>
      <c r="L238" s="119" t="str">
        <f t="shared" si="63"/>
        <v/>
      </c>
      <c r="M238" s="119" t="str">
        <f t="shared" si="63"/>
        <v/>
      </c>
      <c r="N238" s="119" t="str">
        <f t="shared" si="63"/>
        <v/>
      </c>
      <c r="O238" s="119" t="str">
        <f t="shared" si="63"/>
        <v/>
      </c>
      <c r="P238" s="119" t="str">
        <f t="shared" si="63"/>
        <v/>
      </c>
      <c r="Q238" s="119" t="str">
        <f t="shared" si="63"/>
        <v/>
      </c>
      <c r="R238" s="119" t="str">
        <f t="shared" si="63"/>
        <v/>
      </c>
      <c r="S238" s="119" t="str">
        <f t="shared" si="63"/>
        <v/>
      </c>
      <c r="T238" s="119" t="str">
        <f t="shared" si="63"/>
        <v/>
      </c>
      <c r="U238" s="119" t="str">
        <f t="shared" si="63"/>
        <v/>
      </c>
      <c r="V238" s="119" t="str">
        <f t="shared" si="63"/>
        <v/>
      </c>
      <c r="W238" s="119" t="str">
        <f t="shared" si="63"/>
        <v/>
      </c>
      <c r="X238" s="119" t="str">
        <f t="shared" si="63"/>
        <v/>
      </c>
      <c r="Y238" s="119" t="str">
        <f t="shared" si="63"/>
        <v/>
      </c>
      <c r="Z238" s="119" t="str">
        <f t="shared" si="63"/>
        <v/>
      </c>
      <c r="AA238" s="119" t="str">
        <f t="shared" si="63"/>
        <v/>
      </c>
      <c r="AB238" s="119" t="str">
        <f t="shared" si="63"/>
        <v/>
      </c>
      <c r="AC238" s="119" t="str">
        <f t="shared" si="63"/>
        <v/>
      </c>
      <c r="AD238" s="119" t="str">
        <f t="shared" si="63"/>
        <v/>
      </c>
      <c r="AE238" s="119" t="str">
        <f t="shared" si="63"/>
        <v/>
      </c>
      <c r="AF238" s="119" t="str">
        <f t="shared" si="63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3:AF199 B193:B199 C68:AF72 AB84:AF91 B84:B91 M53:AF55 B73:AF80 B9:AF10 B191:AF191 AF57:AF67 B53:B72 D36:AF36 B36 AG73 AB94:AF99 B94:B99 U212:AF212">
    <cfRule type="expression" dxfId="267" priority="251">
      <formula>B$9&gt;=20/24</formula>
    </cfRule>
    <cfRule type="expression" dxfId="266" priority="252">
      <formula>AND(B$9&gt;=14/24,B$9&lt;20/24)</formula>
    </cfRule>
    <cfRule type="expression" dxfId="265" priority="253">
      <formula>AND(B$9&gt;=8/24,B$9&lt;14/24)</formula>
    </cfRule>
    <cfRule type="expression" dxfId="264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63" priority="246">
      <formula>M$9&gt;=20/24</formula>
    </cfRule>
    <cfRule type="expression" dxfId="262" priority="247">
      <formula>AND(M$9&gt;=14/24,M$9&lt;20/24)</formula>
    </cfRule>
    <cfRule type="expression" dxfId="261" priority="248">
      <formula>AND(M$9&gt;=8/24,M$9&lt;14/24)</formula>
    </cfRule>
    <cfRule type="expression" dxfId="260" priority="249">
      <formula>M$9&lt;8/24</formula>
    </cfRule>
  </conditionalFormatting>
  <conditionalFormatting sqref="M43:R43">
    <cfRule type="expression" dxfId="259" priority="242">
      <formula>M$9&gt;=20/24</formula>
    </cfRule>
    <cfRule type="expression" dxfId="258" priority="243">
      <formula>AND(M$9&gt;=14/24,M$9&lt;20/24)</formula>
    </cfRule>
    <cfRule type="expression" dxfId="257" priority="244">
      <formula>AND(M$9&gt;=8/24,M$9&lt;14/24)</formula>
    </cfRule>
    <cfRule type="expression" dxfId="256" priority="245">
      <formula>M$9&lt;8/24</formula>
    </cfRule>
  </conditionalFormatting>
  <conditionalFormatting sqref="Z32:AE32">
    <cfRule type="expression" dxfId="255" priority="238">
      <formula>Z$9&gt;=20/24</formula>
    </cfRule>
    <cfRule type="expression" dxfId="254" priority="239">
      <formula>AND(Z$9&gt;=14/24,Z$9&lt;20/24)</formula>
    </cfRule>
    <cfRule type="expression" dxfId="253" priority="240">
      <formula>AND(Z$9&gt;=8/24,Z$9&lt;14/24)</formula>
    </cfRule>
    <cfRule type="expression" dxfId="252" priority="241">
      <formula>Z$9&lt;8/24</formula>
    </cfRule>
  </conditionalFormatting>
  <conditionalFormatting sqref="S39:AE39">
    <cfRule type="expression" dxfId="251" priority="234">
      <formula>S$9&gt;=20/24</formula>
    </cfRule>
    <cfRule type="expression" dxfId="250" priority="235">
      <formula>AND(S$9&gt;=14/24,S$9&lt;20/24)</formula>
    </cfRule>
    <cfRule type="expression" dxfId="249" priority="236">
      <formula>AND(S$9&gt;=8/24,S$9&lt;14/24)</formula>
    </cfRule>
    <cfRule type="expression" dxfId="248" priority="237">
      <formula>S$9&lt;8/24</formula>
    </cfRule>
  </conditionalFormatting>
  <conditionalFormatting sqref="S57:AE57">
    <cfRule type="expression" dxfId="247" priority="230">
      <formula>S$9&gt;=20/24</formula>
    </cfRule>
    <cfRule type="expression" dxfId="246" priority="231">
      <formula>AND(S$9&gt;=14/24,S$9&lt;20/24)</formula>
    </cfRule>
    <cfRule type="expression" dxfId="245" priority="232">
      <formula>AND(S$9&gt;=8/24,S$9&lt;14/24)</formula>
    </cfRule>
    <cfRule type="expression" dxfId="244" priority="233">
      <formula>S$9&lt;8/24</formula>
    </cfRule>
  </conditionalFormatting>
  <conditionalFormatting sqref="S81:AA81">
    <cfRule type="expression" dxfId="243" priority="226">
      <formula>S$9&gt;=20/24</formula>
    </cfRule>
    <cfRule type="expression" dxfId="242" priority="227">
      <formula>AND(S$9&gt;=14/24,S$9&lt;20/24)</formula>
    </cfRule>
    <cfRule type="expression" dxfId="241" priority="228">
      <formula>AND(S$9&gt;=8/24,S$9&lt;14/24)</formula>
    </cfRule>
    <cfRule type="expression" dxfId="240" priority="229">
      <formula>S$9&lt;8/24</formula>
    </cfRule>
  </conditionalFormatting>
  <conditionalFormatting sqref="U84:AA84">
    <cfRule type="expression" dxfId="239" priority="222">
      <formula>U$9&gt;=20/24</formula>
    </cfRule>
    <cfRule type="expression" dxfId="238" priority="223">
      <formula>AND(U$9&gt;=14/24,U$9&lt;20/24)</formula>
    </cfRule>
    <cfRule type="expression" dxfId="237" priority="224">
      <formula>AND(U$9&gt;=8/24,U$9&lt;14/24)</formula>
    </cfRule>
    <cfRule type="expression" dxfId="236" priority="225">
      <formula>U$9&lt;8/24</formula>
    </cfRule>
  </conditionalFormatting>
  <conditionalFormatting sqref="M35:R35">
    <cfRule type="expression" dxfId="235" priority="218">
      <formula>M$9&gt;=20/24</formula>
    </cfRule>
    <cfRule type="expression" dxfId="234" priority="219">
      <formula>AND(M$9&gt;=14/24,M$9&lt;20/24)</formula>
    </cfRule>
    <cfRule type="expression" dxfId="233" priority="220">
      <formula>AND(M$9&gt;=8/24,M$9&lt;14/24)</formula>
    </cfRule>
    <cfRule type="expression" dxfId="232" priority="221">
      <formula>M$9&lt;8/24</formula>
    </cfRule>
  </conditionalFormatting>
  <conditionalFormatting sqref="M49:T49">
    <cfRule type="expression" dxfId="231" priority="214">
      <formula>M$9&gt;=20/24</formula>
    </cfRule>
    <cfRule type="expression" dxfId="230" priority="215">
      <formula>AND(M$9&gt;=14/24,M$9&lt;20/24)</formula>
    </cfRule>
    <cfRule type="expression" dxfId="229" priority="216">
      <formula>AND(M$9&gt;=8/24,M$9&lt;14/24)</formula>
    </cfRule>
    <cfRule type="expression" dxfId="228" priority="217">
      <formula>M$9&lt;8/24</formula>
    </cfRule>
  </conditionalFormatting>
  <conditionalFormatting sqref="M50:R50">
    <cfRule type="expression" dxfId="227" priority="210">
      <formula>M$9&gt;=20/24</formula>
    </cfRule>
    <cfRule type="expression" dxfId="226" priority="211">
      <formula>AND(M$9&gt;=14/24,M$9&lt;20/24)</formula>
    </cfRule>
    <cfRule type="expression" dxfId="225" priority="212">
      <formula>AND(M$9&gt;=8/24,M$9&lt;14/24)</formula>
    </cfRule>
    <cfRule type="expression" dxfId="224" priority="213">
      <formula>M$9&lt;8/24</formula>
    </cfRule>
  </conditionalFormatting>
  <conditionalFormatting sqref="M45:R48">
    <cfRule type="expression" dxfId="223" priority="206">
      <formula>M$9&gt;=20/24</formula>
    </cfRule>
    <cfRule type="expression" dxfId="222" priority="207">
      <formula>AND(M$9&gt;=14/24,M$9&lt;20/24)</formula>
    </cfRule>
    <cfRule type="expression" dxfId="221" priority="208">
      <formula>AND(M$9&gt;=8/24,M$9&lt;14/24)</formula>
    </cfRule>
    <cfRule type="expression" dxfId="220" priority="209">
      <formula>M$9&lt;8/24</formula>
    </cfRule>
  </conditionalFormatting>
  <conditionalFormatting sqref="S37:AE37">
    <cfRule type="expression" dxfId="219" priority="202">
      <formula>S$9&gt;=20/24</formula>
    </cfRule>
    <cfRule type="expression" dxfId="218" priority="203">
      <formula>AND(S$9&gt;=14/24,S$9&lt;20/24)</formula>
    </cfRule>
    <cfRule type="expression" dxfId="217" priority="204">
      <formula>AND(S$9&gt;=8/24,S$9&lt;14/24)</formula>
    </cfRule>
    <cfRule type="expression" dxfId="216" priority="205">
      <formula>S$9&lt;8/24</formula>
    </cfRule>
  </conditionalFormatting>
  <conditionalFormatting sqref="S31:Y32 S35:AE35">
    <cfRule type="expression" dxfId="215" priority="198">
      <formula>S$9&gt;=20/24</formula>
    </cfRule>
    <cfRule type="expression" dxfId="214" priority="199">
      <formula>AND(S$9&gt;=14/24,S$9&lt;20/24)</formula>
    </cfRule>
    <cfRule type="expression" dxfId="213" priority="200">
      <formula>AND(S$9&gt;=8/24,S$9&lt;14/24)</formula>
    </cfRule>
    <cfRule type="expression" dxfId="212" priority="201">
      <formula>S$9&lt;8/24</formula>
    </cfRule>
  </conditionalFormatting>
  <conditionalFormatting sqref="S42:T43 U43:Y43 S45:AE48">
    <cfRule type="expression" dxfId="211" priority="194">
      <formula>S$9&gt;=20/24</formula>
    </cfRule>
    <cfRule type="expression" dxfId="210" priority="195">
      <formula>AND(S$9&gt;=14/24,S$9&lt;20/24)</formula>
    </cfRule>
    <cfRule type="expression" dxfId="209" priority="196">
      <formula>AND(S$9&gt;=8/24,S$9&lt;14/24)</formula>
    </cfRule>
    <cfRule type="expression" dxfId="208" priority="197">
      <formula>S$9&lt;8/24</formula>
    </cfRule>
  </conditionalFormatting>
  <conditionalFormatting sqref="S49:AE49">
    <cfRule type="expression" dxfId="207" priority="190">
      <formula>S$9&gt;=20/24</formula>
    </cfRule>
    <cfRule type="expression" dxfId="206" priority="191">
      <formula>AND(S$9&gt;=14/24,S$9&lt;20/24)</formula>
    </cfRule>
    <cfRule type="expression" dxfId="205" priority="192">
      <formula>AND(S$9&gt;=8/24,S$9&lt;14/24)</formula>
    </cfRule>
    <cfRule type="expression" dxfId="204" priority="193">
      <formula>S$9&lt;8/24</formula>
    </cfRule>
  </conditionalFormatting>
  <conditionalFormatting sqref="S50:AE50">
    <cfRule type="expression" dxfId="203" priority="186">
      <formula>S$9&gt;=20/24</formula>
    </cfRule>
    <cfRule type="expression" dxfId="202" priority="187">
      <formula>AND(S$9&gt;=14/24,S$9&lt;20/24)</formula>
    </cfRule>
    <cfRule type="expression" dxfId="201" priority="188">
      <formula>AND(S$9&gt;=8/24,S$9&lt;14/24)</formula>
    </cfRule>
    <cfRule type="expression" dxfId="200" priority="189">
      <formula>S$9&lt;8/24</formula>
    </cfRule>
  </conditionalFormatting>
  <conditionalFormatting sqref="S60:T67 X60:AE67">
    <cfRule type="expression" dxfId="199" priority="182">
      <formula>S$9&gt;=20/24</formula>
    </cfRule>
    <cfRule type="expression" dxfId="198" priority="183">
      <formula>AND(S$9&gt;=14/24,S$9&lt;20/24)</formula>
    </cfRule>
    <cfRule type="expression" dxfId="197" priority="184">
      <formula>AND(S$9&gt;=8/24,S$9&lt;14/24)</formula>
    </cfRule>
    <cfRule type="expression" dxfId="196" priority="185">
      <formula>S$9&lt;8/24</formula>
    </cfRule>
  </conditionalFormatting>
  <conditionalFormatting sqref="C62:I62 I63:I67 J62:L67">
    <cfRule type="expression" dxfId="195" priority="178">
      <formula>C$9&gt;=20/24</formula>
    </cfRule>
    <cfRule type="expression" dxfId="194" priority="179">
      <formula>AND(C$9&gt;=14/24,C$9&lt;20/24)</formula>
    </cfRule>
    <cfRule type="expression" dxfId="193" priority="180">
      <formula>AND(C$9&gt;=8/24,C$9&lt;14/24)</formula>
    </cfRule>
    <cfRule type="expression" dxfId="192" priority="181">
      <formula>C$9&lt;8/24</formula>
    </cfRule>
  </conditionalFormatting>
  <conditionalFormatting sqref="U94:AA97">
    <cfRule type="expression" dxfId="191" priority="174">
      <formula>U$9&gt;=20/24</formula>
    </cfRule>
    <cfRule type="expression" dxfId="190" priority="175">
      <formula>AND(U$9&gt;=14/24,U$9&lt;20/24)</formula>
    </cfRule>
    <cfRule type="expression" dxfId="189" priority="176">
      <formula>AND(U$9&gt;=8/24,U$9&lt;14/24)</formula>
    </cfRule>
    <cfRule type="expression" dxfId="188" priority="177">
      <formula>U$9&lt;8/24</formula>
    </cfRule>
  </conditionalFormatting>
  <conditionalFormatting sqref="AG51 C12:R14 C16:R17 Z16:Z17 C18:Z32 C11:AF11 AA16:AF32 B34:AF56 Z12:AF15 B11:B32">
    <cfRule type="expression" dxfId="187" priority="173">
      <formula>B11&gt;$AG11</formula>
    </cfRule>
  </conditionalFormatting>
  <conditionalFormatting sqref="A100:A156 A84:A97 A11:A14 A16:A32 A45:A72 A80:A82 A74:A78 A35:A43 A169:A199">
    <cfRule type="expression" dxfId="186" priority="172">
      <formula>$AH11=0</formula>
    </cfRule>
  </conditionalFormatting>
  <conditionalFormatting sqref="U98:AA98">
    <cfRule type="expression" dxfId="185" priority="168">
      <formula>U$9&gt;=20/24</formula>
    </cfRule>
    <cfRule type="expression" dxfId="184" priority="169">
      <formula>AND(U$9&gt;=14/24,U$9&lt;20/24)</formula>
    </cfRule>
    <cfRule type="expression" dxfId="183" priority="170">
      <formula>AND(U$9&gt;=8/24,U$9&lt;14/24)</formula>
    </cfRule>
    <cfRule type="expression" dxfId="182" priority="171">
      <formula>U$9&lt;8/24</formula>
    </cfRule>
  </conditionalFormatting>
  <conditionalFormatting sqref="A98">
    <cfRule type="expression" dxfId="181" priority="167">
      <formula>$AH98=0</formula>
    </cfRule>
  </conditionalFormatting>
  <conditionalFormatting sqref="C36">
    <cfRule type="expression" dxfId="180" priority="163">
      <formula>C$9&gt;=20/24</formula>
    </cfRule>
    <cfRule type="expression" dxfId="179" priority="164">
      <formula>AND(C$9&gt;=14/24,C$9&lt;20/24)</formula>
    </cfRule>
    <cfRule type="expression" dxfId="178" priority="165">
      <formula>AND(C$9&gt;=8/24,C$9&lt;14/24)</formula>
    </cfRule>
    <cfRule type="expression" dxfId="177" priority="166">
      <formula>C$9&lt;8/24</formula>
    </cfRule>
  </conditionalFormatting>
  <conditionalFormatting sqref="E63:H67">
    <cfRule type="expression" dxfId="176" priority="159">
      <formula>E$9&gt;=20/24</formula>
    </cfRule>
    <cfRule type="expression" dxfId="175" priority="160">
      <formula>AND(E$9&gt;=14/24,E$9&lt;20/24)</formula>
    </cfRule>
    <cfRule type="expression" dxfId="174" priority="161">
      <formula>AND(E$9&gt;=8/24,E$9&lt;14/24)</formula>
    </cfRule>
    <cfRule type="expression" dxfId="173" priority="162">
      <formula>E$9&lt;8/24</formula>
    </cfRule>
  </conditionalFormatting>
  <conditionalFormatting sqref="M62:M67">
    <cfRule type="expression" dxfId="172" priority="155">
      <formula>M$9&gt;=20/24</formula>
    </cfRule>
    <cfRule type="expression" dxfId="171" priority="156">
      <formula>AND(M$9&gt;=14/24,M$9&lt;20/24)</formula>
    </cfRule>
    <cfRule type="expression" dxfId="170" priority="157">
      <formula>AND(M$9&gt;=8/24,M$9&lt;14/24)</formula>
    </cfRule>
    <cfRule type="expression" dxfId="169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168" priority="150">
      <formula>Z$9&gt;=20/24</formula>
    </cfRule>
    <cfRule type="expression" dxfId="167" priority="151">
      <formula>AND(Z$9&gt;=14/24,Z$9&lt;20/24)</formula>
    </cfRule>
    <cfRule type="expression" dxfId="166" priority="152">
      <formula>AND(Z$9&gt;=8/24,Z$9&lt;14/24)</formula>
    </cfRule>
    <cfRule type="expression" dxfId="165" priority="153">
      <formula>Z$9&lt;8/24</formula>
    </cfRule>
  </conditionalFormatting>
  <conditionalFormatting sqref="M34:R34">
    <cfRule type="expression" dxfId="164" priority="146">
      <formula>M$9&gt;=20/24</formula>
    </cfRule>
    <cfRule type="expression" dxfId="163" priority="147">
      <formula>AND(M$9&gt;=14/24,M$9&lt;20/24)</formula>
    </cfRule>
    <cfRule type="expression" dxfId="162" priority="148">
      <formula>AND(M$9&gt;=8/24,M$9&lt;14/24)</formula>
    </cfRule>
    <cfRule type="expression" dxfId="161" priority="149">
      <formula>M$9&lt;8/24</formula>
    </cfRule>
  </conditionalFormatting>
  <conditionalFormatting sqref="S34:Y34">
    <cfRule type="expression" dxfId="160" priority="142">
      <formula>S$9&gt;=20/24</formula>
    </cfRule>
    <cfRule type="expression" dxfId="159" priority="143">
      <formula>AND(S$9&gt;=14/24,S$9&lt;20/24)</formula>
    </cfRule>
    <cfRule type="expression" dxfId="158" priority="144">
      <formula>AND(S$9&gt;=8/24,S$9&lt;14/24)</formula>
    </cfRule>
    <cfRule type="expression" dxfId="157" priority="145">
      <formula>S$9&lt;8/24</formula>
    </cfRule>
  </conditionalFormatting>
  <conditionalFormatting sqref="A34">
    <cfRule type="expression" dxfId="156" priority="141">
      <formula>$AH34=0</formula>
    </cfRule>
  </conditionalFormatting>
  <conditionalFormatting sqref="A83">
    <cfRule type="expression" dxfId="155" priority="140">
      <formula>$AH83=0</formula>
    </cfRule>
  </conditionalFormatting>
  <conditionalFormatting sqref="Z15:AE15">
    <cfRule type="expression" dxfId="154" priority="136">
      <formula>Z$9&gt;=20/24</formula>
    </cfRule>
    <cfRule type="expression" dxfId="153" priority="137">
      <formula>AND(Z$9&gt;=14/24,Z$9&lt;20/24)</formula>
    </cfRule>
    <cfRule type="expression" dxfId="152" priority="138">
      <formula>AND(Z$9&gt;=8/24,Z$9&lt;14/24)</formula>
    </cfRule>
    <cfRule type="expression" dxfId="151" priority="139">
      <formula>Z$9&lt;8/24</formula>
    </cfRule>
  </conditionalFormatting>
  <conditionalFormatting sqref="M15:R15">
    <cfRule type="expression" dxfId="150" priority="132">
      <formula>M$9&gt;=20/24</formula>
    </cfRule>
    <cfRule type="expression" dxfId="149" priority="133">
      <formula>AND(M$9&gt;=14/24,M$9&lt;20/24)</formula>
    </cfRule>
    <cfRule type="expression" dxfId="148" priority="134">
      <formula>AND(M$9&gt;=8/24,M$9&lt;14/24)</formula>
    </cfRule>
    <cfRule type="expression" dxfId="147" priority="135">
      <formula>M$9&lt;8/24</formula>
    </cfRule>
  </conditionalFormatting>
  <conditionalFormatting sqref="C15:R15">
    <cfRule type="expression" dxfId="146" priority="131">
      <formula>C15&gt;$AG15</formula>
    </cfRule>
  </conditionalFormatting>
  <conditionalFormatting sqref="A15">
    <cfRule type="expression" dxfId="145" priority="130">
      <formula>$AH15=0</formula>
    </cfRule>
  </conditionalFormatting>
  <conditionalFormatting sqref="A163:A168">
    <cfRule type="expression" dxfId="144" priority="129">
      <formula>$AH163=0</formula>
    </cfRule>
  </conditionalFormatting>
  <conditionalFormatting sqref="A157:A162">
    <cfRule type="expression" dxfId="143" priority="128">
      <formula>$AH157=0</formula>
    </cfRule>
  </conditionalFormatting>
  <conditionalFormatting sqref="Z44:AE44">
    <cfRule type="expression" dxfId="142" priority="124">
      <formula>Z$9&gt;=20/24</formula>
    </cfRule>
    <cfRule type="expression" dxfId="141" priority="125">
      <formula>AND(Z$9&gt;=14/24,Z$9&lt;20/24)</formula>
    </cfRule>
    <cfRule type="expression" dxfId="140" priority="126">
      <formula>AND(Z$9&gt;=8/24,Z$9&lt;14/24)</formula>
    </cfRule>
    <cfRule type="expression" dxfId="139" priority="127">
      <formula>Z$9&lt;8/24</formula>
    </cfRule>
  </conditionalFormatting>
  <conditionalFormatting sqref="M44:R44">
    <cfRule type="expression" dxfId="138" priority="120">
      <formula>M$9&gt;=20/24</formula>
    </cfRule>
    <cfRule type="expression" dxfId="137" priority="121">
      <formula>AND(M$9&gt;=14/24,M$9&lt;20/24)</formula>
    </cfRule>
    <cfRule type="expression" dxfId="136" priority="122">
      <formula>AND(M$9&gt;=8/24,M$9&lt;14/24)</formula>
    </cfRule>
    <cfRule type="expression" dxfId="135" priority="123">
      <formula>M$9&lt;8/24</formula>
    </cfRule>
  </conditionalFormatting>
  <conditionalFormatting sqref="S44:Y44">
    <cfRule type="expression" dxfId="134" priority="116">
      <formula>S$9&gt;=20/24</formula>
    </cfRule>
    <cfRule type="expression" dxfId="133" priority="117">
      <formula>AND(S$9&gt;=14/24,S$9&lt;20/24)</formula>
    </cfRule>
    <cfRule type="expression" dxfId="132" priority="118">
      <formula>AND(S$9&gt;=8/24,S$9&lt;14/24)</formula>
    </cfRule>
    <cfRule type="expression" dxfId="131" priority="119">
      <formula>S$9&lt;8/24</formula>
    </cfRule>
  </conditionalFormatting>
  <conditionalFormatting sqref="A44">
    <cfRule type="expression" dxfId="130" priority="115">
      <formula>$AH44=0</formula>
    </cfRule>
  </conditionalFormatting>
  <conditionalFormatting sqref="A79">
    <cfRule type="expression" dxfId="129" priority="114">
      <formula>$AH79=0</formula>
    </cfRule>
  </conditionalFormatting>
  <conditionalFormatting sqref="A73">
    <cfRule type="expression" dxfId="128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27" priority="109">
      <formula>U$9&gt;=20/24</formula>
    </cfRule>
    <cfRule type="expression" dxfId="126" priority="110">
      <formula>AND(U$9&gt;=14/24,U$9&lt;20/24)</formula>
    </cfRule>
    <cfRule type="expression" dxfId="125" priority="111">
      <formula>AND(U$9&gt;=8/24,U$9&lt;14/24)</formula>
    </cfRule>
    <cfRule type="expression" dxfId="124" priority="112">
      <formula>U$9&lt;8/24</formula>
    </cfRule>
  </conditionalFormatting>
  <conditionalFormatting sqref="U85:W91">
    <cfRule type="expression" dxfId="123" priority="105">
      <formula>U$9&gt;=20/24</formula>
    </cfRule>
    <cfRule type="expression" dxfId="122" priority="106">
      <formula>AND(U$9&gt;=14/24,U$9&lt;20/24)</formula>
    </cfRule>
    <cfRule type="expression" dxfId="121" priority="107">
      <formula>AND(U$9&gt;=8/24,U$9&lt;14/24)</formula>
    </cfRule>
    <cfRule type="expression" dxfId="120" priority="108">
      <formula>U$9&lt;8/24</formula>
    </cfRule>
  </conditionalFormatting>
  <conditionalFormatting sqref="C84:R91 S85:T91">
    <cfRule type="expression" dxfId="119" priority="101">
      <formula>C$9&gt;=20/24</formula>
    </cfRule>
    <cfRule type="expression" dxfId="118" priority="102">
      <formula>AND(C$9&gt;=14/24,C$9&lt;20/24)</formula>
    </cfRule>
    <cfRule type="expression" dxfId="117" priority="103">
      <formula>AND(C$9&gt;=8/24,C$9&lt;14/24)</formula>
    </cfRule>
    <cfRule type="expression" dxfId="116" priority="104">
      <formula>C$9&lt;8/24</formula>
    </cfRule>
  </conditionalFormatting>
  <conditionalFormatting sqref="S84:T84">
    <cfRule type="expression" dxfId="115" priority="97">
      <formula>S$9&gt;=20/24</formula>
    </cfRule>
    <cfRule type="expression" dxfId="114" priority="98">
      <formula>AND(S$9&gt;=14/24,S$9&lt;20/24)</formula>
    </cfRule>
    <cfRule type="expression" dxfId="113" priority="99">
      <formula>AND(S$9&gt;=8/24,S$9&lt;14/24)</formula>
    </cfRule>
    <cfRule type="expression" dxfId="112" priority="100">
      <formula>S$9&lt;8/24</formula>
    </cfRule>
  </conditionalFormatting>
  <conditionalFormatting sqref="C95:M97 C94:F94">
    <cfRule type="expression" dxfId="111" priority="93">
      <formula>C$9&gt;=20/24</formula>
    </cfRule>
    <cfRule type="expression" dxfId="110" priority="94">
      <formula>AND(C$9&gt;=14/24,C$9&lt;20/24)</formula>
    </cfRule>
    <cfRule type="expression" dxfId="109" priority="95">
      <formula>AND(C$9&gt;=8/24,C$9&lt;14/24)</formula>
    </cfRule>
    <cfRule type="expression" dxfId="108" priority="96">
      <formula>C$9&lt;8/24</formula>
    </cfRule>
  </conditionalFormatting>
  <conditionalFormatting sqref="N95:R97 O94:R94">
    <cfRule type="expression" dxfId="107" priority="89">
      <formula>N$9&gt;=20/24</formula>
    </cfRule>
    <cfRule type="expression" dxfId="106" priority="90">
      <formula>AND(N$9&gt;=14/24,N$9&lt;20/24)</formula>
    </cfRule>
    <cfRule type="expression" dxfId="105" priority="91">
      <formula>AND(N$9&gt;=8/24,N$9&lt;14/24)</formula>
    </cfRule>
    <cfRule type="expression" dxfId="104" priority="92">
      <formula>N$9&lt;8/24</formula>
    </cfRule>
  </conditionalFormatting>
  <conditionalFormatting sqref="S94:T97">
    <cfRule type="expression" dxfId="103" priority="85">
      <formula>S$9&gt;=20/24</formula>
    </cfRule>
    <cfRule type="expression" dxfId="102" priority="86">
      <formula>AND(S$9&gt;=14/24,S$9&lt;20/24)</formula>
    </cfRule>
    <cfRule type="expression" dxfId="101" priority="87">
      <formula>AND(S$9&gt;=8/24,S$9&lt;14/24)</formula>
    </cfRule>
    <cfRule type="expression" dxfId="100" priority="88">
      <formula>S$9&lt;8/24</formula>
    </cfRule>
  </conditionalFormatting>
  <conditionalFormatting sqref="C98:M98">
    <cfRule type="expression" dxfId="99" priority="81">
      <formula>C$9&gt;=20/24</formula>
    </cfRule>
    <cfRule type="expression" dxfId="98" priority="82">
      <formula>AND(C$9&gt;=14/24,C$9&lt;20/24)</formula>
    </cfRule>
    <cfRule type="expression" dxfId="97" priority="83">
      <formula>AND(C$9&gt;=8/24,C$9&lt;14/24)</formula>
    </cfRule>
    <cfRule type="expression" dxfId="96" priority="84">
      <formula>C$9&lt;8/24</formula>
    </cfRule>
  </conditionalFormatting>
  <conditionalFormatting sqref="N98:R98">
    <cfRule type="expression" dxfId="95" priority="77">
      <formula>N$9&gt;=20/24</formula>
    </cfRule>
    <cfRule type="expression" dxfId="94" priority="78">
      <formula>AND(N$9&gt;=14/24,N$9&lt;20/24)</formula>
    </cfRule>
    <cfRule type="expression" dxfId="93" priority="79">
      <formula>AND(N$9&gt;=8/24,N$9&lt;14/24)</formula>
    </cfRule>
    <cfRule type="expression" dxfId="92" priority="80">
      <formula>N$9&lt;8/24</formula>
    </cfRule>
  </conditionalFormatting>
  <conditionalFormatting sqref="S98:T98">
    <cfRule type="expression" dxfId="91" priority="73">
      <formula>S$9&gt;=20/24</formula>
    </cfRule>
    <cfRule type="expression" dxfId="90" priority="74">
      <formula>AND(S$9&gt;=14/24,S$9&lt;20/24)</formula>
    </cfRule>
    <cfRule type="expression" dxfId="89" priority="75">
      <formula>AND(S$9&gt;=8/24,S$9&lt;14/24)</formula>
    </cfRule>
    <cfRule type="expression" dxfId="88" priority="76">
      <formula>S$9&lt;8/24</formula>
    </cfRule>
  </conditionalFormatting>
  <conditionalFormatting sqref="M94:N94">
    <cfRule type="expression" dxfId="87" priority="69">
      <formula>M$9&gt;=20/24</formula>
    </cfRule>
    <cfRule type="expression" dxfId="86" priority="70">
      <formula>AND(M$9&gt;=14/24,M$9&lt;20/24)</formula>
    </cfRule>
    <cfRule type="expression" dxfId="85" priority="71">
      <formula>AND(M$9&gt;=8/24,M$9&lt;14/24)</formula>
    </cfRule>
    <cfRule type="expression" dxfId="84" priority="72">
      <formula>M$9&lt;8/24</formula>
    </cfRule>
  </conditionalFormatting>
  <conditionalFormatting sqref="G94:L94">
    <cfRule type="expression" dxfId="83" priority="65">
      <formula>G$9&gt;=20/24</formula>
    </cfRule>
    <cfRule type="expression" dxfId="82" priority="66">
      <formula>AND(G$9&gt;=14/24,G$9&lt;20/24)</formula>
    </cfRule>
    <cfRule type="expression" dxfId="81" priority="67">
      <formula>AND(G$9&gt;=8/24,G$9&lt;14/24)</formula>
    </cfRule>
    <cfRule type="expression" dxfId="80" priority="68">
      <formula>G$9&lt;8/24</formula>
    </cfRule>
  </conditionalFormatting>
  <conditionalFormatting sqref="U94:W94">
    <cfRule type="expression" dxfId="79" priority="61">
      <formula>U$9&gt;=20/24</formula>
    </cfRule>
    <cfRule type="expression" dxfId="78" priority="62">
      <formula>AND(U$9&gt;=14/24,U$9&lt;20/24)</formula>
    </cfRule>
    <cfRule type="expression" dxfId="77" priority="63">
      <formula>AND(U$9&gt;=8/24,U$9&lt;14/24)</formula>
    </cfRule>
    <cfRule type="expression" dxfId="76" priority="64">
      <formula>U$9&lt;8/24</formula>
    </cfRule>
  </conditionalFormatting>
  <conditionalFormatting sqref="N94:T94">
    <cfRule type="expression" dxfId="75" priority="57">
      <formula>N$9&gt;=20/24</formula>
    </cfRule>
    <cfRule type="expression" dxfId="74" priority="58">
      <formula>AND(N$9&gt;=14/24,N$9&lt;20/24)</formula>
    </cfRule>
    <cfRule type="expression" dxfId="73" priority="59">
      <formula>AND(N$9&gt;=8/24,N$9&lt;14/24)</formula>
    </cfRule>
    <cfRule type="expression" dxfId="72" priority="60">
      <formula>N$9&lt;8/24</formula>
    </cfRule>
  </conditionalFormatting>
  <conditionalFormatting sqref="U99:AA99">
    <cfRule type="expression" dxfId="71" priority="53">
      <formula>U$9&gt;=20/24</formula>
    </cfRule>
    <cfRule type="expression" dxfId="70" priority="54">
      <formula>AND(U$9&gt;=14/24,U$9&lt;20/24)</formula>
    </cfRule>
    <cfRule type="expression" dxfId="69" priority="55">
      <formula>AND(U$9&gt;=8/24,U$9&lt;14/24)</formula>
    </cfRule>
    <cfRule type="expression" dxfId="68" priority="56">
      <formula>U$9&lt;8/24</formula>
    </cfRule>
  </conditionalFormatting>
  <conditionalFormatting sqref="C99:M99">
    <cfRule type="expression" dxfId="67" priority="49">
      <formula>C$9&gt;=20/24</formula>
    </cfRule>
    <cfRule type="expression" dxfId="66" priority="50">
      <formula>AND(C$9&gt;=14/24,C$9&lt;20/24)</formula>
    </cfRule>
    <cfRule type="expression" dxfId="65" priority="51">
      <formula>AND(C$9&gt;=8/24,C$9&lt;14/24)</formula>
    </cfRule>
    <cfRule type="expression" dxfId="64" priority="52">
      <formula>C$9&lt;8/24</formula>
    </cfRule>
  </conditionalFormatting>
  <conditionalFormatting sqref="N99:R99">
    <cfRule type="expression" dxfId="63" priority="45">
      <formula>N$9&gt;=20/24</formula>
    </cfRule>
    <cfRule type="expression" dxfId="62" priority="46">
      <formula>AND(N$9&gt;=14/24,N$9&lt;20/24)</formula>
    </cfRule>
    <cfRule type="expression" dxfId="61" priority="47">
      <formula>AND(N$9&gt;=8/24,N$9&lt;14/24)</formula>
    </cfRule>
    <cfRule type="expression" dxfId="60" priority="48">
      <formula>N$9&lt;8/24</formula>
    </cfRule>
  </conditionalFormatting>
  <conditionalFormatting sqref="S99:T99">
    <cfRule type="expression" dxfId="59" priority="41">
      <formula>S$9&gt;=20/24</formula>
    </cfRule>
    <cfRule type="expression" dxfId="58" priority="42">
      <formula>AND(S$9&gt;=14/24,S$9&lt;20/24)</formula>
    </cfRule>
    <cfRule type="expression" dxfId="57" priority="43">
      <formula>AND(S$9&gt;=8/24,S$9&lt;14/24)</formula>
    </cfRule>
    <cfRule type="expression" dxfId="56" priority="44">
      <formula>S$9&lt;8/24</formula>
    </cfRule>
  </conditionalFormatting>
  <conditionalFormatting sqref="S12:Y16">
    <cfRule type="expression" dxfId="55" priority="37">
      <formula>S$9&gt;=20/24</formula>
    </cfRule>
    <cfRule type="expression" dxfId="54" priority="38">
      <formula>AND(S$9&gt;=14/24,S$9&lt;20/24)</formula>
    </cfRule>
    <cfRule type="expression" dxfId="53" priority="39">
      <formula>AND(S$9&gt;=8/24,S$9&lt;14/24)</formula>
    </cfRule>
    <cfRule type="expression" dxfId="52" priority="40">
      <formula>S$9&lt;8/24</formula>
    </cfRule>
  </conditionalFormatting>
  <conditionalFormatting sqref="S17:Y17">
    <cfRule type="expression" dxfId="51" priority="33">
      <formula>S$9&gt;=20/24</formula>
    </cfRule>
    <cfRule type="expression" dxfId="50" priority="34">
      <formula>AND(S$9&gt;=14/24,S$9&lt;20/24)</formula>
    </cfRule>
    <cfRule type="expression" dxfId="49" priority="35">
      <formula>AND(S$9&gt;=8/24,S$9&lt;14/24)</formula>
    </cfRule>
    <cfRule type="expression" dxfId="48" priority="36">
      <formula>S$9&lt;8/24</formula>
    </cfRule>
  </conditionalFormatting>
  <conditionalFormatting sqref="S12:Y13">
    <cfRule type="expression" dxfId="47" priority="29">
      <formula>S$9&gt;=20/24</formula>
    </cfRule>
    <cfRule type="expression" dxfId="46" priority="30">
      <formula>AND(S$9&gt;=14/24,S$9&lt;20/24)</formula>
    </cfRule>
    <cfRule type="expression" dxfId="45" priority="31">
      <formula>AND(S$9&gt;=8/24,S$9&lt;14/24)</formula>
    </cfRule>
    <cfRule type="expression" dxfId="44" priority="32">
      <formula>S$9&lt;8/24</formula>
    </cfRule>
  </conditionalFormatting>
  <conditionalFormatting sqref="AB58:AE59">
    <cfRule type="expression" dxfId="43" priority="25">
      <formula>AB$9&gt;=20/24</formula>
    </cfRule>
    <cfRule type="expression" dxfId="42" priority="26">
      <formula>AND(AB$9&gt;=14/24,AB$9&lt;20/24)</formula>
    </cfRule>
    <cfRule type="expression" dxfId="41" priority="27">
      <formula>AND(AB$9&gt;=8/24,AB$9&lt;14/24)</formula>
    </cfRule>
    <cfRule type="expression" dxfId="40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" priority="258">
      <formula>C$9&gt;=20/24</formula>
    </cfRule>
    <cfRule type="expression" dxfId="38" priority="259">
      <formula>AND(C$9&gt;=14/24,C$9&lt;20/24)</formula>
    </cfRule>
    <cfRule type="expression" dxfId="37" priority="260">
      <formula>AND(C$9&gt;=8/24,C$9&lt;14/24)</formula>
    </cfRule>
    <cfRule type="expression" dxfId="36" priority="261">
      <formula>C$9&lt;8/24</formula>
    </cfRule>
  </conditionalFormatting>
  <conditionalFormatting sqref="A200">
    <cfRule type="expression" dxfId="35" priority="262">
      <formula>$AH200=0</formula>
    </cfRule>
  </conditionalFormatting>
  <conditionalFormatting sqref="AG212">
    <cfRule type="expression" dxfId="34" priority="263">
      <formula>B$9&gt;=20/24</formula>
    </cfRule>
    <cfRule type="expression" dxfId="33" priority="264">
      <formula>AND(B$9&gt;=14/24,B$9&lt;20/24)</formula>
    </cfRule>
    <cfRule type="expression" dxfId="32" priority="265">
      <formula>AND(B$9&gt;=8/24,B$9&lt;14/24)</formula>
    </cfRule>
    <cfRule type="expression" dxfId="31" priority="266">
      <formula>B$9&lt;8/24</formula>
    </cfRule>
  </conditionalFormatting>
  <conditionalFormatting sqref="S8">
    <cfRule type="expression" dxfId="30" priority="19">
      <formula>U$9&gt;=20/24</formula>
    </cfRule>
    <cfRule type="expression" dxfId="29" priority="20">
      <formula>AND(U$9&gt;=14/24,U$9&lt;20/24)</formula>
    </cfRule>
    <cfRule type="expression" dxfId="28" priority="21">
      <formula>AND(U$9&gt;=8/24,U$9&lt;14/24)</formula>
    </cfRule>
    <cfRule type="expression" dxfId="27" priority="22">
      <formula>U$9&lt;8/24</formula>
    </cfRule>
  </conditionalFormatting>
  <conditionalFormatting sqref="AB8">
    <cfRule type="expression" dxfId="26" priority="15">
      <formula>AD$9&gt;=20/24</formula>
    </cfRule>
    <cfRule type="expression" dxfId="25" priority="16">
      <formula>AND(AD$9&gt;=14/24,AD$9&lt;20/24)</formula>
    </cfRule>
    <cfRule type="expression" dxfId="24" priority="17">
      <formula>AND(AD$9&gt;=8/24,AD$9&lt;14/24)</formula>
    </cfRule>
    <cfRule type="expression" dxfId="23" priority="18">
      <formula>AD$9&lt;8/24</formula>
    </cfRule>
  </conditionalFormatting>
  <conditionalFormatting sqref="AH212:AX212">
    <cfRule type="expression" dxfId="22" priority="267">
      <formula>AG$9&gt;=20/24</formula>
    </cfRule>
    <cfRule type="expression" dxfId="21" priority="268">
      <formula>AND(AG$9&gt;=14/24,AG$9&lt;20/24)</formula>
    </cfRule>
    <cfRule type="expression" dxfId="20" priority="269">
      <formula>AND(AG$9&gt;=8/24,AG$9&lt;14/24)</formula>
    </cfRule>
    <cfRule type="expression" dxfId="19" priority="270">
      <formula>AG$9&lt;8/24</formula>
    </cfRule>
  </conditionalFormatting>
  <conditionalFormatting sqref="T212">
    <cfRule type="expression" dxfId="18" priority="271">
      <formula>AX$9&gt;=20/24</formula>
    </cfRule>
    <cfRule type="expression" dxfId="17" priority="272">
      <formula>AND(AX$9&gt;=14/24,AX$9&lt;20/24)</formula>
    </cfRule>
    <cfRule type="expression" dxfId="16" priority="273">
      <formula>AND(AX$9&gt;=8/24,AX$9&lt;14/24)</formula>
    </cfRule>
    <cfRule type="expression" dxfId="15" priority="274">
      <formula>AX$9&lt;8/24</formula>
    </cfRule>
  </conditionalFormatting>
  <conditionalFormatting sqref="A99">
    <cfRule type="expression" dxfId="14" priority="14">
      <formula>$AH99=0</formula>
    </cfRule>
  </conditionalFormatting>
  <conditionalFormatting sqref="M33:R33">
    <cfRule type="expression" dxfId="13" priority="10">
      <formula>M$9&gt;=20/24</formula>
    </cfRule>
    <cfRule type="expression" dxfId="12" priority="11">
      <formula>AND(M$9&gt;=14/24,M$9&lt;20/24)</formula>
    </cfRule>
    <cfRule type="expression" dxfId="11" priority="12">
      <formula>AND(M$9&gt;=8/24,M$9&lt;14/24)</formula>
    </cfRule>
    <cfRule type="expression" dxfId="10" priority="13">
      <formula>M$9&lt;8/24</formula>
    </cfRule>
  </conditionalFormatting>
  <conditionalFormatting sqref="Z33:AE33">
    <cfRule type="expression" dxfId="9" priority="6">
      <formula>Z$9&gt;=20/24</formula>
    </cfRule>
    <cfRule type="expression" dxfId="8" priority="7">
      <formula>AND(Z$9&gt;=14/24,Z$9&lt;20/24)</formula>
    </cfRule>
    <cfRule type="expression" dxfId="7" priority="8">
      <formula>AND(Z$9&gt;=8/24,Z$9&lt;14/24)</formula>
    </cfRule>
    <cfRule type="expression" dxfId="6" priority="9">
      <formula>Z$9&lt;8/24</formula>
    </cfRule>
  </conditionalFormatting>
  <conditionalFormatting sqref="S33:Y33">
    <cfRule type="expression" dxfId="5" priority="2">
      <formula>S$9&gt;=20/24</formula>
    </cfRule>
    <cfRule type="expression" dxfId="4" priority="3">
      <formula>AND(S$9&gt;=14/24,S$9&lt;20/24)</formula>
    </cfRule>
    <cfRule type="expression" dxfId="3" priority="4">
      <formula>AND(S$9&gt;=8/24,S$9&lt;14/24)</formula>
    </cfRule>
    <cfRule type="expression" dxfId="2" priority="5">
      <formula>S$9&lt;8/24</formula>
    </cfRule>
  </conditionalFormatting>
  <conditionalFormatting sqref="B33:AF33">
    <cfRule type="expression" dxfId="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BE767A12-64F8-4CA7-A612-E97EE1D19F4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new_sample (2)</vt:lpstr>
      <vt:lpstr>new_sample</vt:lpstr>
      <vt:lpstr>Sheet1</vt:lpstr>
      <vt:lpstr>Sheet2</vt:lpstr>
      <vt:lpstr>Sheet3</vt:lpstr>
      <vt:lpstr>new_sample (3)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2022-11-06T11:08:16Z</dcterms:modified>
</cp:coreProperties>
</file>